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Šī_darbgrāmata"/>
  <mc:AlternateContent xmlns:mc="http://schemas.openxmlformats.org/markup-compatibility/2006">
    <mc:Choice Requires="x15">
      <x15ac:absPath xmlns:x15ac="http://schemas.microsoft.com/office/spreadsheetml/2010/11/ac" url="C:\Users\Linda Povlovska\Desktop\FK 2024\"/>
    </mc:Choice>
  </mc:AlternateContent>
  <xr:revisionPtr revIDLastSave="0" documentId="8_{29EA1D52-C0B5-4E61-B8B5-BF887CFC8FDD}" xr6:coauthVersionLast="47" xr6:coauthVersionMax="47" xr10:uidLastSave="{00000000-0000-0000-0000-000000000000}"/>
  <bookViews>
    <workbookView xWindow="-120" yWindow="-120" windowWidth="29040" windowHeight="17520" tabRatio="823" activeTab="4" xr2:uid="{00000000-000D-0000-FFFF-FFFF00000000}"/>
  </bookViews>
  <sheets>
    <sheet name="Faila apraksts" sheetId="147" r:id="rId1"/>
    <sheet name="INPUT" sheetId="109" state="hidden" r:id="rId2"/>
    <sheet name="BAZE_2024" sheetId="105" r:id="rId3"/>
    <sheet name="Investīcijas_2024" sheetId="143" r:id="rId4"/>
    <sheet name="2024.gada budzeta plans_apvieno" sheetId="70" r:id="rId5"/>
    <sheet name="Grafiki_2024" sheetId="123" r:id="rId6"/>
    <sheet name="PII_mac_lidz" sheetId="146" r:id="rId7"/>
    <sheet name="0630_Tāmes" sheetId="141" r:id="rId8"/>
    <sheet name="0930_Tāmes" sheetId="140" r:id="rId9"/>
    <sheet name="0812_Sporta pasākumi_komandas" sheetId="135" r:id="rId10"/>
    <sheet name="0812_Subsīdijas sportam" sheetId="136" r:id="rId11"/>
    <sheet name="0841.1_Svētku tāmes paraugs" sheetId="138" r:id="rId12"/>
    <sheet name="0841ĀKC Skatuves gaismu sistēma" sheetId="139" r:id="rId13"/>
  </sheets>
  <definedNames>
    <definedName name="_0812" localSheetId="7">#REF!</definedName>
    <definedName name="_0812" localSheetId="9">#REF!</definedName>
    <definedName name="_0812" localSheetId="10">#REF!</definedName>
    <definedName name="_0812" localSheetId="11">#REF!</definedName>
    <definedName name="_0812" localSheetId="12">#REF!</definedName>
    <definedName name="_0812" localSheetId="8">#REF!</definedName>
    <definedName name="_0812" localSheetId="5">#REF!</definedName>
    <definedName name="_0812" localSheetId="3">#REF!</definedName>
    <definedName name="_0812">#REF!</definedName>
    <definedName name="_xlnm._FilterDatabase" localSheetId="4" hidden="1">'2024.gada budzeta plans_apvieno'!#REF!</definedName>
    <definedName name="_xlnm._FilterDatabase" localSheetId="1" hidden="1">INPUT!$A$1:$BF$5411</definedName>
    <definedName name="_xlnm._FilterDatabase" localSheetId="3" hidden="1">Investīcijas_2024!$A$170:$W$339</definedName>
    <definedName name="_Hlk80260561" localSheetId="8">'0930_Tāmes'!$B$165</definedName>
    <definedName name="Apmaksa" localSheetId="7">#REF!</definedName>
    <definedName name="Apmaksa" localSheetId="11">#REF!</definedName>
    <definedName name="Apmaksa" localSheetId="12">#REF!</definedName>
    <definedName name="Apmaksa" localSheetId="8">#REF!</definedName>
    <definedName name="Apmaksa" localSheetId="4">#REF!</definedName>
    <definedName name="Apmaksa" localSheetId="3">#REF!</definedName>
    <definedName name="Apmaksa">#REF!</definedName>
    <definedName name="Darijums" localSheetId="7">#REF!</definedName>
    <definedName name="Darijums" localSheetId="11">#REF!</definedName>
    <definedName name="Darijums" localSheetId="12">#REF!</definedName>
    <definedName name="Darijums" localSheetId="8">#REF!</definedName>
    <definedName name="Darijums" localSheetId="4">#REF!</definedName>
    <definedName name="Darijums" localSheetId="3">#REF!</definedName>
    <definedName name="Darijums">#REF!</definedName>
    <definedName name="Excel_BuiltIn__FilterDatabase" localSheetId="7">#REF!</definedName>
    <definedName name="Excel_BuiltIn__FilterDatabase" localSheetId="9">#REF!</definedName>
    <definedName name="Excel_BuiltIn__FilterDatabase" localSheetId="10">#REF!</definedName>
    <definedName name="Excel_BuiltIn__FilterDatabase" localSheetId="11">#REF!</definedName>
    <definedName name="Excel_BuiltIn__FilterDatabase" localSheetId="12">#REF!</definedName>
    <definedName name="Excel_BuiltIn__FilterDatabase" localSheetId="8">#REF!</definedName>
    <definedName name="Excel_BuiltIn__FilterDatabase" localSheetId="4">#REF!</definedName>
    <definedName name="Excel_BuiltIn__FilterDatabase" localSheetId="3">#REF!</definedName>
    <definedName name="Excel_BuiltIn__FilterDatabase">#REF!</definedName>
    <definedName name="Firmas" localSheetId="7">#REF!</definedName>
    <definedName name="Firmas" localSheetId="11">#REF!</definedName>
    <definedName name="Firmas" localSheetId="12">#REF!</definedName>
    <definedName name="Firmas" localSheetId="8">#REF!</definedName>
    <definedName name="Firmas" localSheetId="4">#REF!</definedName>
    <definedName name="Firmas" localSheetId="3">#REF!</definedName>
    <definedName name="Firmas">#REF!</definedName>
    <definedName name="Kolonnas_virsraksta_reģions1..B11.1" localSheetId="7">#REF!</definedName>
    <definedName name="Kolonnas_virsraksta_reģions1..B11.1" localSheetId="9">#REF!</definedName>
    <definedName name="Kolonnas_virsraksta_reģions1..B11.1" localSheetId="10">#REF!</definedName>
    <definedName name="Kolonnas_virsraksta_reģions1..B11.1" localSheetId="11">#REF!</definedName>
    <definedName name="Kolonnas_virsraksta_reģions1..B11.1" localSheetId="12">#REF!</definedName>
    <definedName name="Kolonnas_virsraksta_reģions1..B11.1" localSheetId="8">#REF!</definedName>
    <definedName name="Kolonnas_virsraksta_reģions1..B11.1" localSheetId="3">#REF!</definedName>
    <definedName name="Kolonnas_virsraksta_reģions1..B11.1">#REF!</definedName>
    <definedName name="Kolonnas_virsraksta_reģions1..D4" localSheetId="7">#REF!</definedName>
    <definedName name="Kolonnas_virsraksta_reģions1..D4" localSheetId="9">#REF!</definedName>
    <definedName name="Kolonnas_virsraksta_reģions1..D4" localSheetId="10">#REF!</definedName>
    <definedName name="Kolonnas_virsraksta_reģions1..D4" localSheetId="11">#REF!</definedName>
    <definedName name="Kolonnas_virsraksta_reģions1..D4" localSheetId="12">#REF!</definedName>
    <definedName name="Kolonnas_virsraksta_reģions1..D4" localSheetId="8">#REF!</definedName>
    <definedName name="Kolonnas_virsraksta_reģions1..D4" localSheetId="3">#REF!</definedName>
    <definedName name="Kolonnas_virsraksta_reģions1..D4">#REF!</definedName>
    <definedName name="Kolonnas_virsraksta_reģions2..D7" localSheetId="7">#REF!</definedName>
    <definedName name="Kolonnas_virsraksta_reģions2..D7" localSheetId="9">#REF!</definedName>
    <definedName name="Kolonnas_virsraksta_reģions2..D7" localSheetId="10">#REF!</definedName>
    <definedName name="Kolonnas_virsraksta_reģions2..D7" localSheetId="11">#REF!</definedName>
    <definedName name="Kolonnas_virsraksta_reģions2..D7" localSheetId="12">#REF!</definedName>
    <definedName name="Kolonnas_virsraksta_reģions2..D7" localSheetId="8">#REF!</definedName>
    <definedName name="Kolonnas_virsraksta_reģions2..D7" localSheetId="3">#REF!</definedName>
    <definedName name="Kolonnas_virsraksta_reģions2..D7">#REF!</definedName>
    <definedName name="Kolonnas_virsraksta_reģions3..C12" localSheetId="7">#REF!</definedName>
    <definedName name="Kolonnas_virsraksta_reģions3..C12" localSheetId="9">#REF!</definedName>
    <definedName name="Kolonnas_virsraksta_reģions3..C12" localSheetId="10">#REF!</definedName>
    <definedName name="Kolonnas_virsraksta_reģions3..C12" localSheetId="11">#REF!</definedName>
    <definedName name="Kolonnas_virsraksta_reģions3..C12" localSheetId="12">#REF!</definedName>
    <definedName name="Kolonnas_virsraksta_reģions3..C12" localSheetId="8">#REF!</definedName>
    <definedName name="Kolonnas_virsraksta_reģions3..C12" localSheetId="3">#REF!</definedName>
    <definedName name="Kolonnas_virsraksta_reģions3..C12">#REF!</definedName>
    <definedName name="KolonnasNosaukums1" localSheetId="7">#REF!</definedName>
    <definedName name="KolonnasNosaukums1" localSheetId="9">#REF!</definedName>
    <definedName name="KolonnasNosaukums1" localSheetId="10">#REF!</definedName>
    <definedName name="KolonnasNosaukums1" localSheetId="11">#REF!</definedName>
    <definedName name="KolonnasNosaukums1" localSheetId="12">#REF!</definedName>
    <definedName name="KolonnasNosaukums1" localSheetId="8">#REF!</definedName>
    <definedName name="KolonnasNosaukums1" localSheetId="5">#REF!</definedName>
    <definedName name="KolonnasNosaukums1" localSheetId="3">#REF!</definedName>
    <definedName name="KolonnasNosaukums1">#REF!</definedName>
    <definedName name="Parvadataji" localSheetId="7">#REF!</definedName>
    <definedName name="Parvadataji" localSheetId="11">#REF!</definedName>
    <definedName name="Parvadataji" localSheetId="12">#REF!</definedName>
    <definedName name="Parvadataji" localSheetId="8">#REF!</definedName>
    <definedName name="Parvadataji" localSheetId="4">#REF!</definedName>
    <definedName name="Parvadataji" localSheetId="3">#REF!</definedName>
    <definedName name="Parvadataji">#REF!</definedName>
    <definedName name="_xlnm.Print_Area" localSheetId="4">'2024.gada budzeta plans_apvieno'!$A$1:$L$275</definedName>
    <definedName name="_xlnm.Print_Titles" localSheetId="4">'2024.gada budzeta plans_apvieno'!$5:$5</definedName>
    <definedName name="Saist_apmers_ar_galvojumu" localSheetId="7">#REF!</definedName>
    <definedName name="Saist_apmers_ar_galvojumu" localSheetId="11">#REF!</definedName>
    <definedName name="Saist_apmers_ar_galvojumu" localSheetId="12">#REF!</definedName>
    <definedName name="Saist_apmers_ar_galvojumu" localSheetId="8">#REF!</definedName>
    <definedName name="Saist_apmers_ar_galvojumu" localSheetId="3">#REF!</definedName>
    <definedName name="Saist_apmers_ar_galvojumu">#REF!</definedName>
    <definedName name="Z_1893421C_DBAA_4C10_AA6C_4D0F39122205_.wvu.FilterData" localSheetId="7">#REF!</definedName>
    <definedName name="Z_1893421C_DBAA_4C10_AA6C_4D0F39122205_.wvu.FilterData" localSheetId="9">#REF!</definedName>
    <definedName name="Z_1893421C_DBAA_4C10_AA6C_4D0F39122205_.wvu.FilterData" localSheetId="10">#REF!</definedName>
    <definedName name="Z_1893421C_DBAA_4C10_AA6C_4D0F39122205_.wvu.FilterData" localSheetId="11">#REF!</definedName>
    <definedName name="Z_1893421C_DBAA_4C10_AA6C_4D0F39122205_.wvu.FilterData" localSheetId="12">#REF!</definedName>
    <definedName name="Z_1893421C_DBAA_4C10_AA6C_4D0F39122205_.wvu.FilterData" localSheetId="8">#REF!</definedName>
    <definedName name="Z_1893421C_DBAA_4C10_AA6C_4D0F39122205_.wvu.FilterData" localSheetId="4">#REF!</definedName>
    <definedName name="Z_1893421C_DBAA_4C10_AA6C_4D0F39122205_.wvu.FilterData" localSheetId="3">#REF!</definedName>
    <definedName name="Z_1893421C_DBAA_4C10_AA6C_4D0F39122205_.wvu.FilterData">#REF!</definedName>
    <definedName name="Z_483F8D4B_D649_4D59_A67B_5E8B6C0D2E28_.wvu.FilterData" localSheetId="7">#REF!</definedName>
    <definedName name="Z_483F8D4B_D649_4D59_A67B_5E8B6C0D2E28_.wvu.FilterData" localSheetId="9">#REF!</definedName>
    <definedName name="Z_483F8D4B_D649_4D59_A67B_5E8B6C0D2E28_.wvu.FilterData" localSheetId="10">#REF!</definedName>
    <definedName name="Z_483F8D4B_D649_4D59_A67B_5E8B6C0D2E28_.wvu.FilterData" localSheetId="11">#REF!</definedName>
    <definedName name="Z_483F8D4B_D649_4D59_A67B_5E8B6C0D2E28_.wvu.FilterData" localSheetId="12">#REF!</definedName>
    <definedName name="Z_483F8D4B_D649_4D59_A67B_5E8B6C0D2E28_.wvu.FilterData" localSheetId="8">#REF!</definedName>
    <definedName name="Z_483F8D4B_D649_4D59_A67B_5E8B6C0D2E28_.wvu.FilterData" localSheetId="4">#REF!</definedName>
    <definedName name="Z_483F8D4B_D649_4D59_A67B_5E8B6C0D2E28_.wvu.FilterData" localSheetId="3">#REF!</definedName>
    <definedName name="Z_483F8D4B_D649_4D59_A67B_5E8B6C0D2E28_.wvu.FilterData">#REF!</definedName>
    <definedName name="Z_56A06D27_97E5_4D01_ADCE_F8E0A2A870EF_.wvu.FilterData" localSheetId="7">#REF!</definedName>
    <definedName name="Z_56A06D27_97E5_4D01_ADCE_F8E0A2A870EF_.wvu.FilterData" localSheetId="9">#REF!</definedName>
    <definedName name="Z_56A06D27_97E5_4D01_ADCE_F8E0A2A870EF_.wvu.FilterData" localSheetId="10">#REF!</definedName>
    <definedName name="Z_56A06D27_97E5_4D01_ADCE_F8E0A2A870EF_.wvu.FilterData" localSheetId="11">#REF!</definedName>
    <definedName name="Z_56A06D27_97E5_4D01_ADCE_F8E0A2A870EF_.wvu.FilterData" localSheetId="12">#REF!</definedName>
    <definedName name="Z_56A06D27_97E5_4D01_ADCE_F8E0A2A870EF_.wvu.FilterData" localSheetId="8">#REF!</definedName>
    <definedName name="Z_56A06D27_97E5_4D01_ADCE_F8E0A2A870EF_.wvu.FilterData" localSheetId="4">#REF!</definedName>
    <definedName name="Z_56A06D27_97E5_4D01_ADCE_F8E0A2A870EF_.wvu.FilterData" localSheetId="3">#REF!</definedName>
    <definedName name="Z_56A06D27_97E5_4D01_ADCE_F8E0A2A870EF_.wvu.FilterData">#REF!</definedName>
    <definedName name="Z_81EB1DB6_89AB_4045_90FA_EF2BA7E792F9_.wvu.FilterData" localSheetId="7">#REF!</definedName>
    <definedName name="Z_81EB1DB6_89AB_4045_90FA_EF2BA7E792F9_.wvu.FilterData" localSheetId="9">#REF!</definedName>
    <definedName name="Z_81EB1DB6_89AB_4045_90FA_EF2BA7E792F9_.wvu.FilterData" localSheetId="10">#REF!</definedName>
    <definedName name="Z_81EB1DB6_89AB_4045_90FA_EF2BA7E792F9_.wvu.FilterData" localSheetId="11">#REF!</definedName>
    <definedName name="Z_81EB1DB6_89AB_4045_90FA_EF2BA7E792F9_.wvu.FilterData" localSheetId="12">#REF!</definedName>
    <definedName name="Z_81EB1DB6_89AB_4045_90FA_EF2BA7E792F9_.wvu.FilterData" localSheetId="8">#REF!</definedName>
    <definedName name="Z_81EB1DB6_89AB_4045_90FA_EF2BA7E792F9_.wvu.FilterData" localSheetId="4">#REF!</definedName>
    <definedName name="Z_81EB1DB6_89AB_4045_90FA_EF2BA7E792F9_.wvu.FilterData" localSheetId="3">#REF!</definedName>
    <definedName name="Z_81EB1DB6_89AB_4045_90FA_EF2BA7E792F9_.wvu.FilterData">#REF!</definedName>
    <definedName name="Z_81EB1DB6_89AB_4045_90FA_EF2BA7E792F9_.wvu.PrintArea" localSheetId="7">#REF!</definedName>
    <definedName name="Z_81EB1DB6_89AB_4045_90FA_EF2BA7E792F9_.wvu.PrintArea" localSheetId="9">#REF!</definedName>
    <definedName name="Z_81EB1DB6_89AB_4045_90FA_EF2BA7E792F9_.wvu.PrintArea" localSheetId="10">#REF!</definedName>
    <definedName name="Z_81EB1DB6_89AB_4045_90FA_EF2BA7E792F9_.wvu.PrintArea" localSheetId="11">#REF!</definedName>
    <definedName name="Z_81EB1DB6_89AB_4045_90FA_EF2BA7E792F9_.wvu.PrintArea" localSheetId="12">#REF!</definedName>
    <definedName name="Z_81EB1DB6_89AB_4045_90FA_EF2BA7E792F9_.wvu.PrintArea" localSheetId="8">#REF!</definedName>
    <definedName name="Z_81EB1DB6_89AB_4045_90FA_EF2BA7E792F9_.wvu.PrintArea" localSheetId="4">#REF!</definedName>
    <definedName name="Z_81EB1DB6_89AB_4045_90FA_EF2BA7E792F9_.wvu.PrintArea" localSheetId="3">#REF!</definedName>
    <definedName name="Z_81EB1DB6_89AB_4045_90FA_EF2BA7E792F9_.wvu.PrintArea">#REF!</definedName>
    <definedName name="Z_8545B4E6_A517_4BD7_BFB7_42FEB5F229AD_.wvu.FilterData" localSheetId="7">#REF!</definedName>
    <definedName name="Z_8545B4E6_A517_4BD7_BFB7_42FEB5F229AD_.wvu.FilterData" localSheetId="9">#REF!</definedName>
    <definedName name="Z_8545B4E6_A517_4BD7_BFB7_42FEB5F229AD_.wvu.FilterData" localSheetId="10">#REF!</definedName>
    <definedName name="Z_8545B4E6_A517_4BD7_BFB7_42FEB5F229AD_.wvu.FilterData" localSheetId="11">#REF!</definedName>
    <definedName name="Z_8545B4E6_A517_4BD7_BFB7_42FEB5F229AD_.wvu.FilterData" localSheetId="12">#REF!</definedName>
    <definedName name="Z_8545B4E6_A517_4BD7_BFB7_42FEB5F229AD_.wvu.FilterData" localSheetId="8">#REF!</definedName>
    <definedName name="Z_8545B4E6_A517_4BD7_BFB7_42FEB5F229AD_.wvu.FilterData" localSheetId="4">#REF!</definedName>
    <definedName name="Z_8545B4E6_A517_4BD7_BFB7_42FEB5F229AD_.wvu.FilterData" localSheetId="3">#REF!</definedName>
    <definedName name="Z_8545B4E6_A517_4BD7_BFB7_42FEB5F229AD_.wvu.FilterData">#REF!</definedName>
    <definedName name="Z_877A1030_2452_46B0_88DF_8A068656C08E_.wvu.FilterData" localSheetId="7">#REF!</definedName>
    <definedName name="Z_877A1030_2452_46B0_88DF_8A068656C08E_.wvu.FilterData" localSheetId="9">#REF!</definedName>
    <definedName name="Z_877A1030_2452_46B0_88DF_8A068656C08E_.wvu.FilterData" localSheetId="10">#REF!</definedName>
    <definedName name="Z_877A1030_2452_46B0_88DF_8A068656C08E_.wvu.FilterData" localSheetId="11">#REF!</definedName>
    <definedName name="Z_877A1030_2452_46B0_88DF_8A068656C08E_.wvu.FilterData" localSheetId="12">#REF!</definedName>
    <definedName name="Z_877A1030_2452_46B0_88DF_8A068656C08E_.wvu.FilterData" localSheetId="8">#REF!</definedName>
    <definedName name="Z_877A1030_2452_46B0_88DF_8A068656C08E_.wvu.FilterData" localSheetId="4">#REF!</definedName>
    <definedName name="Z_877A1030_2452_46B0_88DF_8A068656C08E_.wvu.FilterData" localSheetId="3">#REF!</definedName>
    <definedName name="Z_877A1030_2452_46B0_88DF_8A068656C08E_.wvu.FilterData">#REF!</definedName>
    <definedName name="Z_ABD8A783_3A6C_4629_9559_1E4E89E80131_.wvu.FilterData" localSheetId="7">#REF!</definedName>
    <definedName name="Z_ABD8A783_3A6C_4629_9559_1E4E89E80131_.wvu.FilterData" localSheetId="9">#REF!</definedName>
    <definedName name="Z_ABD8A783_3A6C_4629_9559_1E4E89E80131_.wvu.FilterData" localSheetId="10">#REF!</definedName>
    <definedName name="Z_ABD8A783_3A6C_4629_9559_1E4E89E80131_.wvu.FilterData" localSheetId="11">#REF!</definedName>
    <definedName name="Z_ABD8A783_3A6C_4629_9559_1E4E89E80131_.wvu.FilterData" localSheetId="12">#REF!</definedName>
    <definedName name="Z_ABD8A783_3A6C_4629_9559_1E4E89E80131_.wvu.FilterData" localSheetId="8">#REF!</definedName>
    <definedName name="Z_ABD8A783_3A6C_4629_9559_1E4E89E80131_.wvu.FilterData" localSheetId="4">#REF!</definedName>
    <definedName name="Z_ABD8A783_3A6C_4629_9559_1E4E89E80131_.wvu.FilterData" localSheetId="3">#REF!</definedName>
    <definedName name="Z_ABD8A783_3A6C_4629_9559_1E4E89E80131_.wvu.FilterData">#REF!</definedName>
    <definedName name="Z_AF277C95_CBD9_4696_AC72_D010599E9831_.wvu.FilterData" localSheetId="7">#REF!</definedName>
    <definedName name="Z_AF277C95_CBD9_4696_AC72_D010599E9831_.wvu.FilterData" localSheetId="9">#REF!</definedName>
    <definedName name="Z_AF277C95_CBD9_4696_AC72_D010599E9831_.wvu.FilterData" localSheetId="10">#REF!</definedName>
    <definedName name="Z_AF277C95_CBD9_4696_AC72_D010599E9831_.wvu.FilterData" localSheetId="11">#REF!</definedName>
    <definedName name="Z_AF277C95_CBD9_4696_AC72_D010599E9831_.wvu.FilterData" localSheetId="12">#REF!</definedName>
    <definedName name="Z_AF277C95_CBD9_4696_AC72_D010599E9831_.wvu.FilterData" localSheetId="8">#REF!</definedName>
    <definedName name="Z_AF277C95_CBD9_4696_AC72_D010599E9831_.wvu.FilterData" localSheetId="4">#REF!</definedName>
    <definedName name="Z_AF277C95_CBD9_4696_AC72_D010599E9831_.wvu.FilterData" localSheetId="3">#REF!</definedName>
    <definedName name="Z_AF277C95_CBD9_4696_AC72_D010599E9831_.wvu.FilterData">#REF!</definedName>
    <definedName name="Z_B7CBCF06_FF41_423A_9AB3_E1D1F70C6FC5_.wvu.FilterData" localSheetId="7">#REF!</definedName>
    <definedName name="Z_B7CBCF06_FF41_423A_9AB3_E1D1F70C6FC5_.wvu.FilterData" localSheetId="9">#REF!</definedName>
    <definedName name="Z_B7CBCF06_FF41_423A_9AB3_E1D1F70C6FC5_.wvu.FilterData" localSheetId="10">#REF!</definedName>
    <definedName name="Z_B7CBCF06_FF41_423A_9AB3_E1D1F70C6FC5_.wvu.FilterData" localSheetId="11">#REF!</definedName>
    <definedName name="Z_B7CBCF06_FF41_423A_9AB3_E1D1F70C6FC5_.wvu.FilterData" localSheetId="12">#REF!</definedName>
    <definedName name="Z_B7CBCF06_FF41_423A_9AB3_E1D1F70C6FC5_.wvu.FilterData" localSheetId="8">#REF!</definedName>
    <definedName name="Z_B7CBCF06_FF41_423A_9AB3_E1D1F70C6FC5_.wvu.FilterData" localSheetId="4">#REF!</definedName>
    <definedName name="Z_B7CBCF06_FF41_423A_9AB3_E1D1F70C6FC5_.wvu.FilterData" localSheetId="3">#REF!</definedName>
    <definedName name="Z_B7CBCF06_FF41_423A_9AB3_E1D1F70C6FC5_.wvu.FilterData">#REF!</definedName>
    <definedName name="Z_C5511FB8_86C5_41F3_ADCD_B10310F066F5_.wvu.FilterData" localSheetId="7">#REF!</definedName>
    <definedName name="Z_C5511FB8_86C5_41F3_ADCD_B10310F066F5_.wvu.FilterData" localSheetId="9">#REF!</definedName>
    <definedName name="Z_C5511FB8_86C5_41F3_ADCD_B10310F066F5_.wvu.FilterData" localSheetId="10">#REF!</definedName>
    <definedName name="Z_C5511FB8_86C5_41F3_ADCD_B10310F066F5_.wvu.FilterData" localSheetId="11">#REF!</definedName>
    <definedName name="Z_C5511FB8_86C5_41F3_ADCD_B10310F066F5_.wvu.FilterData" localSheetId="12">#REF!</definedName>
    <definedName name="Z_C5511FB8_86C5_41F3_ADCD_B10310F066F5_.wvu.FilterData" localSheetId="8">#REF!</definedName>
    <definedName name="Z_C5511FB8_86C5_41F3_ADCD_B10310F066F5_.wvu.FilterData" localSheetId="4">#REF!</definedName>
    <definedName name="Z_C5511FB8_86C5_41F3_ADCD_B10310F066F5_.wvu.FilterData" localSheetId="3">#REF!</definedName>
    <definedName name="Z_C5511FB8_86C5_41F3_ADCD_B10310F066F5_.wvu.FilterData">#REF!</definedName>
    <definedName name="Z_DB8ECBD1_2D44_4F97_BCC9_F610BA0A3109_.wvu.FilterData" localSheetId="7">#REF!</definedName>
    <definedName name="Z_DB8ECBD1_2D44_4F97_BCC9_F610BA0A3109_.wvu.FilterData" localSheetId="9">#REF!</definedName>
    <definedName name="Z_DB8ECBD1_2D44_4F97_BCC9_F610BA0A3109_.wvu.FilterData" localSheetId="10">#REF!</definedName>
    <definedName name="Z_DB8ECBD1_2D44_4F97_BCC9_F610BA0A3109_.wvu.FilterData" localSheetId="11">#REF!</definedName>
    <definedName name="Z_DB8ECBD1_2D44_4F97_BCC9_F610BA0A3109_.wvu.FilterData" localSheetId="12">#REF!</definedName>
    <definedName name="Z_DB8ECBD1_2D44_4F97_BCC9_F610BA0A3109_.wvu.FilterData" localSheetId="8">#REF!</definedName>
    <definedName name="Z_DB8ECBD1_2D44_4F97_BCC9_F610BA0A3109_.wvu.FilterData" localSheetId="4">#REF!</definedName>
    <definedName name="Z_DB8ECBD1_2D44_4F97_BCC9_F610BA0A3109_.wvu.FilterData" localSheetId="3">#REF!</definedName>
    <definedName name="Z_DB8ECBD1_2D44_4F97_BCC9_F610BA0A3109_.wvu.FilterData">#REF!</definedName>
    <definedName name="Z_DEE3A27E_689A_4E9F_A3EB_C84F1E3B413E_.wvu.FilterData" localSheetId="7">#REF!</definedName>
    <definedName name="Z_DEE3A27E_689A_4E9F_A3EB_C84F1E3B413E_.wvu.FilterData" localSheetId="9">#REF!</definedName>
    <definedName name="Z_DEE3A27E_689A_4E9F_A3EB_C84F1E3B413E_.wvu.FilterData" localSheetId="10">#REF!</definedName>
    <definedName name="Z_DEE3A27E_689A_4E9F_A3EB_C84F1E3B413E_.wvu.FilterData" localSheetId="11">#REF!</definedName>
    <definedName name="Z_DEE3A27E_689A_4E9F_A3EB_C84F1E3B413E_.wvu.FilterData" localSheetId="12">#REF!</definedName>
    <definedName name="Z_DEE3A27E_689A_4E9F_A3EB_C84F1E3B413E_.wvu.FilterData" localSheetId="8">#REF!</definedName>
    <definedName name="Z_DEE3A27E_689A_4E9F_A3EB_C84F1E3B413E_.wvu.FilterData" localSheetId="4">#REF!</definedName>
    <definedName name="Z_DEE3A27E_689A_4E9F_A3EB_C84F1E3B413E_.wvu.FilterData" localSheetId="3">#REF!</definedName>
    <definedName name="Z_DEE3A27E_689A_4E9F_A3EB_C84F1E3B413E_.wvu.FilterData">#REF!</definedName>
    <definedName name="Z_F1F489B9_0F61_4F1F_A151_75EF77465344_.wvu.Cols" localSheetId="7">#REF!</definedName>
    <definedName name="Z_F1F489B9_0F61_4F1F_A151_75EF77465344_.wvu.Cols" localSheetId="9">#REF!</definedName>
    <definedName name="Z_F1F489B9_0F61_4F1F_A151_75EF77465344_.wvu.Cols" localSheetId="10">#REF!</definedName>
    <definedName name="Z_F1F489B9_0F61_4F1F_A151_75EF77465344_.wvu.Cols" localSheetId="11">#REF!</definedName>
    <definedName name="Z_F1F489B9_0F61_4F1F_A151_75EF77465344_.wvu.Cols" localSheetId="12">#REF!</definedName>
    <definedName name="Z_F1F489B9_0F61_4F1F_A151_75EF77465344_.wvu.Cols" localSheetId="8">#REF!</definedName>
    <definedName name="Z_F1F489B9_0F61_4F1F_A151_75EF77465344_.wvu.Cols" localSheetId="4">#REF!</definedName>
    <definedName name="Z_F1F489B9_0F61_4F1F_A151_75EF77465344_.wvu.Cols" localSheetId="3">#REF!</definedName>
    <definedName name="Z_F1F489B9_0F61_4F1F_A151_75EF77465344_.wvu.Cols">#REF!</definedName>
    <definedName name="Z_F1F489B9_0F61_4F1F_A151_75EF77465344_.wvu.FilterData" localSheetId="7">#REF!</definedName>
    <definedName name="Z_F1F489B9_0F61_4F1F_A151_75EF77465344_.wvu.FilterData" localSheetId="9">#REF!</definedName>
    <definedName name="Z_F1F489B9_0F61_4F1F_A151_75EF77465344_.wvu.FilterData" localSheetId="10">#REF!</definedName>
    <definedName name="Z_F1F489B9_0F61_4F1F_A151_75EF77465344_.wvu.FilterData" localSheetId="11">#REF!</definedName>
    <definedName name="Z_F1F489B9_0F61_4F1F_A151_75EF77465344_.wvu.FilterData" localSheetId="12">#REF!</definedName>
    <definedName name="Z_F1F489B9_0F61_4F1F_A151_75EF77465344_.wvu.FilterData" localSheetId="8">#REF!</definedName>
    <definedName name="Z_F1F489B9_0F61_4F1F_A151_75EF77465344_.wvu.FilterData" localSheetId="4">#REF!</definedName>
    <definedName name="Z_F1F489B9_0F61_4F1F_A151_75EF77465344_.wvu.FilterData" localSheetId="3">#REF!</definedName>
    <definedName name="Z_F1F489B9_0F61_4F1F_A151_75EF77465344_.wvu.FilterData">#REF!</definedName>
    <definedName name="Z_F1F489B9_0F61_4F1F_A151_75EF77465344_.wvu.PrintArea" localSheetId="7">#REF!</definedName>
    <definedName name="Z_F1F489B9_0F61_4F1F_A151_75EF77465344_.wvu.PrintArea" localSheetId="9">#REF!</definedName>
    <definedName name="Z_F1F489B9_0F61_4F1F_A151_75EF77465344_.wvu.PrintArea" localSheetId="10">#REF!</definedName>
    <definedName name="Z_F1F489B9_0F61_4F1F_A151_75EF77465344_.wvu.PrintArea" localSheetId="11">#REF!</definedName>
    <definedName name="Z_F1F489B9_0F61_4F1F_A151_75EF77465344_.wvu.PrintArea" localSheetId="12">#REF!</definedName>
    <definedName name="Z_F1F489B9_0F61_4F1F_A151_75EF77465344_.wvu.PrintArea" localSheetId="8">#REF!</definedName>
    <definedName name="Z_F1F489B9_0F61_4F1F_A151_75EF77465344_.wvu.PrintArea" localSheetId="4">#REF!</definedName>
    <definedName name="Z_F1F489B9_0F61_4F1F_A151_75EF77465344_.wvu.PrintArea" localSheetId="3">#REF!</definedName>
    <definedName name="Z_F1F489B9_0F61_4F1F_A151_75EF77465344_.wvu.PrintArea">#REF!</definedName>
    <definedName name="Z_F1F489B9_0F61_4F1F_A151_75EF77465344_.wvu.PrintTitles" localSheetId="7">#REF!</definedName>
    <definedName name="Z_F1F489B9_0F61_4F1F_A151_75EF77465344_.wvu.PrintTitles" localSheetId="9">#REF!</definedName>
    <definedName name="Z_F1F489B9_0F61_4F1F_A151_75EF77465344_.wvu.PrintTitles" localSheetId="10">#REF!</definedName>
    <definedName name="Z_F1F489B9_0F61_4F1F_A151_75EF77465344_.wvu.PrintTitles" localSheetId="11">#REF!</definedName>
    <definedName name="Z_F1F489B9_0F61_4F1F_A151_75EF77465344_.wvu.PrintTitles" localSheetId="12">#REF!</definedName>
    <definedName name="Z_F1F489B9_0F61_4F1F_A151_75EF77465344_.wvu.PrintTitles" localSheetId="8">#REF!</definedName>
    <definedName name="Z_F1F489B9_0F61_4F1F_A151_75EF77465344_.wvu.PrintTitles" localSheetId="4">#REF!</definedName>
    <definedName name="Z_F1F489B9_0F61_4F1F_A151_75EF77465344_.wvu.PrintTitles" localSheetId="3">#REF!</definedName>
    <definedName name="Z_F1F489B9_0F61_4F1F_A151_75EF77465344_.wvu.PrintTitl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62" i="70" l="1"/>
  <c r="E187" i="70"/>
  <c r="L83" i="70"/>
  <c r="L82" i="70"/>
  <c r="E112" i="70" l="1"/>
  <c r="J179" i="70"/>
  <c r="L179" i="70" s="1"/>
  <c r="J178" i="70"/>
  <c r="J176" i="70"/>
  <c r="J174" i="70"/>
  <c r="J170" i="70"/>
  <c r="L61" i="70"/>
  <c r="J175" i="70"/>
  <c r="J244" i="70"/>
  <c r="J260" i="70"/>
  <c r="J184" i="70"/>
  <c r="J183" i="70"/>
  <c r="J162" i="70"/>
  <c r="J139" i="70"/>
  <c r="J136" i="70"/>
  <c r="J172" i="70"/>
  <c r="J197" i="70"/>
  <c r="F67" i="70"/>
  <c r="J191" i="70"/>
  <c r="J151" i="70"/>
  <c r="G107" i="70"/>
  <c r="G149" i="70" s="1"/>
  <c r="J149" i="70" s="1"/>
  <c r="J146" i="70"/>
  <c r="G239" i="70"/>
  <c r="G84" i="70"/>
  <c r="F203" i="70"/>
  <c r="E203" i="70"/>
  <c r="L66" i="70"/>
  <c r="E84" i="70"/>
  <c r="E245" i="70" s="1"/>
  <c r="H114" i="70"/>
  <c r="H167" i="70" s="1"/>
  <c r="G245" i="70" l="1"/>
  <c r="H112" i="70"/>
  <c r="E78" i="70" l="1"/>
  <c r="E68" i="70" s="1"/>
  <c r="J186" i="70"/>
  <c r="J185" i="70"/>
  <c r="H248" i="70"/>
  <c r="E207" i="70"/>
  <c r="J248" i="70" l="1"/>
  <c r="L248" i="70" s="1"/>
  <c r="E212" i="70"/>
  <c r="G160" i="70"/>
  <c r="J160" i="70" s="1"/>
  <c r="L160" i="70" s="1"/>
  <c r="L75" i="70"/>
  <c r="G159" i="70"/>
  <c r="J159" i="70" s="1"/>
  <c r="L74" i="70"/>
  <c r="G158" i="70"/>
  <c r="J158" i="70" s="1"/>
  <c r="L73" i="70"/>
  <c r="G157" i="70"/>
  <c r="J157" i="70" s="1"/>
  <c r="L72" i="70"/>
  <c r="L76" i="70"/>
  <c r="L77" i="70"/>
  <c r="G154" i="70"/>
  <c r="J154" i="70" s="1"/>
  <c r="G153" i="70"/>
  <c r="E152" i="70"/>
  <c r="J152" i="70" s="1"/>
  <c r="G70" i="70"/>
  <c r="G155" i="70" s="1"/>
  <c r="L162" i="70"/>
  <c r="H265" i="70"/>
  <c r="E161" i="70"/>
  <c r="L161" i="70" s="1"/>
  <c r="G156" i="70"/>
  <c r="F148" i="70"/>
  <c r="I182" i="70"/>
  <c r="I181" i="70" s="1"/>
  <c r="H182" i="70"/>
  <c r="H181" i="70" s="1"/>
  <c r="G182" i="70"/>
  <c r="F182" i="70"/>
  <c r="F181" i="70" s="1"/>
  <c r="E182" i="70"/>
  <c r="G151" i="105"/>
  <c r="G34" i="105"/>
  <c r="F34" i="105"/>
  <c r="F197" i="70"/>
  <c r="G231" i="105"/>
  <c r="J153" i="70" l="1"/>
  <c r="G148" i="70"/>
  <c r="L159" i="70"/>
  <c r="L158" i="70"/>
  <c r="L157" i="70"/>
  <c r="J156" i="70"/>
  <c r="L156" i="70" s="1"/>
  <c r="I200" i="143" l="1"/>
  <c r="I197" i="143"/>
  <c r="F243" i="70"/>
  <c r="F234" i="70"/>
  <c r="F54" i="70"/>
  <c r="F216" i="70"/>
  <c r="F53" i="70"/>
  <c r="F219" i="70"/>
  <c r="F252" i="70"/>
  <c r="F222" i="70"/>
  <c r="F226" i="70"/>
  <c r="K238" i="143"/>
  <c r="K224" i="143"/>
  <c r="K177" i="143"/>
  <c r="K199" i="143"/>
  <c r="M65" i="143"/>
  <c r="Q2" i="143"/>
  <c r="I371" i="143"/>
  <c r="I370" i="143"/>
  <c r="I369" i="143"/>
  <c r="I368" i="143"/>
  <c r="E49" i="70"/>
  <c r="F47" i="70"/>
  <c r="F46" i="70"/>
  <c r="K42" i="70" l="1"/>
  <c r="I367" i="143" l="1"/>
  <c r="I366" i="143"/>
  <c r="I365" i="143"/>
  <c r="I47" i="143"/>
  <c r="I95" i="143" l="1"/>
  <c r="N5408" i="109" l="1"/>
  <c r="N5407" i="109"/>
  <c r="N5406" i="109"/>
  <c r="N4687" i="109"/>
  <c r="N4654" i="109"/>
  <c r="N4448" i="109"/>
  <c r="N4430" i="109"/>
  <c r="N4419" i="109"/>
  <c r="N4260" i="109"/>
  <c r="N4244" i="109"/>
  <c r="N4236" i="109"/>
  <c r="N1916" i="109"/>
  <c r="N1910" i="109"/>
  <c r="N1879" i="109"/>
  <c r="N1657" i="109"/>
  <c r="N1626" i="109"/>
  <c r="N1613" i="109"/>
  <c r="N1611" i="109"/>
  <c r="N1609" i="109"/>
  <c r="N1567" i="109"/>
  <c r="N1504" i="109"/>
  <c r="N1457" i="109"/>
  <c r="N1243" i="109"/>
  <c r="N1241" i="109"/>
  <c r="N1214" i="109"/>
  <c r="N1212" i="109"/>
  <c r="N1210" i="109"/>
  <c r="N1148" i="109"/>
  <c r="N1086" i="109"/>
  <c r="N1085" i="109"/>
  <c r="N1084" i="109"/>
  <c r="N1083" i="109"/>
  <c r="N1082" i="109"/>
  <c r="N1081" i="109"/>
  <c r="N978" i="109"/>
  <c r="N996" i="109"/>
  <c r="N714" i="109"/>
  <c r="N712" i="109"/>
  <c r="N709" i="109"/>
  <c r="N701" i="109"/>
  <c r="N360" i="109"/>
  <c r="N352" i="109"/>
  <c r="N349" i="109"/>
  <c r="N346" i="109"/>
  <c r="G39" i="105"/>
  <c r="N4739" i="109" l="1"/>
  <c r="N1483" i="109"/>
  <c r="N931" i="109"/>
  <c r="N5150" i="109"/>
  <c r="N1225" i="109"/>
  <c r="N1226" i="109"/>
  <c r="N3592" i="109"/>
  <c r="N998" i="109"/>
  <c r="I359" i="143" l="1"/>
  <c r="K256" i="143"/>
  <c r="K364" i="143" l="1"/>
  <c r="I364" i="143" s="1"/>
  <c r="K363" i="143"/>
  <c r="I363" i="143" s="1"/>
  <c r="K356" i="143"/>
  <c r="I356" i="143" s="1"/>
  <c r="K330" i="143"/>
  <c r="K303" i="143"/>
  <c r="K323" i="143" l="1"/>
  <c r="K324" i="143"/>
  <c r="K325" i="143"/>
  <c r="K333" i="143"/>
  <c r="K332" i="143"/>
  <c r="K335" i="143"/>
  <c r="K357" i="143"/>
  <c r="I357" i="143" s="1"/>
  <c r="K300" i="143"/>
  <c r="K287" i="143"/>
  <c r="K355" i="143"/>
  <c r="I355" i="143" s="1"/>
  <c r="K376" i="143" l="1"/>
  <c r="I263" i="143" l="1"/>
  <c r="I264" i="143" l="1"/>
  <c r="I265" i="143"/>
  <c r="I266" i="143"/>
  <c r="I267" i="143"/>
  <c r="I268" i="143"/>
  <c r="K42" i="143" l="1"/>
  <c r="I42" i="143" l="1"/>
  <c r="K310" i="143"/>
  <c r="K239" i="143"/>
  <c r="K65" i="143"/>
  <c r="K185" i="143"/>
  <c r="K103" i="143"/>
  <c r="K104" i="143"/>
  <c r="K117" i="143"/>
  <c r="K139" i="143"/>
  <c r="K319" i="143"/>
  <c r="K213" i="143"/>
  <c r="I151" i="143" l="1"/>
  <c r="I152" i="143"/>
  <c r="I57" i="143"/>
  <c r="K45" i="143"/>
  <c r="M45" i="143"/>
  <c r="I157" i="143"/>
  <c r="I156" i="143"/>
  <c r="I155" i="143"/>
  <c r="I154" i="143"/>
  <c r="K153" i="143"/>
  <c r="I153" i="143" s="1"/>
  <c r="P5399" i="109"/>
  <c r="P5398" i="109"/>
  <c r="P5397" i="109"/>
  <c r="P5396" i="109"/>
  <c r="P5395" i="109"/>
  <c r="P5394" i="109"/>
  <c r="P5393" i="109"/>
  <c r="P5392" i="109"/>
  <c r="P5391" i="109"/>
  <c r="P5390" i="109"/>
  <c r="P5389" i="109"/>
  <c r="P5388" i="109"/>
  <c r="P5387" i="109"/>
  <c r="P5386" i="109"/>
  <c r="P5385" i="109"/>
  <c r="P5384" i="109"/>
  <c r="P5383" i="109"/>
  <c r="P5382" i="109"/>
  <c r="P5381" i="109"/>
  <c r="P5379" i="109"/>
  <c r="P5378" i="109"/>
  <c r="P5377" i="109"/>
  <c r="P5376" i="109"/>
  <c r="P5375" i="109"/>
  <c r="P5373" i="109"/>
  <c r="P5372" i="109"/>
  <c r="P5371" i="109"/>
  <c r="P5370" i="109"/>
  <c r="P5368" i="109"/>
  <c r="P5367" i="109"/>
  <c r="P5366" i="109"/>
  <c r="P5365" i="109"/>
  <c r="P5364" i="109"/>
  <c r="P5363" i="109"/>
  <c r="P5362" i="109"/>
  <c r="P5361" i="109"/>
  <c r="P5360" i="109"/>
  <c r="P5359" i="109"/>
  <c r="P5358" i="109"/>
  <c r="P5353" i="109"/>
  <c r="P5352" i="109"/>
  <c r="P5351" i="109"/>
  <c r="P5350" i="109"/>
  <c r="P5349" i="109"/>
  <c r="P5348" i="109"/>
  <c r="P5347" i="109"/>
  <c r="P5346" i="109"/>
  <c r="P5344" i="109"/>
  <c r="P5343" i="109"/>
  <c r="P5342" i="109"/>
  <c r="P5341" i="109"/>
  <c r="P5340" i="109"/>
  <c r="P5339" i="109"/>
  <c r="P5338" i="109"/>
  <c r="P5337" i="109"/>
  <c r="P5336" i="109"/>
  <c r="P5335" i="109"/>
  <c r="P5334" i="109"/>
  <c r="P5333" i="109"/>
  <c r="P5332" i="109"/>
  <c r="P5331" i="109"/>
  <c r="P5330" i="109"/>
  <c r="P5329" i="109"/>
  <c r="P5328" i="109"/>
  <c r="P5327" i="109"/>
  <c r="P5326" i="109"/>
  <c r="P5325" i="109"/>
  <c r="P5324" i="109"/>
  <c r="P5323" i="109"/>
  <c r="P5322" i="109"/>
  <c r="P5321" i="109"/>
  <c r="P5320" i="109"/>
  <c r="P5319" i="109"/>
  <c r="P5318" i="109"/>
  <c r="P5317" i="109"/>
  <c r="P5316" i="109"/>
  <c r="P5314" i="109"/>
  <c r="P5313" i="109"/>
  <c r="P5312" i="109"/>
  <c r="P5311" i="109"/>
  <c r="P5310" i="109"/>
  <c r="P5309" i="109"/>
  <c r="P5305" i="109"/>
  <c r="P5304" i="109"/>
  <c r="P5303" i="109"/>
  <c r="P5302" i="109"/>
  <c r="P5301" i="109"/>
  <c r="P5300" i="109"/>
  <c r="P5298" i="109"/>
  <c r="P5297" i="109"/>
  <c r="P5296" i="109"/>
  <c r="P5295" i="109"/>
  <c r="P5294" i="109"/>
  <c r="P5293" i="109"/>
  <c r="P5292" i="109"/>
  <c r="P5291" i="109"/>
  <c r="P5290" i="109"/>
  <c r="P5289" i="109"/>
  <c r="P5288" i="109"/>
  <c r="P5287" i="109"/>
  <c r="P5286" i="109"/>
  <c r="P5285" i="109"/>
  <c r="P5284" i="109"/>
  <c r="P5283" i="109"/>
  <c r="P5282" i="109"/>
  <c r="P5281" i="109"/>
  <c r="P5280" i="109"/>
  <c r="P5279" i="109"/>
  <c r="P5278" i="109"/>
  <c r="P5277" i="109"/>
  <c r="P5276" i="109"/>
  <c r="P5275" i="109"/>
  <c r="P5274" i="109"/>
  <c r="P5273" i="109"/>
  <c r="P5272" i="109"/>
  <c r="P5271" i="109"/>
  <c r="P5270" i="109"/>
  <c r="P5269" i="109"/>
  <c r="P5268" i="109"/>
  <c r="P5267" i="109"/>
  <c r="P5266" i="109"/>
  <c r="P5265" i="109"/>
  <c r="P5264" i="109"/>
  <c r="P5263" i="109"/>
  <c r="P5262" i="109"/>
  <c r="P5261" i="109"/>
  <c r="P5260" i="109"/>
  <c r="P5259" i="109"/>
  <c r="P5258" i="109"/>
  <c r="P5257" i="109"/>
  <c r="P5256" i="109"/>
  <c r="P5255" i="109"/>
  <c r="P5254" i="109"/>
  <c r="P5253" i="109"/>
  <c r="P5252" i="109"/>
  <c r="P5251" i="109"/>
  <c r="P5250" i="109"/>
  <c r="P5249" i="109"/>
  <c r="P5248" i="109"/>
  <c r="P5246" i="109"/>
  <c r="P5245" i="109"/>
  <c r="P5244" i="109"/>
  <c r="P5243" i="109"/>
  <c r="P5242" i="109"/>
  <c r="P5241" i="109"/>
  <c r="P5240" i="109"/>
  <c r="P5239" i="109"/>
  <c r="P5238" i="109"/>
  <c r="P5237" i="109"/>
  <c r="P5236" i="109"/>
  <c r="P5235" i="109"/>
  <c r="P5234" i="109"/>
  <c r="P5233" i="109"/>
  <c r="P5232" i="109"/>
  <c r="P5231" i="109"/>
  <c r="P5230" i="109"/>
  <c r="P5229" i="109"/>
  <c r="P5228" i="109"/>
  <c r="P5227" i="109"/>
  <c r="P5226" i="109"/>
  <c r="P5223" i="109"/>
  <c r="P5222" i="109"/>
  <c r="P5221" i="109"/>
  <c r="P5220" i="109"/>
  <c r="P5219" i="109"/>
  <c r="P5218" i="109"/>
  <c r="P5216" i="109"/>
  <c r="P5215" i="109"/>
  <c r="P5214" i="109"/>
  <c r="P5213" i="109"/>
  <c r="P5212" i="109"/>
  <c r="P5211" i="109"/>
  <c r="P5210" i="109"/>
  <c r="P5209" i="109"/>
  <c r="P5208" i="109"/>
  <c r="P5207" i="109"/>
  <c r="P5206" i="109"/>
  <c r="P5205" i="109"/>
  <c r="P5204" i="109"/>
  <c r="P5203" i="109"/>
  <c r="P5202" i="109"/>
  <c r="P5201" i="109"/>
  <c r="P5200" i="109"/>
  <c r="P5199" i="109"/>
  <c r="P5198" i="109"/>
  <c r="P5197" i="109"/>
  <c r="P5196" i="109"/>
  <c r="P5195" i="109"/>
  <c r="P5194" i="109"/>
  <c r="P5192" i="109"/>
  <c r="P5191" i="109"/>
  <c r="P5190" i="109"/>
  <c r="P5189" i="109"/>
  <c r="P5188" i="109"/>
  <c r="P5187" i="109"/>
  <c r="P5186" i="109"/>
  <c r="P5185" i="109"/>
  <c r="P5184" i="109"/>
  <c r="P5183" i="109"/>
  <c r="P5182" i="109"/>
  <c r="P5181" i="109"/>
  <c r="P5180" i="109"/>
  <c r="P5179" i="109"/>
  <c r="P5178" i="109"/>
  <c r="P5177" i="109"/>
  <c r="P5176" i="109"/>
  <c r="P5175" i="109"/>
  <c r="P5174" i="109"/>
  <c r="P5173" i="109"/>
  <c r="P5172" i="109"/>
  <c r="P5171" i="109"/>
  <c r="P5170" i="109"/>
  <c r="P5169" i="109"/>
  <c r="P5168" i="109"/>
  <c r="P5167" i="109"/>
  <c r="P5166" i="109"/>
  <c r="P5165" i="109"/>
  <c r="P5163" i="109"/>
  <c r="P5162" i="109"/>
  <c r="P5161" i="109"/>
  <c r="P5160" i="109"/>
  <c r="P5159" i="109"/>
  <c r="P5158" i="109"/>
  <c r="P5157" i="109"/>
  <c r="P5156" i="109"/>
  <c r="P5155" i="109"/>
  <c r="P5154" i="109"/>
  <c r="P5152" i="109"/>
  <c r="P5151" i="109"/>
  <c r="P5150" i="109"/>
  <c r="P5149" i="109"/>
  <c r="P5148" i="109"/>
  <c r="P5147" i="109"/>
  <c r="P5146" i="109"/>
  <c r="P5145" i="109"/>
  <c r="P5144" i="109"/>
  <c r="P5143" i="109"/>
  <c r="P5142" i="109"/>
  <c r="P5141" i="109"/>
  <c r="P5140" i="109"/>
  <c r="P5139" i="109"/>
  <c r="P5138" i="109"/>
  <c r="P5137" i="109"/>
  <c r="P5136" i="109"/>
  <c r="P5135" i="109"/>
  <c r="P5134" i="109"/>
  <c r="P5133" i="109"/>
  <c r="P5132" i="109"/>
  <c r="P5131" i="109"/>
  <c r="P5130" i="109"/>
  <c r="P5129" i="109"/>
  <c r="P5128" i="109"/>
  <c r="P5127" i="109"/>
  <c r="P5126" i="109"/>
  <c r="P5125" i="109"/>
  <c r="P5124" i="109"/>
  <c r="P5123" i="109"/>
  <c r="P5122" i="109"/>
  <c r="P5121" i="109"/>
  <c r="P5120" i="109"/>
  <c r="P5119" i="109"/>
  <c r="P5118" i="109"/>
  <c r="P5117" i="109"/>
  <c r="P5116" i="109"/>
  <c r="P5115" i="109"/>
  <c r="P5114" i="109"/>
  <c r="P5113" i="109"/>
  <c r="P5112" i="109"/>
  <c r="P5111" i="109"/>
  <c r="P5110" i="109"/>
  <c r="P5109" i="109"/>
  <c r="P5108" i="109"/>
  <c r="P5107" i="109"/>
  <c r="P5106" i="109"/>
  <c r="P5105" i="109"/>
  <c r="P5104" i="109"/>
  <c r="P5103" i="109"/>
  <c r="P5102" i="109"/>
  <c r="P5101" i="109"/>
  <c r="P5099" i="109"/>
  <c r="P5098" i="109"/>
  <c r="P5097" i="109"/>
  <c r="P5096" i="109"/>
  <c r="P5095" i="109"/>
  <c r="P5094" i="109"/>
  <c r="P5093" i="109"/>
  <c r="P5092" i="109"/>
  <c r="P5091" i="109"/>
  <c r="P5089" i="109"/>
  <c r="P5088" i="109"/>
  <c r="P5087" i="109"/>
  <c r="P5086" i="109"/>
  <c r="P5085" i="109"/>
  <c r="P5084" i="109"/>
  <c r="P5083" i="109"/>
  <c r="P5082" i="109"/>
  <c r="P5081" i="109"/>
  <c r="P5080" i="109"/>
  <c r="P5079" i="109"/>
  <c r="P5078" i="109"/>
  <c r="P5077" i="109"/>
  <c r="P5076" i="109"/>
  <c r="P5075" i="109"/>
  <c r="P5074" i="109"/>
  <c r="P5073" i="109"/>
  <c r="P5072" i="109"/>
  <c r="P5071" i="109"/>
  <c r="P5070" i="109"/>
  <c r="P5069" i="109"/>
  <c r="P5068" i="109"/>
  <c r="P5067" i="109"/>
  <c r="P5066" i="109"/>
  <c r="P5065" i="109"/>
  <c r="P5064" i="109"/>
  <c r="P5063" i="109"/>
  <c r="P5062" i="109"/>
  <c r="P5061" i="109"/>
  <c r="P5060" i="109"/>
  <c r="P5059" i="109"/>
  <c r="P5058" i="109"/>
  <c r="P5057" i="109"/>
  <c r="P5056" i="109"/>
  <c r="P5055" i="109"/>
  <c r="P5054" i="109"/>
  <c r="P5053" i="109"/>
  <c r="P5052" i="109"/>
  <c r="P5051" i="109"/>
  <c r="P5050" i="109"/>
  <c r="P5049" i="109"/>
  <c r="P5048" i="109"/>
  <c r="P5047" i="109"/>
  <c r="P5046" i="109"/>
  <c r="P5045" i="109"/>
  <c r="P5044" i="109"/>
  <c r="P5043" i="109"/>
  <c r="P5042" i="109"/>
  <c r="P5041" i="109"/>
  <c r="P5039" i="109"/>
  <c r="P5038" i="109"/>
  <c r="P5037" i="109"/>
  <c r="P5036" i="109"/>
  <c r="P5035" i="109"/>
  <c r="P5034" i="109"/>
  <c r="P5033" i="109"/>
  <c r="P5032" i="109"/>
  <c r="P5031" i="109"/>
  <c r="P5030" i="109"/>
  <c r="P5029" i="109"/>
  <c r="P5028" i="109"/>
  <c r="P5027" i="109"/>
  <c r="P5026" i="109"/>
  <c r="P5025" i="109"/>
  <c r="P5024" i="109"/>
  <c r="P5022" i="109"/>
  <c r="P5019" i="109"/>
  <c r="P5018" i="109"/>
  <c r="P5017" i="109"/>
  <c r="P5016" i="109"/>
  <c r="P5014" i="109"/>
  <c r="P5012" i="109"/>
  <c r="P5010" i="109"/>
  <c r="P5009" i="109"/>
  <c r="P5008" i="109"/>
  <c r="P5007" i="109"/>
  <c r="P5006" i="109"/>
  <c r="P5005" i="109"/>
  <c r="P5004" i="109"/>
  <c r="P5003" i="109"/>
  <c r="P5002" i="109"/>
  <c r="P5001" i="109"/>
  <c r="P5000" i="109"/>
  <c r="P4999" i="109"/>
  <c r="P4998" i="109"/>
  <c r="P4997" i="109"/>
  <c r="P4996" i="109"/>
  <c r="P4995" i="109"/>
  <c r="P4994" i="109"/>
  <c r="P4993" i="109"/>
  <c r="P4992" i="109"/>
  <c r="P4991" i="109"/>
  <c r="P4990" i="109"/>
  <c r="P4988" i="109"/>
  <c r="P4987" i="109"/>
  <c r="P4986" i="109"/>
  <c r="P4985" i="109"/>
  <c r="P4983" i="109"/>
  <c r="P4982" i="109"/>
  <c r="P4981" i="109"/>
  <c r="P4980" i="109"/>
  <c r="P4979" i="109"/>
  <c r="P4978" i="109"/>
  <c r="P4977" i="109"/>
  <c r="P4976" i="109"/>
  <c r="P4975" i="109"/>
  <c r="P4974" i="109"/>
  <c r="P4973" i="109"/>
  <c r="P4972" i="109"/>
  <c r="P4970" i="109"/>
  <c r="P4969" i="109"/>
  <c r="P4968" i="109"/>
  <c r="P4967" i="109"/>
  <c r="P4966" i="109"/>
  <c r="P4965" i="109"/>
  <c r="P4964" i="109"/>
  <c r="P4963" i="109"/>
  <c r="P4962" i="109"/>
  <c r="P4961" i="109"/>
  <c r="P4960" i="109"/>
  <c r="P4959" i="109"/>
  <c r="P4958" i="109"/>
  <c r="P4957" i="109"/>
  <c r="P4956" i="109"/>
  <c r="P4955" i="109"/>
  <c r="P4954" i="109"/>
  <c r="P4953" i="109"/>
  <c r="P4952" i="109"/>
  <c r="P4951" i="109"/>
  <c r="P4950" i="109"/>
  <c r="P4949" i="109"/>
  <c r="P4948" i="109"/>
  <c r="P4947" i="109"/>
  <c r="P4946" i="109"/>
  <c r="P4945" i="109"/>
  <c r="P4944" i="109"/>
  <c r="P4943" i="109"/>
  <c r="P4942" i="109"/>
  <c r="P4941" i="109"/>
  <c r="P4940" i="109"/>
  <c r="P4939" i="109"/>
  <c r="P4938" i="109"/>
  <c r="P4937" i="109"/>
  <c r="P4936" i="109"/>
  <c r="P4935" i="109"/>
  <c r="P4934" i="109"/>
  <c r="P4933" i="109"/>
  <c r="P4932" i="109"/>
  <c r="P4931" i="109"/>
  <c r="P4930" i="109"/>
  <c r="P4929" i="109"/>
  <c r="P4928" i="109"/>
  <c r="P4927" i="109"/>
  <c r="P4926" i="109"/>
  <c r="P4925" i="109"/>
  <c r="P4924" i="109"/>
  <c r="P4923" i="109"/>
  <c r="P4922" i="109"/>
  <c r="P4921" i="109"/>
  <c r="P4920" i="109"/>
  <c r="P4919" i="109"/>
  <c r="P4918" i="109"/>
  <c r="P4917" i="109"/>
  <c r="P4916" i="109"/>
  <c r="P4915" i="109"/>
  <c r="P4914" i="109"/>
  <c r="P4913" i="109"/>
  <c r="P4912" i="109"/>
  <c r="P4911" i="109"/>
  <c r="P4910" i="109"/>
  <c r="P4909" i="109"/>
  <c r="P4908" i="109"/>
  <c r="P4907" i="109"/>
  <c r="P4906" i="109"/>
  <c r="P4905" i="109"/>
  <c r="P4904" i="109"/>
  <c r="P4903" i="109"/>
  <c r="P4902" i="109"/>
  <c r="P4901" i="109"/>
  <c r="P4900" i="109"/>
  <c r="P4899" i="109"/>
  <c r="P4898" i="109"/>
  <c r="P4897" i="109"/>
  <c r="P4896" i="109"/>
  <c r="P4895" i="109"/>
  <c r="P4894" i="109"/>
  <c r="P4893" i="109"/>
  <c r="P4892" i="109"/>
  <c r="P4891" i="109"/>
  <c r="P4890" i="109"/>
  <c r="P4889" i="109"/>
  <c r="P4888" i="109"/>
  <c r="P4887" i="109"/>
  <c r="P4886" i="109"/>
  <c r="P4885" i="109"/>
  <c r="P4884" i="109"/>
  <c r="P4883" i="109"/>
  <c r="P4882" i="109"/>
  <c r="P4881" i="109"/>
  <c r="P4880" i="109"/>
  <c r="P4879" i="109"/>
  <c r="P4878" i="109"/>
  <c r="P4877" i="109"/>
  <c r="P4876" i="109"/>
  <c r="P4875" i="109"/>
  <c r="P4874" i="109"/>
  <c r="P4873" i="109"/>
  <c r="P4872" i="109"/>
  <c r="P4871" i="109"/>
  <c r="P4870" i="109"/>
  <c r="P4869" i="109"/>
  <c r="P4868" i="109"/>
  <c r="P4867" i="109"/>
  <c r="P4866" i="109"/>
  <c r="P4865" i="109"/>
  <c r="P4864" i="109"/>
  <c r="P4863" i="109"/>
  <c r="P4862" i="109"/>
  <c r="P4861" i="109"/>
  <c r="P4859" i="109"/>
  <c r="P4858" i="109"/>
  <c r="P4857" i="109"/>
  <c r="P4856" i="109"/>
  <c r="P4855" i="109"/>
  <c r="P4853" i="109"/>
  <c r="P4852" i="109"/>
  <c r="P4851" i="109"/>
  <c r="P4850" i="109"/>
  <c r="P4849" i="109"/>
  <c r="P4848" i="109"/>
  <c r="P4847" i="109"/>
  <c r="P4846" i="109"/>
  <c r="P4844" i="109"/>
  <c r="P4843" i="109"/>
  <c r="P4842" i="109"/>
  <c r="P4841" i="109"/>
  <c r="P4840" i="109"/>
  <c r="P4839" i="109"/>
  <c r="P4838" i="109"/>
  <c r="P4837" i="109"/>
  <c r="P4836" i="109"/>
  <c r="P4835" i="109"/>
  <c r="P4834" i="109"/>
  <c r="P4833" i="109"/>
  <c r="P4832" i="109"/>
  <c r="P4831" i="109"/>
  <c r="P4830" i="109"/>
  <c r="P4829" i="109"/>
  <c r="P4828" i="109"/>
  <c r="P4827" i="109"/>
  <c r="P4826" i="109"/>
  <c r="P4825" i="109"/>
  <c r="P4824" i="109"/>
  <c r="P4823" i="109"/>
  <c r="P4822" i="109"/>
  <c r="P4821" i="109"/>
  <c r="P4820" i="109"/>
  <c r="P4819" i="109"/>
  <c r="P4818" i="109"/>
  <c r="P4817" i="109"/>
  <c r="P4816" i="109"/>
  <c r="P4815" i="109"/>
  <c r="P4814" i="109"/>
  <c r="P4813" i="109"/>
  <c r="P4812" i="109"/>
  <c r="P4811" i="109"/>
  <c r="P4810" i="109"/>
  <c r="P4809" i="109"/>
  <c r="P4808" i="109"/>
  <c r="P4807" i="109"/>
  <c r="P4806" i="109"/>
  <c r="P4805" i="109"/>
  <c r="P4804" i="109"/>
  <c r="P4803" i="109"/>
  <c r="P4802" i="109"/>
  <c r="P4801" i="109"/>
  <c r="P4800" i="109"/>
  <c r="P4799" i="109"/>
  <c r="P4797" i="109"/>
  <c r="P4796" i="109"/>
  <c r="P4794" i="109"/>
  <c r="P4793" i="109"/>
  <c r="P4792" i="109"/>
  <c r="P4791" i="109"/>
  <c r="P4790" i="109"/>
  <c r="P4789" i="109"/>
  <c r="P4788" i="109"/>
  <c r="P4787" i="109"/>
  <c r="P4786" i="109"/>
  <c r="P4785" i="109"/>
  <c r="P4784" i="109"/>
  <c r="P4783" i="109"/>
  <c r="P4782" i="109"/>
  <c r="P4781" i="109"/>
  <c r="P4780" i="109"/>
  <c r="P4779" i="109"/>
  <c r="P4778" i="109"/>
  <c r="P4777" i="109"/>
  <c r="P4776" i="109"/>
  <c r="P4775" i="109"/>
  <c r="P4774" i="109"/>
  <c r="P4773" i="109"/>
  <c r="P4772" i="109"/>
  <c r="P4770" i="109"/>
  <c r="P4768" i="109"/>
  <c r="P4766" i="109"/>
  <c r="P4765" i="109"/>
  <c r="P4764" i="109"/>
  <c r="P4763" i="109"/>
  <c r="P4762" i="109"/>
  <c r="P4758" i="109"/>
  <c r="P4757" i="109"/>
  <c r="P4756" i="109"/>
  <c r="P4755" i="109"/>
  <c r="P4754" i="109"/>
  <c r="P4753" i="109"/>
  <c r="P4752" i="109"/>
  <c r="P4751" i="109"/>
  <c r="P4750" i="109"/>
  <c r="P4749" i="109"/>
  <c r="P4748" i="109"/>
  <c r="P4747" i="109"/>
  <c r="P4746" i="109"/>
  <c r="P4745" i="109"/>
  <c r="P4744" i="109"/>
  <c r="P4743" i="109"/>
  <c r="P4742" i="109"/>
  <c r="P4741" i="109"/>
  <c r="P4740" i="109"/>
  <c r="P4739" i="109"/>
  <c r="P4738" i="109"/>
  <c r="P4737" i="109"/>
  <c r="P4736" i="109"/>
  <c r="P4735" i="109"/>
  <c r="P4734" i="109"/>
  <c r="P4733" i="109"/>
  <c r="P4732" i="109"/>
  <c r="P4731" i="109"/>
  <c r="P4730" i="109"/>
  <c r="P4729" i="109"/>
  <c r="P4728" i="109"/>
  <c r="P4727" i="109"/>
  <c r="P4726" i="109"/>
  <c r="P4725" i="109"/>
  <c r="P4724" i="109"/>
  <c r="P4723" i="109"/>
  <c r="P4722" i="109"/>
  <c r="P4721" i="109"/>
  <c r="P4720" i="109"/>
  <c r="P4719" i="109"/>
  <c r="P4718" i="109"/>
  <c r="P4717" i="109"/>
  <c r="P4716" i="109"/>
  <c r="P4715" i="109"/>
  <c r="P4714" i="109"/>
  <c r="P4713" i="109"/>
  <c r="P4712" i="109"/>
  <c r="P4711" i="109"/>
  <c r="P4710" i="109"/>
  <c r="P4709" i="109"/>
  <c r="P4708" i="109"/>
  <c r="P4707" i="109"/>
  <c r="P4706" i="109"/>
  <c r="P4705" i="109"/>
  <c r="P4703" i="109"/>
  <c r="P4702" i="109"/>
  <c r="P4701" i="109"/>
  <c r="P4700" i="109"/>
  <c r="P4699" i="109"/>
  <c r="P4698" i="109"/>
  <c r="P4697" i="109"/>
  <c r="P4696" i="109"/>
  <c r="P4695" i="109"/>
  <c r="P4690" i="109"/>
  <c r="P4689" i="109"/>
  <c r="P4688" i="109"/>
  <c r="P4687" i="109"/>
  <c r="P4686" i="109"/>
  <c r="P4685" i="109"/>
  <c r="P4684" i="109"/>
  <c r="P4683" i="109"/>
  <c r="P4682" i="109"/>
  <c r="P4681" i="109"/>
  <c r="P4680" i="109"/>
  <c r="P4679" i="109"/>
  <c r="P4678" i="109"/>
  <c r="P4677" i="109"/>
  <c r="P4676" i="109"/>
  <c r="P4675" i="109"/>
  <c r="P4674" i="109"/>
  <c r="P4673" i="109"/>
  <c r="P4672" i="109"/>
  <c r="P4670" i="109"/>
  <c r="P4669" i="109"/>
  <c r="P4668" i="109"/>
  <c r="P4667" i="109"/>
  <c r="P4666" i="109"/>
  <c r="P4665" i="109"/>
  <c r="P4664" i="109"/>
  <c r="P4663" i="109"/>
  <c r="P4662" i="109"/>
  <c r="P4661" i="109"/>
  <c r="P4658" i="109"/>
  <c r="P4657" i="109"/>
  <c r="P4656" i="109"/>
  <c r="P4655" i="109"/>
  <c r="P4653" i="109"/>
  <c r="P4652" i="109"/>
  <c r="P4651" i="109"/>
  <c r="P4650" i="109"/>
  <c r="P4649" i="109"/>
  <c r="P4648" i="109"/>
  <c r="P4647" i="109"/>
  <c r="P4646" i="109"/>
  <c r="P4645" i="109"/>
  <c r="P4644" i="109"/>
  <c r="P4643" i="109"/>
  <c r="P4642" i="109"/>
  <c r="P4641" i="109"/>
  <c r="P4640" i="109"/>
  <c r="P4639" i="109"/>
  <c r="P4638" i="109"/>
  <c r="P4637" i="109"/>
  <c r="P4636" i="109"/>
  <c r="P4635" i="109"/>
  <c r="P4634" i="109"/>
  <c r="P4633" i="109"/>
  <c r="P4632" i="109"/>
  <c r="P4631" i="109"/>
  <c r="P4630" i="109"/>
  <c r="P4629" i="109"/>
  <c r="P4628" i="109"/>
  <c r="P4627" i="109"/>
  <c r="P4626" i="109"/>
  <c r="P4625" i="109"/>
  <c r="P4624" i="109"/>
  <c r="P4623" i="109"/>
  <c r="P4621" i="109"/>
  <c r="P4620" i="109"/>
  <c r="P4619" i="109"/>
  <c r="P4618" i="109"/>
  <c r="P4617" i="109"/>
  <c r="P4616" i="109"/>
  <c r="P4615" i="109"/>
  <c r="P4614" i="109"/>
  <c r="P4613" i="109"/>
  <c r="P4612" i="109"/>
  <c r="P4611" i="109"/>
  <c r="P4610" i="109"/>
  <c r="P4609" i="109"/>
  <c r="P4608" i="109"/>
  <c r="P4607" i="109"/>
  <c r="P4606" i="109"/>
  <c r="P4605" i="109"/>
  <c r="P4604" i="109"/>
  <c r="P4603" i="109"/>
  <c r="P4602" i="109"/>
  <c r="P4601" i="109"/>
  <c r="P4600" i="109"/>
  <c r="P4599" i="109"/>
  <c r="P4598" i="109"/>
  <c r="P4597" i="109"/>
  <c r="P4596" i="109"/>
  <c r="P4595" i="109"/>
  <c r="P4594" i="109"/>
  <c r="P4593" i="109"/>
  <c r="P4592" i="109"/>
  <c r="P4591" i="109"/>
  <c r="P4590" i="109"/>
  <c r="P4589" i="109"/>
  <c r="P4588" i="109"/>
  <c r="P4587" i="109"/>
  <c r="P4586" i="109"/>
  <c r="P4585" i="109"/>
  <c r="P4584" i="109"/>
  <c r="P4583" i="109"/>
  <c r="P4582" i="109"/>
  <c r="P4581" i="109"/>
  <c r="P4580" i="109"/>
  <c r="P4579" i="109"/>
  <c r="P4578" i="109"/>
  <c r="P4577" i="109"/>
  <c r="P4576" i="109"/>
  <c r="P4575" i="109"/>
  <c r="P4574" i="109"/>
  <c r="P4573" i="109"/>
  <c r="P4572" i="109"/>
  <c r="P4571" i="109"/>
  <c r="P4570" i="109"/>
  <c r="P4569" i="109"/>
  <c r="P4568" i="109"/>
  <c r="P4567" i="109"/>
  <c r="P4566" i="109"/>
  <c r="P4565" i="109"/>
  <c r="P4564" i="109"/>
  <c r="P4563" i="109"/>
  <c r="P4562" i="109"/>
  <c r="P4561" i="109"/>
  <c r="P4560" i="109"/>
  <c r="P4559" i="109"/>
  <c r="P4558" i="109"/>
  <c r="P4557" i="109"/>
  <c r="P4556" i="109"/>
  <c r="P4555" i="109"/>
  <c r="P4554" i="109"/>
  <c r="P4553" i="109"/>
  <c r="P4552" i="109"/>
  <c r="P4551" i="109"/>
  <c r="P4550" i="109"/>
  <c r="P4547" i="109"/>
  <c r="P4546" i="109"/>
  <c r="P4545" i="109"/>
  <c r="P4544" i="109"/>
  <c r="P4543" i="109"/>
  <c r="P4542" i="109"/>
  <c r="P4541" i="109"/>
  <c r="P4540" i="109"/>
  <c r="P4539" i="109"/>
  <c r="P4538" i="109"/>
  <c r="P4537" i="109"/>
  <c r="P4536" i="109"/>
  <c r="P4535" i="109"/>
  <c r="P4534" i="109"/>
  <c r="P4533" i="109"/>
  <c r="P4531" i="109"/>
  <c r="P4530" i="109"/>
  <c r="P4529" i="109"/>
  <c r="P4528" i="109"/>
  <c r="P4527" i="109"/>
  <c r="P4526" i="109"/>
  <c r="P4525" i="109"/>
  <c r="P4524" i="109"/>
  <c r="P4523" i="109"/>
  <c r="P4516" i="109"/>
  <c r="P4515" i="109"/>
  <c r="P4512" i="109"/>
  <c r="P4511" i="109"/>
  <c r="P4510" i="109"/>
  <c r="P4509" i="109"/>
  <c r="P4508" i="109"/>
  <c r="P4507" i="109"/>
  <c r="P4498" i="109"/>
  <c r="P4497" i="109"/>
  <c r="P4496" i="109"/>
  <c r="P4495" i="109"/>
  <c r="P4494" i="109"/>
  <c r="P4493" i="109"/>
  <c r="P4492" i="109"/>
  <c r="P4491" i="109"/>
  <c r="P4490" i="109"/>
  <c r="P4489" i="109"/>
  <c r="P4488" i="109"/>
  <c r="P4487" i="109"/>
  <c r="P4486" i="109"/>
  <c r="P4485" i="109"/>
  <c r="P4484" i="109"/>
  <c r="P4483" i="109"/>
  <c r="P4482" i="109"/>
  <c r="P4481" i="109"/>
  <c r="P4480" i="109"/>
  <c r="P4479" i="109"/>
  <c r="P4478" i="109"/>
  <c r="P4477" i="109"/>
  <c r="P4476" i="109"/>
  <c r="P4475" i="109"/>
  <c r="P4474" i="109"/>
  <c r="P4473" i="109"/>
  <c r="P4472" i="109"/>
  <c r="P4471" i="109"/>
  <c r="P4470" i="109"/>
  <c r="P4469" i="109"/>
  <c r="P4468" i="109"/>
  <c r="P4467" i="109"/>
  <c r="P4466" i="109"/>
  <c r="P4464" i="109"/>
  <c r="P4463" i="109"/>
  <c r="P4462" i="109"/>
  <c r="P4461" i="109"/>
  <c r="P4459" i="109"/>
  <c r="P4458" i="109"/>
  <c r="P4456" i="109"/>
  <c r="P4455" i="109"/>
  <c r="P4454" i="109"/>
  <c r="P4453" i="109"/>
  <c r="P4452" i="109"/>
  <c r="P4451" i="109"/>
  <c r="P4450" i="109"/>
  <c r="P4449" i="109"/>
  <c r="P4448" i="109"/>
  <c r="P4447" i="109"/>
  <c r="P4446" i="109"/>
  <c r="P4445" i="109"/>
  <c r="P4444" i="109"/>
  <c r="P4443" i="109"/>
  <c r="P4442" i="109"/>
  <c r="P4441" i="109"/>
  <c r="P4440" i="109"/>
  <c r="P4439" i="109"/>
  <c r="P4438" i="109"/>
  <c r="P4437" i="109"/>
  <c r="P4436" i="109"/>
  <c r="P4435" i="109"/>
  <c r="P4434" i="109"/>
  <c r="P4433" i="109"/>
  <c r="P4432" i="109"/>
  <c r="P4431" i="109"/>
  <c r="P4430" i="109"/>
  <c r="P4429" i="109"/>
  <c r="P4428" i="109"/>
  <c r="P4427" i="109"/>
  <c r="P4426" i="109"/>
  <c r="P4425" i="109"/>
  <c r="P4424" i="109"/>
  <c r="P4423" i="109"/>
  <c r="P4422" i="109"/>
  <c r="P4421" i="109"/>
  <c r="P4420" i="109"/>
  <c r="P4419" i="109"/>
  <c r="P4418" i="109"/>
  <c r="P4417" i="109"/>
  <c r="P4416" i="109"/>
  <c r="P4415" i="109"/>
  <c r="P4414" i="109"/>
  <c r="P4413" i="109"/>
  <c r="P4412" i="109"/>
  <c r="P4411" i="109"/>
  <c r="P4410" i="109"/>
  <c r="P4409" i="109"/>
  <c r="P4408" i="109"/>
  <c r="P4407" i="109"/>
  <c r="P4406" i="109"/>
  <c r="P4405" i="109"/>
  <c r="P4404" i="109"/>
  <c r="P4403" i="109"/>
  <c r="P4402" i="109"/>
  <c r="P4401" i="109"/>
  <c r="P4400" i="109"/>
  <c r="P4399" i="109"/>
  <c r="P4398" i="109"/>
  <c r="P4397" i="109"/>
  <c r="P4396" i="109"/>
  <c r="P4395" i="109"/>
  <c r="P4394" i="109"/>
  <c r="P4393" i="109"/>
  <c r="P4392" i="109"/>
  <c r="P4391" i="109"/>
  <c r="P4390" i="109"/>
  <c r="P4389" i="109"/>
  <c r="P4388" i="109"/>
  <c r="P4387" i="109"/>
  <c r="P4386" i="109"/>
  <c r="P4385" i="109"/>
  <c r="P4384" i="109"/>
  <c r="P4383" i="109"/>
  <c r="P4382" i="109"/>
  <c r="P4381" i="109"/>
  <c r="P4380" i="109"/>
  <c r="P4378" i="109"/>
  <c r="P4377" i="109"/>
  <c r="P4376" i="109"/>
  <c r="P4375" i="109"/>
  <c r="P4374" i="109"/>
  <c r="P4373" i="109"/>
  <c r="P4372" i="109"/>
  <c r="P4369" i="109"/>
  <c r="P4368" i="109"/>
  <c r="P4367" i="109"/>
  <c r="P4366" i="109"/>
  <c r="P4365" i="109"/>
  <c r="P4364" i="109"/>
  <c r="P4363" i="109"/>
  <c r="P4362" i="109"/>
  <c r="P4361" i="109"/>
  <c r="P4360" i="109"/>
  <c r="P4359" i="109"/>
  <c r="P4358" i="109"/>
  <c r="P4353" i="109"/>
  <c r="P4352" i="109"/>
  <c r="P4351" i="109"/>
  <c r="P4349" i="109"/>
  <c r="P4348" i="109"/>
  <c r="P4347" i="109"/>
  <c r="P4346" i="109"/>
  <c r="P4343" i="109"/>
  <c r="P4342" i="109"/>
  <c r="P4341" i="109"/>
  <c r="P4340" i="109"/>
  <c r="P4339" i="109"/>
  <c r="P4338" i="109"/>
  <c r="P4334" i="109"/>
  <c r="P4330" i="109"/>
  <c r="P4328" i="109"/>
  <c r="P4327" i="109"/>
  <c r="P4326" i="109"/>
  <c r="P4325" i="109"/>
  <c r="P4324" i="109"/>
  <c r="P4323" i="109"/>
  <c r="P4322" i="109"/>
  <c r="P4320" i="109"/>
  <c r="P4319" i="109"/>
  <c r="P4318" i="109"/>
  <c r="P4317" i="109"/>
  <c r="P4316" i="109"/>
  <c r="P4315" i="109"/>
  <c r="P4314" i="109"/>
  <c r="P4313" i="109"/>
  <c r="P4312" i="109"/>
  <c r="P4311" i="109"/>
  <c r="P4310" i="109"/>
  <c r="P4309" i="109"/>
  <c r="P4308" i="109"/>
  <c r="P4307" i="109"/>
  <c r="P4306" i="109"/>
  <c r="P4305" i="109"/>
  <c r="P4304" i="109"/>
  <c r="P4303" i="109"/>
  <c r="P4302" i="109"/>
  <c r="P4301" i="109"/>
  <c r="P4299" i="109"/>
  <c r="P4298" i="109"/>
  <c r="P4297" i="109"/>
  <c r="P4296" i="109"/>
  <c r="P4295" i="109"/>
  <c r="P4294" i="109"/>
  <c r="P4293" i="109"/>
  <c r="P4292" i="109"/>
  <c r="P4291" i="109"/>
  <c r="P4290" i="109"/>
  <c r="P4289" i="109"/>
  <c r="P4288" i="109"/>
  <c r="P4287" i="109"/>
  <c r="P4286" i="109"/>
  <c r="P4285" i="109"/>
  <c r="P4284" i="109"/>
  <c r="P4283" i="109"/>
  <c r="P4282" i="109"/>
  <c r="P4281" i="109"/>
  <c r="P4280" i="109"/>
  <c r="P4279" i="109"/>
  <c r="P4278" i="109"/>
  <c r="P4277" i="109"/>
  <c r="P4275" i="109"/>
  <c r="P4274" i="109"/>
  <c r="P4272" i="109"/>
  <c r="P4271" i="109"/>
  <c r="P4270" i="109"/>
  <c r="P4269" i="109"/>
  <c r="P4268" i="109"/>
  <c r="P4267" i="109"/>
  <c r="P4266" i="109"/>
  <c r="P4265" i="109"/>
  <c r="P4263" i="109"/>
  <c r="P4262" i="109"/>
  <c r="P4261" i="109"/>
  <c r="P4260" i="109"/>
  <c r="P4259" i="109"/>
  <c r="P4258" i="109"/>
  <c r="P4257" i="109"/>
  <c r="P4256" i="109"/>
  <c r="P4255" i="109"/>
  <c r="P4254" i="109"/>
  <c r="P4253" i="109"/>
  <c r="P4252" i="109"/>
  <c r="P4251" i="109"/>
  <c r="P4250" i="109"/>
  <c r="P4249" i="109"/>
  <c r="P4248" i="109"/>
  <c r="P4247" i="109"/>
  <c r="P4246" i="109"/>
  <c r="P4245" i="109"/>
  <c r="P4244" i="109"/>
  <c r="P4243" i="109"/>
  <c r="P4242" i="109"/>
  <c r="P4241" i="109"/>
  <c r="P4240" i="109"/>
  <c r="P4239" i="109"/>
  <c r="P4238" i="109"/>
  <c r="P4237" i="109"/>
  <c r="P4236" i="109"/>
  <c r="P4235" i="109"/>
  <c r="P4234" i="109"/>
  <c r="P4233" i="109"/>
  <c r="P4232" i="109"/>
  <c r="P4231" i="109"/>
  <c r="P4230" i="109"/>
  <c r="P4229" i="109"/>
  <c r="P4228" i="109"/>
  <c r="P4227" i="109"/>
  <c r="P4226" i="109"/>
  <c r="P4225" i="109"/>
  <c r="P4224" i="109"/>
  <c r="P4223" i="109"/>
  <c r="P4222" i="109"/>
  <c r="P4220" i="109"/>
  <c r="P4219" i="109"/>
  <c r="P4218" i="109"/>
  <c r="P4217" i="109"/>
  <c r="P4216" i="109"/>
  <c r="P4215" i="109"/>
  <c r="P4214" i="109"/>
  <c r="P4213" i="109"/>
  <c r="P4212" i="109"/>
  <c r="P4211" i="109"/>
  <c r="P4210" i="109"/>
  <c r="P4209" i="109"/>
  <c r="P4208" i="109"/>
  <c r="P4207" i="109"/>
  <c r="P4206" i="109"/>
  <c r="P4205" i="109"/>
  <c r="P4204" i="109"/>
  <c r="P4203" i="109"/>
  <c r="P4202" i="109"/>
  <c r="P4201" i="109"/>
  <c r="P4200" i="109"/>
  <c r="P4199" i="109"/>
  <c r="P4198" i="109"/>
  <c r="P4194" i="109"/>
  <c r="P4193" i="109"/>
  <c r="P4192" i="109"/>
  <c r="P4191" i="109"/>
  <c r="P4190" i="109"/>
  <c r="P4186" i="109"/>
  <c r="P4185" i="109"/>
  <c r="P4184" i="109"/>
  <c r="P4183" i="109"/>
  <c r="P4182" i="109"/>
  <c r="P4181" i="109"/>
  <c r="P4180" i="109"/>
  <c r="P4179" i="109"/>
  <c r="P4178" i="109"/>
  <c r="P4177" i="109"/>
  <c r="P4176" i="109"/>
  <c r="P4175" i="109"/>
  <c r="P4174" i="109"/>
  <c r="P4173" i="109"/>
  <c r="P4172" i="109"/>
  <c r="P4171" i="109"/>
  <c r="P4170" i="109"/>
  <c r="P4169" i="109"/>
  <c r="P4168" i="109"/>
  <c r="P4167" i="109"/>
  <c r="P4166" i="109"/>
  <c r="P4165" i="109"/>
  <c r="P4164" i="109"/>
  <c r="P4163" i="109"/>
  <c r="P4162" i="109"/>
  <c r="P4161" i="109"/>
  <c r="P4160" i="109"/>
  <c r="P4159" i="109"/>
  <c r="P4158" i="109"/>
  <c r="P4157" i="109"/>
  <c r="P4155" i="109"/>
  <c r="P4154" i="109"/>
  <c r="P4153" i="109"/>
  <c r="P4152" i="109"/>
  <c r="P4151" i="109"/>
  <c r="P4150" i="109"/>
  <c r="P4149" i="109"/>
  <c r="P4148" i="109"/>
  <c r="P4146" i="109"/>
  <c r="P4145" i="109"/>
  <c r="P4144" i="109"/>
  <c r="P4143" i="109"/>
  <c r="P4142" i="109"/>
  <c r="P4141" i="109"/>
  <c r="P4140" i="109"/>
  <c r="P4139" i="109"/>
  <c r="P4138" i="109"/>
  <c r="P4137" i="109"/>
  <c r="P4136" i="109"/>
  <c r="P4135" i="109"/>
  <c r="P4134" i="109"/>
  <c r="P4133" i="109"/>
  <c r="P4129" i="109"/>
  <c r="P4128" i="109"/>
  <c r="P4127" i="109"/>
  <c r="P4126" i="109"/>
  <c r="P4125" i="109"/>
  <c r="P4124" i="109"/>
  <c r="P4123" i="109"/>
  <c r="P4122" i="109"/>
  <c r="P4120" i="109"/>
  <c r="P4119" i="109"/>
  <c r="P4118" i="109"/>
  <c r="P4117" i="109"/>
  <c r="P4116" i="109"/>
  <c r="P4115" i="109"/>
  <c r="P4114" i="109"/>
  <c r="P4113" i="109"/>
  <c r="P4112" i="109"/>
  <c r="P4111" i="109"/>
  <c r="P4110" i="109"/>
  <c r="P4109" i="109"/>
  <c r="P4108" i="109"/>
  <c r="P4107" i="109"/>
  <c r="P4106" i="109"/>
  <c r="P4105" i="109"/>
  <c r="P4104" i="109"/>
  <c r="P4103" i="109"/>
  <c r="P4102" i="109"/>
  <c r="P4101" i="109"/>
  <c r="P4100" i="109"/>
  <c r="P4099" i="109"/>
  <c r="P4098" i="109"/>
  <c r="P4097" i="109"/>
  <c r="P4096" i="109"/>
  <c r="P4095" i="109"/>
  <c r="P4094" i="109"/>
  <c r="P4093" i="109"/>
  <c r="P4092" i="109"/>
  <c r="P4091" i="109"/>
  <c r="P4090" i="109"/>
  <c r="P4089" i="109"/>
  <c r="P4088" i="109"/>
  <c r="P4087" i="109"/>
  <c r="P4086" i="109"/>
  <c r="P4085" i="109"/>
  <c r="P4084" i="109"/>
  <c r="P4083" i="109"/>
  <c r="P4082" i="109"/>
  <c r="P4081" i="109"/>
  <c r="P4080" i="109"/>
  <c r="P4079" i="109"/>
  <c r="P4078" i="109"/>
  <c r="P4077" i="109"/>
  <c r="P4076" i="109"/>
  <c r="P4075" i="109"/>
  <c r="P4074" i="109"/>
  <c r="P4073" i="109"/>
  <c r="P4072" i="109"/>
  <c r="P4071" i="109"/>
  <c r="P4070" i="109"/>
  <c r="P4069" i="109"/>
  <c r="P4068" i="109"/>
  <c r="P4067" i="109"/>
  <c r="P4066" i="109"/>
  <c r="P4065" i="109"/>
  <c r="P4064" i="109"/>
  <c r="P4063" i="109"/>
  <c r="P4062" i="109"/>
  <c r="P4061" i="109"/>
  <c r="P4060" i="109"/>
  <c r="P4059" i="109"/>
  <c r="P4058" i="109"/>
  <c r="P4057" i="109"/>
  <c r="P4056" i="109"/>
  <c r="P4055" i="109"/>
  <c r="P4054" i="109"/>
  <c r="P4053" i="109"/>
  <c r="P4052" i="109"/>
  <c r="P4051" i="109"/>
  <c r="P4050" i="109"/>
  <c r="P4049" i="109"/>
  <c r="P4048" i="109"/>
  <c r="P4047" i="109"/>
  <c r="P4046" i="109"/>
  <c r="P4045" i="109"/>
  <c r="P4044" i="109"/>
  <c r="P4043" i="109"/>
  <c r="P4041" i="109"/>
  <c r="P4040" i="109"/>
  <c r="P4039" i="109"/>
  <c r="P4038" i="109"/>
  <c r="P4037" i="109"/>
  <c r="P4036" i="109"/>
  <c r="P4035" i="109"/>
  <c r="P4034" i="109"/>
  <c r="P4033" i="109"/>
  <c r="P4027" i="109"/>
  <c r="P4026" i="109"/>
  <c r="P4025" i="109"/>
  <c r="P4024" i="109"/>
  <c r="P4023" i="109"/>
  <c r="P4022" i="109"/>
  <c r="P4021" i="109"/>
  <c r="P4020" i="109"/>
  <c r="P4019" i="109"/>
  <c r="P4018" i="109"/>
  <c r="P4017" i="109"/>
  <c r="P4016" i="109"/>
  <c r="P4015" i="109"/>
  <c r="P4014" i="109"/>
  <c r="P4013" i="109"/>
  <c r="P4012" i="109"/>
  <c r="P4011" i="109"/>
  <c r="P4010" i="109"/>
  <c r="P4009" i="109"/>
  <c r="P4007" i="109"/>
  <c r="P4006" i="109"/>
  <c r="P4005" i="109"/>
  <c r="P4004" i="109"/>
  <c r="P4003" i="109"/>
  <c r="P4002" i="109"/>
  <c r="P4001" i="109"/>
  <c r="P4000" i="109"/>
  <c r="P3999" i="109"/>
  <c r="P3998" i="109"/>
  <c r="P3997" i="109"/>
  <c r="P3996" i="109"/>
  <c r="P3995" i="109"/>
  <c r="P3994" i="109"/>
  <c r="P3993" i="109"/>
  <c r="P3992" i="109"/>
  <c r="P3991" i="109"/>
  <c r="P3990" i="109"/>
  <c r="P3989" i="109"/>
  <c r="P3988" i="109"/>
  <c r="P3987" i="109"/>
  <c r="P3986" i="109"/>
  <c r="P3985" i="109"/>
  <c r="P3984" i="109"/>
  <c r="P3983" i="109"/>
  <c r="P3982" i="109"/>
  <c r="P3981" i="109"/>
  <c r="P3980" i="109"/>
  <c r="P3979" i="109"/>
  <c r="P3978" i="109"/>
  <c r="P3977" i="109"/>
  <c r="P3976" i="109"/>
  <c r="P3975" i="109"/>
  <c r="P3974" i="109"/>
  <c r="P3973" i="109"/>
  <c r="P3972" i="109"/>
  <c r="P3970" i="109"/>
  <c r="P3969" i="109"/>
  <c r="P3968" i="109"/>
  <c r="P3967" i="109"/>
  <c r="P3966" i="109"/>
  <c r="P3965" i="109"/>
  <c r="P3964" i="109"/>
  <c r="P3963" i="109"/>
  <c r="P3962" i="109"/>
  <c r="P3961" i="109"/>
  <c r="P3960" i="109"/>
  <c r="P3959" i="109"/>
  <c r="P3958" i="109"/>
  <c r="P3957" i="109"/>
  <c r="P3956" i="109"/>
  <c r="P3955" i="109"/>
  <c r="P3954" i="109"/>
  <c r="P3951" i="109"/>
  <c r="P3950" i="109"/>
  <c r="P3949" i="109"/>
  <c r="P3948" i="109"/>
  <c r="P3947" i="109"/>
  <c r="P3946" i="109"/>
  <c r="P3945" i="109"/>
  <c r="P3944" i="109"/>
  <c r="P3943" i="109"/>
  <c r="P3942" i="109"/>
  <c r="P3941" i="109"/>
  <c r="P3940" i="109"/>
  <c r="P3939" i="109"/>
  <c r="P3938" i="109"/>
  <c r="P3937" i="109"/>
  <c r="P3936" i="109"/>
  <c r="P3935" i="109"/>
  <c r="P3934" i="109"/>
  <c r="P3933" i="109"/>
  <c r="P3932" i="109"/>
  <c r="P3931" i="109"/>
  <c r="P3930" i="109"/>
  <c r="P3929" i="109"/>
  <c r="P3928" i="109"/>
  <c r="P3927" i="109"/>
  <c r="P3926" i="109"/>
  <c r="P3925" i="109"/>
  <c r="P3924" i="109"/>
  <c r="P3923" i="109"/>
  <c r="P3922" i="109"/>
  <c r="P3921" i="109"/>
  <c r="P3920" i="109"/>
  <c r="P3919" i="109"/>
  <c r="P3918" i="109"/>
  <c r="P3917" i="109"/>
  <c r="P3916" i="109"/>
  <c r="P3915" i="109"/>
  <c r="P3914" i="109"/>
  <c r="P3913" i="109"/>
  <c r="P3912" i="109"/>
  <c r="P3911" i="109"/>
  <c r="P3910" i="109"/>
  <c r="P3909" i="109"/>
  <c r="P3908" i="109"/>
  <c r="P3907" i="109"/>
  <c r="P3906" i="109"/>
  <c r="P3905" i="109"/>
  <c r="P3904" i="109"/>
  <c r="P3903" i="109"/>
  <c r="P3902" i="109"/>
  <c r="P3901" i="109"/>
  <c r="P3900" i="109"/>
  <c r="P3899" i="109"/>
  <c r="P3898" i="109"/>
  <c r="P3897" i="109"/>
  <c r="P3896" i="109"/>
  <c r="P3895" i="109"/>
  <c r="P3894" i="109"/>
  <c r="P3893" i="109"/>
  <c r="P3892" i="109"/>
  <c r="P3891" i="109"/>
  <c r="P3890" i="109"/>
  <c r="P3889" i="109"/>
  <c r="P3888" i="109"/>
  <c r="P3887" i="109"/>
  <c r="P3886" i="109"/>
  <c r="P3885" i="109"/>
  <c r="P3884" i="109"/>
  <c r="P3883" i="109"/>
  <c r="P3882" i="109"/>
  <c r="P3881" i="109"/>
  <c r="P3880" i="109"/>
  <c r="P3879" i="109"/>
  <c r="P3878" i="109"/>
  <c r="P3877" i="109"/>
  <c r="P3876" i="109"/>
  <c r="P3875" i="109"/>
  <c r="P3874" i="109"/>
  <c r="P3873" i="109"/>
  <c r="P3872" i="109"/>
  <c r="P3871" i="109"/>
  <c r="P3870" i="109"/>
  <c r="P3868" i="109"/>
  <c r="P3867" i="109"/>
  <c r="P3866" i="109"/>
  <c r="P3865" i="109"/>
  <c r="P3864" i="109"/>
  <c r="P3863" i="109"/>
  <c r="P3862" i="109"/>
  <c r="P3861" i="109"/>
  <c r="P3860" i="109"/>
  <c r="P3859" i="109"/>
  <c r="P3858" i="109"/>
  <c r="P3857" i="109"/>
  <c r="P3856" i="109"/>
  <c r="P3855" i="109"/>
  <c r="P3854" i="109"/>
  <c r="P3853" i="109"/>
  <c r="P3852" i="109"/>
  <c r="P3851" i="109"/>
  <c r="P3850" i="109"/>
  <c r="P3849" i="109"/>
  <c r="P3848" i="109"/>
  <c r="P3847" i="109"/>
  <c r="P3846" i="109"/>
  <c r="P3845" i="109"/>
  <c r="P3844" i="109"/>
  <c r="P3843" i="109"/>
  <c r="P3842" i="109"/>
  <c r="P3841" i="109"/>
  <c r="P3840" i="109"/>
  <c r="P3839" i="109"/>
  <c r="P3838" i="109"/>
  <c r="P3837" i="109"/>
  <c r="P3836" i="109"/>
  <c r="P3835" i="109"/>
  <c r="P3834" i="109"/>
  <c r="P3833" i="109"/>
  <c r="P3832" i="109"/>
  <c r="P3831" i="109"/>
  <c r="P3830" i="109"/>
  <c r="P3828" i="109"/>
  <c r="P3827" i="109"/>
  <c r="P3826" i="109"/>
  <c r="P3825" i="109"/>
  <c r="P3824" i="109"/>
  <c r="P3823" i="109"/>
  <c r="P3819" i="109"/>
  <c r="P3818" i="109"/>
  <c r="P3816" i="109"/>
  <c r="P3815" i="109"/>
  <c r="P3814" i="109"/>
  <c r="P3812" i="109"/>
  <c r="P3811" i="109"/>
  <c r="P3810" i="109"/>
  <c r="P3809" i="109"/>
  <c r="P3808" i="109"/>
  <c r="P3807" i="109"/>
  <c r="P3806" i="109"/>
  <c r="P3805" i="109"/>
  <c r="P3804" i="109"/>
  <c r="P3803" i="109"/>
  <c r="P3802" i="109"/>
  <c r="P3800" i="109"/>
  <c r="P3799" i="109"/>
  <c r="P3798" i="109"/>
  <c r="P3797" i="109"/>
  <c r="P3796" i="109"/>
  <c r="P3795" i="109"/>
  <c r="P3794" i="109"/>
  <c r="P3793" i="109"/>
  <c r="P3792" i="109"/>
  <c r="P3791" i="109"/>
  <c r="P3790" i="109"/>
  <c r="P3789" i="109"/>
  <c r="P3788" i="109"/>
  <c r="P3787" i="109"/>
  <c r="P3786" i="109"/>
  <c r="P3785" i="109"/>
  <c r="P3784" i="109"/>
  <c r="P3783" i="109"/>
  <c r="P3782" i="109"/>
  <c r="P3781" i="109"/>
  <c r="P3779" i="109"/>
  <c r="P3778" i="109"/>
  <c r="P3777" i="109"/>
  <c r="P3776" i="109"/>
  <c r="P3775" i="109"/>
  <c r="P3774" i="109"/>
  <c r="P3773" i="109"/>
  <c r="P3772" i="109"/>
  <c r="P3771" i="109"/>
  <c r="P3769" i="109"/>
  <c r="P3768" i="109"/>
  <c r="P3767" i="109"/>
  <c r="P3766" i="109"/>
  <c r="P3765" i="109"/>
  <c r="P3764" i="109"/>
  <c r="P3763" i="109"/>
  <c r="P3762" i="109"/>
  <c r="P3761" i="109"/>
  <c r="P3760" i="109"/>
  <c r="P3759" i="109"/>
  <c r="P3758" i="109"/>
  <c r="P3757" i="109"/>
  <c r="P3755" i="109"/>
  <c r="P3754" i="109"/>
  <c r="P3753" i="109"/>
  <c r="P3752" i="109"/>
  <c r="P3751" i="109"/>
  <c r="P3750" i="109"/>
  <c r="P3749" i="109"/>
  <c r="P3748" i="109"/>
  <c r="P3747" i="109"/>
  <c r="P3746" i="109"/>
  <c r="P3745" i="109"/>
  <c r="P3744" i="109"/>
  <c r="P3742" i="109"/>
  <c r="P3741" i="109"/>
  <c r="P3740" i="109"/>
  <c r="P3739" i="109"/>
  <c r="P3738" i="109"/>
  <c r="P3737" i="109"/>
  <c r="P3736" i="109"/>
  <c r="P3730" i="109"/>
  <c r="P3729" i="109"/>
  <c r="P3727" i="109"/>
  <c r="P3726" i="109"/>
  <c r="P3725" i="109"/>
  <c r="P3724" i="109"/>
  <c r="P3723" i="109"/>
  <c r="P3722" i="109"/>
  <c r="P3721" i="109"/>
  <c r="P3720" i="109"/>
  <c r="P3719" i="109"/>
  <c r="P3718" i="109"/>
  <c r="P3717" i="109"/>
  <c r="P3716" i="109"/>
  <c r="P3715" i="109"/>
  <c r="P3714" i="109"/>
  <c r="P3713" i="109"/>
  <c r="P3712" i="109"/>
  <c r="P3711" i="109"/>
  <c r="P3710" i="109"/>
  <c r="P3709" i="109"/>
  <c r="P3708" i="109"/>
  <c r="P3707" i="109"/>
  <c r="P3706" i="109"/>
  <c r="P3705" i="109"/>
  <c r="P3704" i="109"/>
  <c r="P3703" i="109"/>
  <c r="P3702" i="109"/>
  <c r="P3701" i="109"/>
  <c r="P3700" i="109"/>
  <c r="P3699" i="109"/>
  <c r="P3698" i="109"/>
  <c r="P3697" i="109"/>
  <c r="P3696" i="109"/>
  <c r="P3695" i="109"/>
  <c r="P3694" i="109"/>
  <c r="P3693" i="109"/>
  <c r="P3692" i="109"/>
  <c r="P3691" i="109"/>
  <c r="P3690" i="109"/>
  <c r="P3689" i="109"/>
  <c r="P3688" i="109"/>
  <c r="P3687" i="109"/>
  <c r="P3686" i="109"/>
  <c r="P3685" i="109"/>
  <c r="P3684" i="109"/>
  <c r="P3683" i="109"/>
  <c r="P3682" i="109"/>
  <c r="P3681" i="109"/>
  <c r="P3680" i="109"/>
  <c r="P3679" i="109"/>
  <c r="P3678" i="109"/>
  <c r="P3677" i="109"/>
  <c r="P3676" i="109"/>
  <c r="P3675" i="109"/>
  <c r="P3674" i="109"/>
  <c r="P3673" i="109"/>
  <c r="P3672" i="109"/>
  <c r="P3671" i="109"/>
  <c r="P3670" i="109"/>
  <c r="P3669" i="109"/>
  <c r="P3668" i="109"/>
  <c r="P3667" i="109"/>
  <c r="P3666" i="109"/>
  <c r="P3665" i="109"/>
  <c r="P3664" i="109"/>
  <c r="P3663" i="109"/>
  <c r="P3662" i="109"/>
  <c r="P3661" i="109"/>
  <c r="P3659" i="109"/>
  <c r="P3658" i="109"/>
  <c r="P3657" i="109"/>
  <c r="P3656" i="109"/>
  <c r="P3655" i="109"/>
  <c r="P3654" i="109"/>
  <c r="P3653" i="109"/>
  <c r="P3652" i="109"/>
  <c r="P3651" i="109"/>
  <c r="P3650" i="109"/>
  <c r="P3649" i="109"/>
  <c r="P3648" i="109"/>
  <c r="P3647" i="109"/>
  <c r="P3646" i="109"/>
  <c r="P3645" i="109"/>
  <c r="P3644" i="109"/>
  <c r="P3643" i="109"/>
  <c r="P3642" i="109"/>
  <c r="P3641" i="109"/>
  <c r="P3640" i="109"/>
  <c r="P3639" i="109"/>
  <c r="P3638" i="109"/>
  <c r="P3637" i="109"/>
  <c r="P3636" i="109"/>
  <c r="P3635" i="109"/>
  <c r="P3634" i="109"/>
  <c r="P3633" i="109"/>
  <c r="P3632" i="109"/>
  <c r="P3631" i="109"/>
  <c r="P3630" i="109"/>
  <c r="P3629" i="109"/>
  <c r="P3628" i="109"/>
  <c r="P3627" i="109"/>
  <c r="P3626" i="109"/>
  <c r="P3625" i="109"/>
  <c r="P3624" i="109"/>
  <c r="P3623" i="109"/>
  <c r="P3622" i="109"/>
  <c r="P3621" i="109"/>
  <c r="P3620" i="109"/>
  <c r="P3619" i="109"/>
  <c r="P3618" i="109"/>
  <c r="P3617" i="109"/>
  <c r="P3616" i="109"/>
  <c r="P3615" i="109"/>
  <c r="P3614" i="109"/>
  <c r="P3613" i="109"/>
  <c r="P3610" i="109"/>
  <c r="P3607" i="109"/>
  <c r="P3606" i="109"/>
  <c r="P3601" i="109"/>
  <c r="P3600" i="109"/>
  <c r="P3599" i="109"/>
  <c r="P3598" i="109"/>
  <c r="P3597" i="109"/>
  <c r="P3596" i="109"/>
  <c r="P3595" i="109"/>
  <c r="P3594" i="109"/>
  <c r="P3593" i="109"/>
  <c r="P3592" i="109"/>
  <c r="P3591" i="109"/>
  <c r="P3590" i="109"/>
  <c r="P3589" i="109"/>
  <c r="P3588" i="109"/>
  <c r="P3587" i="109"/>
  <c r="P3586" i="109"/>
  <c r="P3585" i="109"/>
  <c r="P3584" i="109"/>
  <c r="P3583" i="109"/>
  <c r="P3582" i="109"/>
  <c r="P3581" i="109"/>
  <c r="P3578" i="109"/>
  <c r="P3577" i="109"/>
  <c r="P3576" i="109"/>
  <c r="P3575" i="109"/>
  <c r="P3574" i="109"/>
  <c r="P3573" i="109"/>
  <c r="P3572" i="109"/>
  <c r="P3571" i="109"/>
  <c r="P3570" i="109"/>
  <c r="P3569" i="109"/>
  <c r="P3568" i="109"/>
  <c r="P3567" i="109"/>
  <c r="P3566" i="109"/>
  <c r="P3565" i="109"/>
  <c r="P3564" i="109"/>
  <c r="P3563" i="109"/>
  <c r="P3562" i="109"/>
  <c r="P3561" i="109"/>
  <c r="P3560" i="109"/>
  <c r="P3559" i="109"/>
  <c r="P3558" i="109"/>
  <c r="P3557" i="109"/>
  <c r="P3556" i="109"/>
  <c r="P3555" i="109"/>
  <c r="P3554" i="109"/>
  <c r="P3553" i="109"/>
  <c r="P3552" i="109"/>
  <c r="P3550" i="109"/>
  <c r="P3549" i="109"/>
  <c r="P3547" i="109"/>
  <c r="P3546" i="109"/>
  <c r="P3544" i="109"/>
  <c r="P3543" i="109"/>
  <c r="P3542" i="109"/>
  <c r="P3541" i="109"/>
  <c r="P3540" i="109"/>
  <c r="P3539" i="109"/>
  <c r="P3538" i="109"/>
  <c r="P3537" i="109"/>
  <c r="P3536" i="109"/>
  <c r="P3535" i="109"/>
  <c r="P3534" i="109"/>
  <c r="P3533" i="109"/>
  <c r="P3532" i="109"/>
  <c r="P3531" i="109"/>
  <c r="P3530" i="109"/>
  <c r="P3529" i="109"/>
  <c r="P3528" i="109"/>
  <c r="P3527" i="109"/>
  <c r="P3526" i="109"/>
  <c r="P3525" i="109"/>
  <c r="P3524" i="109"/>
  <c r="P3523" i="109"/>
  <c r="P3522" i="109"/>
  <c r="P3521" i="109"/>
  <c r="P3520" i="109"/>
  <c r="P3519" i="109"/>
  <c r="P3518" i="109"/>
  <c r="P3517" i="109"/>
  <c r="P3516" i="109"/>
  <c r="P3515" i="109"/>
  <c r="P3514" i="109"/>
  <c r="P3513" i="109"/>
  <c r="P3512" i="109"/>
  <c r="P3511" i="109"/>
  <c r="P3510" i="109"/>
  <c r="P3509" i="109"/>
  <c r="P3508" i="109"/>
  <c r="P3507" i="109"/>
  <c r="P3506" i="109"/>
  <c r="P3505" i="109"/>
  <c r="P3504" i="109"/>
  <c r="P3503" i="109"/>
  <c r="P3502" i="109"/>
  <c r="P3501" i="109"/>
  <c r="P3500" i="109"/>
  <c r="P3499" i="109"/>
  <c r="P3498" i="109"/>
  <c r="P3497" i="109"/>
  <c r="P3496" i="109"/>
  <c r="P3495" i="109"/>
  <c r="P3494" i="109"/>
  <c r="P3493" i="109"/>
  <c r="P3492" i="109"/>
  <c r="P3491" i="109"/>
  <c r="P3490" i="109"/>
  <c r="P3489" i="109"/>
  <c r="P3488" i="109"/>
  <c r="P3487" i="109"/>
  <c r="P3486" i="109"/>
  <c r="P3485" i="109"/>
  <c r="P3484" i="109"/>
  <c r="P3483" i="109"/>
  <c r="P3482" i="109"/>
  <c r="P3481" i="109"/>
  <c r="P3480" i="109"/>
  <c r="P3479" i="109"/>
  <c r="P3478" i="109"/>
  <c r="P3477" i="109"/>
  <c r="P3476" i="109"/>
  <c r="P3475" i="109"/>
  <c r="P3474" i="109"/>
  <c r="P3473" i="109"/>
  <c r="P3472" i="109"/>
  <c r="P3471" i="109"/>
  <c r="P3470" i="109"/>
  <c r="P3469" i="109"/>
  <c r="P3468" i="109"/>
  <c r="P3467" i="109"/>
  <c r="P3466" i="109"/>
  <c r="P3465" i="109"/>
  <c r="P3464" i="109"/>
  <c r="P3463" i="109"/>
  <c r="P3462" i="109"/>
  <c r="P3461" i="109"/>
  <c r="P3460" i="109"/>
  <c r="P3459" i="109"/>
  <c r="P3458" i="109"/>
  <c r="P3457" i="109"/>
  <c r="P3456" i="109"/>
  <c r="P3455" i="109"/>
  <c r="P3454" i="109"/>
  <c r="P3453" i="109"/>
  <c r="P3452" i="109"/>
  <c r="P3451" i="109"/>
  <c r="P3449" i="109"/>
  <c r="P3448" i="109"/>
  <c r="P3447" i="109"/>
  <c r="P3446" i="109"/>
  <c r="P3445" i="109"/>
  <c r="P3444" i="109"/>
  <c r="P3443" i="109"/>
  <c r="P3442" i="109"/>
  <c r="P3441" i="109"/>
  <c r="P3440" i="109"/>
  <c r="P3439" i="109"/>
  <c r="P3436" i="109"/>
  <c r="P3435" i="109"/>
  <c r="P3434" i="109"/>
  <c r="P3433" i="109"/>
  <c r="P3430" i="109"/>
  <c r="P3429" i="109"/>
  <c r="P3428" i="109"/>
  <c r="P3427" i="109"/>
  <c r="P3425" i="109"/>
  <c r="P3424" i="109"/>
  <c r="P3423" i="109"/>
  <c r="P3422" i="109"/>
  <c r="P3421" i="109"/>
  <c r="P3420" i="109"/>
  <c r="P3419" i="109"/>
  <c r="P3418" i="109"/>
  <c r="P3417" i="109"/>
  <c r="P3416" i="109"/>
  <c r="P3415" i="109"/>
  <c r="P3414" i="109"/>
  <c r="P3413" i="109"/>
  <c r="P3412" i="109"/>
  <c r="P3411" i="109"/>
  <c r="P3410" i="109"/>
  <c r="P3409" i="109"/>
  <c r="P3408" i="109"/>
  <c r="P3407" i="109"/>
  <c r="P3406" i="109"/>
  <c r="P3405" i="109"/>
  <c r="P3404" i="109"/>
  <c r="P3403" i="109"/>
  <c r="P3402" i="109"/>
  <c r="P3401" i="109"/>
  <c r="P3400" i="109"/>
  <c r="P3399" i="109"/>
  <c r="P3398" i="109"/>
  <c r="P3397" i="109"/>
  <c r="P3396" i="109"/>
  <c r="P3395" i="109"/>
  <c r="P3394" i="109"/>
  <c r="P3393" i="109"/>
  <c r="P3392" i="109"/>
  <c r="P3391" i="109"/>
  <c r="P3390" i="109"/>
  <c r="P3389" i="109"/>
  <c r="P3388" i="109"/>
  <c r="P3387" i="109"/>
  <c r="P3386" i="109"/>
  <c r="P3385" i="109"/>
  <c r="P3384" i="109"/>
  <c r="P3383" i="109"/>
  <c r="P3382" i="109"/>
  <c r="P3381" i="109"/>
  <c r="P3380" i="109"/>
  <c r="P3379" i="109"/>
  <c r="P3378" i="109"/>
  <c r="P3377" i="109"/>
  <c r="P3376" i="109"/>
  <c r="P3375" i="109"/>
  <c r="P3374" i="109"/>
  <c r="P3373" i="109"/>
  <c r="P3372" i="109"/>
  <c r="P3371" i="109"/>
  <c r="P3370" i="109"/>
  <c r="P3369" i="109"/>
  <c r="P3368" i="109"/>
  <c r="P3367" i="109"/>
  <c r="P3366" i="109"/>
  <c r="P3365" i="109"/>
  <c r="P3364" i="109"/>
  <c r="P3363" i="109"/>
  <c r="P3362" i="109"/>
  <c r="P3361" i="109"/>
  <c r="P3360" i="109"/>
  <c r="P3359" i="109"/>
  <c r="P3358" i="109"/>
  <c r="P3357" i="109"/>
  <c r="P3356" i="109"/>
  <c r="P3355" i="109"/>
  <c r="P3354" i="109"/>
  <c r="P3353" i="109"/>
  <c r="P3352" i="109"/>
  <c r="P3351" i="109"/>
  <c r="P3350" i="109"/>
  <c r="P3349" i="109"/>
  <c r="P3348" i="109"/>
  <c r="P3347" i="109"/>
  <c r="P3346" i="109"/>
  <c r="P3345" i="109"/>
  <c r="P3344" i="109"/>
  <c r="P3343" i="109"/>
  <c r="P3342" i="109"/>
  <c r="P3341" i="109"/>
  <c r="P3340" i="109"/>
  <c r="P3339" i="109"/>
  <c r="P3338" i="109"/>
  <c r="P3337" i="109"/>
  <c r="P3336" i="109"/>
  <c r="P3335" i="109"/>
  <c r="P3334" i="109"/>
  <c r="P3333" i="109"/>
  <c r="P3332" i="109"/>
  <c r="P3331" i="109"/>
  <c r="P3330" i="109"/>
  <c r="P3329" i="109"/>
  <c r="P3328" i="109"/>
  <c r="P3327" i="109"/>
  <c r="P3326" i="109"/>
  <c r="P3325" i="109"/>
  <c r="P3324" i="109"/>
  <c r="P3323" i="109"/>
  <c r="P3322" i="109"/>
  <c r="P3321" i="109"/>
  <c r="P3320" i="109"/>
  <c r="P3319" i="109"/>
  <c r="P3318" i="109"/>
  <c r="P3317" i="109"/>
  <c r="P3316" i="109"/>
  <c r="P3315" i="109"/>
  <c r="P3314" i="109"/>
  <c r="P3313" i="109"/>
  <c r="P3312" i="109"/>
  <c r="P3311" i="109"/>
  <c r="P3310" i="109"/>
  <c r="P3309" i="109"/>
  <c r="P3308" i="109"/>
  <c r="P3307" i="109"/>
  <c r="P3306" i="109"/>
  <c r="P3305" i="109"/>
  <c r="P3304" i="109"/>
  <c r="P3303" i="109"/>
  <c r="P3302" i="109"/>
  <c r="P3301" i="109"/>
  <c r="P3300" i="109"/>
  <c r="P3299" i="109"/>
  <c r="P3298" i="109"/>
  <c r="P3297" i="109"/>
  <c r="P3296" i="109"/>
  <c r="P3295" i="109"/>
  <c r="P3294" i="109"/>
  <c r="P3293" i="109"/>
  <c r="P3292" i="109"/>
  <c r="P3291" i="109"/>
  <c r="P3290" i="109"/>
  <c r="P3289" i="109"/>
  <c r="P3288" i="109"/>
  <c r="P3287" i="109"/>
  <c r="P3286" i="109"/>
  <c r="P3285" i="109"/>
  <c r="P3284" i="109"/>
  <c r="P3283" i="109"/>
  <c r="P3282" i="109"/>
  <c r="P3281" i="109"/>
  <c r="P3280" i="109"/>
  <c r="P3279" i="109"/>
  <c r="P3278" i="109"/>
  <c r="P3277" i="109"/>
  <c r="P3276" i="109"/>
  <c r="P3275" i="109"/>
  <c r="P3274" i="109"/>
  <c r="P3273" i="109"/>
  <c r="P3272" i="109"/>
  <c r="P3271" i="109"/>
  <c r="P3270" i="109"/>
  <c r="P3269" i="109"/>
  <c r="P3268" i="109"/>
  <c r="P3267" i="109"/>
  <c r="P3266" i="109"/>
  <c r="P3265" i="109"/>
  <c r="P3264" i="109"/>
  <c r="P3263" i="109"/>
  <c r="P3262" i="109"/>
  <c r="P3261" i="109"/>
  <c r="P3260" i="109"/>
  <c r="P3259" i="109"/>
  <c r="P3258" i="109"/>
  <c r="P3257" i="109"/>
  <c r="P3256" i="109"/>
  <c r="P3255" i="109"/>
  <c r="P3254" i="109"/>
  <c r="P3253" i="109"/>
  <c r="P3252" i="109"/>
  <c r="P3251" i="109"/>
  <c r="P3250" i="109"/>
  <c r="P3249" i="109"/>
  <c r="P3247" i="109"/>
  <c r="P3246" i="109"/>
  <c r="P3245" i="109"/>
  <c r="P3244" i="109"/>
  <c r="P3243" i="109"/>
  <c r="P3242" i="109"/>
  <c r="P3241" i="109"/>
  <c r="P3240" i="109"/>
  <c r="P3239" i="109"/>
  <c r="P3238" i="109"/>
  <c r="P3237" i="109"/>
  <c r="P3236" i="109"/>
  <c r="P3235" i="109"/>
  <c r="P3234" i="109"/>
  <c r="P3233" i="109"/>
  <c r="P3232" i="109"/>
  <c r="P3231" i="109"/>
  <c r="P3230" i="109"/>
  <c r="P3229" i="109"/>
  <c r="P3228" i="109"/>
  <c r="P3227" i="109"/>
  <c r="P3226" i="109"/>
  <c r="P3225" i="109"/>
  <c r="P3224" i="109"/>
  <c r="P3223" i="109"/>
  <c r="P3222" i="109"/>
  <c r="P3221" i="109"/>
  <c r="P3220" i="109"/>
  <c r="P3219" i="109"/>
  <c r="P3218" i="109"/>
  <c r="P3217" i="109"/>
  <c r="P3216" i="109"/>
  <c r="P3215" i="109"/>
  <c r="P3214" i="109"/>
  <c r="P3213" i="109"/>
  <c r="P3212" i="109"/>
  <c r="P3211" i="109"/>
  <c r="P3210" i="109"/>
  <c r="P3209" i="109"/>
  <c r="P3208" i="109"/>
  <c r="P3207" i="109"/>
  <c r="P3206" i="109"/>
  <c r="P3205" i="109"/>
  <c r="P3204" i="109"/>
  <c r="P3203" i="109"/>
  <c r="P3202" i="109"/>
  <c r="P3201" i="109"/>
  <c r="P3200" i="109"/>
  <c r="P3199" i="109"/>
  <c r="P3198" i="109"/>
  <c r="P3197" i="109"/>
  <c r="P3196" i="109"/>
  <c r="P3195" i="109"/>
  <c r="P3194" i="109"/>
  <c r="P3193" i="109"/>
  <c r="P3192" i="109"/>
  <c r="P3191" i="109"/>
  <c r="P3190" i="109"/>
  <c r="P3189" i="109"/>
  <c r="P3188" i="109"/>
  <c r="P3187" i="109"/>
  <c r="P3186" i="109"/>
  <c r="P3185" i="109"/>
  <c r="P3184" i="109"/>
  <c r="P3183" i="109"/>
  <c r="P3182" i="109"/>
  <c r="P3181" i="109"/>
  <c r="P3180" i="109"/>
  <c r="P3179" i="109"/>
  <c r="P3178" i="109"/>
  <c r="P3177" i="109"/>
  <c r="P3176" i="109"/>
  <c r="P3175" i="109"/>
  <c r="P3174" i="109"/>
  <c r="P3173" i="109"/>
  <c r="P3172" i="109"/>
  <c r="P3171" i="109"/>
  <c r="P3170" i="109"/>
  <c r="P3169" i="109"/>
  <c r="P3168" i="109"/>
  <c r="P3167" i="109"/>
  <c r="P3166" i="109"/>
  <c r="P3165" i="109"/>
  <c r="P3164" i="109"/>
  <c r="P3163" i="109"/>
  <c r="P3162" i="109"/>
  <c r="P3161" i="109"/>
  <c r="P3160" i="109"/>
  <c r="P3159" i="109"/>
  <c r="P3158" i="109"/>
  <c r="P3157" i="109"/>
  <c r="P3156" i="109"/>
  <c r="P3155" i="109"/>
  <c r="P3154" i="109"/>
  <c r="P3153" i="109"/>
  <c r="P3152" i="109"/>
  <c r="P3151" i="109"/>
  <c r="P3150" i="109"/>
  <c r="P3148" i="109"/>
  <c r="P3147" i="109"/>
  <c r="P3146" i="109"/>
  <c r="P3145" i="109"/>
  <c r="P3144" i="109"/>
  <c r="P3143" i="109"/>
  <c r="P3142" i="109"/>
  <c r="P3141" i="109"/>
  <c r="P3140" i="109"/>
  <c r="P3139" i="109"/>
  <c r="P3138" i="109"/>
  <c r="P3137" i="109"/>
  <c r="P3136" i="109"/>
  <c r="P3135" i="109"/>
  <c r="P3134" i="109"/>
  <c r="P3133" i="109"/>
  <c r="P3132" i="109"/>
  <c r="P3131" i="109"/>
  <c r="P3130" i="109"/>
  <c r="P3129" i="109"/>
  <c r="P3128" i="109"/>
  <c r="P3127" i="109"/>
  <c r="P3126" i="109"/>
  <c r="P3125" i="109"/>
  <c r="P3124" i="109"/>
  <c r="P3123" i="109"/>
  <c r="P3122" i="109"/>
  <c r="P3121" i="109"/>
  <c r="P3120" i="109"/>
  <c r="P3119" i="109"/>
  <c r="P3118" i="109"/>
  <c r="P3117" i="109"/>
  <c r="P3116" i="109"/>
  <c r="P3115" i="109"/>
  <c r="P3114" i="109"/>
  <c r="P3113" i="109"/>
  <c r="P3112" i="109"/>
  <c r="P3111" i="109"/>
  <c r="P3110" i="109"/>
  <c r="P3109" i="109"/>
  <c r="P3108" i="109"/>
  <c r="P3107" i="109"/>
  <c r="P3106" i="109"/>
  <c r="P3105" i="109"/>
  <c r="P3104" i="109"/>
  <c r="P3103" i="109"/>
  <c r="P3102" i="109"/>
  <c r="P3101" i="109"/>
  <c r="P3100" i="109"/>
  <c r="P3099" i="109"/>
  <c r="P3098" i="109"/>
  <c r="P3097" i="109"/>
  <c r="P3096" i="109"/>
  <c r="P3095" i="109"/>
  <c r="P3094" i="109"/>
  <c r="P3093" i="109"/>
  <c r="P3092" i="109"/>
  <c r="P3091" i="109"/>
  <c r="P3090" i="109"/>
  <c r="P3089" i="109"/>
  <c r="P3088" i="109"/>
  <c r="P3086" i="109"/>
  <c r="P3085" i="109"/>
  <c r="P3084" i="109"/>
  <c r="P3079" i="109"/>
  <c r="P3078" i="109"/>
  <c r="P3077" i="109"/>
  <c r="P3076" i="109"/>
  <c r="P3075" i="109"/>
  <c r="P3074" i="109"/>
  <c r="P3073" i="109"/>
  <c r="P3072" i="109"/>
  <c r="P3071" i="109"/>
  <c r="P3070" i="109"/>
  <c r="P3069" i="109"/>
  <c r="P3065" i="109"/>
  <c r="P3063" i="109"/>
  <c r="P3060" i="109"/>
  <c r="P3058" i="109"/>
  <c r="P3057" i="109"/>
  <c r="P3055" i="109"/>
  <c r="P3054" i="109"/>
  <c r="P3052" i="109"/>
  <c r="P3051" i="109"/>
  <c r="P3050" i="109"/>
  <c r="P3049" i="109"/>
  <c r="P3048" i="109"/>
  <c r="P3047" i="109"/>
  <c r="P3046" i="109"/>
  <c r="P3045" i="109"/>
  <c r="P3044" i="109"/>
  <c r="P3043" i="109"/>
  <c r="P3042" i="109"/>
  <c r="P3041" i="109"/>
  <c r="P3040" i="109"/>
  <c r="P3039" i="109"/>
  <c r="P3038" i="109"/>
  <c r="P3037" i="109"/>
  <c r="P3036" i="109"/>
  <c r="P3035" i="109"/>
  <c r="P3034" i="109"/>
  <c r="P3033" i="109"/>
  <c r="P3032" i="109"/>
  <c r="P3031" i="109"/>
  <c r="P3030" i="109"/>
  <c r="P3029" i="109"/>
  <c r="P3028" i="109"/>
  <c r="P3027" i="109"/>
  <c r="P3026" i="109"/>
  <c r="P3025" i="109"/>
  <c r="P3024" i="109"/>
  <c r="P3023" i="109"/>
  <c r="P3022" i="109"/>
  <c r="P3021" i="109"/>
  <c r="P3020" i="109"/>
  <c r="P3019" i="109"/>
  <c r="P3018" i="109"/>
  <c r="P3017" i="109"/>
  <c r="P3016" i="109"/>
  <c r="P3015" i="109"/>
  <c r="P3013" i="109"/>
  <c r="P3012" i="109"/>
  <c r="P3011" i="109"/>
  <c r="P3010" i="109"/>
  <c r="P3009" i="109"/>
  <c r="P3008" i="109"/>
  <c r="P3007" i="109"/>
  <c r="P3004" i="109"/>
  <c r="P3003" i="109"/>
  <c r="P3002" i="109"/>
  <c r="P3001" i="109"/>
  <c r="P3000" i="109"/>
  <c r="P2999" i="109"/>
  <c r="P2998" i="109"/>
  <c r="P2997" i="109"/>
  <c r="P2996" i="109"/>
  <c r="P2995" i="109"/>
  <c r="P2994" i="109"/>
  <c r="P2993" i="109"/>
  <c r="P2992" i="109"/>
  <c r="P2991" i="109"/>
  <c r="P2990" i="109"/>
  <c r="P2989" i="109"/>
  <c r="P2988" i="109"/>
  <c r="P2987" i="109"/>
  <c r="P2986" i="109"/>
  <c r="P2985" i="109"/>
  <c r="P2982" i="109"/>
  <c r="P2981" i="109"/>
  <c r="P2980" i="109"/>
  <c r="P2979" i="109"/>
  <c r="P2978" i="109"/>
  <c r="P2974" i="109"/>
  <c r="P2973" i="109"/>
  <c r="P2971" i="109"/>
  <c r="P2970" i="109"/>
  <c r="P2969" i="109"/>
  <c r="P2968" i="109"/>
  <c r="P2967" i="109"/>
  <c r="P2966" i="109"/>
  <c r="P2965" i="109"/>
  <c r="P2964" i="109"/>
  <c r="P2963" i="109"/>
  <c r="P2962" i="109"/>
  <c r="P2961" i="109"/>
  <c r="P2939" i="109"/>
  <c r="P2938" i="109"/>
  <c r="P2937" i="109"/>
  <c r="P2936" i="109"/>
  <c r="P2935" i="109"/>
  <c r="P2934" i="109"/>
  <c r="P2933" i="109"/>
  <c r="P2932" i="109"/>
  <c r="P2930" i="109"/>
  <c r="P2929" i="109"/>
  <c r="P2928" i="109"/>
  <c r="P2927" i="109"/>
  <c r="P2926" i="109"/>
  <c r="P2925" i="109"/>
  <c r="P2924" i="109"/>
  <c r="P2923" i="109"/>
  <c r="P2921" i="109"/>
  <c r="P2919" i="109"/>
  <c r="P2918" i="109"/>
  <c r="P2917" i="109"/>
  <c r="P2916" i="109"/>
  <c r="P2915" i="109"/>
  <c r="P2914" i="109"/>
  <c r="P2913" i="109"/>
  <c r="P2912" i="109"/>
  <c r="P2911" i="109"/>
  <c r="P2910" i="109"/>
  <c r="P2909" i="109"/>
  <c r="P2908" i="109"/>
  <c r="P2907" i="109"/>
  <c r="P2906" i="109"/>
  <c r="P2904" i="109"/>
  <c r="P2903" i="109"/>
  <c r="P2902" i="109"/>
  <c r="P2901" i="109"/>
  <c r="P2900" i="109"/>
  <c r="P2899" i="109"/>
  <c r="P2898" i="109"/>
  <c r="P2897" i="109"/>
  <c r="P2896" i="109"/>
  <c r="P2895" i="109"/>
  <c r="P2893" i="109"/>
  <c r="P2892" i="109"/>
  <c r="P2891" i="109"/>
  <c r="P2890" i="109"/>
  <c r="P2889" i="109"/>
  <c r="P2888" i="109"/>
  <c r="P2886" i="109"/>
  <c r="P2885" i="109"/>
  <c r="P2884" i="109"/>
  <c r="P2883" i="109"/>
  <c r="P2882" i="109"/>
  <c r="P2881" i="109"/>
  <c r="P2880" i="109"/>
  <c r="P2879" i="109"/>
  <c r="P2878" i="109"/>
  <c r="P2877" i="109"/>
  <c r="P2876" i="109"/>
  <c r="P2875" i="109"/>
  <c r="P2874" i="109"/>
  <c r="P2868" i="109"/>
  <c r="P2867" i="109"/>
  <c r="P2866" i="109"/>
  <c r="P2865" i="109"/>
  <c r="P2864" i="109"/>
  <c r="P2863" i="109"/>
  <c r="P2862" i="109"/>
  <c r="P2860" i="109"/>
  <c r="P2858" i="109"/>
  <c r="P2857" i="109"/>
  <c r="P2856" i="109"/>
  <c r="P2855" i="109"/>
  <c r="P2854" i="109"/>
  <c r="P2853" i="109"/>
  <c r="P2851" i="109"/>
  <c r="P2850" i="109"/>
  <c r="P2849" i="109"/>
  <c r="P2848" i="109"/>
  <c r="P2847" i="109"/>
  <c r="P2846" i="109"/>
  <c r="P2845" i="109"/>
  <c r="P2844" i="109"/>
  <c r="P2843" i="109"/>
  <c r="P2842" i="109"/>
  <c r="P2841" i="109"/>
  <c r="P2840" i="109"/>
  <c r="P2839" i="109"/>
  <c r="P2838" i="109"/>
  <c r="P2837" i="109"/>
  <c r="P2836" i="109"/>
  <c r="P2835" i="109"/>
  <c r="P2833" i="109"/>
  <c r="P2832" i="109"/>
  <c r="P2830" i="109"/>
  <c r="P2829" i="109"/>
  <c r="P2828" i="109"/>
  <c r="P2827" i="109"/>
  <c r="P2826" i="109"/>
  <c r="P2825" i="109"/>
  <c r="P2824" i="109"/>
  <c r="P2823" i="109"/>
  <c r="P2822" i="109"/>
  <c r="P2821" i="109"/>
  <c r="P2819" i="109"/>
  <c r="P2818" i="109"/>
  <c r="P2817" i="109"/>
  <c r="P2816" i="109"/>
  <c r="P2815" i="109"/>
  <c r="P2813" i="109"/>
  <c r="P2812" i="109"/>
  <c r="P2810" i="109"/>
  <c r="P2809" i="109"/>
  <c r="P2808" i="109"/>
  <c r="P2807" i="109"/>
  <c r="P2806" i="109"/>
  <c r="P2805" i="109"/>
  <c r="P2804" i="109"/>
  <c r="P2802" i="109"/>
  <c r="P2801" i="109"/>
  <c r="P2800" i="109"/>
  <c r="P2799" i="109"/>
  <c r="P2798" i="109"/>
  <c r="P2797" i="109"/>
  <c r="P2796" i="109"/>
  <c r="P2795" i="109"/>
  <c r="P2794" i="109"/>
  <c r="P2793" i="109"/>
  <c r="P2791" i="109"/>
  <c r="P2790" i="109"/>
  <c r="P2789" i="109"/>
  <c r="P2788" i="109"/>
  <c r="P2787" i="109"/>
  <c r="P2786" i="109"/>
  <c r="P2785" i="109"/>
  <c r="P2784" i="109"/>
  <c r="P2783" i="109"/>
  <c r="P2782" i="109"/>
  <c r="P2781" i="109"/>
  <c r="P2780" i="109"/>
  <c r="P2779" i="109"/>
  <c r="P2778" i="109"/>
  <c r="P2777" i="109"/>
  <c r="P2776" i="109"/>
  <c r="P2775" i="109"/>
  <c r="P2774" i="109"/>
  <c r="P2773" i="109"/>
  <c r="P2772" i="109"/>
  <c r="P2771" i="109"/>
  <c r="P2770" i="109"/>
  <c r="P2769" i="109"/>
  <c r="P2768" i="109"/>
  <c r="P2767" i="109"/>
  <c r="P2766" i="109"/>
  <c r="P2765" i="109"/>
  <c r="P2764" i="109"/>
  <c r="P2763" i="109"/>
  <c r="P2762" i="109"/>
  <c r="P2761" i="109"/>
  <c r="P2760" i="109"/>
  <c r="P2759" i="109"/>
  <c r="P2758" i="109"/>
  <c r="P2757" i="109"/>
  <c r="P2756" i="109"/>
  <c r="P2755" i="109"/>
  <c r="P2754" i="109"/>
  <c r="P2753" i="109"/>
  <c r="P2752" i="109"/>
  <c r="P2751" i="109"/>
  <c r="P2750" i="109"/>
  <c r="P2749" i="109"/>
  <c r="P2748" i="109"/>
  <c r="P2747" i="109"/>
  <c r="P2746" i="109"/>
  <c r="P2745" i="109"/>
  <c r="P2744" i="109"/>
  <c r="P2743" i="109"/>
  <c r="P2742" i="109"/>
  <c r="P2741" i="109"/>
  <c r="P2740" i="109"/>
  <c r="P2739" i="109"/>
  <c r="P2738" i="109"/>
  <c r="P2737" i="109"/>
  <c r="P2736" i="109"/>
  <c r="P2735" i="109"/>
  <c r="P2734" i="109"/>
  <c r="P2733" i="109"/>
  <c r="P2732" i="109"/>
  <c r="P2731" i="109"/>
  <c r="P2730" i="109"/>
  <c r="P2729" i="109"/>
  <c r="P2728" i="109"/>
  <c r="P2727" i="109"/>
  <c r="P2726" i="109"/>
  <c r="P2725" i="109"/>
  <c r="P2724" i="109"/>
  <c r="P2723" i="109"/>
  <c r="P2722" i="109"/>
  <c r="P2721" i="109"/>
  <c r="P2720" i="109"/>
  <c r="P2719" i="109"/>
  <c r="P2718" i="109"/>
  <c r="P2717" i="109"/>
  <c r="P2716" i="109"/>
  <c r="P2715" i="109"/>
  <c r="P2714" i="109"/>
  <c r="P2713" i="109"/>
  <c r="P2712" i="109"/>
  <c r="P2711" i="109"/>
  <c r="P2710" i="109"/>
  <c r="P2709" i="109"/>
  <c r="P2708" i="109"/>
  <c r="P2707" i="109"/>
  <c r="P2706" i="109"/>
  <c r="P2705" i="109"/>
  <c r="P2704" i="109"/>
  <c r="P2703" i="109"/>
  <c r="P2702" i="109"/>
  <c r="P2701" i="109"/>
  <c r="P2700" i="109"/>
  <c r="P2699" i="109"/>
  <c r="P2698" i="109"/>
  <c r="P2697" i="109"/>
  <c r="P2696" i="109"/>
  <c r="P2695" i="109"/>
  <c r="P2694" i="109"/>
  <c r="P2693" i="109"/>
  <c r="P2692" i="109"/>
  <c r="P2691" i="109"/>
  <c r="P2690" i="109"/>
  <c r="P2689" i="109"/>
  <c r="P2688" i="109"/>
  <c r="P2687" i="109"/>
  <c r="P2686" i="109"/>
  <c r="P2685" i="109"/>
  <c r="P2684" i="109"/>
  <c r="P2683" i="109"/>
  <c r="P2682" i="109"/>
  <c r="P2681" i="109"/>
  <c r="P2680" i="109"/>
  <c r="P2679" i="109"/>
  <c r="P2678" i="109"/>
  <c r="P2677" i="109"/>
  <c r="P2676" i="109"/>
  <c r="P2675" i="109"/>
  <c r="P2674" i="109"/>
  <c r="P2673" i="109"/>
  <c r="P2672" i="109"/>
  <c r="P2671" i="109"/>
  <c r="P2670" i="109"/>
  <c r="P2669" i="109"/>
  <c r="P2668" i="109"/>
  <c r="P2667" i="109"/>
  <c r="P2666" i="109"/>
  <c r="P2665" i="109"/>
  <c r="P2664" i="109"/>
  <c r="P2663" i="109"/>
  <c r="P2662" i="109"/>
  <c r="P2661" i="109"/>
  <c r="P2660" i="109"/>
  <c r="P2659" i="109"/>
  <c r="P2658" i="109"/>
  <c r="P2657" i="109"/>
  <c r="P2656" i="109"/>
  <c r="P2655" i="109"/>
  <c r="P2654" i="109"/>
  <c r="P2653" i="109"/>
  <c r="P2652" i="109"/>
  <c r="P2651" i="109"/>
  <c r="P2650" i="109"/>
  <c r="P2649" i="109"/>
  <c r="P2648" i="109"/>
  <c r="P2647" i="109"/>
  <c r="P2646" i="109"/>
  <c r="P2645" i="109"/>
  <c r="P2644" i="109"/>
  <c r="P2643" i="109"/>
  <c r="P2642" i="109"/>
  <c r="P2641" i="109"/>
  <c r="P2640" i="109"/>
  <c r="P2639" i="109"/>
  <c r="P2638" i="109"/>
  <c r="P2637" i="109"/>
  <c r="P2636" i="109"/>
  <c r="P2635" i="109"/>
  <c r="P2634" i="109"/>
  <c r="P2633" i="109"/>
  <c r="P2632" i="109"/>
  <c r="P2631" i="109"/>
  <c r="P2630" i="109"/>
  <c r="P2629" i="109"/>
  <c r="P2628" i="109"/>
  <c r="P2627" i="109"/>
  <c r="P2626" i="109"/>
  <c r="P2625" i="109"/>
  <c r="P2624" i="109"/>
  <c r="P2623" i="109"/>
  <c r="P2622" i="109"/>
  <c r="P2621" i="109"/>
  <c r="P2620" i="109"/>
  <c r="P2619" i="109"/>
  <c r="P2618" i="109"/>
  <c r="P2617" i="109"/>
  <c r="P2616" i="109"/>
  <c r="P2615" i="109"/>
  <c r="P2614" i="109"/>
  <c r="P2613" i="109"/>
  <c r="P2612" i="109"/>
  <c r="P2611" i="109"/>
  <c r="P2610" i="109"/>
  <c r="P2609" i="109"/>
  <c r="P2606" i="109"/>
  <c r="P2605" i="109"/>
  <c r="P2604" i="109"/>
  <c r="P2603" i="109"/>
  <c r="P2601" i="109"/>
  <c r="P2600" i="109"/>
  <c r="P2598" i="109"/>
  <c r="P2597" i="109"/>
  <c r="P2596" i="109"/>
  <c r="P2595" i="109"/>
  <c r="P2594" i="109"/>
  <c r="P2593" i="109"/>
  <c r="P2592" i="109"/>
  <c r="P2591" i="109"/>
  <c r="P2590" i="109"/>
  <c r="P2589" i="109"/>
  <c r="P2587" i="109"/>
  <c r="P2586" i="109"/>
  <c r="P2585" i="109"/>
  <c r="P2584" i="109"/>
  <c r="P2583" i="109"/>
  <c r="P2582" i="109"/>
  <c r="P2580" i="109"/>
  <c r="P2579" i="109"/>
  <c r="P2578" i="109"/>
  <c r="P2577" i="109"/>
  <c r="P2574" i="109"/>
  <c r="P2573" i="109"/>
  <c r="P2567" i="109"/>
  <c r="P2563" i="109"/>
  <c r="P2561" i="109"/>
  <c r="P2560" i="109"/>
  <c r="P2558" i="109"/>
  <c r="P2557" i="109"/>
  <c r="P2550" i="109"/>
  <c r="P2549" i="109"/>
  <c r="P2548" i="109"/>
  <c r="P2547" i="109"/>
  <c r="P2546" i="109"/>
  <c r="P2545" i="109"/>
  <c r="P2544" i="109"/>
  <c r="P2543" i="109"/>
  <c r="P2542" i="109"/>
  <c r="P2541" i="109"/>
  <c r="P2540" i="109"/>
  <c r="P2539" i="109"/>
  <c r="P2538" i="109"/>
  <c r="P2537" i="109"/>
  <c r="P2536" i="109"/>
  <c r="P2535" i="109"/>
  <c r="P2534" i="109"/>
  <c r="P2533" i="109"/>
  <c r="P2532" i="109"/>
  <c r="P2531" i="109"/>
  <c r="P2530" i="109"/>
  <c r="P2529" i="109"/>
  <c r="P2528" i="109"/>
  <c r="P2527" i="109"/>
  <c r="P2526" i="109"/>
  <c r="P2525" i="109"/>
  <c r="P2524" i="109"/>
  <c r="P2523" i="109"/>
  <c r="P2522" i="109"/>
  <c r="P2521" i="109"/>
  <c r="P2520" i="109"/>
  <c r="P2519" i="109"/>
  <c r="P2518" i="109"/>
  <c r="P2517" i="109"/>
  <c r="P2516" i="109"/>
  <c r="P2515" i="109"/>
  <c r="P2514" i="109"/>
  <c r="P2513" i="109"/>
  <c r="P2512" i="109"/>
  <c r="P2511" i="109"/>
  <c r="P2510" i="109"/>
  <c r="P2509" i="109"/>
  <c r="P2508" i="109"/>
  <c r="P2507" i="109"/>
  <c r="P2506" i="109"/>
  <c r="P2505" i="109"/>
  <c r="P2504" i="109"/>
  <c r="P2503" i="109"/>
  <c r="P2502" i="109"/>
  <c r="P2501" i="109"/>
  <c r="P2500" i="109"/>
  <c r="P2499" i="109"/>
  <c r="P2498" i="109"/>
  <c r="P2497" i="109"/>
  <c r="P2496" i="109"/>
  <c r="P2495" i="109"/>
  <c r="P2494" i="109"/>
  <c r="P2493" i="109"/>
  <c r="P2492" i="109"/>
  <c r="P2491" i="109"/>
  <c r="P2490" i="109"/>
  <c r="P2489" i="109"/>
  <c r="P2488" i="109"/>
  <c r="P2487" i="109"/>
  <c r="P2486" i="109"/>
  <c r="P2485" i="109"/>
  <c r="P2484" i="109"/>
  <c r="P2483" i="109"/>
  <c r="P2482" i="109"/>
  <c r="P2481" i="109"/>
  <c r="P2480" i="109"/>
  <c r="P2479" i="109"/>
  <c r="P2478" i="109"/>
  <c r="P2477" i="109"/>
  <c r="P2476" i="109"/>
  <c r="P2475" i="109"/>
  <c r="P2474" i="109"/>
  <c r="P2473" i="109"/>
  <c r="P2472" i="109"/>
  <c r="P2471" i="109"/>
  <c r="P2470" i="109"/>
  <c r="P2469" i="109"/>
  <c r="P2468" i="109"/>
  <c r="P2467" i="109"/>
  <c r="P2466" i="109"/>
  <c r="P2465" i="109"/>
  <c r="P2464" i="109"/>
  <c r="P2463" i="109"/>
  <c r="P2462" i="109"/>
  <c r="P2461" i="109"/>
  <c r="P2460" i="109"/>
  <c r="P2459" i="109"/>
  <c r="P2458" i="109"/>
  <c r="P2457" i="109"/>
  <c r="P2456" i="109"/>
  <c r="P2455" i="109"/>
  <c r="P2454" i="109"/>
  <c r="P2453" i="109"/>
  <c r="P2452" i="109"/>
  <c r="P2451" i="109"/>
  <c r="P2450" i="109"/>
  <c r="P2449" i="109"/>
  <c r="P2448" i="109"/>
  <c r="P2447" i="109"/>
  <c r="P2446" i="109"/>
  <c r="P2445" i="109"/>
  <c r="P2444" i="109"/>
  <c r="P2443" i="109"/>
  <c r="P2442" i="109"/>
  <c r="P2441" i="109"/>
  <c r="P2440" i="109"/>
  <c r="P2439" i="109"/>
  <c r="P2438" i="109"/>
  <c r="P2437" i="109"/>
  <c r="P2436" i="109"/>
  <c r="P2435" i="109"/>
  <c r="P2434" i="109"/>
  <c r="P2433" i="109"/>
  <c r="P2432" i="109"/>
  <c r="P2431" i="109"/>
  <c r="P2430" i="109"/>
  <c r="P2429" i="109"/>
  <c r="P2428" i="109"/>
  <c r="P2427" i="109"/>
  <c r="P2426" i="109"/>
  <c r="P2425" i="109"/>
  <c r="P2424" i="109"/>
  <c r="P2423" i="109"/>
  <c r="P2422" i="109"/>
  <c r="P2421" i="109"/>
  <c r="P2420" i="109"/>
  <c r="P2419" i="109"/>
  <c r="P2418" i="109"/>
  <c r="P2417" i="109"/>
  <c r="P2416" i="109"/>
  <c r="P2415" i="109"/>
  <c r="P2414" i="109"/>
  <c r="P2413" i="109"/>
  <c r="P2412" i="109"/>
  <c r="P2411" i="109"/>
  <c r="P2410" i="109"/>
  <c r="P2409" i="109"/>
  <c r="P2408" i="109"/>
  <c r="P2407" i="109"/>
  <c r="P2406" i="109"/>
  <c r="P2405" i="109"/>
  <c r="P2404" i="109"/>
  <c r="P2403" i="109"/>
  <c r="P2402" i="109"/>
  <c r="P2401" i="109"/>
  <c r="P2400" i="109"/>
  <c r="P2399" i="109"/>
  <c r="P2398" i="109"/>
  <c r="P2397" i="109"/>
  <c r="P2396" i="109"/>
  <c r="P2395" i="109"/>
  <c r="P2394" i="109"/>
  <c r="P2393" i="109"/>
  <c r="P2392" i="109"/>
  <c r="P2391" i="109"/>
  <c r="P2390" i="109"/>
  <c r="P2389" i="109"/>
  <c r="P2388" i="109"/>
  <c r="P2387" i="109"/>
  <c r="P2386" i="109"/>
  <c r="P2385" i="109"/>
  <c r="P2384" i="109"/>
  <c r="P2383" i="109"/>
  <c r="P2382" i="109"/>
  <c r="P2381" i="109"/>
  <c r="P2380" i="109"/>
  <c r="P2379" i="109"/>
  <c r="P2378" i="109"/>
  <c r="P2377" i="109"/>
  <c r="P2376" i="109"/>
  <c r="P2375" i="109"/>
  <c r="P2374" i="109"/>
  <c r="P2373" i="109"/>
  <c r="P2372" i="109"/>
  <c r="P2371" i="109"/>
  <c r="P2370" i="109"/>
  <c r="P2369" i="109"/>
  <c r="P2368" i="109"/>
  <c r="P2367" i="109"/>
  <c r="P2366" i="109"/>
  <c r="P2365" i="109"/>
  <c r="P2364" i="109"/>
  <c r="P2363" i="109"/>
  <c r="P2362" i="109"/>
  <c r="P2361" i="109"/>
  <c r="P2360" i="109"/>
  <c r="P2359" i="109"/>
  <c r="P2358" i="109"/>
  <c r="P2351" i="109"/>
  <c r="P2349" i="109"/>
  <c r="P2348" i="109"/>
  <c r="P2347" i="109"/>
  <c r="P2346" i="109"/>
  <c r="P2345" i="109"/>
  <c r="P2344" i="109"/>
  <c r="P2343" i="109"/>
  <c r="P2342" i="109"/>
  <c r="P2341" i="109"/>
  <c r="P2340" i="109"/>
  <c r="P2339" i="109"/>
  <c r="P2338" i="109"/>
  <c r="P2337" i="109"/>
  <c r="P2335" i="109"/>
  <c r="P2334" i="109"/>
  <c r="P2333" i="109"/>
  <c r="P2332" i="109"/>
  <c r="P2331" i="109"/>
  <c r="P2330" i="109"/>
  <c r="P2329" i="109"/>
  <c r="P2328" i="109"/>
  <c r="P2327" i="109"/>
  <c r="P2326" i="109"/>
  <c r="P2325" i="109"/>
  <c r="P2324" i="109"/>
  <c r="P2322" i="109"/>
  <c r="P2321" i="109"/>
  <c r="P2320" i="109"/>
  <c r="P2319" i="109"/>
  <c r="P2318" i="109"/>
  <c r="P2317" i="109"/>
  <c r="P2316" i="109"/>
  <c r="P2315" i="109"/>
  <c r="P2314" i="109"/>
  <c r="P2313" i="109"/>
  <c r="P2300" i="109"/>
  <c r="P2299" i="109"/>
  <c r="P2298" i="109"/>
  <c r="P2297" i="109"/>
  <c r="P2296" i="109"/>
  <c r="P2295" i="109"/>
  <c r="P2294" i="109"/>
  <c r="P2293" i="109"/>
  <c r="P2292" i="109"/>
  <c r="P2291" i="109"/>
  <c r="P2290" i="109"/>
  <c r="P2289" i="109"/>
  <c r="P2288" i="109"/>
  <c r="P2287" i="109"/>
  <c r="P2286" i="109"/>
  <c r="P2285" i="109"/>
  <c r="P2284" i="109"/>
  <c r="P2283" i="109"/>
  <c r="P2282" i="109"/>
  <c r="P2281" i="109"/>
  <c r="P2280" i="109"/>
  <c r="P2279" i="109"/>
  <c r="P2278" i="109"/>
  <c r="P2277" i="109"/>
  <c r="P2276" i="109"/>
  <c r="P2275" i="109"/>
  <c r="P2274" i="109"/>
  <c r="P2273" i="109"/>
  <c r="P2272" i="109"/>
  <c r="P2271" i="109"/>
  <c r="P2270" i="109"/>
  <c r="P2269" i="109"/>
  <c r="P2268" i="109"/>
  <c r="P2267" i="109"/>
  <c r="P2266" i="109"/>
  <c r="P2265" i="109"/>
  <c r="P2264" i="109"/>
  <c r="P2263" i="109"/>
  <c r="P2262" i="109"/>
  <c r="P2261" i="109"/>
  <c r="P2260" i="109"/>
  <c r="P2259" i="109"/>
  <c r="P2258" i="109"/>
  <c r="P2257" i="109"/>
  <c r="P2256" i="109"/>
  <c r="P2255" i="109"/>
  <c r="P2254" i="109"/>
  <c r="P2253" i="109"/>
  <c r="P2252" i="109"/>
  <c r="P2251" i="109"/>
  <c r="P2250" i="109"/>
  <c r="P2249" i="109"/>
  <c r="P2248" i="109"/>
  <c r="P2246" i="109"/>
  <c r="P2244" i="109"/>
  <c r="P2243" i="109"/>
  <c r="P2242" i="109"/>
  <c r="P2241" i="109"/>
  <c r="P2240" i="109"/>
  <c r="P2239" i="109"/>
  <c r="P2238" i="109"/>
  <c r="P2237" i="109"/>
  <c r="P2236" i="109"/>
  <c r="P2235" i="109"/>
  <c r="P2234" i="109"/>
  <c r="P2233" i="109"/>
  <c r="P2231" i="109"/>
  <c r="P2230" i="109"/>
  <c r="P2229" i="109"/>
  <c r="P2228" i="109"/>
  <c r="P2227" i="109"/>
  <c r="P2225" i="109"/>
  <c r="P2224" i="109"/>
  <c r="P2223" i="109"/>
  <c r="P2222" i="109"/>
  <c r="P2221" i="109"/>
  <c r="P2220" i="109"/>
  <c r="P2219" i="109"/>
  <c r="P2218" i="109"/>
  <c r="P2217" i="109"/>
  <c r="P2216" i="109"/>
  <c r="P2215" i="109"/>
  <c r="P2214" i="109"/>
  <c r="P2213" i="109"/>
  <c r="P2212" i="109"/>
  <c r="P2211" i="109"/>
  <c r="P2210" i="109"/>
  <c r="P2209" i="109"/>
  <c r="P2208" i="109"/>
  <c r="P2205" i="109"/>
  <c r="P2204" i="109"/>
  <c r="P2203" i="109"/>
  <c r="P2202" i="109"/>
  <c r="P2201" i="109"/>
  <c r="P2200" i="109"/>
  <c r="P2199" i="109"/>
  <c r="P2198" i="109"/>
  <c r="P2197" i="109"/>
  <c r="P2196" i="109"/>
  <c r="P2195" i="109"/>
  <c r="P2194" i="109"/>
  <c r="P2193" i="109"/>
  <c r="P2192" i="109"/>
  <c r="P2190" i="109"/>
  <c r="P2189" i="109"/>
  <c r="P2188" i="109"/>
  <c r="P2187" i="109"/>
  <c r="P2186" i="109"/>
  <c r="P2185" i="109"/>
  <c r="P2184" i="109"/>
  <c r="P2183" i="109"/>
  <c r="P2182" i="109"/>
  <c r="P2181" i="109"/>
  <c r="P2180" i="109"/>
  <c r="P2179" i="109"/>
  <c r="P2178" i="109"/>
  <c r="P2177" i="109"/>
  <c r="P2176" i="109"/>
  <c r="P2175" i="109"/>
  <c r="P2174" i="109"/>
  <c r="P2173" i="109"/>
  <c r="P2172" i="109"/>
  <c r="P2171" i="109"/>
  <c r="P2170" i="109"/>
  <c r="P2169" i="109"/>
  <c r="P2168" i="109"/>
  <c r="P2167" i="109"/>
  <c r="P2166" i="109"/>
  <c r="P2165" i="109"/>
  <c r="P2164" i="109"/>
  <c r="P2163" i="109"/>
  <c r="P2162" i="109"/>
  <c r="P2161" i="109"/>
  <c r="P2160" i="109"/>
  <c r="P2159" i="109"/>
  <c r="P2158" i="109"/>
  <c r="P2157" i="109"/>
  <c r="P2156" i="109"/>
  <c r="P2152" i="109"/>
  <c r="P2151" i="109"/>
  <c r="P2150" i="109"/>
  <c r="P2149" i="109"/>
  <c r="P2148" i="109"/>
  <c r="P2147" i="109"/>
  <c r="P2146" i="109"/>
  <c r="P2144" i="109"/>
  <c r="P2143" i="109"/>
  <c r="P2142" i="109"/>
  <c r="P2141" i="109"/>
  <c r="P2140" i="109"/>
  <c r="P2139" i="109"/>
  <c r="P2138" i="109"/>
  <c r="P2137" i="109"/>
  <c r="P2136" i="109"/>
  <c r="P2135" i="109"/>
  <c r="P2134" i="109"/>
  <c r="P2133" i="109"/>
  <c r="P2132" i="109"/>
  <c r="P2131" i="109"/>
  <c r="P2130" i="109"/>
  <c r="P2129" i="109"/>
  <c r="P2128" i="109"/>
  <c r="P2127" i="109"/>
  <c r="P2126" i="109"/>
  <c r="P2125" i="109"/>
  <c r="P2124" i="109"/>
  <c r="P2123" i="109"/>
  <c r="P2122" i="109"/>
  <c r="P2121" i="109"/>
  <c r="P2120" i="109"/>
  <c r="P2119" i="109"/>
  <c r="P2118" i="109"/>
  <c r="P2117" i="109"/>
  <c r="P2116" i="109"/>
  <c r="P2115" i="109"/>
  <c r="P2114" i="109"/>
  <c r="P2113" i="109"/>
  <c r="P2112" i="109"/>
  <c r="P2111" i="109"/>
  <c r="P2110" i="109"/>
  <c r="P2109" i="109"/>
  <c r="P2108" i="109"/>
  <c r="P2107" i="109"/>
  <c r="P2106" i="109"/>
  <c r="P2105" i="109"/>
  <c r="P2104" i="109"/>
  <c r="P2103" i="109"/>
  <c r="P2102" i="109"/>
  <c r="P2101" i="109"/>
  <c r="P2100" i="109"/>
  <c r="P2099" i="109"/>
  <c r="P2098" i="109"/>
  <c r="P2097" i="109"/>
  <c r="P2096" i="109"/>
  <c r="P2095" i="109"/>
  <c r="P2094" i="109"/>
  <c r="P2093" i="109"/>
  <c r="P2092" i="109"/>
  <c r="P2091" i="109"/>
  <c r="P2090" i="109"/>
  <c r="P2089" i="109"/>
  <c r="P2088" i="109"/>
  <c r="P2087" i="109"/>
  <c r="P2086" i="109"/>
  <c r="P2085" i="109"/>
  <c r="P2084" i="109"/>
  <c r="P2083" i="109"/>
  <c r="P2082" i="109"/>
  <c r="P2081" i="109"/>
  <c r="P2080" i="109"/>
  <c r="P2079" i="109"/>
  <c r="P2078" i="109"/>
  <c r="P2077" i="109"/>
  <c r="P2076" i="109"/>
  <c r="P2075" i="109"/>
  <c r="P2074" i="109"/>
  <c r="P2073" i="109"/>
  <c r="P2072" i="109"/>
  <c r="P2071" i="109"/>
  <c r="P2070" i="109"/>
  <c r="P2069" i="109"/>
  <c r="P2068" i="109"/>
  <c r="P2067" i="109"/>
  <c r="P2066" i="109"/>
  <c r="P2065" i="109"/>
  <c r="P2064" i="109"/>
  <c r="P2063" i="109"/>
  <c r="P2062" i="109"/>
  <c r="P2061" i="109"/>
  <c r="P2060" i="109"/>
  <c r="P2059" i="109"/>
  <c r="P2058" i="109"/>
  <c r="P2057" i="109"/>
  <c r="P2056" i="109"/>
  <c r="P2055" i="109"/>
  <c r="P2054" i="109"/>
  <c r="P2053" i="109"/>
  <c r="P2052" i="109"/>
  <c r="P2051" i="109"/>
  <c r="P2050" i="109"/>
  <c r="P2049" i="109"/>
  <c r="P2048" i="109"/>
  <c r="P2047" i="109"/>
  <c r="P2046" i="109"/>
  <c r="P2045" i="109"/>
  <c r="P2044" i="109"/>
  <c r="P2043" i="109"/>
  <c r="P2042" i="109"/>
  <c r="P2041" i="109"/>
  <c r="P2040" i="109"/>
  <c r="P2039" i="109"/>
  <c r="P2038" i="109"/>
  <c r="P2037" i="109"/>
  <c r="P2036" i="109"/>
  <c r="P2035" i="109"/>
  <c r="P2034" i="109"/>
  <c r="P2033" i="109"/>
  <c r="P2032" i="109"/>
  <c r="P2031" i="109"/>
  <c r="P2030" i="109"/>
  <c r="P2029" i="109"/>
  <c r="P2028" i="109"/>
  <c r="P2027" i="109"/>
  <c r="P2026" i="109"/>
  <c r="P2025" i="109"/>
  <c r="P2023" i="109"/>
  <c r="P2022" i="109"/>
  <c r="P2021" i="109"/>
  <c r="P2020" i="109"/>
  <c r="P2019" i="109"/>
  <c r="P2018" i="109"/>
  <c r="P2017" i="109"/>
  <c r="P2016" i="109"/>
  <c r="P2015" i="109"/>
  <c r="P2014" i="109"/>
  <c r="P2013" i="109"/>
  <c r="P2012" i="109"/>
  <c r="P2011" i="109"/>
  <c r="P2010" i="109"/>
  <c r="P2009" i="109"/>
  <c r="P2008" i="109"/>
  <c r="P2006" i="109"/>
  <c r="P2005" i="109"/>
  <c r="P2004" i="109"/>
  <c r="P2003" i="109"/>
  <c r="P2002" i="109"/>
  <c r="P2001" i="109"/>
  <c r="P2000" i="109"/>
  <c r="P1999" i="109"/>
  <c r="P1998" i="109"/>
  <c r="P1997" i="109"/>
  <c r="P1996" i="109"/>
  <c r="P1995" i="109"/>
  <c r="P1994" i="109"/>
  <c r="P1993" i="109"/>
  <c r="P1992" i="109"/>
  <c r="P1991" i="109"/>
  <c r="P1990" i="109"/>
  <c r="P1989" i="109"/>
  <c r="P1988" i="109"/>
  <c r="P1987" i="109"/>
  <c r="P1986" i="109"/>
  <c r="P1985" i="109"/>
  <c r="P1984" i="109"/>
  <c r="P1983" i="109"/>
  <c r="P1982" i="109"/>
  <c r="P1981" i="109"/>
  <c r="P1980" i="109"/>
  <c r="P1979" i="109"/>
  <c r="P1978" i="109"/>
  <c r="P1977" i="109"/>
  <c r="P1976" i="109"/>
  <c r="P1975" i="109"/>
  <c r="P1974" i="109"/>
  <c r="P1973" i="109"/>
  <c r="P1972" i="109"/>
  <c r="P1971" i="109"/>
  <c r="P1969" i="109"/>
  <c r="P1968" i="109"/>
  <c r="P1967" i="109"/>
  <c r="P1966" i="109"/>
  <c r="P1965" i="109"/>
  <c r="P1964" i="109"/>
  <c r="P1963" i="109"/>
  <c r="P1962" i="109"/>
  <c r="P1961" i="109"/>
  <c r="P1960" i="109"/>
  <c r="P1959" i="109"/>
  <c r="P1958" i="109"/>
  <c r="P1957" i="109"/>
  <c r="P1956" i="109"/>
  <c r="P1955" i="109"/>
  <c r="P1954" i="109"/>
  <c r="P1953" i="109"/>
  <c r="P1952" i="109"/>
  <c r="P1951" i="109"/>
  <c r="P1950" i="109"/>
  <c r="P1949" i="109"/>
  <c r="P1948" i="109"/>
  <c r="P1947" i="109"/>
  <c r="P1946" i="109"/>
  <c r="P1943" i="109"/>
  <c r="P1942" i="109"/>
  <c r="P1941" i="109"/>
  <c r="P1940" i="109"/>
  <c r="P1939" i="109"/>
  <c r="P1938" i="109"/>
  <c r="P1937" i="109"/>
  <c r="P1936" i="109"/>
  <c r="P1934" i="109"/>
  <c r="P1933" i="109"/>
  <c r="P1932" i="109"/>
  <c r="P1931" i="109"/>
  <c r="P1930" i="109"/>
  <c r="P1929" i="109"/>
  <c r="P1928" i="109"/>
  <c r="P1927" i="109"/>
  <c r="P1924" i="109"/>
  <c r="P1923" i="109"/>
  <c r="P1922" i="109"/>
  <c r="P1921" i="109"/>
  <c r="P1920" i="109"/>
  <c r="P1919" i="109"/>
  <c r="P1918" i="109"/>
  <c r="P1917" i="109"/>
  <c r="P1916" i="109"/>
  <c r="P1915" i="109"/>
  <c r="P1913" i="109"/>
  <c r="P1912" i="109"/>
  <c r="P1911" i="109"/>
  <c r="P1910" i="109"/>
  <c r="P1908" i="109"/>
  <c r="P1907" i="109"/>
  <c r="P1906" i="109"/>
  <c r="P1905" i="109"/>
  <c r="P1904" i="109"/>
  <c r="P1903" i="109"/>
  <c r="P1899" i="109"/>
  <c r="P1898" i="109"/>
  <c r="P1897" i="109"/>
  <c r="P1896" i="109"/>
  <c r="P1895" i="109"/>
  <c r="P1894" i="109"/>
  <c r="P1893" i="109"/>
  <c r="P1892" i="109"/>
  <c r="P1891" i="109"/>
  <c r="P1890" i="109"/>
  <c r="P1889" i="109"/>
  <c r="P1887" i="109"/>
  <c r="P1886" i="109"/>
  <c r="P1885" i="109"/>
  <c r="P1884" i="109"/>
  <c r="P1883" i="109"/>
  <c r="P1882" i="109"/>
  <c r="P1881" i="109"/>
  <c r="P1880" i="109"/>
  <c r="P1879" i="109"/>
  <c r="P1878" i="109"/>
  <c r="P1877" i="109"/>
  <c r="P1876" i="109"/>
  <c r="P1875" i="109"/>
  <c r="P1874" i="109"/>
  <c r="P1873" i="109"/>
  <c r="P1872" i="109"/>
  <c r="P1871" i="109"/>
  <c r="P1870" i="109"/>
  <c r="P1869" i="109"/>
  <c r="P1868" i="109"/>
  <c r="P1867" i="109"/>
  <c r="P1866" i="109"/>
  <c r="P1865" i="109"/>
  <c r="P1864" i="109"/>
  <c r="P1863" i="109"/>
  <c r="P1862" i="109"/>
  <c r="P1861" i="109"/>
  <c r="P1860" i="109"/>
  <c r="P1859" i="109"/>
  <c r="P1858" i="109"/>
  <c r="P1857" i="109"/>
  <c r="P1856" i="109"/>
  <c r="P1855" i="109"/>
  <c r="P1854" i="109"/>
  <c r="P1853" i="109"/>
  <c r="P1852" i="109"/>
  <c r="P1851" i="109"/>
  <c r="P1850" i="109"/>
  <c r="P1849" i="109"/>
  <c r="P1848" i="109"/>
  <c r="P1847" i="109"/>
  <c r="P1846" i="109"/>
  <c r="P1845" i="109"/>
  <c r="P1842" i="109"/>
  <c r="P1841" i="109"/>
  <c r="P1840" i="109"/>
  <c r="P1839" i="109"/>
  <c r="P1838" i="109"/>
  <c r="P1837" i="109"/>
  <c r="P1836" i="109"/>
  <c r="P1835" i="109"/>
  <c r="P1834" i="109"/>
  <c r="P1833" i="109"/>
  <c r="P1832" i="109"/>
  <c r="P1831" i="109"/>
  <c r="P1830" i="109"/>
  <c r="P1829" i="109"/>
  <c r="P1828" i="109"/>
  <c r="P1827" i="109"/>
  <c r="P1826" i="109"/>
  <c r="P1825" i="109"/>
  <c r="P1824" i="109"/>
  <c r="P1823" i="109"/>
  <c r="P1822" i="109"/>
  <c r="P1821" i="109"/>
  <c r="P1820" i="109"/>
  <c r="P1819" i="109"/>
  <c r="P1818" i="109"/>
  <c r="P1817" i="109"/>
  <c r="P1815" i="109"/>
  <c r="P1814" i="109"/>
  <c r="P1813" i="109"/>
  <c r="P1812" i="109"/>
  <c r="P1811" i="109"/>
  <c r="P1809" i="109"/>
  <c r="P1808" i="109"/>
  <c r="P1807" i="109"/>
  <c r="P1806" i="109"/>
  <c r="P1805" i="109"/>
  <c r="P1804" i="109"/>
  <c r="P1803" i="109"/>
  <c r="P1802" i="109"/>
  <c r="P1801" i="109"/>
  <c r="P1800" i="109"/>
  <c r="P1799" i="109"/>
  <c r="P1798" i="109"/>
  <c r="P1797" i="109"/>
  <c r="P1793" i="109"/>
  <c r="P1792" i="109"/>
  <c r="P1790" i="109"/>
  <c r="P1789" i="109"/>
  <c r="P1788" i="109"/>
  <c r="P1787" i="109"/>
  <c r="P1786" i="109"/>
  <c r="P1785" i="109"/>
  <c r="P1784" i="109"/>
  <c r="P1783" i="109"/>
  <c r="P1782" i="109"/>
  <c r="P1781" i="109"/>
  <c r="P1780" i="109"/>
  <c r="P1779" i="109"/>
  <c r="P1778" i="109"/>
  <c r="P1777" i="109"/>
  <c r="P1776" i="109"/>
  <c r="P1775" i="109"/>
  <c r="P1774" i="109"/>
  <c r="P1773" i="109"/>
  <c r="P1772" i="109"/>
  <c r="P1771" i="109"/>
  <c r="P1770" i="109"/>
  <c r="P1769" i="109"/>
  <c r="P1768" i="109"/>
  <c r="P1767" i="109"/>
  <c r="P1766" i="109"/>
  <c r="P1764" i="109"/>
  <c r="P1763" i="109"/>
  <c r="P1761" i="109"/>
  <c r="P1760" i="109"/>
  <c r="P1759" i="109"/>
  <c r="P1758" i="109"/>
  <c r="P1757" i="109"/>
  <c r="P1756" i="109"/>
  <c r="P1755" i="109"/>
  <c r="P1754" i="109"/>
  <c r="P1753" i="109"/>
  <c r="P1752" i="109"/>
  <c r="P1751" i="109"/>
  <c r="P1750" i="109"/>
  <c r="P1749" i="109"/>
  <c r="P1748" i="109"/>
  <c r="P1747" i="109"/>
  <c r="P1746" i="109"/>
  <c r="P1745" i="109"/>
  <c r="P1744" i="109"/>
  <c r="P1743" i="109"/>
  <c r="P1742" i="109"/>
  <c r="P1741" i="109"/>
  <c r="P1740" i="109"/>
  <c r="P1739" i="109"/>
  <c r="P1738" i="109"/>
  <c r="P1737" i="109"/>
  <c r="P1735" i="109"/>
  <c r="P1734" i="109"/>
  <c r="P1733" i="109"/>
  <c r="P1732" i="109"/>
  <c r="P1731" i="109"/>
  <c r="P1730" i="109"/>
  <c r="P1728" i="109"/>
  <c r="P1727" i="109"/>
  <c r="P1725" i="109"/>
  <c r="P1724" i="109"/>
  <c r="P1723" i="109"/>
  <c r="P1722" i="109"/>
  <c r="P1721" i="109"/>
  <c r="P1720" i="109"/>
  <c r="P1719" i="109"/>
  <c r="P1718" i="109"/>
  <c r="P1717" i="109"/>
  <c r="P1716" i="109"/>
  <c r="P1715" i="109"/>
  <c r="P1714" i="109"/>
  <c r="P1713" i="109"/>
  <c r="P1712" i="109"/>
  <c r="P1711" i="109"/>
  <c r="P1710" i="109"/>
  <c r="P1709" i="109"/>
  <c r="P1708" i="109"/>
  <c r="P1707" i="109"/>
  <c r="P1706" i="109"/>
  <c r="P1703" i="109"/>
  <c r="P1702" i="109"/>
  <c r="P1701" i="109"/>
  <c r="P1700" i="109"/>
  <c r="P1699" i="109"/>
  <c r="P1698" i="109"/>
  <c r="P1697" i="109"/>
  <c r="P1696" i="109"/>
  <c r="P1695" i="109"/>
  <c r="P1694" i="109"/>
  <c r="P1693" i="109"/>
  <c r="P1691" i="109"/>
  <c r="P1689" i="109"/>
  <c r="P1688" i="109"/>
  <c r="P1687" i="109"/>
  <c r="P1686" i="109"/>
  <c r="P1685" i="109"/>
  <c r="P1684" i="109"/>
  <c r="P1683" i="109"/>
  <c r="P1682" i="109"/>
  <c r="P1681" i="109"/>
  <c r="P1680" i="109"/>
  <c r="P1679" i="109"/>
  <c r="P1678" i="109"/>
  <c r="P1677" i="109"/>
  <c r="P1676" i="109"/>
  <c r="P1675" i="109"/>
  <c r="P1673" i="109"/>
  <c r="P1672" i="109"/>
  <c r="P1671" i="109"/>
  <c r="P1670" i="109"/>
  <c r="P1669" i="109"/>
  <c r="P1668" i="109"/>
  <c r="P1667" i="109"/>
  <c r="P1666" i="109"/>
  <c r="P1665" i="109"/>
  <c r="P1664" i="109"/>
  <c r="P1662" i="109"/>
  <c r="P1661" i="109"/>
  <c r="P1659" i="109"/>
  <c r="P1658" i="109"/>
  <c r="P1657" i="109"/>
  <c r="P1656" i="109"/>
  <c r="P1655" i="109"/>
  <c r="P1654" i="109"/>
  <c r="P1653" i="109"/>
  <c r="P1652" i="109"/>
  <c r="P1651" i="109"/>
  <c r="P1650" i="109"/>
  <c r="P1649" i="109"/>
  <c r="P1648" i="109"/>
  <c r="P1647" i="109"/>
  <c r="P1646" i="109"/>
  <c r="P1645" i="109"/>
  <c r="P1644" i="109"/>
  <c r="P1643" i="109"/>
  <c r="P1642" i="109"/>
  <c r="P1641" i="109"/>
  <c r="P1640" i="109"/>
  <c r="P1639" i="109"/>
  <c r="P1638" i="109"/>
  <c r="P1637" i="109"/>
  <c r="P1636" i="109"/>
  <c r="P1635" i="109"/>
  <c r="P1634" i="109"/>
  <c r="P1633" i="109"/>
  <c r="P1632" i="109"/>
  <c r="P1631" i="109"/>
  <c r="P1630" i="109"/>
  <c r="P1629" i="109"/>
  <c r="P1628" i="109"/>
  <c r="P1627" i="109"/>
  <c r="P1626" i="109"/>
  <c r="P1625" i="109"/>
  <c r="P1624" i="109"/>
  <c r="P1623" i="109"/>
  <c r="P1622" i="109"/>
  <c r="P1621" i="109"/>
  <c r="P1620" i="109"/>
  <c r="P1619" i="109"/>
  <c r="P1618" i="109"/>
  <c r="P1617" i="109"/>
  <c r="P1616" i="109"/>
  <c r="P1615" i="109"/>
  <c r="P1614" i="109"/>
  <c r="P1613" i="109"/>
  <c r="P1612" i="109"/>
  <c r="P1611" i="109"/>
  <c r="P1610" i="109"/>
  <c r="P1609" i="109"/>
  <c r="P1608" i="109"/>
  <c r="P1607" i="109"/>
  <c r="P1606" i="109"/>
  <c r="P1605" i="109"/>
  <c r="P1604" i="109"/>
  <c r="P1603" i="109"/>
  <c r="P1602" i="109"/>
  <c r="P1601" i="109"/>
  <c r="P1600" i="109"/>
  <c r="P1599" i="109"/>
  <c r="P1598" i="109"/>
  <c r="P1597" i="109"/>
  <c r="P1596" i="109"/>
  <c r="P1595" i="109"/>
  <c r="P1594" i="109"/>
  <c r="P1593" i="109"/>
  <c r="P1592" i="109"/>
  <c r="P1591" i="109"/>
  <c r="P1590" i="109"/>
  <c r="P1589" i="109"/>
  <c r="P1588" i="109"/>
  <c r="P1587" i="109"/>
  <c r="P1586" i="109"/>
  <c r="P1585" i="109"/>
  <c r="P1584" i="109"/>
  <c r="P1583" i="109"/>
  <c r="P1582" i="109"/>
  <c r="P1581" i="109"/>
  <c r="P1580" i="109"/>
  <c r="P1579" i="109"/>
  <c r="P1578" i="109"/>
  <c r="P1571" i="109"/>
  <c r="P1570" i="109"/>
  <c r="P1569" i="109"/>
  <c r="P1568" i="109"/>
  <c r="P1567" i="109"/>
  <c r="P1566" i="109"/>
  <c r="P1565" i="109"/>
  <c r="P1564" i="109"/>
  <c r="P1563" i="109"/>
  <c r="P1562" i="109"/>
  <c r="P1561" i="109"/>
  <c r="P1560" i="109"/>
  <c r="P1559" i="109"/>
  <c r="P1558" i="109"/>
  <c r="P1557" i="109"/>
  <c r="P1556" i="109"/>
  <c r="P1555" i="109"/>
  <c r="P1554" i="109"/>
  <c r="P1553" i="109"/>
  <c r="P1552" i="109"/>
  <c r="P1551" i="109"/>
  <c r="P1550" i="109"/>
  <c r="P1549" i="109"/>
  <c r="P1548" i="109"/>
  <c r="P1547" i="109"/>
  <c r="P1546" i="109"/>
  <c r="P1545" i="109"/>
  <c r="P1544" i="109"/>
  <c r="P1543" i="109"/>
  <c r="P1542" i="109"/>
  <c r="P1541" i="109"/>
  <c r="P1540" i="109"/>
  <c r="P1539" i="109"/>
  <c r="P1538" i="109"/>
  <c r="P1537" i="109"/>
  <c r="P1536" i="109"/>
  <c r="P1535" i="109"/>
  <c r="P1534" i="109"/>
  <c r="P1533" i="109"/>
  <c r="P1532" i="109"/>
  <c r="P1531" i="109"/>
  <c r="P1530" i="109"/>
  <c r="P1529" i="109"/>
  <c r="P1528" i="109"/>
  <c r="P1527" i="109"/>
  <c r="P1526" i="109"/>
  <c r="P1525" i="109"/>
  <c r="P1524" i="109"/>
  <c r="P1523" i="109"/>
  <c r="P1522" i="109"/>
  <c r="P1521" i="109"/>
  <c r="P1520" i="109"/>
  <c r="P1519" i="109"/>
  <c r="P1518" i="109"/>
  <c r="P1517" i="109"/>
  <c r="P1516" i="109"/>
  <c r="P1515" i="109"/>
  <c r="P1514" i="109"/>
  <c r="P1513" i="109"/>
  <c r="P1512" i="109"/>
  <c r="P1511" i="109"/>
  <c r="P1510" i="109"/>
  <c r="P1509" i="109"/>
  <c r="P1508" i="109"/>
  <c r="P1507" i="109"/>
  <c r="P1505" i="109"/>
  <c r="P1504" i="109"/>
  <c r="P1503" i="109"/>
  <c r="P1502" i="109"/>
  <c r="P1501" i="109"/>
  <c r="P1500" i="109"/>
  <c r="P1499" i="109"/>
  <c r="P1498" i="109"/>
  <c r="P1497" i="109"/>
  <c r="P1496" i="109"/>
  <c r="P1495" i="109"/>
  <c r="P1494" i="109"/>
  <c r="P1493" i="109"/>
  <c r="P1492" i="109"/>
  <c r="P1491" i="109"/>
  <c r="P1490" i="109"/>
  <c r="P1489" i="109"/>
  <c r="P1488" i="109"/>
  <c r="P1487" i="109"/>
  <c r="P1486" i="109"/>
  <c r="P1485" i="109"/>
  <c r="P1484" i="109"/>
  <c r="P1483" i="109"/>
  <c r="P1482" i="109"/>
  <c r="P1481" i="109"/>
  <c r="P1480" i="109"/>
  <c r="P1479" i="109"/>
  <c r="P1478" i="109"/>
  <c r="P1477" i="109"/>
  <c r="P1476" i="109"/>
  <c r="P1475" i="109"/>
  <c r="P1474" i="109"/>
  <c r="P1473" i="109"/>
  <c r="P1472" i="109"/>
  <c r="P1471" i="109"/>
  <c r="P1470" i="109"/>
  <c r="P1469" i="109"/>
  <c r="P1468" i="109"/>
  <c r="P1467" i="109"/>
  <c r="P1466" i="109"/>
  <c r="P1465" i="109"/>
  <c r="P1464" i="109"/>
  <c r="P1463" i="109"/>
  <c r="P1462" i="109"/>
  <c r="P1461" i="109"/>
  <c r="P1460" i="109"/>
  <c r="P1459" i="109"/>
  <c r="P1458" i="109"/>
  <c r="P1457" i="109"/>
  <c r="P1456" i="109"/>
  <c r="P1455" i="109"/>
  <c r="P1454" i="109"/>
  <c r="P1453" i="109"/>
  <c r="P1452" i="109"/>
  <c r="P1451" i="109"/>
  <c r="P1450" i="109"/>
  <c r="P1449" i="109"/>
  <c r="P1448" i="109"/>
  <c r="P1447" i="109"/>
  <c r="P1446" i="109"/>
  <c r="P1445" i="109"/>
  <c r="P1444" i="109"/>
  <c r="P1443" i="109"/>
  <c r="P1442" i="109"/>
  <c r="P1441" i="109"/>
  <c r="P1440" i="109"/>
  <c r="P1439" i="109"/>
  <c r="P1438" i="109"/>
  <c r="P1437" i="109"/>
  <c r="P1436" i="109"/>
  <c r="P1435" i="109"/>
  <c r="P1434" i="109"/>
  <c r="P1433" i="109"/>
  <c r="P1432" i="109"/>
  <c r="P1431" i="109"/>
  <c r="P1430" i="109"/>
  <c r="P1429" i="109"/>
  <c r="P1428" i="109"/>
  <c r="P1427" i="109"/>
  <c r="P1426" i="109"/>
  <c r="P1425" i="109"/>
  <c r="P1424" i="109"/>
  <c r="P1423" i="109"/>
  <c r="P1422" i="109"/>
  <c r="P1421" i="109"/>
  <c r="P1419" i="109"/>
  <c r="P1418" i="109"/>
  <c r="P1417" i="109"/>
  <c r="P1416" i="109"/>
  <c r="P1415" i="109"/>
  <c r="P1414" i="109"/>
  <c r="P1413" i="109"/>
  <c r="P1412" i="109"/>
  <c r="P1411" i="109"/>
  <c r="P1410" i="109"/>
  <c r="P1409" i="109"/>
  <c r="P1408" i="109"/>
  <c r="P1407" i="109"/>
  <c r="P1406" i="109"/>
  <c r="P1405" i="109"/>
  <c r="P1404" i="109"/>
  <c r="P1403" i="109"/>
  <c r="P1402" i="109"/>
  <c r="P1401" i="109"/>
  <c r="P1400" i="109"/>
  <c r="P1399" i="109"/>
  <c r="P1398" i="109"/>
  <c r="P1397" i="109"/>
  <c r="P1396" i="109"/>
  <c r="P1395" i="109"/>
  <c r="P1394" i="109"/>
  <c r="P1393" i="109"/>
  <c r="P1392" i="109"/>
  <c r="P1391" i="109"/>
  <c r="P1389" i="109"/>
  <c r="P1388" i="109"/>
  <c r="P1387" i="109"/>
  <c r="P1386" i="109"/>
  <c r="P1385" i="109"/>
  <c r="P1384" i="109"/>
  <c r="P1383" i="109"/>
  <c r="P1382" i="109"/>
  <c r="P1381" i="109"/>
  <c r="P1380" i="109"/>
  <c r="P1379" i="109"/>
  <c r="P1378" i="109"/>
  <c r="P1377" i="109"/>
  <c r="P1376" i="109"/>
  <c r="P1375" i="109"/>
  <c r="P1374" i="109"/>
  <c r="P1373" i="109"/>
  <c r="P1372" i="109"/>
  <c r="P1370" i="109"/>
  <c r="P1369" i="109"/>
  <c r="P1368" i="109"/>
  <c r="P1367" i="109"/>
  <c r="P1366" i="109"/>
  <c r="P1364" i="109"/>
  <c r="P1363" i="109"/>
  <c r="P1362" i="109"/>
  <c r="P1361" i="109"/>
  <c r="P1360" i="109"/>
  <c r="P1359" i="109"/>
  <c r="P1358" i="109"/>
  <c r="P1357" i="109"/>
  <c r="P1356" i="109"/>
  <c r="P1355" i="109"/>
  <c r="P1354" i="109"/>
  <c r="P1353" i="109"/>
  <c r="P1352" i="109"/>
  <c r="P1351" i="109"/>
  <c r="P1350" i="109"/>
  <c r="P1349" i="109"/>
  <c r="P1348" i="109"/>
  <c r="P1347" i="109"/>
  <c r="P1346" i="109"/>
  <c r="P1345" i="109"/>
  <c r="P1344" i="109"/>
  <c r="P1343" i="109"/>
  <c r="P1342" i="109"/>
  <c r="P1341" i="109"/>
  <c r="P1340" i="109"/>
  <c r="P1339" i="109"/>
  <c r="P1338" i="109"/>
  <c r="P1337" i="109"/>
  <c r="P1336" i="109"/>
  <c r="P1335" i="109"/>
  <c r="P1334" i="109"/>
  <c r="P1333" i="109"/>
  <c r="P1332" i="109"/>
  <c r="P1331" i="109"/>
  <c r="P1330" i="109"/>
  <c r="P1329" i="109"/>
  <c r="P1328" i="109"/>
  <c r="P1327" i="109"/>
  <c r="P1326" i="109"/>
  <c r="P1325" i="109"/>
  <c r="P1324" i="109"/>
  <c r="P1323" i="109"/>
  <c r="P1322" i="109"/>
  <c r="P1321" i="109"/>
  <c r="P1320" i="109"/>
  <c r="P1319" i="109"/>
  <c r="P1318" i="109"/>
  <c r="P1317" i="109"/>
  <c r="P1316" i="109"/>
  <c r="P1315" i="109"/>
  <c r="P1313" i="109"/>
  <c r="P1312" i="109"/>
  <c r="P1311" i="109"/>
  <c r="P1310" i="109"/>
  <c r="P1309" i="109"/>
  <c r="P1308" i="109"/>
  <c r="P1307" i="109"/>
  <c r="P1306" i="109"/>
  <c r="P1305" i="109"/>
  <c r="P1304" i="109"/>
  <c r="P1303" i="109"/>
  <c r="P1302" i="109"/>
  <c r="P1301" i="109"/>
  <c r="P1300" i="109"/>
  <c r="P1299" i="109"/>
  <c r="P1298" i="109"/>
  <c r="P1297" i="109"/>
  <c r="P1296" i="109"/>
  <c r="P1295" i="109"/>
  <c r="P1294" i="109"/>
  <c r="P1293" i="109"/>
  <c r="P1292" i="109"/>
  <c r="P1291" i="109"/>
  <c r="P1290" i="109"/>
  <c r="P1289" i="109"/>
  <c r="P1288" i="109"/>
  <c r="P1287" i="109"/>
  <c r="P1286" i="109"/>
  <c r="P1285" i="109"/>
  <c r="P1283" i="109"/>
  <c r="P1282" i="109"/>
  <c r="P1280" i="109"/>
  <c r="P1279" i="109"/>
  <c r="P1278" i="109"/>
  <c r="P1277" i="109"/>
  <c r="P1276" i="109"/>
  <c r="P1275" i="109"/>
  <c r="P1274" i="109"/>
  <c r="P1273" i="109"/>
  <c r="P1272" i="109"/>
  <c r="P1271" i="109"/>
  <c r="P1270" i="109"/>
  <c r="P1269" i="109"/>
  <c r="P1268" i="109"/>
  <c r="P1267" i="109"/>
  <c r="P1266" i="109"/>
  <c r="P1265" i="109"/>
  <c r="P1264" i="109"/>
  <c r="P1262" i="109"/>
  <c r="P1261" i="109"/>
  <c r="P1259" i="109"/>
  <c r="P1258" i="109"/>
  <c r="P1257" i="109"/>
  <c r="P1256" i="109"/>
  <c r="P1255" i="109"/>
  <c r="P1254" i="109"/>
  <c r="P1253" i="109"/>
  <c r="P1252" i="109"/>
  <c r="P1251" i="109"/>
  <c r="P1250" i="109"/>
  <c r="P1249" i="109"/>
  <c r="P1248" i="109"/>
  <c r="P1247" i="109"/>
  <c r="P1246" i="109"/>
  <c r="P1245" i="109"/>
  <c r="P1244" i="109"/>
  <c r="P1243" i="109"/>
  <c r="P1242" i="109"/>
  <c r="P1241" i="109"/>
  <c r="P1240" i="109"/>
  <c r="P1239" i="109"/>
  <c r="P1238" i="109"/>
  <c r="P1237" i="109"/>
  <c r="P1236" i="109"/>
  <c r="P1235" i="109"/>
  <c r="P1234" i="109"/>
  <c r="P1233" i="109"/>
  <c r="P1232" i="109"/>
  <c r="P1231" i="109"/>
  <c r="P1230" i="109"/>
  <c r="P1229" i="109"/>
  <c r="P1228" i="109"/>
  <c r="P1227" i="109"/>
  <c r="P1226" i="109"/>
  <c r="P1225" i="109"/>
  <c r="P1224" i="109"/>
  <c r="P1223" i="109"/>
  <c r="P1222" i="109"/>
  <c r="P1221" i="109"/>
  <c r="P1220" i="109"/>
  <c r="P1219" i="109"/>
  <c r="P1218" i="109"/>
  <c r="P1217" i="109"/>
  <c r="P1216" i="109"/>
  <c r="P1215" i="109"/>
  <c r="P1214" i="109"/>
  <c r="P1213" i="109"/>
  <c r="P1212" i="109"/>
  <c r="P1211" i="109"/>
  <c r="P1210" i="109"/>
  <c r="P1209" i="109"/>
  <c r="P1208" i="109"/>
  <c r="P1207" i="109"/>
  <c r="P1206" i="109"/>
  <c r="P1205" i="109"/>
  <c r="P1204" i="109"/>
  <c r="P1203" i="109"/>
  <c r="P1202" i="109"/>
  <c r="P1201" i="109"/>
  <c r="P1200" i="109"/>
  <c r="P1199" i="109"/>
  <c r="P1198" i="109"/>
  <c r="P1196" i="109"/>
  <c r="P1195" i="109"/>
  <c r="P1194" i="109"/>
  <c r="P1193" i="109"/>
  <c r="P1192" i="109"/>
  <c r="P1191" i="109"/>
  <c r="P1190" i="109"/>
  <c r="P1189" i="109"/>
  <c r="P1188" i="109"/>
  <c r="P1187" i="109"/>
  <c r="P1186" i="109"/>
  <c r="P1185" i="109"/>
  <c r="P1184" i="109"/>
  <c r="P1183" i="109"/>
  <c r="P1182" i="109"/>
  <c r="P1181" i="109"/>
  <c r="P1180" i="109"/>
  <c r="P1179" i="109"/>
  <c r="P1178" i="109"/>
  <c r="P1177" i="109"/>
  <c r="P1176" i="109"/>
  <c r="P1175" i="109"/>
  <c r="P1174" i="109"/>
  <c r="P1173" i="109"/>
  <c r="P1172" i="109"/>
  <c r="P1171" i="109"/>
  <c r="P1170" i="109"/>
  <c r="P1169" i="109"/>
  <c r="P1168" i="109"/>
  <c r="P1167" i="109"/>
  <c r="P1166" i="109"/>
  <c r="P1165" i="109"/>
  <c r="P1164" i="109"/>
  <c r="P1163" i="109"/>
  <c r="P1162" i="109"/>
  <c r="P1161" i="109"/>
  <c r="P1160" i="109"/>
  <c r="P1159" i="109"/>
  <c r="P1158" i="109"/>
  <c r="P1157" i="109"/>
  <c r="P1156" i="109"/>
  <c r="P1155" i="109"/>
  <c r="P1154" i="109"/>
  <c r="P1153" i="109"/>
  <c r="P1152" i="109"/>
  <c r="P1151" i="109"/>
  <c r="P1150" i="109"/>
  <c r="P1149" i="109"/>
  <c r="P1148" i="109"/>
  <c r="P1147" i="109"/>
  <c r="P1146" i="109"/>
  <c r="P1145" i="109"/>
  <c r="P1144" i="109"/>
  <c r="P1143" i="109"/>
  <c r="P1142" i="109"/>
  <c r="P1141" i="109"/>
  <c r="P1140" i="109"/>
  <c r="P1139" i="109"/>
  <c r="P1138" i="109"/>
  <c r="P1137" i="109"/>
  <c r="P1136" i="109"/>
  <c r="P1135" i="109"/>
  <c r="P1134" i="109"/>
  <c r="P1133" i="109"/>
  <c r="P1132" i="109"/>
  <c r="P1131" i="109"/>
  <c r="P1130" i="109"/>
  <c r="P1129" i="109"/>
  <c r="P1128" i="109"/>
  <c r="P1127" i="109"/>
  <c r="P1126" i="109"/>
  <c r="P1125" i="109"/>
  <c r="P1124" i="109"/>
  <c r="P1123" i="109"/>
  <c r="P1122" i="109"/>
  <c r="P1121" i="109"/>
  <c r="P1120" i="109"/>
  <c r="P1119" i="109"/>
  <c r="P1118" i="109"/>
  <c r="P1117" i="109"/>
  <c r="P1116" i="109"/>
  <c r="P1115" i="109"/>
  <c r="P1114" i="109"/>
  <c r="P1113" i="109"/>
  <c r="P1112" i="109"/>
  <c r="P1111" i="109"/>
  <c r="P1110" i="109"/>
  <c r="P1109" i="109"/>
  <c r="P1108" i="109"/>
  <c r="P1107" i="109"/>
  <c r="P1106" i="109"/>
  <c r="P1105" i="109"/>
  <c r="P1104" i="109"/>
  <c r="P1103" i="109"/>
  <c r="P1102" i="109"/>
  <c r="P1101" i="109"/>
  <c r="P1100" i="109"/>
  <c r="P1099" i="109"/>
  <c r="P1098" i="109"/>
  <c r="P1097" i="109"/>
  <c r="P1096" i="109"/>
  <c r="P1095" i="109"/>
  <c r="P1094" i="109"/>
  <c r="P1093" i="109"/>
  <c r="P1092" i="109"/>
  <c r="P1091" i="109"/>
  <c r="P1090" i="109"/>
  <c r="P1089" i="109"/>
  <c r="P1088" i="109"/>
  <c r="P1087" i="109"/>
  <c r="P1086" i="109"/>
  <c r="P1085" i="109"/>
  <c r="P1084" i="109"/>
  <c r="P1083" i="109"/>
  <c r="P1082" i="109"/>
  <c r="P1081" i="109"/>
  <c r="P1080" i="109"/>
  <c r="P1079" i="109"/>
  <c r="P1078" i="109"/>
  <c r="P1077" i="109"/>
  <c r="P1076" i="109"/>
  <c r="P1075" i="109"/>
  <c r="P1074" i="109"/>
  <c r="P1073" i="109"/>
  <c r="P1072" i="109"/>
  <c r="P1071" i="109"/>
  <c r="P1070" i="109"/>
  <c r="P1069" i="109"/>
  <c r="P1068" i="109"/>
  <c r="P1067" i="109"/>
  <c r="P1066" i="109"/>
  <c r="P1065" i="109"/>
  <c r="P1064" i="109"/>
  <c r="P1063" i="109"/>
  <c r="P1062" i="109"/>
  <c r="P1061" i="109"/>
  <c r="P1060" i="109"/>
  <c r="P1059" i="109"/>
  <c r="P1058" i="109"/>
  <c r="P1057" i="109"/>
  <c r="P1056" i="109"/>
  <c r="P1055" i="109"/>
  <c r="P1054" i="109"/>
  <c r="P1053" i="109"/>
  <c r="P1052" i="109"/>
  <c r="P1051" i="109"/>
  <c r="P1050" i="109"/>
  <c r="P1048" i="109"/>
  <c r="P1047" i="109"/>
  <c r="P1046" i="109"/>
  <c r="P1045" i="109"/>
  <c r="P1044" i="109"/>
  <c r="P1043" i="109"/>
  <c r="P1042" i="109"/>
  <c r="P1041" i="109"/>
  <c r="P1040" i="109"/>
  <c r="P1039" i="109"/>
  <c r="P1038" i="109"/>
  <c r="P1037" i="109"/>
  <c r="P1036" i="109"/>
  <c r="P1035" i="109"/>
  <c r="P1034" i="109"/>
  <c r="P1033" i="109"/>
  <c r="P1032" i="109"/>
  <c r="P1031" i="109"/>
  <c r="P1030" i="109"/>
  <c r="P1029" i="109"/>
  <c r="P1028" i="109"/>
  <c r="P1027" i="109"/>
  <c r="P1026" i="109"/>
  <c r="P1025" i="109"/>
  <c r="P1024" i="109"/>
  <c r="P1023" i="109"/>
  <c r="P1022" i="109"/>
  <c r="P1021" i="109"/>
  <c r="P1020" i="109"/>
  <c r="P1019" i="109"/>
  <c r="P1018" i="109"/>
  <c r="P1017" i="109"/>
  <c r="P1016" i="109"/>
  <c r="P1015" i="109"/>
  <c r="P1014" i="109"/>
  <c r="P1013" i="109"/>
  <c r="P1012" i="109"/>
  <c r="P1011" i="109"/>
  <c r="P1010" i="109"/>
  <c r="P1009" i="109"/>
  <c r="P1008" i="109"/>
  <c r="P1007" i="109"/>
  <c r="P1006" i="109"/>
  <c r="P1005" i="109"/>
  <c r="P1004" i="109"/>
  <c r="P1003" i="109"/>
  <c r="P1002" i="109"/>
  <c r="P1001" i="109"/>
  <c r="P1000" i="109"/>
  <c r="P999" i="109"/>
  <c r="P998" i="109"/>
  <c r="P997" i="109"/>
  <c r="P996" i="109"/>
  <c r="P995" i="109"/>
  <c r="P994" i="109"/>
  <c r="P993" i="109"/>
  <c r="P992" i="109"/>
  <c r="P991" i="109"/>
  <c r="P990" i="109"/>
  <c r="P989" i="109"/>
  <c r="P988" i="109"/>
  <c r="P987" i="109"/>
  <c r="P986" i="109"/>
  <c r="P985" i="109"/>
  <c r="P984" i="109"/>
  <c r="P983" i="109"/>
  <c r="P982" i="109"/>
  <c r="P981" i="109"/>
  <c r="P980" i="109"/>
  <c r="P979" i="109"/>
  <c r="P978" i="109"/>
  <c r="P977" i="109"/>
  <c r="P976" i="109"/>
  <c r="P975" i="109"/>
  <c r="P974" i="109"/>
  <c r="P973" i="109"/>
  <c r="P972" i="109"/>
  <c r="P971" i="109"/>
  <c r="P970" i="109"/>
  <c r="P969" i="109"/>
  <c r="P968" i="109"/>
  <c r="P967" i="109"/>
  <c r="P966" i="109"/>
  <c r="P965" i="109"/>
  <c r="P964" i="109"/>
  <c r="P963" i="109"/>
  <c r="P962" i="109"/>
  <c r="P961" i="109"/>
  <c r="P960" i="109"/>
  <c r="P958" i="109"/>
  <c r="P957" i="109"/>
  <c r="P956" i="109"/>
  <c r="P955" i="109"/>
  <c r="P954" i="109"/>
  <c r="P953" i="109"/>
  <c r="P951" i="109"/>
  <c r="P950" i="109"/>
  <c r="P949" i="109"/>
  <c r="P948" i="109"/>
  <c r="P945" i="109"/>
  <c r="P944" i="109"/>
  <c r="P943" i="109"/>
  <c r="P942" i="109"/>
  <c r="P941" i="109"/>
  <c r="P940" i="109"/>
  <c r="P939" i="109"/>
  <c r="P938" i="109"/>
  <c r="P937" i="109"/>
  <c r="P936" i="109"/>
  <c r="P934" i="109"/>
  <c r="P933" i="109"/>
  <c r="P932" i="109"/>
  <c r="P931" i="109"/>
  <c r="P930" i="109"/>
  <c r="P929" i="109"/>
  <c r="P928" i="109"/>
  <c r="P927" i="109"/>
  <c r="P926" i="109"/>
  <c r="P925" i="109"/>
  <c r="P924" i="109"/>
  <c r="P923" i="109"/>
  <c r="P922" i="109"/>
  <c r="P921" i="109"/>
  <c r="P920" i="109"/>
  <c r="P919" i="109"/>
  <c r="P918" i="109"/>
  <c r="P917" i="109"/>
  <c r="P916" i="109"/>
  <c r="P915" i="109"/>
  <c r="P914" i="109"/>
  <c r="P913" i="109"/>
  <c r="P912" i="109"/>
  <c r="P911" i="109"/>
  <c r="P910" i="109"/>
  <c r="P909" i="109"/>
  <c r="P908" i="109"/>
  <c r="P907" i="109"/>
  <c r="P906" i="109"/>
  <c r="P905" i="109"/>
  <c r="P904" i="109"/>
  <c r="P903" i="109"/>
  <c r="P902" i="109"/>
  <c r="P901" i="109"/>
  <c r="P900" i="109"/>
  <c r="P899" i="109"/>
  <c r="P898" i="109"/>
  <c r="P897" i="109"/>
  <c r="P896" i="109"/>
  <c r="P895" i="109"/>
  <c r="P894" i="109"/>
  <c r="P893" i="109"/>
  <c r="P891" i="109"/>
  <c r="P890" i="109"/>
  <c r="P889" i="109"/>
  <c r="P888" i="109"/>
  <c r="P887" i="109"/>
  <c r="P886" i="109"/>
  <c r="P885" i="109"/>
  <c r="P884" i="109"/>
  <c r="P883" i="109"/>
  <c r="P882" i="109"/>
  <c r="P881" i="109"/>
  <c r="P880" i="109"/>
  <c r="P879" i="109"/>
  <c r="P877" i="109"/>
  <c r="P875" i="109"/>
  <c r="P874" i="109"/>
  <c r="P873" i="109"/>
  <c r="P872" i="109"/>
  <c r="P871" i="109"/>
  <c r="P870" i="109"/>
  <c r="P869" i="109"/>
  <c r="P868" i="109"/>
  <c r="P867" i="109"/>
  <c r="P866" i="109"/>
  <c r="P864" i="109"/>
  <c r="P863" i="109"/>
  <c r="P861" i="109"/>
  <c r="P860" i="109"/>
  <c r="P859" i="109"/>
  <c r="P858" i="109"/>
  <c r="P857" i="109"/>
  <c r="P856" i="109"/>
  <c r="P855" i="109"/>
  <c r="P854" i="109"/>
  <c r="P853" i="109"/>
  <c r="P852" i="109"/>
  <c r="P851" i="109"/>
  <c r="P849" i="109"/>
  <c r="P848" i="109"/>
  <c r="P847" i="109"/>
  <c r="P846" i="109"/>
  <c r="P845" i="109"/>
  <c r="P843" i="109"/>
  <c r="P842" i="109"/>
  <c r="P841" i="109"/>
  <c r="P840" i="109"/>
  <c r="P839" i="109"/>
  <c r="P838" i="109"/>
  <c r="P837" i="109"/>
  <c r="P835" i="109"/>
  <c r="P834" i="109"/>
  <c r="P833" i="109"/>
  <c r="P832" i="109"/>
  <c r="P831" i="109"/>
  <c r="P830" i="109"/>
  <c r="P829" i="109"/>
  <c r="P828" i="109"/>
  <c r="P827" i="109"/>
  <c r="P826" i="109"/>
  <c r="P825" i="109"/>
  <c r="P824" i="109"/>
  <c r="P823" i="109"/>
  <c r="P822" i="109"/>
  <c r="P821" i="109"/>
  <c r="P820" i="109"/>
  <c r="P819" i="109"/>
  <c r="P818" i="109"/>
  <c r="P817" i="109"/>
  <c r="P816" i="109"/>
  <c r="P815" i="109"/>
  <c r="P814" i="109"/>
  <c r="P812" i="109"/>
  <c r="P811" i="109"/>
  <c r="P810" i="109"/>
  <c r="P809" i="109"/>
  <c r="P808" i="109"/>
  <c r="P807" i="109"/>
  <c r="P806" i="109"/>
  <c r="P805" i="109"/>
  <c r="P804" i="109"/>
  <c r="P803" i="109"/>
  <c r="P802" i="109"/>
  <c r="P801" i="109"/>
  <c r="P800" i="109"/>
  <c r="P799" i="109"/>
  <c r="P798" i="109"/>
  <c r="P797" i="109"/>
  <c r="P796" i="109"/>
  <c r="P795" i="109"/>
  <c r="P794" i="109"/>
  <c r="P793" i="109"/>
  <c r="P792" i="109"/>
  <c r="P791" i="109"/>
  <c r="P790" i="109"/>
  <c r="P789" i="109"/>
  <c r="P788" i="109"/>
  <c r="P787" i="109"/>
  <c r="P786" i="109"/>
  <c r="P785" i="109"/>
  <c r="P784" i="109"/>
  <c r="P783" i="109"/>
  <c r="P780" i="109"/>
  <c r="P779" i="109"/>
  <c r="P778" i="109"/>
  <c r="P777" i="109"/>
  <c r="P776" i="109"/>
  <c r="P770" i="109"/>
  <c r="P769" i="109"/>
  <c r="P768" i="109"/>
  <c r="P767" i="109"/>
  <c r="P766" i="109"/>
  <c r="P765" i="109"/>
  <c r="P764" i="109"/>
  <c r="P763" i="109"/>
  <c r="P762" i="109"/>
  <c r="P761" i="109"/>
  <c r="P759" i="109"/>
  <c r="P757" i="109"/>
  <c r="P756" i="109"/>
  <c r="P755" i="109"/>
  <c r="P754" i="109"/>
  <c r="P753" i="109"/>
  <c r="P752" i="109"/>
  <c r="P751" i="109"/>
  <c r="P750" i="109"/>
  <c r="P749" i="109"/>
  <c r="P748" i="109"/>
  <c r="P747" i="109"/>
  <c r="P746" i="109"/>
  <c r="P745" i="109"/>
  <c r="P744" i="109"/>
  <c r="P743" i="109"/>
  <c r="P742" i="109"/>
  <c r="P741" i="109"/>
  <c r="P740" i="109"/>
  <c r="P739" i="109"/>
  <c r="P738" i="109"/>
  <c r="P737" i="109"/>
  <c r="P736" i="109"/>
  <c r="P735" i="109"/>
  <c r="P734" i="109"/>
  <c r="P733" i="109"/>
  <c r="P732" i="109"/>
  <c r="P731" i="109"/>
  <c r="P729" i="109"/>
  <c r="P728" i="109"/>
  <c r="P727" i="109"/>
  <c r="P726" i="109"/>
  <c r="P724" i="109"/>
  <c r="P723" i="109"/>
  <c r="P722" i="109"/>
  <c r="P721" i="109"/>
  <c r="P720" i="109"/>
  <c r="P719" i="109"/>
  <c r="P718" i="109"/>
  <c r="P717" i="109"/>
  <c r="P716" i="109"/>
  <c r="P715" i="109"/>
  <c r="P714" i="109"/>
  <c r="P713" i="109"/>
  <c r="P712" i="109"/>
  <c r="P711" i="109"/>
  <c r="P710" i="109"/>
  <c r="P709" i="109"/>
  <c r="P708" i="109"/>
  <c r="P707" i="109"/>
  <c r="P706" i="109"/>
  <c r="P705" i="109"/>
  <c r="P704" i="109"/>
  <c r="P703" i="109"/>
  <c r="P702" i="109"/>
  <c r="P701" i="109"/>
  <c r="P700" i="109"/>
  <c r="P699" i="109"/>
  <c r="P698" i="109"/>
  <c r="P697" i="109"/>
  <c r="P696" i="109"/>
  <c r="P695" i="109"/>
  <c r="P694" i="109"/>
  <c r="P693" i="109"/>
  <c r="P692" i="109"/>
  <c r="P691" i="109"/>
  <c r="P690" i="109"/>
  <c r="P689" i="109"/>
  <c r="P688" i="109"/>
  <c r="P687" i="109"/>
  <c r="P686" i="109"/>
  <c r="P684" i="109"/>
  <c r="P683" i="109"/>
  <c r="P682" i="109"/>
  <c r="P681" i="109"/>
  <c r="P680" i="109"/>
  <c r="P678" i="109"/>
  <c r="P677" i="109"/>
  <c r="P676" i="109"/>
  <c r="P675" i="109"/>
  <c r="P674" i="109"/>
  <c r="P673" i="109"/>
  <c r="P671" i="109"/>
  <c r="P670" i="109"/>
  <c r="P669" i="109"/>
  <c r="P668" i="109"/>
  <c r="P667" i="109"/>
  <c r="P666" i="109"/>
  <c r="P665" i="109"/>
  <c r="P664" i="109"/>
  <c r="P662" i="109"/>
  <c r="P661" i="109"/>
  <c r="P660" i="109"/>
  <c r="P659" i="109"/>
  <c r="P658" i="109"/>
  <c r="P657" i="109"/>
  <c r="P656" i="109"/>
  <c r="P655" i="109"/>
  <c r="P654" i="109"/>
  <c r="P652" i="109"/>
  <c r="P651" i="109"/>
  <c r="P650" i="109"/>
  <c r="P649" i="109"/>
  <c r="P648" i="109"/>
  <c r="P647" i="109"/>
  <c r="P646" i="109"/>
  <c r="P645" i="109"/>
  <c r="P644" i="109"/>
  <c r="P643" i="109"/>
  <c r="P642" i="109"/>
  <c r="P641" i="109"/>
  <c r="P640" i="109"/>
  <c r="P639" i="109"/>
  <c r="P638" i="109"/>
  <c r="P637" i="109"/>
  <c r="P636" i="109"/>
  <c r="P635" i="109"/>
  <c r="P634" i="109"/>
  <c r="P633" i="109"/>
  <c r="P632" i="109"/>
  <c r="P631" i="109"/>
  <c r="P630" i="109"/>
  <c r="P629" i="109"/>
  <c r="P628" i="109"/>
  <c r="P627" i="109"/>
  <c r="P626" i="109"/>
  <c r="P625" i="109"/>
  <c r="P623" i="109"/>
  <c r="P622" i="109"/>
  <c r="P621" i="109"/>
  <c r="P620" i="109"/>
  <c r="P619" i="109"/>
  <c r="P618" i="109"/>
  <c r="P617" i="109"/>
  <c r="P616" i="109"/>
  <c r="P615" i="109"/>
  <c r="P614" i="109"/>
  <c r="P613" i="109"/>
  <c r="P612" i="109"/>
  <c r="P611" i="109"/>
  <c r="P610" i="109"/>
  <c r="P609" i="109"/>
  <c r="P608" i="109"/>
  <c r="P607" i="109"/>
  <c r="P606" i="109"/>
  <c r="P605" i="109"/>
  <c r="P604" i="109"/>
  <c r="P603" i="109"/>
  <c r="P602" i="109"/>
  <c r="P601" i="109"/>
  <c r="P600" i="109"/>
  <c r="P599" i="109"/>
  <c r="P598" i="109"/>
  <c r="P597" i="109"/>
  <c r="P596" i="109"/>
  <c r="P595" i="109"/>
  <c r="P594" i="109"/>
  <c r="P593" i="109"/>
  <c r="P592" i="109"/>
  <c r="P591" i="109"/>
  <c r="P590" i="109"/>
  <c r="P588" i="109"/>
  <c r="P587" i="109"/>
  <c r="P583" i="109"/>
  <c r="P582" i="109"/>
  <c r="P581" i="109"/>
  <c r="P580" i="109"/>
  <c r="P579" i="109"/>
  <c r="P576" i="109"/>
  <c r="P575" i="109"/>
  <c r="P574" i="109"/>
  <c r="P572" i="109"/>
  <c r="P571" i="109"/>
  <c r="P570" i="109"/>
  <c r="P569" i="109"/>
  <c r="P568" i="109"/>
  <c r="P567" i="109"/>
  <c r="P566" i="109"/>
  <c r="P565" i="109"/>
  <c r="P564" i="109"/>
  <c r="P563" i="109"/>
  <c r="P562" i="109"/>
  <c r="P561" i="109"/>
  <c r="P560" i="109"/>
  <c r="P559" i="109"/>
  <c r="P558" i="109"/>
  <c r="P557" i="109"/>
  <c r="P556" i="109"/>
  <c r="P555" i="109"/>
  <c r="P554" i="109"/>
  <c r="P553" i="109"/>
  <c r="P552" i="109"/>
  <c r="P551" i="109"/>
  <c r="P550" i="109"/>
  <c r="P549" i="109"/>
  <c r="P548" i="109"/>
  <c r="P547" i="109"/>
  <c r="P546" i="109"/>
  <c r="P545" i="109"/>
  <c r="P544" i="109"/>
  <c r="P543" i="109"/>
  <c r="P542" i="109"/>
  <c r="P541" i="109"/>
  <c r="P540" i="109"/>
  <c r="P539" i="109"/>
  <c r="P538" i="109"/>
  <c r="P537" i="109"/>
  <c r="P536" i="109"/>
  <c r="P535" i="109"/>
  <c r="P534" i="109"/>
  <c r="P533" i="109"/>
  <c r="P532" i="109"/>
  <c r="P531" i="109"/>
  <c r="P530" i="109"/>
  <c r="P529" i="109"/>
  <c r="P528" i="109"/>
  <c r="P526" i="109"/>
  <c r="P525" i="109"/>
  <c r="P524" i="109"/>
  <c r="P523" i="109"/>
  <c r="P522" i="109"/>
  <c r="P521" i="109"/>
  <c r="P520" i="109"/>
  <c r="P519" i="109"/>
  <c r="P518" i="109"/>
  <c r="P517" i="109"/>
  <c r="P516" i="109"/>
  <c r="P515" i="109"/>
  <c r="P514" i="109"/>
  <c r="P513" i="109"/>
  <c r="P512" i="109"/>
  <c r="P511" i="109"/>
  <c r="P510" i="109"/>
  <c r="P509" i="109"/>
  <c r="P508" i="109"/>
  <c r="P507" i="109"/>
  <c r="P506" i="109"/>
  <c r="P505" i="109"/>
  <c r="P504" i="109"/>
  <c r="P503" i="109"/>
  <c r="P499" i="109"/>
  <c r="P498" i="109"/>
  <c r="P497" i="109"/>
  <c r="P496" i="109"/>
  <c r="P495" i="109"/>
  <c r="P494" i="109"/>
  <c r="P493" i="109"/>
  <c r="P492" i="109"/>
  <c r="P491" i="109"/>
  <c r="P490" i="109"/>
  <c r="P489" i="109"/>
  <c r="P488" i="109"/>
  <c r="P487" i="109"/>
  <c r="P485" i="109"/>
  <c r="P484" i="109"/>
  <c r="P483" i="109"/>
  <c r="P482" i="109"/>
  <c r="P481" i="109"/>
  <c r="P480" i="109"/>
  <c r="P479" i="109"/>
  <c r="P478" i="109"/>
  <c r="P477" i="109"/>
  <c r="P476" i="109"/>
  <c r="P475" i="109"/>
  <c r="P474" i="109"/>
  <c r="P473" i="109"/>
  <c r="P472" i="109"/>
  <c r="P471" i="109"/>
  <c r="P468" i="109"/>
  <c r="P467" i="109"/>
  <c r="P466" i="109"/>
  <c r="P465" i="109"/>
  <c r="P464" i="109"/>
  <c r="P463" i="109"/>
  <c r="P462" i="109"/>
  <c r="P461" i="109"/>
  <c r="P460" i="109"/>
  <c r="P459" i="109"/>
  <c r="P458" i="109"/>
  <c r="P457" i="109"/>
  <c r="P456" i="109"/>
  <c r="P454" i="109"/>
  <c r="P453" i="109"/>
  <c r="P452" i="109"/>
  <c r="P451" i="109"/>
  <c r="P450" i="109"/>
  <c r="P449" i="109"/>
  <c r="P448" i="109"/>
  <c r="P447" i="109"/>
  <c r="P446" i="109"/>
  <c r="P445" i="109"/>
  <c r="P444" i="109"/>
  <c r="P443" i="109"/>
  <c r="P442" i="109"/>
  <c r="P441" i="109"/>
  <c r="P440" i="109"/>
  <c r="P439" i="109"/>
  <c r="P438" i="109"/>
  <c r="P437" i="109"/>
  <c r="P436" i="109"/>
  <c r="P435" i="109"/>
  <c r="P434" i="109"/>
  <c r="P433" i="109"/>
  <c r="P432" i="109"/>
  <c r="P431" i="109"/>
  <c r="P430" i="109"/>
  <c r="P429" i="109"/>
  <c r="P428" i="109"/>
  <c r="P427" i="109"/>
  <c r="P426" i="109"/>
  <c r="P425" i="109"/>
  <c r="P424" i="109"/>
  <c r="P423" i="109"/>
  <c r="P422" i="109"/>
  <c r="P421" i="109"/>
  <c r="P420" i="109"/>
  <c r="P419" i="109"/>
  <c r="P418" i="109"/>
  <c r="P417" i="109"/>
  <c r="P416" i="109"/>
  <c r="P415" i="109"/>
  <c r="P414" i="109"/>
  <c r="P413" i="109"/>
  <c r="P412" i="109"/>
  <c r="P411" i="109"/>
  <c r="P410" i="109"/>
  <c r="P409" i="109"/>
  <c r="P408" i="109"/>
  <c r="P407" i="109"/>
  <c r="P406" i="109"/>
  <c r="P405" i="109"/>
  <c r="P404" i="109"/>
  <c r="P403" i="109"/>
  <c r="P402" i="109"/>
  <c r="P401" i="109"/>
  <c r="P400" i="109"/>
  <c r="P399" i="109"/>
  <c r="P398" i="109"/>
  <c r="P397" i="109"/>
  <c r="P396" i="109"/>
  <c r="P395" i="109"/>
  <c r="P394" i="109"/>
  <c r="P393" i="109"/>
  <c r="P392" i="109"/>
  <c r="P391" i="109"/>
  <c r="P390" i="109"/>
  <c r="P389" i="109"/>
  <c r="P388" i="109"/>
  <c r="P387" i="109"/>
  <c r="P386" i="109"/>
  <c r="P385" i="109"/>
  <c r="P384" i="109"/>
  <c r="P383" i="109"/>
  <c r="P382" i="109"/>
  <c r="P381" i="109"/>
  <c r="P380" i="109"/>
  <c r="P379" i="109"/>
  <c r="P378" i="109"/>
  <c r="P377" i="109"/>
  <c r="P376" i="109"/>
  <c r="P375" i="109"/>
  <c r="P374" i="109"/>
  <c r="P373" i="109"/>
  <c r="P372" i="109"/>
  <c r="P371" i="109"/>
  <c r="P370" i="109"/>
  <c r="P369" i="109"/>
  <c r="P368" i="109"/>
  <c r="P367" i="109"/>
  <c r="P366" i="109"/>
  <c r="P365" i="109"/>
  <c r="P364" i="109"/>
  <c r="P363" i="109"/>
  <c r="P362" i="109"/>
  <c r="P361" i="109"/>
  <c r="P360" i="109"/>
  <c r="P359" i="109"/>
  <c r="P358" i="109"/>
  <c r="P357" i="109"/>
  <c r="P356" i="109"/>
  <c r="P355" i="109"/>
  <c r="P354" i="109"/>
  <c r="P353" i="109"/>
  <c r="P352" i="109"/>
  <c r="P351" i="109"/>
  <c r="P350" i="109"/>
  <c r="P349" i="109"/>
  <c r="P348" i="109"/>
  <c r="P347" i="109"/>
  <c r="P346" i="109"/>
  <c r="P345" i="109"/>
  <c r="P344" i="109"/>
  <c r="P343" i="109"/>
  <c r="P342" i="109"/>
  <c r="P341" i="109"/>
  <c r="P340" i="109"/>
  <c r="P339" i="109"/>
  <c r="P338" i="109"/>
  <c r="P337" i="109"/>
  <c r="P336" i="109"/>
  <c r="P335" i="109"/>
  <c r="P334" i="109"/>
  <c r="P333" i="109"/>
  <c r="P332" i="109"/>
  <c r="P331" i="109"/>
  <c r="P330" i="109"/>
  <c r="P329" i="109"/>
  <c r="P328" i="109"/>
  <c r="P327" i="109"/>
  <c r="P326" i="109"/>
  <c r="P325" i="109"/>
  <c r="P324" i="109"/>
  <c r="P323" i="109"/>
  <c r="P322" i="109"/>
  <c r="P321" i="109"/>
  <c r="P320" i="109"/>
  <c r="P319" i="109"/>
  <c r="P318" i="109"/>
  <c r="P317" i="109"/>
  <c r="P316" i="109"/>
  <c r="P315" i="109"/>
  <c r="P314" i="109"/>
  <c r="P313" i="109"/>
  <c r="P312" i="109"/>
  <c r="P311" i="109"/>
  <c r="P310" i="109"/>
  <c r="P309" i="109"/>
  <c r="P308" i="109"/>
  <c r="P307" i="109"/>
  <c r="P306" i="109"/>
  <c r="P304" i="109"/>
  <c r="P303" i="109"/>
  <c r="P302" i="109"/>
  <c r="P301" i="109"/>
  <c r="P300" i="109"/>
  <c r="P299" i="109"/>
  <c r="P298" i="109"/>
  <c r="P297" i="109"/>
  <c r="P296" i="109"/>
  <c r="P295" i="109"/>
  <c r="P294" i="109"/>
  <c r="P293" i="109"/>
  <c r="P292" i="109"/>
  <c r="P291" i="109"/>
  <c r="P290" i="109"/>
  <c r="P289" i="109"/>
  <c r="P288" i="109"/>
  <c r="P287" i="109"/>
  <c r="P286" i="109"/>
  <c r="P285" i="109"/>
  <c r="P284" i="109"/>
  <c r="P283" i="109"/>
  <c r="P282" i="109"/>
  <c r="P281" i="109"/>
  <c r="P280" i="109"/>
  <c r="P279" i="109"/>
  <c r="P278" i="109"/>
  <c r="P277" i="109"/>
  <c r="P276" i="109"/>
  <c r="P275" i="109"/>
  <c r="P274" i="109"/>
  <c r="P273" i="109"/>
  <c r="P272" i="109"/>
  <c r="P271" i="109"/>
  <c r="P270" i="109"/>
  <c r="P269" i="109"/>
  <c r="P268" i="109"/>
  <c r="P267" i="109"/>
  <c r="P266" i="109"/>
  <c r="P265" i="109"/>
  <c r="P264" i="109"/>
  <c r="P263" i="109"/>
  <c r="P262" i="109"/>
  <c r="P261" i="109"/>
  <c r="P260" i="109"/>
  <c r="P259" i="109"/>
  <c r="P258" i="109"/>
  <c r="P257" i="109"/>
  <c r="P256" i="109"/>
  <c r="P255" i="109"/>
  <c r="P254" i="109"/>
  <c r="P253" i="109"/>
  <c r="P252" i="109"/>
  <c r="P251" i="109"/>
  <c r="P250" i="109"/>
  <c r="P249" i="109"/>
  <c r="P248" i="109"/>
  <c r="P247" i="109"/>
  <c r="P246" i="109"/>
  <c r="P245" i="109"/>
  <c r="P244" i="109"/>
  <c r="P243" i="109"/>
  <c r="P242" i="109"/>
  <c r="P241" i="109"/>
  <c r="P240" i="109"/>
  <c r="P239" i="109"/>
  <c r="P238" i="109"/>
  <c r="P237" i="109"/>
  <c r="P236" i="109"/>
  <c r="P235" i="109"/>
  <c r="P234" i="109"/>
  <c r="P233" i="109"/>
  <c r="P232" i="109"/>
  <c r="P231" i="109"/>
  <c r="P230" i="109"/>
  <c r="P229" i="109"/>
  <c r="P228" i="109"/>
  <c r="P227" i="109"/>
  <c r="P226" i="109"/>
  <c r="P225" i="109"/>
  <c r="P224" i="109"/>
  <c r="P223" i="109"/>
  <c r="P222" i="109"/>
  <c r="P221" i="109"/>
  <c r="P220" i="109"/>
  <c r="P219" i="109"/>
  <c r="P218" i="109"/>
  <c r="P217" i="109"/>
  <c r="P216" i="109"/>
  <c r="P215" i="109"/>
  <c r="P214" i="109"/>
  <c r="P213" i="109"/>
  <c r="P212" i="109"/>
  <c r="P211" i="109"/>
  <c r="P210" i="109"/>
  <c r="P209" i="109"/>
  <c r="P208" i="109"/>
  <c r="P207" i="109"/>
  <c r="P205" i="109"/>
  <c r="P204" i="109"/>
  <c r="P203" i="109"/>
  <c r="P202" i="109"/>
  <c r="P201" i="109"/>
  <c r="P200" i="109"/>
  <c r="P199" i="109"/>
  <c r="P198" i="109"/>
  <c r="P197" i="109"/>
  <c r="P196" i="109"/>
  <c r="P195" i="109"/>
  <c r="P194" i="109"/>
  <c r="P193" i="109"/>
  <c r="P192" i="109"/>
  <c r="P191" i="109"/>
  <c r="P190" i="109"/>
  <c r="P189" i="109"/>
  <c r="P188" i="109"/>
  <c r="P187" i="109"/>
  <c r="P186" i="109"/>
  <c r="P185" i="109"/>
  <c r="P184" i="109"/>
  <c r="P183" i="109"/>
  <c r="P182" i="109"/>
  <c r="P181" i="109"/>
  <c r="P180" i="109"/>
  <c r="P179" i="109"/>
  <c r="P178" i="109"/>
  <c r="P177" i="109"/>
  <c r="P176" i="109"/>
  <c r="P175" i="109"/>
  <c r="P174" i="109"/>
  <c r="P173" i="109"/>
  <c r="P172" i="109"/>
  <c r="P171" i="109"/>
  <c r="P170" i="109"/>
  <c r="P169" i="109"/>
  <c r="P167" i="109"/>
  <c r="P166" i="109"/>
  <c r="P165" i="109"/>
  <c r="P164" i="109"/>
  <c r="P163" i="109"/>
  <c r="P162" i="109"/>
  <c r="P161" i="109"/>
  <c r="P160" i="109"/>
  <c r="P159" i="109"/>
  <c r="P158" i="109"/>
  <c r="P157" i="109"/>
  <c r="P156" i="109"/>
  <c r="P154" i="109"/>
  <c r="P153" i="109"/>
  <c r="P150" i="109"/>
  <c r="P149" i="109"/>
  <c r="P148" i="109"/>
  <c r="P147" i="109"/>
  <c r="P146" i="109"/>
  <c r="P145" i="109"/>
  <c r="P144" i="109"/>
  <c r="P143" i="109"/>
  <c r="P142" i="109"/>
  <c r="P141" i="109"/>
  <c r="P140" i="109"/>
  <c r="P139" i="109"/>
  <c r="P138" i="109"/>
  <c r="P137" i="109"/>
  <c r="P136" i="109"/>
  <c r="P135" i="109"/>
  <c r="P134" i="109"/>
  <c r="P133" i="109"/>
  <c r="P132" i="109"/>
  <c r="P131" i="109"/>
  <c r="P130" i="109"/>
  <c r="P129" i="109"/>
  <c r="P128" i="109"/>
  <c r="P127" i="109"/>
  <c r="P126" i="109"/>
  <c r="P125" i="109"/>
  <c r="P124" i="109"/>
  <c r="P123" i="109"/>
  <c r="P122" i="109"/>
  <c r="P121" i="109"/>
  <c r="P120" i="109"/>
  <c r="P119" i="109"/>
  <c r="P118" i="109"/>
  <c r="P116" i="109"/>
  <c r="P115" i="109"/>
  <c r="P114" i="109"/>
  <c r="P113" i="109"/>
  <c r="P112" i="109"/>
  <c r="P111" i="109"/>
  <c r="P110" i="109"/>
  <c r="P109" i="109"/>
  <c r="P108" i="109"/>
  <c r="P107" i="109"/>
  <c r="P106" i="109"/>
  <c r="P105" i="109"/>
  <c r="P104" i="109"/>
  <c r="P103" i="109"/>
  <c r="P102" i="109"/>
  <c r="P101" i="109"/>
  <c r="P99" i="109"/>
  <c r="P98" i="109"/>
  <c r="P97" i="109"/>
  <c r="P96" i="109"/>
  <c r="P95" i="109"/>
  <c r="P94" i="109"/>
  <c r="P93" i="109"/>
  <c r="P92" i="109"/>
  <c r="P91" i="109"/>
  <c r="P90" i="109"/>
  <c r="P89" i="109"/>
  <c r="P88" i="109"/>
  <c r="P87" i="109"/>
  <c r="P86" i="109"/>
  <c r="P85" i="109"/>
  <c r="P84" i="109"/>
  <c r="P83" i="109"/>
  <c r="P82" i="109"/>
  <c r="P81" i="109"/>
  <c r="P80" i="109"/>
  <c r="P79" i="109"/>
  <c r="P78" i="109"/>
  <c r="P77" i="109"/>
  <c r="P76" i="109"/>
  <c r="P75" i="109"/>
  <c r="P74" i="109"/>
  <c r="P73" i="109"/>
  <c r="P72" i="109"/>
  <c r="P71" i="109"/>
  <c r="P70" i="109"/>
  <c r="P69" i="109"/>
  <c r="P68" i="109"/>
  <c r="P67" i="109"/>
  <c r="P66" i="109"/>
  <c r="P65" i="109"/>
  <c r="P64" i="109"/>
  <c r="P63" i="109"/>
  <c r="P62" i="109"/>
  <c r="P61" i="109"/>
  <c r="P60" i="109"/>
  <c r="P59" i="109"/>
  <c r="P58" i="109"/>
  <c r="P57" i="109"/>
  <c r="P56" i="109"/>
  <c r="P55" i="109"/>
  <c r="P54" i="109"/>
  <c r="P53" i="109"/>
  <c r="P52" i="109"/>
  <c r="P51" i="109"/>
  <c r="P50" i="109"/>
  <c r="P49" i="109"/>
  <c r="P48" i="109"/>
  <c r="P47" i="109"/>
  <c r="P46" i="109"/>
  <c r="P45" i="109"/>
  <c r="P44" i="109"/>
  <c r="P43" i="109"/>
  <c r="P42" i="109"/>
  <c r="P41" i="109"/>
  <c r="P40" i="109"/>
  <c r="P39" i="109"/>
  <c r="P38" i="109"/>
  <c r="P37" i="109"/>
  <c r="P36" i="109"/>
  <c r="P35" i="109"/>
  <c r="P34" i="109"/>
  <c r="P33" i="109"/>
  <c r="P32" i="109"/>
  <c r="P31" i="109"/>
  <c r="P30" i="109"/>
  <c r="P29" i="109"/>
  <c r="P28" i="109"/>
  <c r="P27" i="109"/>
  <c r="P26" i="109"/>
  <c r="P25" i="109"/>
  <c r="P24" i="109"/>
  <c r="P23" i="109"/>
  <c r="P22" i="109"/>
  <c r="P21" i="109"/>
  <c r="P20" i="109"/>
  <c r="P19" i="109"/>
  <c r="P18" i="109"/>
  <c r="P17" i="109"/>
  <c r="P16" i="109"/>
  <c r="P15" i="109"/>
  <c r="P14" i="109"/>
  <c r="P13" i="109"/>
  <c r="P12" i="109"/>
  <c r="P11" i="109"/>
  <c r="P10" i="109"/>
  <c r="P9" i="109"/>
  <c r="P8" i="109"/>
  <c r="P7" i="109"/>
  <c r="P6" i="109"/>
  <c r="P5" i="109"/>
  <c r="P4" i="109"/>
  <c r="P3" i="109"/>
  <c r="P2" i="109"/>
  <c r="G10" i="105"/>
  <c r="I184" i="143"/>
  <c r="K52" i="143"/>
  <c r="I160" i="143"/>
  <c r="I168" i="147" l="1"/>
  <c r="H168" i="147"/>
  <c r="G168" i="147"/>
  <c r="I166" i="147"/>
  <c r="H166" i="147"/>
  <c r="G166" i="147"/>
  <c r="F166" i="147"/>
  <c r="I165" i="147"/>
  <c r="H165" i="147"/>
  <c r="G165" i="147"/>
  <c r="F165" i="147"/>
  <c r="I164" i="147"/>
  <c r="H164" i="147"/>
  <c r="G164" i="147"/>
  <c r="F164" i="147"/>
  <c r="I163" i="147"/>
  <c r="H163" i="147"/>
  <c r="G163" i="147"/>
  <c r="I162" i="147"/>
  <c r="H162" i="147"/>
  <c r="G162" i="147"/>
  <c r="I161" i="147"/>
  <c r="H161" i="147"/>
  <c r="G161" i="147"/>
  <c r="G167" i="147" l="1"/>
  <c r="F168" i="147"/>
  <c r="H167" i="147"/>
  <c r="I167" i="147"/>
  <c r="F163" i="147"/>
  <c r="F162" i="147"/>
  <c r="F161" i="147"/>
  <c r="I102" i="143"/>
  <c r="F167" i="147" l="1"/>
  <c r="R3489" i="109"/>
  <c r="R3488" i="109"/>
  <c r="R3487" i="109"/>
  <c r="R3486" i="109"/>
  <c r="R3485" i="109"/>
  <c r="R3484" i="109"/>
  <c r="R3483" i="109"/>
  <c r="R3480" i="109"/>
  <c r="R3478" i="109"/>
  <c r="R3477" i="109"/>
  <c r="R3476" i="109"/>
  <c r="R3475" i="109"/>
  <c r="R3474" i="109"/>
  <c r="R3473" i="109"/>
  <c r="R3472" i="109"/>
  <c r="R3468" i="109"/>
  <c r="R3467" i="109"/>
  <c r="R3466" i="109"/>
  <c r="R3465" i="109"/>
  <c r="R3461" i="109"/>
  <c r="R3460" i="109"/>
  <c r="R3459" i="109"/>
  <c r="R3457" i="109"/>
  <c r="R3456" i="109"/>
  <c r="R3455" i="109"/>
  <c r="R3454" i="109"/>
  <c r="R3453" i="109"/>
  <c r="R3452" i="109"/>
  <c r="R3451" i="109"/>
  <c r="R3450" i="109"/>
  <c r="R3449" i="109"/>
  <c r="R3446" i="109"/>
  <c r="R3445" i="109"/>
  <c r="R3444" i="109"/>
  <c r="R3443" i="109"/>
  <c r="R3442" i="109"/>
  <c r="R3441" i="109"/>
  <c r="R3440" i="109"/>
  <c r="R3439" i="109"/>
  <c r="R3438" i="109"/>
  <c r="R3437" i="109"/>
  <c r="R3434" i="109"/>
  <c r="R3433" i="109"/>
  <c r="R3428" i="109"/>
  <c r="R3427" i="109"/>
  <c r="R3426" i="109"/>
  <c r="R3425" i="109"/>
  <c r="R3423" i="109"/>
  <c r="R3422" i="109"/>
  <c r="R3421" i="109"/>
  <c r="R3420" i="109"/>
  <c r="R3419" i="109"/>
  <c r="R3418" i="109"/>
  <c r="R3417" i="109"/>
  <c r="R3416" i="109"/>
  <c r="R3415" i="109"/>
  <c r="R3413" i="109"/>
  <c r="R3412" i="109"/>
  <c r="R3409" i="109"/>
  <c r="R3402" i="109"/>
  <c r="R3447" i="109" l="1"/>
  <c r="R3458" i="109"/>
  <c r="K329" i="143"/>
  <c r="K328" i="143"/>
  <c r="K254" i="143"/>
  <c r="M162" i="143" l="1"/>
  <c r="L162" i="143"/>
  <c r="I187" i="143"/>
  <c r="I288" i="143" l="1"/>
  <c r="K109" i="143" l="1"/>
  <c r="L349" i="143"/>
  <c r="M349" i="143"/>
  <c r="L346" i="143"/>
  <c r="L32" i="143" s="1"/>
  <c r="M346" i="143"/>
  <c r="M32" i="143" s="1"/>
  <c r="L347" i="143"/>
  <c r="L33" i="143" s="1"/>
  <c r="M347" i="143"/>
  <c r="M33" i="143" s="1"/>
  <c r="L348" i="143"/>
  <c r="L34" i="143" s="1"/>
  <c r="M348" i="143"/>
  <c r="M34" i="143" s="1"/>
  <c r="I149" i="143" l="1"/>
  <c r="K327" i="143"/>
  <c r="K349" i="143" s="1"/>
  <c r="I253" i="143"/>
  <c r="I238" i="143"/>
  <c r="F41" i="105" l="1"/>
  <c r="I93" i="143"/>
  <c r="I176" i="143"/>
  <c r="I275" i="143"/>
  <c r="I273" i="143"/>
  <c r="I274" i="143"/>
  <c r="I271" i="143"/>
  <c r="I272" i="143"/>
  <c r="C10" i="123"/>
  <c r="D10" i="123"/>
  <c r="I305" i="143"/>
  <c r="I261" i="143"/>
  <c r="I245" i="143"/>
  <c r="I221" i="143"/>
  <c r="I215" i="143"/>
  <c r="I218" i="143"/>
  <c r="I217" i="143"/>
  <c r="I214" i="143"/>
  <c r="I216" i="143"/>
  <c r="I228" i="143" l="1"/>
  <c r="I227" i="143"/>
  <c r="I226" i="143"/>
  <c r="L341" i="143" l="1"/>
  <c r="M341" i="143"/>
  <c r="L342" i="143"/>
  <c r="M342" i="143"/>
  <c r="L343" i="143"/>
  <c r="M343" i="143"/>
  <c r="L164" i="143"/>
  <c r="M164" i="143"/>
  <c r="L165" i="143"/>
  <c r="M165" i="143"/>
  <c r="L166" i="143"/>
  <c r="M166" i="143"/>
  <c r="K164" i="143"/>
  <c r="L83" i="143"/>
  <c r="M83" i="143"/>
  <c r="M84" i="143"/>
  <c r="L54" i="143"/>
  <c r="L84" i="143" s="1"/>
  <c r="I58" i="143"/>
  <c r="I83" i="143" s="1"/>
  <c r="Q4" i="143" l="1"/>
  <c r="I64" i="143"/>
  <c r="I82" i="143" s="1"/>
  <c r="I428" i="143"/>
  <c r="I427" i="143"/>
  <c r="I426" i="143"/>
  <c r="I425" i="143"/>
  <c r="I424" i="143"/>
  <c r="I423" i="143"/>
  <c r="I422" i="143"/>
  <c r="I421" i="143"/>
  <c r="I420" i="143"/>
  <c r="I419" i="143"/>
  <c r="I418" i="143"/>
  <c r="I185" i="143"/>
  <c r="I417" i="143"/>
  <c r="I416" i="143"/>
  <c r="I415" i="143"/>
  <c r="I414" i="143"/>
  <c r="I321" i="143"/>
  <c r="I412" i="143"/>
  <c r="I399" i="143"/>
  <c r="I400" i="143"/>
  <c r="I409" i="143"/>
  <c r="I410" i="143"/>
  <c r="I411" i="143"/>
  <c r="I408" i="143"/>
  <c r="I407" i="143"/>
  <c r="I406" i="143"/>
  <c r="I405" i="143"/>
  <c r="I404" i="143"/>
  <c r="I403" i="143"/>
  <c r="I402" i="143"/>
  <c r="I401" i="143"/>
  <c r="I397" i="143"/>
  <c r="I396" i="143"/>
  <c r="I296" i="143"/>
  <c r="I376" i="143"/>
  <c r="I395" i="143"/>
  <c r="I297" i="143"/>
  <c r="K51" i="143"/>
  <c r="K50" i="143"/>
  <c r="K68" i="143"/>
  <c r="I49" i="143"/>
  <c r="I46" i="143"/>
  <c r="L82" i="143" l="1"/>
  <c r="M82" i="143"/>
  <c r="I84" i="143"/>
  <c r="I335" i="143" l="1"/>
  <c r="I336" i="143"/>
  <c r="I337" i="143"/>
  <c r="I334" i="143"/>
  <c r="I331" i="143"/>
  <c r="I332" i="143"/>
  <c r="I333" i="143"/>
  <c r="I323" i="143"/>
  <c r="I324" i="143"/>
  <c r="I325" i="143"/>
  <c r="I326" i="143"/>
  <c r="I327" i="143"/>
  <c r="I328" i="143"/>
  <c r="I329" i="143"/>
  <c r="I330" i="143"/>
  <c r="I319" i="143"/>
  <c r="I320" i="143"/>
  <c r="I322" i="143"/>
  <c r="I314" i="143"/>
  <c r="I313" i="143"/>
  <c r="I311" i="143"/>
  <c r="I310" i="143"/>
  <c r="I309" i="143"/>
  <c r="K307" i="143"/>
  <c r="I315" i="143"/>
  <c r="I316" i="143"/>
  <c r="I317" i="143"/>
  <c r="I303" i="143"/>
  <c r="I304" i="143"/>
  <c r="I306" i="143"/>
  <c r="I302" i="143"/>
  <c r="I301" i="143"/>
  <c r="I300" i="143"/>
  <c r="I307" i="143" l="1"/>
  <c r="I298" i="143"/>
  <c r="I295" i="143"/>
  <c r="I294" i="143"/>
  <c r="I293" i="143"/>
  <c r="I292" i="143"/>
  <c r="I291" i="143"/>
  <c r="I90" i="143"/>
  <c r="K173" i="143" l="1"/>
  <c r="K172" i="143"/>
  <c r="K348" i="143" s="1"/>
  <c r="K34" i="143" s="1"/>
  <c r="K174" i="143"/>
  <c r="K342" i="143"/>
  <c r="I282" i="143"/>
  <c r="I283" i="143"/>
  <c r="I284" i="143"/>
  <c r="I285" i="143"/>
  <c r="I280" i="143"/>
  <c r="I281" i="143"/>
  <c r="I286" i="143"/>
  <c r="I258" i="143"/>
  <c r="I178" i="143"/>
  <c r="I177" i="143"/>
  <c r="I252" i="143"/>
  <c r="I254" i="143"/>
  <c r="I251" i="143"/>
  <c r="I247" i="143"/>
  <c r="I222" i="143"/>
  <c r="I212" i="143"/>
  <c r="I211" i="143"/>
  <c r="I210" i="143"/>
  <c r="I213" i="143"/>
  <c r="I231" i="143"/>
  <c r="I232" i="143"/>
  <c r="I233" i="143"/>
  <c r="I188" i="143"/>
  <c r="I186" i="143"/>
  <c r="I100" i="143"/>
  <c r="K47" i="143" l="1"/>
  <c r="K48" i="143"/>
  <c r="K49" i="143"/>
  <c r="K53" i="143"/>
  <c r="K54" i="143"/>
  <c r="K55" i="143"/>
  <c r="K56" i="143"/>
  <c r="K59" i="143"/>
  <c r="K60" i="143"/>
  <c r="K62" i="143"/>
  <c r="K63" i="143"/>
  <c r="K66" i="143"/>
  <c r="K67" i="143"/>
  <c r="K69" i="143"/>
  <c r="K70" i="143"/>
  <c r="K71" i="143"/>
  <c r="K72" i="143"/>
  <c r="K73" i="143"/>
  <c r="K74" i="143"/>
  <c r="K75" i="143"/>
  <c r="K76" i="143"/>
  <c r="K77" i="143"/>
  <c r="K78" i="143"/>
  <c r="K79" i="143"/>
  <c r="K43" i="143"/>
  <c r="K44" i="143"/>
  <c r="K41" i="143"/>
  <c r="K82" i="143" l="1"/>
  <c r="K83" i="143"/>
  <c r="K84" i="143"/>
  <c r="G15" i="141" l="1"/>
  <c r="F114" i="105"/>
  <c r="F199" i="105"/>
  <c r="F200" i="105"/>
  <c r="G346" i="105" l="1"/>
  <c r="L346" i="105" s="1"/>
  <c r="E33" i="140" l="1"/>
  <c r="E32" i="140"/>
  <c r="E34" i="140"/>
  <c r="E35" i="140"/>
  <c r="E36" i="140"/>
  <c r="E37" i="140"/>
  <c r="E38" i="140"/>
  <c r="E39" i="140"/>
  <c r="E40" i="140"/>
  <c r="E41" i="140"/>
  <c r="F174" i="105" l="1"/>
  <c r="G38" i="105" l="1"/>
  <c r="F38" i="105"/>
  <c r="H38" i="105" l="1"/>
  <c r="F257" i="105" l="1"/>
  <c r="G19" i="105" l="1"/>
  <c r="F79" i="105" l="1"/>
  <c r="F151" i="105" l="1"/>
  <c r="L36" i="143" l="1"/>
  <c r="M36" i="143"/>
  <c r="L10" i="143"/>
  <c r="K458" i="143"/>
  <c r="I457" i="143"/>
  <c r="I392" i="143"/>
  <c r="I391" i="143"/>
  <c r="I390" i="143"/>
  <c r="I389" i="143"/>
  <c r="I388" i="143"/>
  <c r="K36" i="143"/>
  <c r="M339" i="143"/>
  <c r="M31" i="143" s="1"/>
  <c r="L339" i="143"/>
  <c r="L31" i="143" s="1"/>
  <c r="J339" i="143"/>
  <c r="I338" i="143"/>
  <c r="I287" i="143"/>
  <c r="I279" i="143"/>
  <c r="I278" i="143"/>
  <c r="I277" i="143"/>
  <c r="I276" i="143"/>
  <c r="I269" i="143"/>
  <c r="I262" i="143"/>
  <c r="I260" i="143"/>
  <c r="I259" i="143"/>
  <c r="I257" i="143"/>
  <c r="I256" i="143"/>
  <c r="I255" i="143"/>
  <c r="I250" i="143"/>
  <c r="I249" i="143"/>
  <c r="I248" i="143"/>
  <c r="I246" i="143"/>
  <c r="I244" i="143"/>
  <c r="I243" i="143"/>
  <c r="I242" i="143"/>
  <c r="I241" i="143"/>
  <c r="I240" i="143"/>
  <c r="I239" i="143"/>
  <c r="I237" i="143"/>
  <c r="I236" i="143"/>
  <c r="I349" i="143" s="1"/>
  <c r="K235" i="143"/>
  <c r="I234" i="143"/>
  <c r="I230" i="143"/>
  <c r="I229" i="143"/>
  <c r="I225" i="143"/>
  <c r="I224" i="143"/>
  <c r="I223" i="143"/>
  <c r="I220" i="143"/>
  <c r="I219" i="143"/>
  <c r="I209" i="143"/>
  <c r="I208" i="143"/>
  <c r="I207" i="143"/>
  <c r="I206" i="143"/>
  <c r="I205" i="143"/>
  <c r="I204" i="143"/>
  <c r="I203" i="143"/>
  <c r="I202" i="143"/>
  <c r="I199" i="143"/>
  <c r="I198" i="143"/>
  <c r="I196" i="143"/>
  <c r="I195" i="143"/>
  <c r="I194" i="143"/>
  <c r="I193" i="143"/>
  <c r="I192" i="143"/>
  <c r="K190" i="143"/>
  <c r="K347" i="143" s="1"/>
  <c r="K33" i="143" s="1"/>
  <c r="I189" i="143"/>
  <c r="I183" i="143"/>
  <c r="I182" i="143"/>
  <c r="I181" i="143"/>
  <c r="I180" i="143"/>
  <c r="I179" i="143"/>
  <c r="I89" i="143"/>
  <c r="I171" i="143"/>
  <c r="M30" i="143"/>
  <c r="L30" i="143"/>
  <c r="I161" i="143"/>
  <c r="I150" i="143"/>
  <c r="I148" i="143"/>
  <c r="I147" i="143"/>
  <c r="I146" i="143"/>
  <c r="I145" i="143"/>
  <c r="I144" i="143"/>
  <c r="I143" i="143"/>
  <c r="I142" i="143"/>
  <c r="I141" i="143"/>
  <c r="I139" i="143"/>
  <c r="I138" i="143"/>
  <c r="I137" i="143"/>
  <c r="K136" i="143"/>
  <c r="I135" i="143"/>
  <c r="I134" i="143"/>
  <c r="I133" i="143"/>
  <c r="I132" i="143"/>
  <c r="I131" i="143"/>
  <c r="I130" i="143"/>
  <c r="I129" i="143"/>
  <c r="I128" i="143"/>
  <c r="I127" i="143"/>
  <c r="I126" i="143"/>
  <c r="I124" i="143"/>
  <c r="I123" i="143"/>
  <c r="I122" i="143"/>
  <c r="I121" i="143"/>
  <c r="I120" i="143"/>
  <c r="I119" i="143"/>
  <c r="I117" i="143"/>
  <c r="I116" i="143"/>
  <c r="I115" i="143"/>
  <c r="I114" i="143"/>
  <c r="K113" i="143"/>
  <c r="I112" i="143"/>
  <c r="I111" i="143"/>
  <c r="I110" i="143"/>
  <c r="I109" i="143"/>
  <c r="I108" i="143"/>
  <c r="I107" i="143"/>
  <c r="I106" i="143"/>
  <c r="I105" i="143"/>
  <c r="I104" i="143"/>
  <c r="I103" i="143"/>
  <c r="I101" i="143"/>
  <c r="I99" i="143"/>
  <c r="I98" i="143"/>
  <c r="I97" i="143"/>
  <c r="I96" i="143"/>
  <c r="I94" i="143"/>
  <c r="I92" i="143"/>
  <c r="I91" i="143"/>
  <c r="M80" i="143"/>
  <c r="M29" i="143" s="1"/>
  <c r="L80" i="143"/>
  <c r="L29" i="143" s="1"/>
  <c r="K166" i="143" l="1"/>
  <c r="K341" i="143"/>
  <c r="K346" i="143"/>
  <c r="K32" i="143" s="1"/>
  <c r="L18" i="143" s="1"/>
  <c r="I348" i="143"/>
  <c r="I34" i="143" s="1"/>
  <c r="I164" i="143"/>
  <c r="I342" i="143"/>
  <c r="I190" i="143"/>
  <c r="K343" i="143"/>
  <c r="I235" i="143"/>
  <c r="I341" i="143" s="1"/>
  <c r="I136" i="143"/>
  <c r="I165" i="143" s="1"/>
  <c r="K165" i="143"/>
  <c r="I113" i="143"/>
  <c r="L35" i="143"/>
  <c r="M35" i="143"/>
  <c r="I36" i="143"/>
  <c r="Q6" i="143"/>
  <c r="L7" i="143" s="1"/>
  <c r="I458" i="143"/>
  <c r="K339" i="143"/>
  <c r="F337" i="105"/>
  <c r="G337" i="105"/>
  <c r="F318" i="105"/>
  <c r="G318" i="105"/>
  <c r="F305" i="105"/>
  <c r="G305" i="105"/>
  <c r="F272" i="105"/>
  <c r="G272" i="105"/>
  <c r="I346" i="143" l="1"/>
  <c r="I32" i="143" s="1"/>
  <c r="I343" i="143"/>
  <c r="I347" i="143"/>
  <c r="I33" i="143" s="1"/>
  <c r="I339" i="143"/>
  <c r="I166" i="143"/>
  <c r="K31" i="143"/>
  <c r="L23" i="143" s="1"/>
  <c r="H272" i="105"/>
  <c r="I272" i="105" s="1"/>
  <c r="H318" i="105"/>
  <c r="I318" i="105" s="1"/>
  <c r="H305" i="105"/>
  <c r="I305" i="105" s="1"/>
  <c r="H337" i="105"/>
  <c r="I337" i="105" s="1"/>
  <c r="I31" i="143" l="1"/>
  <c r="F122" i="105"/>
  <c r="G122" i="105"/>
  <c r="F123" i="105"/>
  <c r="G123" i="105"/>
  <c r="F124" i="105"/>
  <c r="G124" i="105"/>
  <c r="F125" i="105"/>
  <c r="G125" i="105"/>
  <c r="F126" i="105"/>
  <c r="G126" i="105"/>
  <c r="F127" i="105"/>
  <c r="G127" i="105"/>
  <c r="F128" i="105"/>
  <c r="G128" i="105"/>
  <c r="F129" i="105"/>
  <c r="G129" i="105"/>
  <c r="F130" i="105"/>
  <c r="G130" i="105"/>
  <c r="F131" i="105"/>
  <c r="G131" i="105"/>
  <c r="G121" i="105"/>
  <c r="F121" i="105"/>
  <c r="G120" i="105" l="1"/>
  <c r="F120" i="105"/>
  <c r="F138" i="105" l="1"/>
  <c r="K114" i="105" l="1"/>
  <c r="F332" i="105" l="1"/>
  <c r="G332" i="105"/>
  <c r="H332" i="105" l="1"/>
  <c r="I332" i="105" s="1"/>
  <c r="H64" i="141" l="1"/>
  <c r="F52" i="141"/>
  <c r="F51" i="141"/>
  <c r="F50" i="141"/>
  <c r="F49" i="141"/>
  <c r="F48" i="141"/>
  <c r="F44" i="141"/>
  <c r="H45" i="141" s="1"/>
  <c r="F39" i="141"/>
  <c r="F38" i="141"/>
  <c r="F37" i="141"/>
  <c r="H34" i="141"/>
  <c r="F31" i="141"/>
  <c r="F15" i="141"/>
  <c r="F13" i="141"/>
  <c r="F10" i="141"/>
  <c r="Q9" i="141"/>
  <c r="F9" i="141"/>
  <c r="Q8" i="141"/>
  <c r="F8" i="141"/>
  <c r="Q7" i="141"/>
  <c r="Q6" i="141"/>
  <c r="F6" i="141"/>
  <c r="Q5" i="141"/>
  <c r="F5" i="141"/>
  <c r="Q4" i="141"/>
  <c r="F4" i="141"/>
  <c r="F3" i="141"/>
  <c r="H59" i="141" l="1"/>
  <c r="H40" i="141"/>
  <c r="G3" i="141"/>
  <c r="Q10" i="141"/>
  <c r="F25" i="141"/>
  <c r="F26" i="141"/>
  <c r="F24" i="141"/>
  <c r="H28" i="141" s="1"/>
  <c r="F362" i="105" l="1"/>
  <c r="G362" i="105"/>
  <c r="H362" i="105" l="1"/>
  <c r="I362" i="105" s="1"/>
  <c r="F616" i="140"/>
  <c r="F612" i="140"/>
  <c r="F607" i="140"/>
  <c r="F602" i="140"/>
  <c r="F597" i="140"/>
  <c r="F594" i="140"/>
  <c r="F588" i="140"/>
  <c r="F585" i="140"/>
  <c r="F581" i="140"/>
  <c r="F577" i="140"/>
  <c r="F574" i="140"/>
  <c r="F570" i="140"/>
  <c r="F568" i="140"/>
  <c r="D560" i="140"/>
  <c r="D562" i="140" s="1"/>
  <c r="C555" i="140"/>
  <c r="D555" i="140" s="1"/>
  <c r="E535" i="140"/>
  <c r="E534" i="140"/>
  <c r="E533" i="140"/>
  <c r="E532" i="140"/>
  <c r="E531" i="140"/>
  <c r="E525" i="140"/>
  <c r="E524" i="140"/>
  <c r="D501" i="140"/>
  <c r="D491" i="140"/>
  <c r="E484" i="140"/>
  <c r="E483" i="140"/>
  <c r="E482" i="140"/>
  <c r="E481" i="140"/>
  <c r="E480" i="140"/>
  <c r="E479" i="140"/>
  <c r="E478" i="140"/>
  <c r="E477" i="140"/>
  <c r="E476" i="140"/>
  <c r="E475" i="140"/>
  <c r="E470" i="140"/>
  <c r="E471" i="140" s="1"/>
  <c r="E462" i="140"/>
  <c r="E461" i="140"/>
  <c r="E460" i="140"/>
  <c r="E459" i="140"/>
  <c r="E458" i="140"/>
  <c r="E457" i="140"/>
  <c r="E456" i="140"/>
  <c r="E455" i="140"/>
  <c r="E454" i="140"/>
  <c r="E453" i="140"/>
  <c r="E452" i="140"/>
  <c r="E446" i="140"/>
  <c r="H446" i="140" s="1"/>
  <c r="E445" i="140"/>
  <c r="E437" i="140"/>
  <c r="J437" i="140" s="1"/>
  <c r="E436" i="140"/>
  <c r="E435" i="140"/>
  <c r="F426" i="140"/>
  <c r="F425" i="140"/>
  <c r="F422" i="140"/>
  <c r="F423" i="140" s="1"/>
  <c r="F418" i="140"/>
  <c r="F417" i="140"/>
  <c r="F413" i="140"/>
  <c r="F412" i="140"/>
  <c r="F411" i="140"/>
  <c r="F410" i="140"/>
  <c r="F409" i="140"/>
  <c r="F406" i="140"/>
  <c r="F405" i="140"/>
  <c r="F401" i="140"/>
  <c r="F400" i="140"/>
  <c r="F399" i="140"/>
  <c r="F396" i="140"/>
  <c r="F395" i="140"/>
  <c r="F394" i="140"/>
  <c r="F391" i="140"/>
  <c r="F390" i="140"/>
  <c r="F389" i="140"/>
  <c r="F388" i="140"/>
  <c r="F387" i="140"/>
  <c r="F386" i="140"/>
  <c r="F385" i="140"/>
  <c r="F384" i="140"/>
  <c r="F381" i="140"/>
  <c r="F380" i="140"/>
  <c r="F379" i="140"/>
  <c r="F378" i="140"/>
  <c r="F377" i="140"/>
  <c r="F376" i="140"/>
  <c r="F375" i="140"/>
  <c r="F368" i="140"/>
  <c r="F367" i="140"/>
  <c r="F366" i="140"/>
  <c r="F365" i="140"/>
  <c r="F364" i="140"/>
  <c r="F363" i="140"/>
  <c r="F362" i="140"/>
  <c r="F361" i="140"/>
  <c r="F360" i="140"/>
  <c r="E352" i="140"/>
  <c r="E351" i="140"/>
  <c r="E338" i="140"/>
  <c r="H338" i="140" s="1"/>
  <c r="E336" i="140"/>
  <c r="E337" i="140" s="1"/>
  <c r="E312" i="140"/>
  <c r="C312" i="140"/>
  <c r="C325" i="140" s="1"/>
  <c r="D311" i="140"/>
  <c r="D312" i="140" s="1"/>
  <c r="G305" i="140"/>
  <c r="F305" i="140"/>
  <c r="C326" i="140" s="1"/>
  <c r="E305" i="140"/>
  <c r="D305" i="140"/>
  <c r="C305" i="140"/>
  <c r="I304" i="140"/>
  <c r="I305" i="140" s="1"/>
  <c r="H304" i="140"/>
  <c r="C295" i="140"/>
  <c r="G274" i="140"/>
  <c r="G273" i="140"/>
  <c r="G272" i="140"/>
  <c r="G271" i="140"/>
  <c r="G270" i="140"/>
  <c r="G269" i="140"/>
  <c r="G268" i="140"/>
  <c r="G267" i="140"/>
  <c r="G266" i="140"/>
  <c r="G265" i="140"/>
  <c r="G264" i="140"/>
  <c r="G263" i="140"/>
  <c r="G262" i="140"/>
  <c r="D262" i="140"/>
  <c r="G261" i="140"/>
  <c r="G260" i="140"/>
  <c r="G259" i="140"/>
  <c r="G258" i="140"/>
  <c r="G257" i="140"/>
  <c r="G256" i="140"/>
  <c r="G255" i="140"/>
  <c r="G254" i="140"/>
  <c r="G253" i="140"/>
  <c r="G252" i="140"/>
  <c r="G251" i="140"/>
  <c r="G250" i="140"/>
  <c r="G249" i="140"/>
  <c r="G248" i="140"/>
  <c r="G247" i="140"/>
  <c r="G246" i="140"/>
  <c r="G245" i="140"/>
  <c r="G244" i="140"/>
  <c r="G243" i="140"/>
  <c r="F235" i="140"/>
  <c r="F234" i="140"/>
  <c r="F233" i="140"/>
  <c r="F232" i="140"/>
  <c r="F224" i="140"/>
  <c r="F223" i="140"/>
  <c r="F211" i="140"/>
  <c r="F210" i="140"/>
  <c r="F209" i="140"/>
  <c r="F208" i="140"/>
  <c r="F207" i="140"/>
  <c r="F206" i="140"/>
  <c r="F205" i="140"/>
  <c r="F204" i="140"/>
  <c r="F203" i="140"/>
  <c r="F202" i="140"/>
  <c r="F201" i="140"/>
  <c r="F200" i="140"/>
  <c r="F199" i="140"/>
  <c r="F198" i="140"/>
  <c r="F197" i="140"/>
  <c r="F196" i="140"/>
  <c r="F195" i="140"/>
  <c r="F194" i="140"/>
  <c r="F193" i="140"/>
  <c r="F192" i="140"/>
  <c r="F191" i="140"/>
  <c r="F190" i="140"/>
  <c r="F189" i="140"/>
  <c r="F188" i="140"/>
  <c r="F187" i="140"/>
  <c r="F186" i="140"/>
  <c r="F185" i="140"/>
  <c r="F184" i="140"/>
  <c r="F183" i="140"/>
  <c r="F182" i="140"/>
  <c r="F181" i="140"/>
  <c r="F180" i="140"/>
  <c r="F179" i="140"/>
  <c r="F178" i="140"/>
  <c r="E172" i="140"/>
  <c r="E171" i="140"/>
  <c r="C167" i="140"/>
  <c r="D160" i="140"/>
  <c r="C152" i="140"/>
  <c r="C129" i="140"/>
  <c r="D120" i="140"/>
  <c r="E105" i="140"/>
  <c r="G105" i="140" s="1"/>
  <c r="E92" i="140"/>
  <c r="G92" i="140" s="1"/>
  <c r="D87" i="140"/>
  <c r="E82" i="140"/>
  <c r="E81" i="140"/>
  <c r="C75" i="140"/>
  <c r="C70" i="140"/>
  <c r="F58" i="140"/>
  <c r="F57" i="140"/>
  <c r="F56" i="140"/>
  <c r="E55" i="140"/>
  <c r="F55" i="140" s="1"/>
  <c r="E54" i="140"/>
  <c r="F54" i="140" s="1"/>
  <c r="E53" i="140"/>
  <c r="F53" i="140" s="1"/>
  <c r="E52" i="140"/>
  <c r="F52" i="140" s="1"/>
  <c r="E51" i="140"/>
  <c r="F51" i="140" s="1"/>
  <c r="E50" i="140"/>
  <c r="F50" i="140" s="1"/>
  <c r="E49" i="140"/>
  <c r="F49" i="140" s="1"/>
  <c r="E48" i="140"/>
  <c r="F48" i="140" s="1"/>
  <c r="F41" i="140"/>
  <c r="F40" i="140"/>
  <c r="F39" i="140"/>
  <c r="F38" i="140"/>
  <c r="F37" i="140"/>
  <c r="F36" i="140"/>
  <c r="F35" i="140"/>
  <c r="F34" i="140"/>
  <c r="F33" i="140"/>
  <c r="F32" i="140"/>
  <c r="E27" i="140"/>
  <c r="F27" i="140" s="1"/>
  <c r="E26" i="140"/>
  <c r="F26" i="140" s="1"/>
  <c r="E25" i="140"/>
  <c r="D18" i="140"/>
  <c r="E18" i="140" s="1"/>
  <c r="E20" i="140" s="1"/>
  <c r="D11" i="140"/>
  <c r="E11" i="140" s="1"/>
  <c r="E13" i="140" s="1"/>
  <c r="E6" i="140"/>
  <c r="E5" i="140"/>
  <c r="C76" i="140" l="1"/>
  <c r="H480" i="140"/>
  <c r="F42" i="140"/>
  <c r="F225" i="140"/>
  <c r="H483" i="140"/>
  <c r="F407" i="140"/>
  <c r="F397" i="140"/>
  <c r="J435" i="140"/>
  <c r="F414" i="140"/>
  <c r="E447" i="140"/>
  <c r="J304" i="140"/>
  <c r="F419" i="140"/>
  <c r="H453" i="140"/>
  <c r="E526" i="140"/>
  <c r="F427" i="140"/>
  <c r="E28" i="140"/>
  <c r="E536" i="140"/>
  <c r="E173" i="140"/>
  <c r="E83" i="140"/>
  <c r="F236" i="140"/>
  <c r="F214" i="140"/>
  <c r="C318" i="140"/>
  <c r="F402" i="140"/>
  <c r="H475" i="140"/>
  <c r="F312" i="140"/>
  <c r="F392" i="140"/>
  <c r="E438" i="140"/>
  <c r="F382" i="140"/>
  <c r="E7" i="140"/>
  <c r="E339" i="140"/>
  <c r="G275" i="140"/>
  <c r="G277" i="140" s="1"/>
  <c r="C317" i="140"/>
  <c r="F369" i="140"/>
  <c r="G354" i="140" s="1"/>
  <c r="E59" i="140"/>
  <c r="E463" i="140"/>
  <c r="F622" i="140"/>
  <c r="F59" i="140"/>
  <c r="E485" i="140"/>
  <c r="F25" i="140"/>
  <c r="F28" i="140" s="1"/>
  <c r="H305" i="140"/>
  <c r="J305" i="140" s="1"/>
  <c r="F311" i="140"/>
  <c r="C324" i="140"/>
  <c r="C327" i="140" s="1"/>
  <c r="C328" i="140" s="1"/>
  <c r="H437" i="140"/>
  <c r="H452" i="140"/>
  <c r="H336" i="140"/>
  <c r="D314" i="140" l="1"/>
  <c r="E353" i="140"/>
  <c r="I351" i="140" s="1"/>
  <c r="F431" i="140"/>
  <c r="E354" i="140" s="1"/>
  <c r="I354" i="140" s="1"/>
  <c r="G276" i="140"/>
  <c r="G355" i="140" l="1"/>
  <c r="E355" i="140"/>
  <c r="G217" i="105" l="1"/>
  <c r="F217" i="105"/>
  <c r="F218" i="105"/>
  <c r="J218" i="105" s="1"/>
  <c r="F219" i="105"/>
  <c r="G219" i="105"/>
  <c r="G218" i="105"/>
  <c r="F216" i="105"/>
  <c r="F215" i="105"/>
  <c r="G215" i="105" l="1"/>
  <c r="H215" i="105" s="1"/>
  <c r="I215" i="105" s="1"/>
  <c r="G216" i="105"/>
  <c r="H218" i="105"/>
  <c r="I218" i="105" s="1"/>
  <c r="H217" i="105"/>
  <c r="I217" i="105" s="1"/>
  <c r="H219" i="105"/>
  <c r="I219" i="105" s="1"/>
  <c r="F214" i="105"/>
  <c r="H216" i="105" l="1"/>
  <c r="I216" i="105" s="1"/>
  <c r="L216" i="105"/>
  <c r="G214" i="105"/>
  <c r="H214" i="105" l="1"/>
  <c r="I214" i="105" s="1"/>
  <c r="K186" i="70"/>
  <c r="D60" i="138"/>
  <c r="D34" i="138"/>
  <c r="D8" i="138"/>
  <c r="H7" i="138"/>
  <c r="G7" i="138"/>
  <c r="F7" i="138"/>
  <c r="E7" i="138"/>
  <c r="D7" i="138" l="1"/>
  <c r="F347" i="105"/>
  <c r="G347" i="105"/>
  <c r="H347" i="105" l="1"/>
  <c r="I347" i="105" s="1"/>
  <c r="F91" i="105" l="1"/>
  <c r="G91" i="105"/>
  <c r="F284" i="105"/>
  <c r="G284" i="105"/>
  <c r="H284" i="105" l="1"/>
  <c r="I284" i="105" s="1"/>
  <c r="H91" i="105"/>
  <c r="I91" i="105" s="1"/>
  <c r="F202" i="105" l="1"/>
  <c r="F167" i="105" s="1"/>
  <c r="G202" i="105"/>
  <c r="G167" i="105" s="1"/>
  <c r="H167" i="105" l="1"/>
  <c r="I167" i="105" s="1"/>
  <c r="H202" i="105"/>
  <c r="I202" i="105" s="1"/>
  <c r="E34" i="135"/>
  <c r="E38" i="135" s="1"/>
  <c r="F10" i="135"/>
  <c r="E10" i="135"/>
  <c r="C10" i="135"/>
  <c r="D9" i="135"/>
  <c r="G9" i="135" s="1"/>
  <c r="G6" i="135"/>
  <c r="D10" i="135" l="1"/>
  <c r="G10" i="135" s="1"/>
  <c r="B5" i="136"/>
  <c r="F143" i="105" l="1"/>
  <c r="F268" i="105" l="1"/>
  <c r="G268" i="105"/>
  <c r="G368" i="105" l="1"/>
  <c r="F368" i="105"/>
  <c r="G367" i="105"/>
  <c r="F367" i="105"/>
  <c r="G366" i="105"/>
  <c r="L366" i="105" s="1"/>
  <c r="F366" i="105"/>
  <c r="G365" i="105"/>
  <c r="F365" i="105"/>
  <c r="H367" i="105" l="1"/>
  <c r="I367" i="105" s="1"/>
  <c r="H366" i="105"/>
  <c r="I366" i="105" s="1"/>
  <c r="H368" i="105"/>
  <c r="I368" i="105" s="1"/>
  <c r="F364" i="105"/>
  <c r="H365" i="105"/>
  <c r="I365" i="105" s="1"/>
  <c r="G364" i="105"/>
  <c r="F82" i="105"/>
  <c r="H364" i="105" l="1"/>
  <c r="I364" i="105" s="1"/>
  <c r="L57" i="70" l="1"/>
  <c r="L62" i="70"/>
  <c r="E166" i="70" l="1"/>
  <c r="L21" i="70" l="1"/>
  <c r="L22" i="70"/>
  <c r="L25" i="70"/>
  <c r="L26" i="70"/>
  <c r="L27" i="70"/>
  <c r="L29" i="70"/>
  <c r="L30" i="70"/>
  <c r="L31" i="70"/>
  <c r="L32" i="70"/>
  <c r="L33" i="70"/>
  <c r="L35" i="70"/>
  <c r="L37" i="70"/>
  <c r="L38" i="70"/>
  <c r="L40" i="70"/>
  <c r="L41" i="70"/>
  <c r="L46" i="70"/>
  <c r="L47" i="70"/>
  <c r="L49" i="70"/>
  <c r="L54" i="70"/>
  <c r="L55" i="70"/>
  <c r="L56" i="70"/>
  <c r="L59" i="70"/>
  <c r="L60" i="70"/>
  <c r="L63" i="70"/>
  <c r="L64" i="70"/>
  <c r="L65" i="70"/>
  <c r="L70" i="70"/>
  <c r="L71" i="70"/>
  <c r="L78" i="70"/>
  <c r="L84" i="70"/>
  <c r="L85" i="70"/>
  <c r="L86" i="70"/>
  <c r="L87" i="70"/>
  <c r="L88" i="70"/>
  <c r="L117" i="70"/>
  <c r="L135" i="70"/>
  <c r="L134" i="70" s="1"/>
  <c r="L150" i="70"/>
  <c r="L164" i="70"/>
  <c r="L173" i="70"/>
  <c r="L222" i="70"/>
  <c r="L226" i="70"/>
  <c r="L235" i="70"/>
  <c r="L240" i="70"/>
  <c r="L261" i="70"/>
  <c r="L270" i="70"/>
  <c r="L271" i="70"/>
  <c r="L20" i="70" l="1"/>
  <c r="L36" i="70"/>
  <c r="L269" i="70"/>
  <c r="L24" i="70"/>
  <c r="E168" i="70" l="1"/>
  <c r="I107" i="70"/>
  <c r="K107" i="70" s="1"/>
  <c r="L67" i="70"/>
  <c r="F210" i="70" l="1"/>
  <c r="F209" i="70"/>
  <c r="L209" i="70" s="1"/>
  <c r="L176" i="70" l="1"/>
  <c r="L177" i="70"/>
  <c r="H180" i="70"/>
  <c r="G180" i="70"/>
  <c r="J180" i="70" s="1"/>
  <c r="G112" i="70"/>
  <c r="F112" i="70"/>
  <c r="I112" i="70"/>
  <c r="J112" i="70"/>
  <c r="K112" i="70"/>
  <c r="H68" i="70"/>
  <c r="I68" i="70"/>
  <c r="J68" i="70"/>
  <c r="L180" i="70" l="1"/>
  <c r="L175" i="70"/>
  <c r="L151" i="70" l="1"/>
  <c r="L192" i="70"/>
  <c r="L116" i="70" l="1"/>
  <c r="L178" i="70" l="1"/>
  <c r="G233" i="70" l="1"/>
  <c r="H233" i="70"/>
  <c r="F247" i="105" l="1"/>
  <c r="G247" i="105"/>
  <c r="G175" i="105"/>
  <c r="L175" i="105" s="1"/>
  <c r="G177" i="105"/>
  <c r="F153" i="105"/>
  <c r="J273" i="70" l="1"/>
  <c r="K34" i="70" l="1"/>
  <c r="L34" i="70" s="1"/>
  <c r="I148" i="70"/>
  <c r="L28" i="70" l="1"/>
  <c r="G42" i="105"/>
  <c r="L107" i="70" s="1"/>
  <c r="G30" i="105"/>
  <c r="L23" i="70" l="1"/>
  <c r="L212" i="70"/>
  <c r="L211" i="70"/>
  <c r="L186" i="70"/>
  <c r="J182" i="70"/>
  <c r="H225" i="70"/>
  <c r="G225" i="70"/>
  <c r="F225" i="70"/>
  <c r="E225" i="70"/>
  <c r="H221" i="70"/>
  <c r="G221" i="70"/>
  <c r="F221" i="70"/>
  <c r="E221" i="70"/>
  <c r="L79" i="70"/>
  <c r="L80" i="70"/>
  <c r="G181" i="70"/>
  <c r="G68" i="70" l="1"/>
  <c r="L69" i="70" l="1"/>
  <c r="F48" i="70" l="1"/>
  <c r="L48" i="70" s="1"/>
  <c r="F230" i="70"/>
  <c r="L42" i="70" l="1"/>
  <c r="K36" i="70"/>
  <c r="E143" i="70"/>
  <c r="L39" i="70" l="1"/>
  <c r="L243" i="70"/>
  <c r="F143" i="70"/>
  <c r="L143" i="70" s="1"/>
  <c r="L142" i="70" l="1"/>
  <c r="G242" i="105" l="1"/>
  <c r="F242" i="105"/>
  <c r="F241" i="105"/>
  <c r="G241" i="105"/>
  <c r="L252" i="70"/>
  <c r="L219" i="70"/>
  <c r="L53" i="70"/>
  <c r="L52" i="70" l="1"/>
  <c r="J103" i="70" l="1"/>
  <c r="H103" i="70"/>
  <c r="G103" i="70"/>
  <c r="F103" i="70"/>
  <c r="E103" i="70"/>
  <c r="L115" i="70"/>
  <c r="H247" i="70" l="1"/>
  <c r="J247" i="70" l="1"/>
  <c r="L247" i="70" s="1"/>
  <c r="H4" i="105" l="1"/>
  <c r="G36" i="105" l="1"/>
  <c r="J169" i="70" l="1"/>
  <c r="L234" i="70"/>
  <c r="E141" i="70" l="1"/>
  <c r="L250" i="70"/>
  <c r="L216" i="70"/>
  <c r="L245" i="70" l="1"/>
  <c r="L239" i="70"/>
  <c r="H215" i="70" l="1"/>
  <c r="I215" i="70"/>
  <c r="G215" i="70"/>
  <c r="H204" i="70"/>
  <c r="F204" i="70"/>
  <c r="E264" i="70" l="1"/>
  <c r="J264" i="70" s="1"/>
  <c r="L264" i="70" l="1"/>
  <c r="J241" i="70" l="1"/>
  <c r="L241" i="70" l="1"/>
  <c r="L154" i="70" l="1"/>
  <c r="L114" i="70"/>
  <c r="L153" i="70"/>
  <c r="E267" i="70"/>
  <c r="E155" i="70"/>
  <c r="J155" i="70" s="1"/>
  <c r="E210" i="70"/>
  <c r="L210" i="70" s="1"/>
  <c r="L152" i="70" l="1"/>
  <c r="L267" i="70" l="1"/>
  <c r="L113" i="70" l="1"/>
  <c r="L112" i="70" l="1"/>
  <c r="L155" i="70"/>
  <c r="H148" i="70"/>
  <c r="L174" i="70" l="1"/>
  <c r="K105" i="70"/>
  <c r="L105" i="70" s="1"/>
  <c r="K104" i="70"/>
  <c r="L104" i="70" s="1"/>
  <c r="K102" i="70"/>
  <c r="L102" i="70" s="1"/>
  <c r="K100" i="70"/>
  <c r="L100" i="70" s="1"/>
  <c r="K98" i="70"/>
  <c r="L98" i="70" s="1"/>
  <c r="K97" i="70"/>
  <c r="L97" i="70" s="1"/>
  <c r="K91" i="70"/>
  <c r="L91" i="70" s="1"/>
  <c r="K90" i="70"/>
  <c r="L90" i="70" s="1"/>
  <c r="K81" i="70"/>
  <c r="K43" i="70"/>
  <c r="L43" i="70" s="1"/>
  <c r="K19" i="70"/>
  <c r="L19" i="70" s="1"/>
  <c r="K16" i="70"/>
  <c r="L16" i="70" s="1"/>
  <c r="K15" i="70"/>
  <c r="L15" i="70" s="1"/>
  <c r="K13" i="70"/>
  <c r="L13" i="70" s="1"/>
  <c r="K12" i="70"/>
  <c r="L12" i="70" s="1"/>
  <c r="K9" i="70"/>
  <c r="L9" i="70" s="1"/>
  <c r="K8" i="70"/>
  <c r="L8" i="70" s="1"/>
  <c r="L11" i="70" l="1"/>
  <c r="L14" i="70"/>
  <c r="K68" i="70"/>
  <c r="L81" i="70"/>
  <c r="L89" i="70"/>
  <c r="L96" i="70"/>
  <c r="L7" i="70"/>
  <c r="K103" i="70"/>
  <c r="G251" i="70" l="1"/>
  <c r="G242" i="70" s="1"/>
  <c r="H251" i="70"/>
  <c r="H242" i="70" s="1"/>
  <c r="I251" i="70"/>
  <c r="I242" i="70" s="1"/>
  <c r="J251" i="70"/>
  <c r="J242" i="70" s="1"/>
  <c r="E251" i="70"/>
  <c r="G195" i="70"/>
  <c r="H195" i="70"/>
  <c r="I195" i="70"/>
  <c r="E195" i="70"/>
  <c r="F138" i="70"/>
  <c r="G138" i="70"/>
  <c r="H138" i="70"/>
  <c r="I138" i="70"/>
  <c r="J138" i="70"/>
  <c r="E138" i="70"/>
  <c r="E134" i="70"/>
  <c r="E124" i="70"/>
  <c r="E96" i="70"/>
  <c r="F49" i="70"/>
  <c r="G49" i="70"/>
  <c r="H49" i="70"/>
  <c r="I49" i="70"/>
  <c r="J49" i="70"/>
  <c r="K49" i="70"/>
  <c r="K18" i="70"/>
  <c r="L18" i="70" s="1"/>
  <c r="L17" i="70" l="1"/>
  <c r="L6" i="70" l="1"/>
  <c r="L10" i="70"/>
  <c r="K197" i="70" l="1"/>
  <c r="L197" i="70" s="1"/>
  <c r="G24" i="105" l="1"/>
  <c r="G82" i="105" l="1"/>
  <c r="K132" i="70" s="1"/>
  <c r="L132" i="70" s="1"/>
  <c r="G80" i="105" l="1"/>
  <c r="F80" i="105"/>
  <c r="F78" i="105" l="1"/>
  <c r="H80" i="105"/>
  <c r="I80" i="105" s="1"/>
  <c r="F231" i="105" l="1"/>
  <c r="G162" i="105" l="1"/>
  <c r="G161" i="105" s="1"/>
  <c r="I171" i="70" s="1"/>
  <c r="L171" i="70" s="1"/>
  <c r="F157" i="105"/>
  <c r="F177" i="105"/>
  <c r="G157" i="105"/>
  <c r="F162" i="105"/>
  <c r="F161" i="105" s="1"/>
  <c r="G158" i="105"/>
  <c r="G156" i="105"/>
  <c r="F158" i="105"/>
  <c r="F156" i="105"/>
  <c r="H161" i="105" l="1"/>
  <c r="F235" i="105" l="1"/>
  <c r="G20" i="105" l="1"/>
  <c r="H20" i="105" l="1"/>
  <c r="G297" i="105" l="1"/>
  <c r="L297" i="105" s="1"/>
  <c r="G325" i="105"/>
  <c r="F325" i="105"/>
  <c r="G291" i="105"/>
  <c r="F291" i="105"/>
  <c r="G290" i="105"/>
  <c r="L290" i="105" s="1"/>
  <c r="F290" i="105"/>
  <c r="F297" i="105"/>
  <c r="G298" i="105"/>
  <c r="I228" i="70" s="1"/>
  <c r="L228" i="70" s="1"/>
  <c r="F298" i="105"/>
  <c r="I237" i="70" l="1"/>
  <c r="L237" i="70" s="1"/>
  <c r="L325" i="105"/>
  <c r="I224" i="70"/>
  <c r="G264" i="105"/>
  <c r="G49" i="105" s="1"/>
  <c r="F264" i="105"/>
  <c r="F49" i="105" s="1"/>
  <c r="I225" i="70"/>
  <c r="H325" i="105"/>
  <c r="I325" i="105" s="1"/>
  <c r="L224" i="70" l="1"/>
  <c r="I233" i="70"/>
  <c r="I221" i="70"/>
  <c r="H49" i="105"/>
  <c r="I49" i="105" s="1"/>
  <c r="H264" i="105"/>
  <c r="I264" i="105" s="1"/>
  <c r="H298" i="105" l="1"/>
  <c r="I298" i="105" s="1"/>
  <c r="H291" i="105" l="1"/>
  <c r="I291" i="105" s="1"/>
  <c r="G18" i="105" l="1"/>
  <c r="K39" i="70" s="1"/>
  <c r="G314" i="105" l="1"/>
  <c r="G313" i="105"/>
  <c r="G107" i="105"/>
  <c r="K145" i="70" s="1"/>
  <c r="L145" i="70" s="1"/>
  <c r="F107" i="105"/>
  <c r="F314" i="105"/>
  <c r="F313" i="105"/>
  <c r="K231" i="70" l="1"/>
  <c r="L231" i="70" s="1"/>
  <c r="H313" i="105"/>
  <c r="I313" i="105" s="1"/>
  <c r="K232" i="70"/>
  <c r="L232" i="70" s="1"/>
  <c r="H314" i="105"/>
  <c r="I314" i="105" s="1"/>
  <c r="H107" i="105"/>
  <c r="I107" i="105" s="1"/>
  <c r="K214" i="70" l="1"/>
  <c r="G97" i="105"/>
  <c r="K140" i="70" s="1"/>
  <c r="L140" i="70" s="1"/>
  <c r="L214" i="70" l="1"/>
  <c r="F97" i="105"/>
  <c r="H97" i="105" l="1"/>
  <c r="I97" i="105" s="1"/>
  <c r="G331" i="105" l="1"/>
  <c r="F331" i="105"/>
  <c r="G343" i="105"/>
  <c r="F343" i="105"/>
  <c r="I161" i="105"/>
  <c r="F360" i="105"/>
  <c r="G360" i="105"/>
  <c r="L360" i="105" s="1"/>
  <c r="F361" i="105"/>
  <c r="G361" i="105"/>
  <c r="F363" i="105"/>
  <c r="G363" i="105"/>
  <c r="F359" i="105"/>
  <c r="F354" i="105"/>
  <c r="G354" i="105"/>
  <c r="L354" i="105" s="1"/>
  <c r="F355" i="105"/>
  <c r="G355" i="105"/>
  <c r="F356" i="105"/>
  <c r="F357" i="105"/>
  <c r="G357" i="105"/>
  <c r="F353" i="105"/>
  <c r="F351" i="105"/>
  <c r="G351" i="105"/>
  <c r="F346" i="105"/>
  <c r="F348" i="105"/>
  <c r="G348" i="105"/>
  <c r="F349" i="105"/>
  <c r="F350" i="105"/>
  <c r="G350" i="105"/>
  <c r="F345" i="105"/>
  <c r="F336" i="105"/>
  <c r="G336" i="105"/>
  <c r="L336" i="105" s="1"/>
  <c r="F338" i="105"/>
  <c r="G338" i="105"/>
  <c r="F339" i="105"/>
  <c r="F340" i="105"/>
  <c r="G340" i="105"/>
  <c r="F341" i="105"/>
  <c r="G341" i="105"/>
  <c r="F342" i="105"/>
  <c r="G342" i="105"/>
  <c r="F335" i="105"/>
  <c r="F334" i="105" l="1"/>
  <c r="H342" i="105"/>
  <c r="I342" i="105" s="1"/>
  <c r="H343" i="105"/>
  <c r="I343" i="105" s="1"/>
  <c r="F344" i="105"/>
  <c r="I351" i="105"/>
  <c r="H331" i="105"/>
  <c r="I331" i="105" s="1"/>
  <c r="G328" i="105"/>
  <c r="G339" i="105"/>
  <c r="F333" i="105"/>
  <c r="G333" i="105"/>
  <c r="F324" i="105"/>
  <c r="G324" i="105"/>
  <c r="L324" i="105" s="1"/>
  <c r="F326" i="105"/>
  <c r="G326" i="105"/>
  <c r="F327" i="105"/>
  <c r="F328" i="105"/>
  <c r="F329" i="105"/>
  <c r="G329" i="105"/>
  <c r="F330" i="105"/>
  <c r="G330" i="105"/>
  <c r="F323" i="105"/>
  <c r="F317" i="105"/>
  <c r="G317" i="105"/>
  <c r="L317" i="105" s="1"/>
  <c r="F319" i="105"/>
  <c r="G319" i="105"/>
  <c r="F320" i="105"/>
  <c r="G320" i="105"/>
  <c r="F321" i="105"/>
  <c r="G321" i="105"/>
  <c r="F316" i="105"/>
  <c r="F311" i="105"/>
  <c r="G311" i="105"/>
  <c r="F312" i="105"/>
  <c r="I312" i="105" s="1"/>
  <c r="G312" i="105"/>
  <c r="G310" i="105"/>
  <c r="K230" i="70" s="1"/>
  <c r="L230" i="70" s="1"/>
  <c r="F310" i="105"/>
  <c r="F309" i="105" s="1"/>
  <c r="F304" i="105"/>
  <c r="G304" i="105"/>
  <c r="L304" i="105" s="1"/>
  <c r="F306" i="105"/>
  <c r="G306" i="105"/>
  <c r="F307" i="105"/>
  <c r="F308" i="105"/>
  <c r="G308" i="105"/>
  <c r="F303" i="105"/>
  <c r="F299" i="105"/>
  <c r="G299" i="105"/>
  <c r="F300" i="105"/>
  <c r="F301" i="105"/>
  <c r="G301" i="105"/>
  <c r="F296" i="105"/>
  <c r="F292" i="105"/>
  <c r="G292" i="105"/>
  <c r="F293" i="105"/>
  <c r="F294" i="105"/>
  <c r="G294" i="105"/>
  <c r="F289" i="105"/>
  <c r="F283" i="105"/>
  <c r="G283" i="105"/>
  <c r="L283" i="105" s="1"/>
  <c r="F285" i="105"/>
  <c r="G285" i="105"/>
  <c r="F286" i="105"/>
  <c r="F287" i="105"/>
  <c r="G287" i="105"/>
  <c r="F282" i="105"/>
  <c r="F279" i="105"/>
  <c r="G279" i="105"/>
  <c r="F280" i="105"/>
  <c r="G280" i="105"/>
  <c r="G278" i="105"/>
  <c r="F278" i="105"/>
  <c r="F315" i="105" l="1"/>
  <c r="F302" i="105"/>
  <c r="F281" i="105"/>
  <c r="L229" i="70"/>
  <c r="F322" i="105"/>
  <c r="F295" i="105"/>
  <c r="F288" i="105"/>
  <c r="H330" i="105"/>
  <c r="I330" i="105" s="1"/>
  <c r="H333" i="105"/>
  <c r="I333" i="105" s="1"/>
  <c r="G327" i="105"/>
  <c r="G276" i="105"/>
  <c r="F276" i="105"/>
  <c r="F271" i="105"/>
  <c r="F263" i="105" s="1"/>
  <c r="G271" i="105"/>
  <c r="F273" i="105"/>
  <c r="F265" i="105" s="1"/>
  <c r="G273" i="105"/>
  <c r="G265" i="105" s="1"/>
  <c r="F274" i="105"/>
  <c r="F275" i="105"/>
  <c r="F267" i="105" s="1"/>
  <c r="G275" i="105"/>
  <c r="G267" i="105" s="1"/>
  <c r="F270" i="105"/>
  <c r="F258" i="105"/>
  <c r="G258" i="105"/>
  <c r="L258" i="105" s="1"/>
  <c r="F259" i="105"/>
  <c r="I259" i="105" s="1"/>
  <c r="G259" i="105"/>
  <c r="F260" i="105"/>
  <c r="G260" i="105"/>
  <c r="F255" i="105"/>
  <c r="G255" i="105"/>
  <c r="G254" i="105"/>
  <c r="F254" i="105"/>
  <c r="F251" i="105"/>
  <c r="G251" i="105"/>
  <c r="F252" i="105"/>
  <c r="G252" i="105"/>
  <c r="G250" i="105"/>
  <c r="F250" i="105"/>
  <c r="G248" i="105"/>
  <c r="F248" i="105"/>
  <c r="F245" i="105"/>
  <c r="G245" i="105"/>
  <c r="F246" i="105"/>
  <c r="G246" i="105"/>
  <c r="G244" i="105"/>
  <c r="F244" i="105"/>
  <c r="H241" i="105"/>
  <c r="I241" i="105" s="1"/>
  <c r="F238" i="105"/>
  <c r="G238" i="105"/>
  <c r="L238" i="105" s="1"/>
  <c r="F239" i="105"/>
  <c r="G239" i="105"/>
  <c r="F240" i="105"/>
  <c r="G240" i="105"/>
  <c r="F237" i="105"/>
  <c r="G235" i="105"/>
  <c r="F230" i="105"/>
  <c r="G230" i="105"/>
  <c r="L230" i="105" s="1"/>
  <c r="F232" i="105"/>
  <c r="G232" i="105"/>
  <c r="F233" i="105"/>
  <c r="G233" i="105"/>
  <c r="F234" i="105"/>
  <c r="G234" i="105"/>
  <c r="F229" i="105"/>
  <c r="G207" i="105"/>
  <c r="F207" i="105"/>
  <c r="F205" i="105"/>
  <c r="G205" i="105"/>
  <c r="F213" i="105"/>
  <c r="G213" i="105"/>
  <c r="F201" i="105"/>
  <c r="G201" i="105"/>
  <c r="F203" i="105"/>
  <c r="F204" i="105"/>
  <c r="G204" i="105"/>
  <c r="F195" i="105"/>
  <c r="G195" i="105"/>
  <c r="L195" i="105" s="1"/>
  <c r="F196" i="105"/>
  <c r="G196" i="105"/>
  <c r="F197" i="105"/>
  <c r="G197" i="105"/>
  <c r="F194" i="105"/>
  <c r="F190" i="105"/>
  <c r="G190" i="105"/>
  <c r="L190" i="105" s="1"/>
  <c r="F191" i="105"/>
  <c r="G191" i="105"/>
  <c r="F192" i="105"/>
  <c r="G192" i="105"/>
  <c r="F189" i="105"/>
  <c r="G179" i="105"/>
  <c r="F179" i="105"/>
  <c r="F210" i="105"/>
  <c r="G210" i="105"/>
  <c r="L210" i="105" s="1"/>
  <c r="F211" i="105"/>
  <c r="G211" i="105"/>
  <c r="F212" i="105"/>
  <c r="G212" i="105"/>
  <c r="F209" i="105"/>
  <c r="F187" i="105"/>
  <c r="G187" i="105"/>
  <c r="G186" i="105"/>
  <c r="F186" i="105"/>
  <c r="F183" i="105"/>
  <c r="G183" i="105"/>
  <c r="L183" i="105" s="1"/>
  <c r="F184" i="105"/>
  <c r="G184" i="105"/>
  <c r="F185" i="105"/>
  <c r="G185" i="105"/>
  <c r="F182" i="105"/>
  <c r="G263" i="105" l="1"/>
  <c r="L271" i="105"/>
  <c r="F262" i="105"/>
  <c r="F269" i="105"/>
  <c r="G172" i="105"/>
  <c r="I205" i="105"/>
  <c r="F172" i="105"/>
  <c r="F198" i="105"/>
  <c r="F228" i="105"/>
  <c r="F226" i="105"/>
  <c r="F181" i="105"/>
  <c r="G226" i="105"/>
  <c r="G225" i="105"/>
  <c r="I246" i="105"/>
  <c r="F227" i="105"/>
  <c r="F169" i="105"/>
  <c r="F236" i="105"/>
  <c r="F266" i="105"/>
  <c r="I255" i="105"/>
  <c r="H240" i="105"/>
  <c r="I240" i="105" s="1"/>
  <c r="H238" i="105"/>
  <c r="I238" i="105" s="1"/>
  <c r="H234" i="105"/>
  <c r="I234" i="105" s="1"/>
  <c r="H239" i="105"/>
  <c r="I239" i="105" s="1"/>
  <c r="H233" i="105"/>
  <c r="I233" i="105" s="1"/>
  <c r="H213" i="105"/>
  <c r="I213" i="105" s="1"/>
  <c r="H179" i="105"/>
  <c r="I179" i="105" s="1"/>
  <c r="G180" i="105"/>
  <c r="G171" i="105" s="1"/>
  <c r="F180" i="105"/>
  <c r="F171" i="105" s="1"/>
  <c r="G178" i="105"/>
  <c r="F178" i="105"/>
  <c r="F175" i="105"/>
  <c r="F166" i="105" s="1"/>
  <c r="F176" i="105"/>
  <c r="F168" i="105" s="1"/>
  <c r="G176" i="105"/>
  <c r="G168" i="105" s="1"/>
  <c r="F165" i="105"/>
  <c r="G153" i="105"/>
  <c r="F154" i="105"/>
  <c r="G154" i="105"/>
  <c r="F148" i="105"/>
  <c r="G148" i="105"/>
  <c r="F149" i="105"/>
  <c r="G149" i="105"/>
  <c r="F173" i="105" l="1"/>
  <c r="G147" i="105"/>
  <c r="F147" i="105"/>
  <c r="F152" i="105" s="1"/>
  <c r="F144" i="105"/>
  <c r="G144" i="105"/>
  <c r="L144" i="105" s="1"/>
  <c r="F145" i="105"/>
  <c r="G145" i="105"/>
  <c r="F146" i="105"/>
  <c r="G146" i="105"/>
  <c r="F139" i="105"/>
  <c r="G139" i="105"/>
  <c r="L139" i="105" s="1"/>
  <c r="F140" i="105"/>
  <c r="G140" i="105"/>
  <c r="F141" i="105"/>
  <c r="G141" i="105"/>
  <c r="G110" i="105"/>
  <c r="G111" i="105"/>
  <c r="G112" i="105"/>
  <c r="F110" i="105"/>
  <c r="F111" i="105"/>
  <c r="F112" i="105"/>
  <c r="F109" i="105"/>
  <c r="F81" i="105"/>
  <c r="G77" i="105"/>
  <c r="K129" i="70" s="1"/>
  <c r="L129" i="70" s="1"/>
  <c r="F77" i="105"/>
  <c r="F76" i="105"/>
  <c r="F70" i="105"/>
  <c r="G119" i="105"/>
  <c r="G106" i="105" s="1"/>
  <c r="F119" i="105"/>
  <c r="F106" i="105" s="1"/>
  <c r="F57" i="105" s="1"/>
  <c r="G118" i="105"/>
  <c r="F118" i="105"/>
  <c r="G117" i="105"/>
  <c r="G104" i="105" s="1"/>
  <c r="F117" i="105"/>
  <c r="G116" i="105"/>
  <c r="F116" i="105"/>
  <c r="F115" i="105"/>
  <c r="G99" i="105"/>
  <c r="F99" i="105"/>
  <c r="G98" i="105"/>
  <c r="F98" i="105"/>
  <c r="G96" i="105"/>
  <c r="L96" i="105" s="1"/>
  <c r="F96" i="105"/>
  <c r="F95" i="105"/>
  <c r="G93" i="105"/>
  <c r="F93" i="105"/>
  <c r="G92" i="105"/>
  <c r="F92" i="105"/>
  <c r="G90" i="105"/>
  <c r="L90" i="105" s="1"/>
  <c r="F90" i="105"/>
  <c r="F89" i="105"/>
  <c r="G87" i="105"/>
  <c r="F87" i="105"/>
  <c r="G86" i="105"/>
  <c r="F86" i="105"/>
  <c r="G85" i="105"/>
  <c r="L85" i="105" s="1"/>
  <c r="F85" i="105"/>
  <c r="F84" i="105"/>
  <c r="G75" i="105"/>
  <c r="F75" i="105"/>
  <c r="G74" i="105"/>
  <c r="F74" i="105"/>
  <c r="G73" i="105"/>
  <c r="F73" i="105"/>
  <c r="F72" i="105"/>
  <c r="G69" i="105"/>
  <c r="G68" i="105"/>
  <c r="G67" i="105"/>
  <c r="L67" i="105" s="1"/>
  <c r="F69" i="105"/>
  <c r="F68" i="105"/>
  <c r="F67" i="105"/>
  <c r="F66" i="105"/>
  <c r="F102" i="105" l="1"/>
  <c r="L110" i="105"/>
  <c r="K172" i="70"/>
  <c r="G152" i="105"/>
  <c r="L152" i="105" s="1"/>
  <c r="F88" i="105"/>
  <c r="F105" i="105"/>
  <c r="G105" i="105"/>
  <c r="F103" i="105"/>
  <c r="G103" i="105"/>
  <c r="F101" i="105"/>
  <c r="F150" i="105"/>
  <c r="F59" i="105"/>
  <c r="G60" i="105"/>
  <c r="F60" i="105"/>
  <c r="F104" i="105"/>
  <c r="H139" i="105"/>
  <c r="H140" i="105"/>
  <c r="H141" i="105"/>
  <c r="F94" i="105"/>
  <c r="L172" i="70" l="1"/>
  <c r="K169" i="70"/>
  <c r="C57" i="123"/>
  <c r="G115" i="105" l="1"/>
  <c r="G102" i="105" s="1"/>
  <c r="L115" i="105" l="1"/>
  <c r="F63" i="105"/>
  <c r="F52" i="105" s="1"/>
  <c r="C8" i="123" s="1"/>
  <c r="C37" i="123" s="1"/>
  <c r="H361" i="105"/>
  <c r="I361" i="105" s="1"/>
  <c r="F358" i="105"/>
  <c r="H354" i="105"/>
  <c r="I354" i="105" s="1"/>
  <c r="F352" i="105"/>
  <c r="H348" i="105"/>
  <c r="I348" i="105" s="1"/>
  <c r="H339" i="105"/>
  <c r="I339" i="105" s="1"/>
  <c r="H327" i="105"/>
  <c r="I327" i="105" s="1"/>
  <c r="H324" i="105"/>
  <c r="I324" i="105" s="1"/>
  <c r="H310" i="105"/>
  <c r="H297" i="105"/>
  <c r="I297" i="105" s="1"/>
  <c r="H287" i="105"/>
  <c r="I287" i="105" s="1"/>
  <c r="H285" i="105"/>
  <c r="I285" i="105" s="1"/>
  <c r="H280" i="105"/>
  <c r="I280" i="105" s="1"/>
  <c r="H279" i="105"/>
  <c r="I279" i="105" s="1"/>
  <c r="G277" i="105"/>
  <c r="K193" i="70" s="1"/>
  <c r="L193" i="70" s="1"/>
  <c r="H260" i="105"/>
  <c r="I260" i="105" s="1"/>
  <c r="F256" i="105"/>
  <c r="H254" i="105"/>
  <c r="I254" i="105" s="1"/>
  <c r="F253" i="105"/>
  <c r="G253" i="105"/>
  <c r="K202" i="70" s="1"/>
  <c r="L202" i="70" s="1"/>
  <c r="H252" i="105"/>
  <c r="I252" i="105" s="1"/>
  <c r="H251" i="105"/>
  <c r="I251" i="105" s="1"/>
  <c r="H250" i="105"/>
  <c r="I250" i="105" s="1"/>
  <c r="F249" i="105"/>
  <c r="H247" i="105"/>
  <c r="I247" i="105" s="1"/>
  <c r="G243" i="105"/>
  <c r="F243" i="105"/>
  <c r="H244" i="105"/>
  <c r="I244" i="105" s="1"/>
  <c r="J241" i="105"/>
  <c r="G223" i="105"/>
  <c r="G53" i="105" s="1"/>
  <c r="D9" i="123" s="1"/>
  <c r="D38" i="123" s="1"/>
  <c r="F223" i="105"/>
  <c r="F53" i="105" s="1"/>
  <c r="C9" i="123" s="1"/>
  <c r="C38" i="123" s="1"/>
  <c r="H230" i="105"/>
  <c r="I230" i="105" s="1"/>
  <c r="G224" i="105"/>
  <c r="J212" i="105"/>
  <c r="H206" i="105"/>
  <c r="I206" i="105" s="1"/>
  <c r="H196" i="105"/>
  <c r="I196" i="105" s="1"/>
  <c r="H195" i="105"/>
  <c r="I195" i="105" s="1"/>
  <c r="F193" i="105"/>
  <c r="H191" i="105"/>
  <c r="I191" i="105" s="1"/>
  <c r="H190" i="105"/>
  <c r="I190" i="105" s="1"/>
  <c r="H186" i="105"/>
  <c r="I186" i="105" s="1"/>
  <c r="H185" i="105"/>
  <c r="I185" i="105" s="1"/>
  <c r="H184" i="105"/>
  <c r="I184" i="105" s="1"/>
  <c r="H180" i="105"/>
  <c r="I180" i="105" s="1"/>
  <c r="G170" i="105"/>
  <c r="H177" i="105"/>
  <c r="I177" i="105" s="1"/>
  <c r="H162" i="105"/>
  <c r="I162" i="105" s="1"/>
  <c r="H159" i="105"/>
  <c r="I159" i="105" s="1"/>
  <c r="H154" i="105"/>
  <c r="I154" i="105" s="1"/>
  <c r="H153" i="105"/>
  <c r="I153" i="105" s="1"/>
  <c r="H149" i="105"/>
  <c r="I149" i="105" s="1"/>
  <c r="H146" i="105"/>
  <c r="I146" i="105" s="1"/>
  <c r="I141" i="105"/>
  <c r="H111" i="105"/>
  <c r="I111" i="105" s="1"/>
  <c r="H40" i="105"/>
  <c r="I40" i="105" s="1"/>
  <c r="H39" i="105"/>
  <c r="I39" i="105" s="1"/>
  <c r="H37" i="105"/>
  <c r="I37" i="105" s="1"/>
  <c r="K101" i="70"/>
  <c r="L101" i="70" s="1"/>
  <c r="H35" i="105"/>
  <c r="I35" i="105" s="1"/>
  <c r="H33" i="105"/>
  <c r="I33" i="105" s="1"/>
  <c r="H32" i="105"/>
  <c r="I32" i="105" s="1"/>
  <c r="G31" i="105"/>
  <c r="K94" i="70"/>
  <c r="L94" i="70" s="1"/>
  <c r="H26" i="105"/>
  <c r="H25" i="105"/>
  <c r="I25" i="105" s="1"/>
  <c r="H19" i="105"/>
  <c r="I19" i="105" s="1"/>
  <c r="H18" i="105"/>
  <c r="I18" i="105" s="1"/>
  <c r="H17" i="105"/>
  <c r="I17" i="105" s="1"/>
  <c r="H16" i="105"/>
  <c r="I16" i="105" s="1"/>
  <c r="H15" i="105"/>
  <c r="H10" i="105"/>
  <c r="I10" i="105" s="1"/>
  <c r="H8" i="105"/>
  <c r="I8" i="105" s="1"/>
  <c r="H5" i="105"/>
  <c r="I5" i="105" s="1"/>
  <c r="I4" i="105"/>
  <c r="G3" i="105"/>
  <c r="E38" i="123" l="1"/>
  <c r="F30" i="123" s="1"/>
  <c r="F38" i="123"/>
  <c r="G30" i="123" s="1"/>
  <c r="L99" i="70"/>
  <c r="I310" i="105"/>
  <c r="H3" i="105"/>
  <c r="H30" i="105"/>
  <c r="I30" i="105" s="1"/>
  <c r="K95" i="70"/>
  <c r="L95" i="70" s="1"/>
  <c r="H268" i="105"/>
  <c r="F62" i="105"/>
  <c r="F51" i="105" s="1"/>
  <c r="C7" i="123" s="1"/>
  <c r="C36" i="123" s="1"/>
  <c r="H75" i="105"/>
  <c r="I75" i="105" s="1"/>
  <c r="F61" i="105"/>
  <c r="F65" i="105"/>
  <c r="H29" i="105"/>
  <c r="I29" i="105" s="1"/>
  <c r="G28" i="105"/>
  <c r="H235" i="105"/>
  <c r="I235" i="105" s="1"/>
  <c r="H245" i="105"/>
  <c r="I245" i="105" s="1"/>
  <c r="H178" i="105"/>
  <c r="I178" i="105" s="1"/>
  <c r="F225" i="105"/>
  <c r="H42" i="105"/>
  <c r="I42" i="105" s="1"/>
  <c r="I140" i="105"/>
  <c r="H156" i="105"/>
  <c r="I156" i="105" s="1"/>
  <c r="H271" i="105"/>
  <c r="I271" i="105" s="1"/>
  <c r="H319" i="105"/>
  <c r="I319" i="105" s="1"/>
  <c r="H53" i="105"/>
  <c r="I53" i="105" s="1"/>
  <c r="H152" i="105"/>
  <c r="I152" i="105" s="1"/>
  <c r="H163" i="105"/>
  <c r="I163" i="105" s="1"/>
  <c r="H7" i="105"/>
  <c r="I7" i="105" s="1"/>
  <c r="H36" i="105"/>
  <c r="I36" i="105" s="1"/>
  <c r="F83" i="105"/>
  <c r="F142" i="105"/>
  <c r="H171" i="105"/>
  <c r="I171" i="105" s="1"/>
  <c r="F221" i="105"/>
  <c r="H276" i="105"/>
  <c r="I276" i="105" s="1"/>
  <c r="H306" i="105"/>
  <c r="I306" i="105" s="1"/>
  <c r="H360" i="105"/>
  <c r="I360" i="105" s="1"/>
  <c r="G6" i="105"/>
  <c r="H6" i="105" s="1"/>
  <c r="I6" i="105" s="1"/>
  <c r="F108" i="105"/>
  <c r="F155" i="105"/>
  <c r="H157" i="105"/>
  <c r="I157" i="105" s="1"/>
  <c r="H292" i="105"/>
  <c r="I292" i="105" s="1"/>
  <c r="G309" i="105"/>
  <c r="H340" i="105"/>
  <c r="I340" i="105" s="1"/>
  <c r="H350" i="105"/>
  <c r="I350" i="105" s="1"/>
  <c r="H223" i="105"/>
  <c r="I223" i="105" s="1"/>
  <c r="F137" i="105"/>
  <c r="H192" i="105"/>
  <c r="I192" i="105" s="1"/>
  <c r="H197" i="105"/>
  <c r="I197" i="105" s="1"/>
  <c r="H210" i="105"/>
  <c r="I210" i="105" s="1"/>
  <c r="H212" i="105"/>
  <c r="I212" i="105" s="1"/>
  <c r="F224" i="105"/>
  <c r="H224" i="105" s="1"/>
  <c r="I224" i="105" s="1"/>
  <c r="H320" i="105"/>
  <c r="I320" i="105" s="1"/>
  <c r="H321" i="105"/>
  <c r="I321" i="105" s="1"/>
  <c r="H11" i="105"/>
  <c r="I11" i="105" s="1"/>
  <c r="H14" i="105"/>
  <c r="I14" i="105" s="1"/>
  <c r="H24" i="105"/>
  <c r="I24" i="105" s="1"/>
  <c r="G9" i="105"/>
  <c r="H31" i="105"/>
  <c r="I31" i="105" s="1"/>
  <c r="H144" i="105"/>
  <c r="I144" i="105" s="1"/>
  <c r="F170" i="105"/>
  <c r="H170" i="105" s="1"/>
  <c r="I170" i="105" s="1"/>
  <c r="H112" i="105"/>
  <c r="I112" i="105" s="1"/>
  <c r="F71" i="105"/>
  <c r="H110" i="105"/>
  <c r="I110" i="105" s="1"/>
  <c r="I139" i="105"/>
  <c r="H145" i="105"/>
  <c r="I145" i="105" s="1"/>
  <c r="G155" i="105"/>
  <c r="I168" i="70" s="1"/>
  <c r="H120" i="105"/>
  <c r="I120" i="105" s="1"/>
  <c r="H148" i="105"/>
  <c r="I148" i="105" s="1"/>
  <c r="H151" i="105"/>
  <c r="I151" i="105" s="1"/>
  <c r="G150" i="105"/>
  <c r="I170" i="70" s="1"/>
  <c r="H158" i="105"/>
  <c r="I158" i="105" s="1"/>
  <c r="H160" i="105"/>
  <c r="I160" i="105" s="1"/>
  <c r="H176" i="105"/>
  <c r="I176" i="105" s="1"/>
  <c r="F208" i="105"/>
  <c r="G222" i="105"/>
  <c r="H183" i="105"/>
  <c r="I183" i="105" s="1"/>
  <c r="H187" i="105"/>
  <c r="I187" i="105" s="1"/>
  <c r="F188" i="105"/>
  <c r="H201" i="105"/>
  <c r="I201" i="105" s="1"/>
  <c r="H204" i="105"/>
  <c r="I204" i="105" s="1"/>
  <c r="H232" i="105"/>
  <c r="I232" i="105" s="1"/>
  <c r="H207" i="105"/>
  <c r="I207" i="105" s="1"/>
  <c r="H226" i="105"/>
  <c r="I226" i="105" s="1"/>
  <c r="H275" i="105"/>
  <c r="I275" i="105" s="1"/>
  <c r="H278" i="105"/>
  <c r="I278" i="105" s="1"/>
  <c r="F277" i="105"/>
  <c r="H277" i="105" s="1"/>
  <c r="I277" i="105" s="1"/>
  <c r="H328" i="105"/>
  <c r="I328" i="105" s="1"/>
  <c r="H175" i="105"/>
  <c r="I175" i="105" s="1"/>
  <c r="H211" i="105"/>
  <c r="I211" i="105" s="1"/>
  <c r="H242" i="105"/>
  <c r="I242" i="105" s="1"/>
  <c r="H248" i="105"/>
  <c r="I248" i="105" s="1"/>
  <c r="G249" i="105"/>
  <c r="K200" i="70" s="1"/>
  <c r="L200" i="70" s="1"/>
  <c r="H283" i="105"/>
  <c r="I283" i="105" s="1"/>
  <c r="H311" i="105"/>
  <c r="I311" i="105" s="1"/>
  <c r="H338" i="105"/>
  <c r="I338" i="105" s="1"/>
  <c r="H341" i="105"/>
  <c r="I341" i="105" s="1"/>
  <c r="F222" i="105"/>
  <c r="G227" i="105"/>
  <c r="G57" i="105" s="1"/>
  <c r="H243" i="105"/>
  <c r="I243" i="105" s="1"/>
  <c r="H253" i="105"/>
  <c r="I253" i="105" s="1"/>
  <c r="H317" i="105"/>
  <c r="I317" i="105" s="1"/>
  <c r="H363" i="105"/>
  <c r="I363" i="105" s="1"/>
  <c r="H326" i="105"/>
  <c r="I326" i="105" s="1"/>
  <c r="H346" i="105"/>
  <c r="I346" i="105" s="1"/>
  <c r="H357" i="105"/>
  <c r="I357" i="105" s="1"/>
  <c r="H369" i="105"/>
  <c r="I369" i="105" s="1"/>
  <c r="H231" i="105"/>
  <c r="I231" i="105" s="1"/>
  <c r="H258" i="105"/>
  <c r="I258" i="105" s="1"/>
  <c r="H273" i="105"/>
  <c r="I273" i="105" s="1"/>
  <c r="H290" i="105"/>
  <c r="I290" i="105" s="1"/>
  <c r="H294" i="105"/>
  <c r="I294" i="105" s="1"/>
  <c r="H299" i="105"/>
  <c r="I299" i="105" s="1"/>
  <c r="H301" i="105"/>
  <c r="I301" i="105" s="1"/>
  <c r="H304" i="105"/>
  <c r="I304" i="105" s="1"/>
  <c r="H308" i="105"/>
  <c r="I308" i="105" s="1"/>
  <c r="H329" i="105"/>
  <c r="I329" i="105" s="1"/>
  <c r="H336" i="105"/>
  <c r="I336" i="105" s="1"/>
  <c r="H355" i="105"/>
  <c r="I355" i="105" s="1"/>
  <c r="H28" i="105" l="1"/>
  <c r="I28" i="105" s="1"/>
  <c r="G27" i="105"/>
  <c r="L170" i="70"/>
  <c r="F164" i="105"/>
  <c r="C59" i="123" s="1"/>
  <c r="F261" i="105"/>
  <c r="C61" i="123" s="1"/>
  <c r="L93" i="70"/>
  <c r="I268" i="105"/>
  <c r="I38" i="105"/>
  <c r="C56" i="123"/>
  <c r="I106" i="70"/>
  <c r="I172" i="105"/>
  <c r="H41" i="105"/>
  <c r="I41" i="105" s="1"/>
  <c r="F220" i="105"/>
  <c r="C60" i="123" s="1"/>
  <c r="F48" i="105"/>
  <c r="F47" i="105"/>
  <c r="F55" i="105"/>
  <c r="H309" i="105"/>
  <c r="I309" i="105" s="1"/>
  <c r="H34" i="105"/>
  <c r="I34" i="105" s="1"/>
  <c r="H263" i="105"/>
  <c r="I263" i="105" s="1"/>
  <c r="F58" i="105"/>
  <c r="C55" i="123" s="1"/>
  <c r="F54" i="105"/>
  <c r="H267" i="105"/>
  <c r="I267" i="105" s="1"/>
  <c r="H168" i="105"/>
  <c r="I168" i="105" s="1"/>
  <c r="H150" i="105"/>
  <c r="I150" i="105" s="1"/>
  <c r="H13" i="105"/>
  <c r="I13" i="105" s="1"/>
  <c r="G12" i="105"/>
  <c r="H225" i="105"/>
  <c r="I225" i="105" s="1"/>
  <c r="H222" i="105"/>
  <c r="I222" i="105" s="1"/>
  <c r="H227" i="105"/>
  <c r="I227" i="105" s="1"/>
  <c r="H155" i="105"/>
  <c r="H9" i="105"/>
  <c r="I9" i="105" s="1"/>
  <c r="H265" i="105"/>
  <c r="I265" i="105" s="1"/>
  <c r="H249" i="105"/>
  <c r="I249" i="105" s="1"/>
  <c r="H147" i="105"/>
  <c r="I147" i="105" s="1"/>
  <c r="I3" i="105"/>
  <c r="I169" i="70" l="1"/>
  <c r="L169" i="70" s="1"/>
  <c r="I103" i="70"/>
  <c r="L106" i="70"/>
  <c r="I155" i="105"/>
  <c r="C5" i="123"/>
  <c r="C34" i="123" s="1"/>
  <c r="H12" i="105"/>
  <c r="I12" i="105" s="1"/>
  <c r="G2" i="105"/>
  <c r="H2" i="105" s="1"/>
  <c r="I2" i="105" s="1"/>
  <c r="L103" i="70" l="1"/>
  <c r="H27" i="105"/>
  <c r="I27" i="105" s="1"/>
  <c r="G43" i="105"/>
  <c r="F64" i="105"/>
  <c r="F56" i="105" s="1"/>
  <c r="L92" i="70" l="1"/>
  <c r="H43" i="105"/>
  <c r="M3" i="143" l="1"/>
  <c r="N3" i="143"/>
  <c r="I43" i="105"/>
  <c r="G200" i="105" l="1"/>
  <c r="G203" i="105"/>
  <c r="G169" i="105" s="1"/>
  <c r="H169" i="105" s="1"/>
  <c r="I169" i="105" s="1"/>
  <c r="G166" i="105" l="1"/>
  <c r="L200" i="105"/>
  <c r="L371" i="105" s="1"/>
  <c r="H203" i="105"/>
  <c r="I203" i="105" s="1"/>
  <c r="H200" i="105"/>
  <c r="I200" i="105" s="1"/>
  <c r="H166" i="105" l="1"/>
  <c r="I166" i="105" s="1"/>
  <c r="G55" i="105"/>
  <c r="H55" i="105" l="1"/>
  <c r="I55" i="105" s="1"/>
  <c r="F113" i="105" l="1"/>
  <c r="F100" i="105" s="1"/>
  <c r="F50" i="105"/>
  <c r="C6" i="123" l="1"/>
  <c r="C58" i="123"/>
  <c r="C62" i="123" s="1"/>
  <c r="F80" i="123" s="1"/>
  <c r="C35" i="123" l="1"/>
  <c r="C39" i="123" s="1"/>
  <c r="F25" i="123" s="1"/>
  <c r="C13" i="123"/>
  <c r="C11" i="123"/>
  <c r="E10" i="123" s="1"/>
  <c r="H80" i="123"/>
  <c r="F370" i="105"/>
  <c r="K5" i="143" s="1"/>
  <c r="E80" i="123"/>
  <c r="D80" i="123"/>
  <c r="E8" i="123" l="1"/>
  <c r="E5" i="123"/>
  <c r="C64" i="123"/>
  <c r="C65" i="123" s="1"/>
  <c r="E9" i="123"/>
  <c r="E7" i="123"/>
  <c r="E6" i="123"/>
  <c r="H74" i="105"/>
  <c r="I74" i="105" s="1"/>
  <c r="E11" i="123" l="1"/>
  <c r="H98" i="105" l="1"/>
  <c r="I98" i="105" s="1"/>
  <c r="H92" i="105"/>
  <c r="I92" i="105" s="1"/>
  <c r="F371" i="105"/>
  <c r="H82" i="105" l="1"/>
  <c r="G63" i="105"/>
  <c r="I82" i="105" l="1"/>
  <c r="H379" i="105"/>
  <c r="H63" i="105"/>
  <c r="I63" i="105" s="1"/>
  <c r="G52" i="105"/>
  <c r="D8" i="123" s="1"/>
  <c r="D37" i="123" s="1"/>
  <c r="F37" i="123" l="1"/>
  <c r="G29" i="123" s="1"/>
  <c r="E37" i="123"/>
  <c r="F29" i="123" s="1"/>
  <c r="H52" i="105"/>
  <c r="I52" i="105" s="1"/>
  <c r="H29" i="123" l="1"/>
  <c r="H117" i="105" l="1"/>
  <c r="I117" i="105" s="1"/>
  <c r="H104" i="105" l="1"/>
  <c r="I104" i="105" s="1"/>
  <c r="K20" i="70" l="1"/>
  <c r="J20" i="70"/>
  <c r="I20" i="70"/>
  <c r="H20" i="70"/>
  <c r="G20" i="70"/>
  <c r="F20" i="70"/>
  <c r="E20" i="70"/>
  <c r="F255" i="70" l="1"/>
  <c r="F215" i="70" l="1"/>
  <c r="F141" i="70" l="1"/>
  <c r="E137" i="70"/>
  <c r="F142" i="70"/>
  <c r="G142" i="70"/>
  <c r="H142" i="70"/>
  <c r="I142" i="70"/>
  <c r="J142" i="70"/>
  <c r="K142" i="70"/>
  <c r="I137" i="70"/>
  <c r="H137" i="70"/>
  <c r="G137" i="70"/>
  <c r="F137" i="70" l="1"/>
  <c r="L141" i="70"/>
  <c r="F163" i="70" l="1"/>
  <c r="E238" i="70" l="1"/>
  <c r="F238" i="70" l="1"/>
  <c r="F233" i="70" s="1"/>
  <c r="L58" i="70"/>
  <c r="E233" i="70"/>
  <c r="L238" i="70" l="1"/>
  <c r="L45" i="70"/>
  <c r="J233" i="70" l="1"/>
  <c r="F258" i="70"/>
  <c r="I269" i="70" l="1"/>
  <c r="I257" i="70"/>
  <c r="I254" i="70"/>
  <c r="I229" i="70"/>
  <c r="I218" i="70"/>
  <c r="I201" i="70"/>
  <c r="I134" i="70"/>
  <c r="I124" i="70"/>
  <c r="I109" i="70"/>
  <c r="I99" i="70"/>
  <c r="I96" i="70"/>
  <c r="I93" i="70"/>
  <c r="I89" i="70"/>
  <c r="I52" i="70"/>
  <c r="I45" i="70" s="1"/>
  <c r="I39" i="70"/>
  <c r="I36" i="70"/>
  <c r="I28" i="70"/>
  <c r="I24" i="70"/>
  <c r="I17" i="70"/>
  <c r="I14" i="70"/>
  <c r="I11" i="70"/>
  <c r="I7" i="70"/>
  <c r="I92" i="70" l="1"/>
  <c r="I23" i="70"/>
  <c r="I6" i="70"/>
  <c r="E215" i="70" l="1"/>
  <c r="J225" i="70" l="1"/>
  <c r="J221" i="70"/>
  <c r="J215" i="70"/>
  <c r="J195" i="70"/>
  <c r="J137" i="70"/>
  <c r="J263" i="70"/>
  <c r="L263" i="70" l="1"/>
  <c r="E142" i="70"/>
  <c r="L262" i="70" l="1"/>
  <c r="J148" i="70" l="1"/>
  <c r="E148" i="70"/>
  <c r="L188" i="70"/>
  <c r="E181" i="70" l="1"/>
  <c r="J181" i="70" l="1"/>
  <c r="L187" i="70" l="1"/>
  <c r="L268" i="70" l="1"/>
  <c r="F199" i="70"/>
  <c r="L199" i="70" s="1"/>
  <c r="L266" i="70" l="1"/>
  <c r="F144" i="70" l="1"/>
  <c r="F198" i="70"/>
  <c r="L198" i="70" s="1"/>
  <c r="G52" i="70"/>
  <c r="G45" i="70" s="1"/>
  <c r="H52" i="70"/>
  <c r="H45" i="70" s="1"/>
  <c r="J52" i="70"/>
  <c r="K52" i="70"/>
  <c r="F39" i="70"/>
  <c r="G39" i="70"/>
  <c r="H39" i="70"/>
  <c r="J39" i="70"/>
  <c r="F36" i="70"/>
  <c r="G36" i="70"/>
  <c r="H36" i="70"/>
  <c r="J36" i="70"/>
  <c r="F28" i="70"/>
  <c r="G28" i="70"/>
  <c r="H28" i="70"/>
  <c r="J28" i="70"/>
  <c r="K28" i="70"/>
  <c r="E28" i="70"/>
  <c r="F24" i="70"/>
  <c r="G24" i="70"/>
  <c r="H24" i="70"/>
  <c r="J24" i="70"/>
  <c r="K24" i="70"/>
  <c r="E24" i="70"/>
  <c r="F17" i="70"/>
  <c r="G17" i="70"/>
  <c r="H17" i="70"/>
  <c r="J17" i="70"/>
  <c r="F14" i="70"/>
  <c r="G14" i="70"/>
  <c r="H14" i="70"/>
  <c r="J14" i="70"/>
  <c r="F11" i="70"/>
  <c r="G11" i="70"/>
  <c r="H11" i="70"/>
  <c r="J11" i="70"/>
  <c r="F7" i="70"/>
  <c r="G7" i="70"/>
  <c r="H7" i="70"/>
  <c r="J7" i="70"/>
  <c r="E7" i="70"/>
  <c r="E258" i="70"/>
  <c r="L258" i="70" s="1"/>
  <c r="K23" i="70" l="1"/>
  <c r="K3" i="70" s="1"/>
  <c r="F195" i="70"/>
  <c r="J45" i="70"/>
  <c r="J44" i="70" s="1"/>
  <c r="K45" i="70"/>
  <c r="K44" i="70" s="1"/>
  <c r="H44" i="70"/>
  <c r="G6" i="70"/>
  <c r="F6" i="70"/>
  <c r="G23" i="70"/>
  <c r="F23" i="70"/>
  <c r="H23" i="70"/>
  <c r="E246" i="70"/>
  <c r="E242" i="70" s="1"/>
  <c r="E255" i="70"/>
  <c r="L255" i="70" s="1"/>
  <c r="E206" i="70"/>
  <c r="E167" i="70"/>
  <c r="E23" i="70"/>
  <c r="J23" i="70"/>
  <c r="H6" i="70"/>
  <c r="J6" i="70"/>
  <c r="F68" i="70" l="1"/>
  <c r="E204" i="70"/>
  <c r="E254" i="70"/>
  <c r="I266" i="70"/>
  <c r="G167" i="70"/>
  <c r="J167" i="70" s="1"/>
  <c r="G207" i="70"/>
  <c r="I207" i="70"/>
  <c r="I206" i="70"/>
  <c r="J206" i="70" s="1"/>
  <c r="F246" i="70"/>
  <c r="G44" i="70"/>
  <c r="L203" i="70"/>
  <c r="L246" i="70" l="1"/>
  <c r="I265" i="70"/>
  <c r="L201" i="70"/>
  <c r="L68" i="70"/>
  <c r="L167" i="70"/>
  <c r="G163" i="70"/>
  <c r="G144" i="70" s="1"/>
  <c r="L206" i="70"/>
  <c r="I204" i="70"/>
  <c r="I194" i="70" s="1"/>
  <c r="G204" i="70"/>
  <c r="I44" i="70"/>
  <c r="J265" i="70" l="1"/>
  <c r="L265" i="70" s="1"/>
  <c r="I213" i="70"/>
  <c r="L207" i="70"/>
  <c r="L44" i="70"/>
  <c r="J204" i="70"/>
  <c r="I108" i="70"/>
  <c r="I118" i="70" s="1"/>
  <c r="L108" i="70" l="1"/>
  <c r="F251" i="70" l="1"/>
  <c r="F242" i="70" s="1"/>
  <c r="L166" i="70" l="1"/>
  <c r="E163" i="70"/>
  <c r="E144" i="70" s="1"/>
  <c r="F52" i="70"/>
  <c r="J163" i="70" l="1"/>
  <c r="J144" i="70" s="1"/>
  <c r="F45" i="70"/>
  <c r="F44" i="70" s="1"/>
  <c r="F254" i="70" l="1"/>
  <c r="G254" i="70"/>
  <c r="H254" i="70"/>
  <c r="J254" i="70"/>
  <c r="F266" i="70"/>
  <c r="G266" i="70"/>
  <c r="H266" i="70"/>
  <c r="J266" i="70"/>
  <c r="K266" i="70"/>
  <c r="E266" i="70"/>
  <c r="H69" i="105" l="1"/>
  <c r="I69" i="105" s="1"/>
  <c r="J134" i="70"/>
  <c r="H134" i="70"/>
  <c r="G134" i="70"/>
  <c r="G124" i="70"/>
  <c r="G109" i="70"/>
  <c r="H96" i="70"/>
  <c r="H93" i="70"/>
  <c r="K7" i="70" l="1"/>
  <c r="H201" i="70"/>
  <c r="H194" i="70" s="1"/>
  <c r="H218" i="70"/>
  <c r="J257" i="70"/>
  <c r="H257" i="70"/>
  <c r="J89" i="70"/>
  <c r="H109" i="70"/>
  <c r="J269" i="70"/>
  <c r="H89" i="70"/>
  <c r="G96" i="70"/>
  <c r="G99" i="70"/>
  <c r="G201" i="70"/>
  <c r="G194" i="70" s="1"/>
  <c r="H229" i="70"/>
  <c r="J93" i="70"/>
  <c r="J96" i="70"/>
  <c r="J218" i="70"/>
  <c r="J229" i="70"/>
  <c r="G229" i="70"/>
  <c r="G269" i="70"/>
  <c r="G93" i="70"/>
  <c r="H269" i="70"/>
  <c r="G89" i="70"/>
  <c r="J124" i="70"/>
  <c r="J201" i="70"/>
  <c r="J194" i="70" s="1"/>
  <c r="G218" i="70"/>
  <c r="H99" i="70"/>
  <c r="H92" i="70" s="1"/>
  <c r="J99" i="70"/>
  <c r="G257" i="70"/>
  <c r="J109" i="70"/>
  <c r="H124" i="70"/>
  <c r="G213" i="70" l="1"/>
  <c r="J213" i="70"/>
  <c r="J272" i="70" s="1"/>
  <c r="H213" i="70"/>
  <c r="G272" i="70"/>
  <c r="J92" i="70"/>
  <c r="J108" i="70" s="1"/>
  <c r="J118" i="70" s="1"/>
  <c r="G92" i="70"/>
  <c r="G108" i="70" s="1"/>
  <c r="G118" i="70" s="1"/>
  <c r="H108" i="70"/>
  <c r="H118" i="70" s="1"/>
  <c r="G274" i="70" l="1"/>
  <c r="G275" i="70" s="1"/>
  <c r="H103" i="105" l="1"/>
  <c r="I103" i="105" s="1"/>
  <c r="H116" i="105"/>
  <c r="I116" i="105" s="1"/>
  <c r="H86" i="105"/>
  <c r="I86" i="105" s="1"/>
  <c r="H87" i="105"/>
  <c r="I87" i="105" s="1"/>
  <c r="G64" i="105"/>
  <c r="H64" i="105" l="1"/>
  <c r="I64" i="105" s="1"/>
  <c r="K11" i="70" l="1"/>
  <c r="K14" i="70" l="1"/>
  <c r="K17" i="70"/>
  <c r="K6" i="70" l="1"/>
  <c r="F134" i="70" l="1"/>
  <c r="H119" i="105" l="1"/>
  <c r="I119" i="105" s="1"/>
  <c r="H93" i="105"/>
  <c r="I93" i="105" s="1"/>
  <c r="H118" i="105"/>
  <c r="I118" i="105" s="1"/>
  <c r="H105" i="105"/>
  <c r="I105" i="105" s="1"/>
  <c r="H96" i="105"/>
  <c r="I96" i="105" s="1"/>
  <c r="H99" i="105"/>
  <c r="I99" i="105" s="1"/>
  <c r="H68" i="105"/>
  <c r="I68" i="105" s="1"/>
  <c r="F269" i="70"/>
  <c r="F201" i="70"/>
  <c r="F194" i="70" s="1"/>
  <c r="F218" i="70"/>
  <c r="K269" i="70"/>
  <c r="F229" i="70"/>
  <c r="E269" i="70"/>
  <c r="F124" i="70"/>
  <c r="E218" i="70"/>
  <c r="E17" i="70"/>
  <c r="K134" i="70"/>
  <c r="E14" i="70"/>
  <c r="E52" i="70"/>
  <c r="E11" i="70"/>
  <c r="E36" i="70"/>
  <c r="E89" i="70"/>
  <c r="E93" i="70"/>
  <c r="E39" i="70"/>
  <c r="F89" i="70"/>
  <c r="F93" i="70"/>
  <c r="F96" i="70"/>
  <c r="E99" i="70"/>
  <c r="K99" i="70"/>
  <c r="K89" i="70"/>
  <c r="K93" i="70"/>
  <c r="K96" i="70"/>
  <c r="F99" i="70"/>
  <c r="F109" i="70"/>
  <c r="K109" i="70"/>
  <c r="K201" i="70"/>
  <c r="E201" i="70"/>
  <c r="E194" i="70" s="1"/>
  <c r="E229" i="70"/>
  <c r="E257" i="70"/>
  <c r="F257" i="70"/>
  <c r="E6" i="70" l="1"/>
  <c r="E213" i="70"/>
  <c r="E272" i="70" s="1"/>
  <c r="E274" i="70" s="1"/>
  <c r="F213" i="70"/>
  <c r="F272" i="70" s="1"/>
  <c r="E45" i="70"/>
  <c r="E44" i="70" s="1"/>
  <c r="G76" i="105"/>
  <c r="E92" i="70"/>
  <c r="K92" i="70"/>
  <c r="K108" i="70" s="1"/>
  <c r="F92" i="70"/>
  <c r="G307" i="105"/>
  <c r="G286" i="105"/>
  <c r="G356" i="105"/>
  <c r="G349" i="105"/>
  <c r="G56" i="105"/>
  <c r="H90" i="105"/>
  <c r="I90" i="105" s="1"/>
  <c r="H115" i="105"/>
  <c r="I115" i="105" s="1"/>
  <c r="G61" i="105"/>
  <c r="H61" i="105" s="1"/>
  <c r="I61" i="105" s="1"/>
  <c r="H77" i="105"/>
  <c r="I77" i="105" s="1"/>
  <c r="H73" i="105"/>
  <c r="I73" i="105" s="1"/>
  <c r="E108" i="70" l="1"/>
  <c r="G79" i="105"/>
  <c r="N4409" i="109"/>
  <c r="N4228" i="109"/>
  <c r="N343" i="109"/>
  <c r="N4425" i="109"/>
  <c r="N4240" i="109"/>
  <c r="G274" i="105"/>
  <c r="H56" i="105"/>
  <c r="I56" i="105" s="1"/>
  <c r="H57" i="105"/>
  <c r="I57" i="105" s="1"/>
  <c r="H286" i="105"/>
  <c r="I286" i="105" s="1"/>
  <c r="H349" i="105"/>
  <c r="I349" i="105" s="1"/>
  <c r="K128" i="70"/>
  <c r="L128" i="70" s="1"/>
  <c r="H307" i="105"/>
  <c r="I307" i="105" s="1"/>
  <c r="G300" i="105"/>
  <c r="H356" i="105"/>
  <c r="I356" i="105" s="1"/>
  <c r="G293" i="105"/>
  <c r="H106" i="105"/>
  <c r="I106" i="105" s="1"/>
  <c r="H102" i="105"/>
  <c r="I102" i="105" s="1"/>
  <c r="G48" i="105"/>
  <c r="H85" i="105"/>
  <c r="I85" i="105" s="1"/>
  <c r="G50" i="105"/>
  <c r="H67" i="105"/>
  <c r="I67" i="105" s="1"/>
  <c r="F274" i="70"/>
  <c r="E110" i="70"/>
  <c r="E109" i="70" s="1"/>
  <c r="K229" i="70"/>
  <c r="F108" i="70"/>
  <c r="F118" i="70" s="1"/>
  <c r="K118" i="70"/>
  <c r="N357" i="109"/>
  <c r="N1621" i="109"/>
  <c r="N706" i="109"/>
  <c r="R3401" i="109" l="1"/>
  <c r="R3398" i="109"/>
  <c r="R3400" i="109"/>
  <c r="R3399" i="109"/>
  <c r="R3396" i="109"/>
  <c r="D6" i="123"/>
  <c r="D35" i="123" s="1"/>
  <c r="F35" i="123" s="1"/>
  <c r="G27" i="123" s="1"/>
  <c r="G78" i="105"/>
  <c r="K130" i="70" s="1"/>
  <c r="L130" i="70" s="1"/>
  <c r="G72" i="105"/>
  <c r="G71" i="105" s="1"/>
  <c r="H71" i="105" s="1"/>
  <c r="I71" i="105" s="1"/>
  <c r="L110" i="70"/>
  <c r="F373" i="105"/>
  <c r="G138" i="105"/>
  <c r="H138" i="105" s="1"/>
  <c r="H50" i="105"/>
  <c r="I50" i="105" s="1"/>
  <c r="H60" i="105"/>
  <c r="I60" i="105" s="1"/>
  <c r="H48" i="105"/>
  <c r="I48" i="105" s="1"/>
  <c r="H300" i="105"/>
  <c r="I300" i="105" s="1"/>
  <c r="H76" i="105"/>
  <c r="I76" i="105" s="1"/>
  <c r="G266" i="105"/>
  <c r="H274" i="105"/>
  <c r="I274" i="105" s="1"/>
  <c r="H293" i="105"/>
  <c r="I293" i="105" s="1"/>
  <c r="F275" i="70"/>
  <c r="E118" i="70"/>
  <c r="E275" i="70" s="1"/>
  <c r="N1601" i="109"/>
  <c r="R3414" i="109" l="1"/>
  <c r="R3411" i="109"/>
  <c r="R3410" i="109"/>
  <c r="G229" i="105"/>
  <c r="G228" i="105" s="1"/>
  <c r="R3408" i="109"/>
  <c r="R3405" i="109"/>
  <c r="R3407" i="109"/>
  <c r="R3404" i="109"/>
  <c r="R3406" i="109"/>
  <c r="R3403" i="109"/>
  <c r="E35" i="123"/>
  <c r="F27" i="123" s="1"/>
  <c r="H27" i="123" s="1"/>
  <c r="N369" i="109"/>
  <c r="H79" i="105"/>
  <c r="I79" i="105" s="1"/>
  <c r="K127" i="70"/>
  <c r="L127" i="70" s="1"/>
  <c r="H72" i="105"/>
  <c r="I72" i="105" s="1"/>
  <c r="N719" i="109"/>
  <c r="N716" i="109"/>
  <c r="N4442" i="109"/>
  <c r="N4434" i="109"/>
  <c r="N1642" i="109"/>
  <c r="N1651" i="109"/>
  <c r="N4254" i="109"/>
  <c r="N4248" i="109"/>
  <c r="G143" i="105"/>
  <c r="H143" i="105" s="1"/>
  <c r="I143" i="105" s="1"/>
  <c r="G194" i="105"/>
  <c r="G137" i="105"/>
  <c r="K147" i="70" s="1"/>
  <c r="L147" i="70" s="1"/>
  <c r="H266" i="105"/>
  <c r="I266" i="105" s="1"/>
  <c r="G54" i="105"/>
  <c r="G359" i="105"/>
  <c r="H78" i="105"/>
  <c r="I78" i="105" s="1"/>
  <c r="J274" i="70"/>
  <c r="N698" i="109"/>
  <c r="G257" i="105" l="1"/>
  <c r="L109" i="70"/>
  <c r="J275" i="70"/>
  <c r="G114" i="105"/>
  <c r="G270" i="105"/>
  <c r="G269" i="105" s="1"/>
  <c r="G316" i="105"/>
  <c r="G142" i="105"/>
  <c r="K165" i="70" s="1"/>
  <c r="L165" i="70" s="1"/>
  <c r="G237" i="105"/>
  <c r="G236" i="105" s="1"/>
  <c r="K205" i="70" s="1"/>
  <c r="H54" i="105"/>
  <c r="I54" i="105" s="1"/>
  <c r="G89" i="105"/>
  <c r="G182" i="105"/>
  <c r="G181" i="105" s="1"/>
  <c r="K184" i="70" s="1"/>
  <c r="L184" i="70" s="1"/>
  <c r="G70" i="105"/>
  <c r="K126" i="70" s="1"/>
  <c r="L126" i="70" s="1"/>
  <c r="G289" i="105"/>
  <c r="G288" i="105" s="1"/>
  <c r="K223" i="70" s="1"/>
  <c r="G303" i="105"/>
  <c r="G302" i="105" s="1"/>
  <c r="H137" i="105"/>
  <c r="I137" i="105" s="1"/>
  <c r="G335" i="105"/>
  <c r="G334" i="105" s="1"/>
  <c r="G95" i="105"/>
  <c r="G94" i="105" s="1"/>
  <c r="G199" i="105"/>
  <c r="G198" i="105" s="1"/>
  <c r="G209" i="105"/>
  <c r="H359" i="105"/>
  <c r="I359" i="105" s="1"/>
  <c r="G358" i="105"/>
  <c r="G353" i="105"/>
  <c r="G189" i="105"/>
  <c r="H194" i="105"/>
  <c r="I194" i="105" s="1"/>
  <c r="G193" i="105"/>
  <c r="K190" i="70" s="1"/>
  <c r="L190" i="70" s="1"/>
  <c r="G109" i="105"/>
  <c r="K260" i="70" l="1"/>
  <c r="L260" i="70" s="1"/>
  <c r="K196" i="70"/>
  <c r="L196" i="70" s="1"/>
  <c r="G315" i="105"/>
  <c r="N316" i="105"/>
  <c r="G88" i="105"/>
  <c r="D56" i="123" s="1"/>
  <c r="E56" i="123" s="1"/>
  <c r="H89" i="105"/>
  <c r="I89" i="105" s="1"/>
  <c r="K191" i="70"/>
  <c r="L191" i="70" s="1"/>
  <c r="L118" i="70"/>
  <c r="K221" i="70"/>
  <c r="L223" i="70"/>
  <c r="K163" i="70"/>
  <c r="G101" i="105"/>
  <c r="H101" i="105" s="1"/>
  <c r="I101" i="105" s="1"/>
  <c r="K139" i="70"/>
  <c r="D57" i="123"/>
  <c r="E57" i="123" s="1"/>
  <c r="H142" i="105"/>
  <c r="I142" i="105" s="1"/>
  <c r="H237" i="105"/>
  <c r="I237" i="105" s="1"/>
  <c r="H182" i="105"/>
  <c r="I182" i="105" s="1"/>
  <c r="H181" i="105"/>
  <c r="I181" i="105" s="1"/>
  <c r="G84" i="105"/>
  <c r="H70" i="105"/>
  <c r="I70" i="105" s="1"/>
  <c r="G221" i="105"/>
  <c r="H221" i="105" s="1"/>
  <c r="I221" i="105" s="1"/>
  <c r="H229" i="105"/>
  <c r="I229" i="105" s="1"/>
  <c r="G208" i="105"/>
  <c r="K185" i="70" s="1"/>
  <c r="L185" i="70" s="1"/>
  <c r="H209" i="105"/>
  <c r="I209" i="105" s="1"/>
  <c r="K253" i="70"/>
  <c r="L253" i="70" s="1"/>
  <c r="H303" i="105"/>
  <c r="I303" i="105" s="1"/>
  <c r="H257" i="105"/>
  <c r="I257" i="105" s="1"/>
  <c r="G256" i="105"/>
  <c r="K208" i="70" s="1"/>
  <c r="L208" i="70" s="1"/>
  <c r="G174" i="105"/>
  <c r="H335" i="105"/>
  <c r="I335" i="105" s="1"/>
  <c r="K244" i="70"/>
  <c r="H199" i="105"/>
  <c r="I199" i="105" s="1"/>
  <c r="G323" i="105"/>
  <c r="G322" i="105" s="1"/>
  <c r="K236" i="70" s="1"/>
  <c r="G188" i="105"/>
  <c r="K189" i="70" s="1"/>
  <c r="L189" i="70" s="1"/>
  <c r="H189" i="105"/>
  <c r="I189" i="105" s="1"/>
  <c r="H316" i="105"/>
  <c r="I316" i="105" s="1"/>
  <c r="G66" i="105"/>
  <c r="H109" i="105"/>
  <c r="I109" i="105" s="1"/>
  <c r="G108" i="105"/>
  <c r="I138" i="105"/>
  <c r="H289" i="105"/>
  <c r="I289" i="105" s="1"/>
  <c r="G296" i="105"/>
  <c r="G295" i="105" s="1"/>
  <c r="K227" i="70" s="1"/>
  <c r="H353" i="105"/>
  <c r="I353" i="105" s="1"/>
  <c r="G352" i="105"/>
  <c r="H193" i="105"/>
  <c r="I193" i="105" s="1"/>
  <c r="H358" i="105"/>
  <c r="I358" i="105" s="1"/>
  <c r="G113" i="105"/>
  <c r="K149" i="70" s="1"/>
  <c r="L149" i="70" s="1"/>
  <c r="H114" i="105"/>
  <c r="I114" i="105" s="1"/>
  <c r="H94" i="105"/>
  <c r="I94" i="105" s="1"/>
  <c r="H95" i="105"/>
  <c r="I95" i="105" s="1"/>
  <c r="G100" i="105" l="1"/>
  <c r="L244" i="70"/>
  <c r="L195" i="70"/>
  <c r="G165" i="105"/>
  <c r="H165" i="105" s="1"/>
  <c r="I165" i="105" s="1"/>
  <c r="G173" i="105"/>
  <c r="G164" i="105" s="1"/>
  <c r="D58" i="123"/>
  <c r="E58" i="123" s="1"/>
  <c r="H198" i="105"/>
  <c r="I198" i="105" s="1"/>
  <c r="K233" i="70"/>
  <c r="L236" i="70"/>
  <c r="K138" i="70"/>
  <c r="K137" i="70" s="1"/>
  <c r="L139" i="70"/>
  <c r="K225" i="70"/>
  <c r="L227" i="70"/>
  <c r="L251" i="70"/>
  <c r="L221" i="70"/>
  <c r="K148" i="70"/>
  <c r="K146" i="70"/>
  <c r="L146" i="70" s="1"/>
  <c r="F82" i="123"/>
  <c r="F56" i="123"/>
  <c r="G82" i="123" s="1"/>
  <c r="F57" i="123"/>
  <c r="G83" i="123" s="1"/>
  <c r="F83" i="123"/>
  <c r="H352" i="105"/>
  <c r="I352" i="105" s="1"/>
  <c r="K259" i="70"/>
  <c r="L259" i="70" s="1"/>
  <c r="K251" i="70"/>
  <c r="H315" i="105"/>
  <c r="I315" i="105" s="1"/>
  <c r="K249" i="70"/>
  <c r="L249" i="70" s="1"/>
  <c r="K195" i="70"/>
  <c r="H236" i="105"/>
  <c r="I236" i="105" s="1"/>
  <c r="H88" i="105"/>
  <c r="I88" i="105" s="1"/>
  <c r="K136" i="70"/>
  <c r="L136" i="70" s="1"/>
  <c r="G65" i="105"/>
  <c r="G59" i="105"/>
  <c r="H108" i="105"/>
  <c r="I108" i="105" s="1"/>
  <c r="H256" i="105"/>
  <c r="I256" i="105" s="1"/>
  <c r="H208" i="105"/>
  <c r="I208" i="105" s="1"/>
  <c r="H334" i="105"/>
  <c r="I334" i="105" s="1"/>
  <c r="H295" i="105"/>
  <c r="I295" i="105" s="1"/>
  <c r="H296" i="105"/>
  <c r="I296" i="105" s="1"/>
  <c r="H66" i="105"/>
  <c r="I66" i="105" s="1"/>
  <c r="H174" i="105"/>
  <c r="I174" i="105" s="1"/>
  <c r="H288" i="105"/>
  <c r="I288" i="105" s="1"/>
  <c r="H188" i="105"/>
  <c r="I188" i="105" s="1"/>
  <c r="H302" i="105"/>
  <c r="I302" i="105" s="1"/>
  <c r="H323" i="105"/>
  <c r="I323" i="105" s="1"/>
  <c r="H322" i="105"/>
  <c r="I322" i="105" s="1"/>
  <c r="H228" i="105"/>
  <c r="I228" i="105" s="1"/>
  <c r="G220" i="105"/>
  <c r="D60" i="123" s="1"/>
  <c r="E60" i="123" s="1"/>
  <c r="H113" i="105"/>
  <c r="I113" i="105" s="1"/>
  <c r="G83" i="105"/>
  <c r="K133" i="70" s="1"/>
  <c r="L133" i="70" s="1"/>
  <c r="H84" i="105"/>
  <c r="I84" i="105" s="1"/>
  <c r="K242" i="70" l="1"/>
  <c r="L242" i="70"/>
  <c r="D83" i="123"/>
  <c r="H83" i="123"/>
  <c r="K183" i="70"/>
  <c r="D59" i="123"/>
  <c r="E59" i="123" s="1"/>
  <c r="F85" i="123" s="1"/>
  <c r="K204" i="70"/>
  <c r="K194" i="70" s="1"/>
  <c r="L205" i="70"/>
  <c r="L225" i="70"/>
  <c r="L138" i="70"/>
  <c r="L148" i="70"/>
  <c r="L257" i="70"/>
  <c r="L233" i="70"/>
  <c r="K144" i="70"/>
  <c r="F58" i="123"/>
  <c r="G84" i="123" s="1"/>
  <c r="F84" i="123"/>
  <c r="E83" i="123"/>
  <c r="F86" i="123"/>
  <c r="F60" i="123"/>
  <c r="G86" i="123" s="1"/>
  <c r="H82" i="123"/>
  <c r="E82" i="123"/>
  <c r="D82" i="123"/>
  <c r="K257" i="70"/>
  <c r="H65" i="105"/>
  <c r="I65" i="105" s="1"/>
  <c r="K125" i="70"/>
  <c r="L125" i="70" s="1"/>
  <c r="H270" i="105"/>
  <c r="I270" i="105" s="1"/>
  <c r="H173" i="105"/>
  <c r="I173" i="105" s="1"/>
  <c r="H220" i="105"/>
  <c r="H100" i="105"/>
  <c r="I100" i="105" s="1"/>
  <c r="H59" i="105"/>
  <c r="I59" i="105" s="1"/>
  <c r="H83" i="105"/>
  <c r="I83" i="105" s="1"/>
  <c r="L183" i="70" l="1"/>
  <c r="K182" i="70"/>
  <c r="K181" i="70" s="1"/>
  <c r="E29" i="123"/>
  <c r="D29" i="123"/>
  <c r="H84" i="123"/>
  <c r="D84" i="123"/>
  <c r="L137" i="70"/>
  <c r="L204" i="70"/>
  <c r="H164" i="105"/>
  <c r="I164" i="105" s="1"/>
  <c r="F59" i="123"/>
  <c r="G85" i="123" s="1"/>
  <c r="H85" i="123" s="1"/>
  <c r="E85" i="123"/>
  <c r="D85" i="123"/>
  <c r="H86" i="123"/>
  <c r="E86" i="123"/>
  <c r="D86" i="123"/>
  <c r="E84" i="123"/>
  <c r="H269" i="105"/>
  <c r="I269" i="105" s="1"/>
  <c r="K217" i="70"/>
  <c r="L217" i="70" s="1"/>
  <c r="I220" i="105"/>
  <c r="L182" i="70" l="1"/>
  <c r="L181" i="70" s="1"/>
  <c r="H30" i="123"/>
  <c r="E30" i="123"/>
  <c r="D30" i="123"/>
  <c r="L194" i="70"/>
  <c r="L215" i="70"/>
  <c r="K215" i="70"/>
  <c r="G345" i="105" l="1"/>
  <c r="G344" i="105" l="1"/>
  <c r="H345" i="105"/>
  <c r="I345" i="105" s="1"/>
  <c r="K256" i="70" l="1"/>
  <c r="L256" i="70" s="1"/>
  <c r="H344" i="105"/>
  <c r="I344" i="105" s="1"/>
  <c r="K254" i="70" l="1"/>
  <c r="L254" i="70"/>
  <c r="L273" i="70" l="1"/>
  <c r="G81" i="105"/>
  <c r="K131" i="70" l="1"/>
  <c r="L131" i="70" s="1"/>
  <c r="G62" i="105"/>
  <c r="H81" i="105"/>
  <c r="H378" i="105" s="1"/>
  <c r="G58" i="105"/>
  <c r="D55" i="123" s="1"/>
  <c r="L124" i="70" l="1"/>
  <c r="E55" i="123"/>
  <c r="I81" i="105"/>
  <c r="H58" i="105"/>
  <c r="I58" i="105" s="1"/>
  <c r="H62" i="105"/>
  <c r="I62" i="105" s="1"/>
  <c r="G51" i="105"/>
  <c r="D7" i="123" s="1"/>
  <c r="D36" i="123" s="1"/>
  <c r="K124" i="70"/>
  <c r="F36" i="123" l="1"/>
  <c r="G28" i="123" s="1"/>
  <c r="E36" i="123"/>
  <c r="F28" i="123" s="1"/>
  <c r="F81" i="123"/>
  <c r="F55" i="123"/>
  <c r="G81" i="123" s="1"/>
  <c r="H51" i="105"/>
  <c r="I51" i="105" s="1"/>
  <c r="H28" i="123" l="1"/>
  <c r="E28" i="123"/>
  <c r="D28" i="123"/>
  <c r="H81" i="123"/>
  <c r="D81" i="123"/>
  <c r="C81" i="123" s="1"/>
  <c r="E81" i="123"/>
  <c r="C82" i="123" l="1"/>
  <c r="C83" i="123" s="1"/>
  <c r="C84" i="123" s="1"/>
  <c r="C85" i="123" s="1"/>
  <c r="C86" i="123" s="1"/>
  <c r="E25" i="123" l="1"/>
  <c r="H25" i="123"/>
  <c r="D25" i="123"/>
  <c r="E27" i="123"/>
  <c r="D27" i="123"/>
  <c r="L168" i="70" l="1"/>
  <c r="H163" i="70"/>
  <c r="H144" i="70" l="1"/>
  <c r="L163" i="70"/>
  <c r="I163" i="70"/>
  <c r="I144" i="70" s="1"/>
  <c r="I272" i="70" s="1"/>
  <c r="H272" i="70" l="1"/>
  <c r="H274" i="70" s="1"/>
  <c r="H275" i="70" s="1"/>
  <c r="L144" i="70"/>
  <c r="I274" i="70"/>
  <c r="I275" i="70" s="1"/>
  <c r="N1203" i="109" l="1"/>
  <c r="N1216" i="109"/>
  <c r="N1230" i="109" l="1"/>
  <c r="N1236" i="109"/>
  <c r="G282" i="105" l="1"/>
  <c r="H282" i="105" l="1"/>
  <c r="I282" i="105" s="1"/>
  <c r="G281" i="105"/>
  <c r="G262" i="105"/>
  <c r="K220" i="70" l="1"/>
  <c r="G261" i="105"/>
  <c r="F377" i="105" s="1"/>
  <c r="F378" i="105" s="1"/>
  <c r="H281" i="105"/>
  <c r="I281" i="105" s="1"/>
  <c r="G47" i="105"/>
  <c r="H262" i="105"/>
  <c r="I262" i="105" s="1"/>
  <c r="H47" i="105" l="1"/>
  <c r="D5" i="123"/>
  <c r="D34" i="123" s="1"/>
  <c r="D61" i="123"/>
  <c r="G370" i="105"/>
  <c r="H261" i="105"/>
  <c r="I261" i="105" s="1"/>
  <c r="L220" i="70"/>
  <c r="K218" i="70"/>
  <c r="K213" i="70" l="1"/>
  <c r="K272" i="70" s="1"/>
  <c r="F34" i="123"/>
  <c r="E34" i="123"/>
  <c r="D39" i="123"/>
  <c r="D11" i="123"/>
  <c r="F10" i="123" s="1"/>
  <c r="D13" i="123"/>
  <c r="I47" i="105"/>
  <c r="H380" i="105"/>
  <c r="H381" i="105" s="1"/>
  <c r="I377" i="105" s="1"/>
  <c r="L218" i="70"/>
  <c r="L213" i="70" s="1"/>
  <c r="E61" i="123"/>
  <c r="D62" i="123"/>
  <c r="E62" i="123" s="1"/>
  <c r="F62" i="123" s="1"/>
  <c r="H370" i="105"/>
  <c r="G371" i="105"/>
  <c r="G373" i="105" s="1"/>
  <c r="K274" i="70" l="1"/>
  <c r="K275" i="70" s="1"/>
  <c r="I370" i="105"/>
  <c r="H382" i="105"/>
  <c r="E39" i="123"/>
  <c r="F26" i="123"/>
  <c r="F39" i="123"/>
  <c r="G26" i="123"/>
  <c r="D64" i="123"/>
  <c r="D65" i="123" s="1"/>
  <c r="L5" i="143"/>
  <c r="L8" i="143" s="1"/>
  <c r="L11" i="143" s="1"/>
  <c r="N4" i="143"/>
  <c r="M4" i="143"/>
  <c r="M5" i="143" s="1"/>
  <c r="F61" i="123"/>
  <c r="G87" i="123" s="1"/>
  <c r="F87" i="123"/>
  <c r="F8" i="123"/>
  <c r="F6" i="123"/>
  <c r="F7" i="123"/>
  <c r="F9" i="123"/>
  <c r="F5" i="123"/>
  <c r="H26" i="123" l="1"/>
  <c r="E26" i="123"/>
  <c r="D26" i="123"/>
  <c r="C26" i="123" s="1"/>
  <c r="F31" i="123"/>
  <c r="F11" i="123"/>
  <c r="L272" i="70"/>
  <c r="D87" i="123"/>
  <c r="C87" i="123" s="1"/>
  <c r="E87" i="123"/>
  <c r="H87" i="123"/>
  <c r="F88" i="123"/>
  <c r="N5" i="143"/>
  <c r="H31" i="123" l="1"/>
  <c r="D31" i="123"/>
  <c r="C27" i="123"/>
  <c r="C28" i="123" s="1"/>
  <c r="C29" i="123" s="1"/>
  <c r="C30" i="123" s="1"/>
  <c r="D88" i="123"/>
  <c r="C88" i="123" s="1"/>
  <c r="H88" i="123"/>
  <c r="L274" i="70"/>
  <c r="C31" i="123" l="1"/>
  <c r="L275" i="70"/>
  <c r="K80" i="143" l="1"/>
  <c r="K29" i="143" s="1"/>
  <c r="I80" i="143"/>
  <c r="L13" i="143" l="1"/>
  <c r="I29" i="143"/>
  <c r="I159" i="143"/>
  <c r="I162" i="143" s="1"/>
  <c r="K162" i="143"/>
  <c r="K30" i="143" s="1"/>
  <c r="K35" i="143" l="1"/>
  <c r="G374" i="105"/>
  <c r="G375" i="105" s="1"/>
  <c r="L14" i="143"/>
  <c r="L15" i="143" s="1"/>
  <c r="I30" i="143"/>
  <c r="I35" i="143" s="1"/>
  <c r="L19" i="143" l="1"/>
  <c r="L25" i="1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Baiba Kanča</author>
    <author>Antra Krasta</author>
    <author>tc={480703BA-EA30-4771-BD30-EA8C7127B8F4}</author>
    <author>tc={A7997D48-F6B4-4385-8BC5-F5B7C3833254}</author>
    <author>tc={706B0095-3D6E-45C0-9DA0-AD1A69DE9657}</author>
  </authors>
  <commentList>
    <comment ref="G4518" authorId="0" shapeId="0" xr:uid="{901742D3-4415-4E45-A280-4F2064701FCE}">
      <text>
        <r>
          <rPr>
            <b/>
            <sz val="9"/>
            <color indexed="81"/>
            <rFont val="Tahoma"/>
            <family val="2"/>
            <charset val="186"/>
          </rPr>
          <t>Baiba Kanča:</t>
        </r>
        <r>
          <rPr>
            <sz val="9"/>
            <color indexed="81"/>
            <rFont val="Tahoma"/>
            <family val="2"/>
            <charset val="186"/>
          </rPr>
          <t xml:space="preserve">
Ja pamatlīdzeklis, tad uz EKK5239</t>
        </r>
      </text>
    </comment>
    <comment ref="N4545" authorId="1" shapeId="0" xr:uid="{C9CDDA7D-5F7B-45EF-9CDF-7541D62FD0BE}">
      <text>
        <r>
          <rPr>
            <b/>
            <sz val="9"/>
            <color indexed="81"/>
            <rFont val="Tahoma"/>
            <family val="2"/>
            <charset val="186"/>
          </rPr>
          <t>Antra Krasta:</t>
        </r>
        <r>
          <rPr>
            <sz val="9"/>
            <color indexed="81"/>
            <rFont val="Tahoma"/>
            <family val="2"/>
            <charset val="186"/>
          </rPr>
          <t xml:space="preserve">
</t>
        </r>
        <r>
          <rPr>
            <sz val="8"/>
            <color indexed="81"/>
            <rFont val="Tahoma"/>
            <family val="2"/>
            <charset val="186"/>
          </rPr>
          <t>0.28 centi dienā uz 1 izglītojamo</t>
        </r>
      </text>
    </comment>
    <comment ref="M4700" authorId="2" shapeId="0" xr:uid="{480703BA-EA30-4771-BD30-EA8C7127B8F4}">
      <text>
        <r>
          <rPr>
            <sz val="9"/>
            <color theme="1"/>
            <rFont val="Arial"/>
            <family val="2"/>
            <charset val="186"/>
          </rPr>
          <t xml:space="preserve">[Threaded comment]
Your version of Excel allows you to read this threaded comment; however, any edits to it will get removed if the file is opened in a newer version of Excel. Learn more: https://go.microsoft.com/fwlink/?linkid=870924
Comment:
    No Valsts budžeta mērķdotācijas tiek iegādātas mācību grāmatas un mācību līdzekļi. Digitāliem mācību līdzekļiem tur naudas nesanāk un šādam mērķim naudu iedeva tikai vienreiz un pēkšņi. Pakalpojums ir kļuvis dārgāks (serveru izmaksas) un to ietekmē arī pieaugošais skolēnu skaits, tāpēc nav pieņemams samazinājums!
</t>
        </r>
      </text>
    </comment>
    <comment ref="M4703" authorId="3" shapeId="0" xr:uid="{A7997D48-F6B4-4385-8BC5-F5B7C3833254}">
      <text>
        <r>
          <rPr>
            <sz val="9"/>
            <color theme="1"/>
            <rFont val="Arial"/>
            <family val="2"/>
            <charset val="186"/>
          </rPr>
          <t>[Threaded comment]
Your version of Excel allows you to read this threaded comment; however, any edits to it will get removed if the file is opened in a newer version of Excel. Learn more: https://go.microsoft.com/fwlink/?linkid=870924
Comment:
    Skolēnu skaitam pieaugot un nespējot piedāvāt programmām atbilstošus mācību līdzekļus, ir nepieciešams ļoti lielu apjomu mācību līdzekļu drukāt. Skolēnu skaits, attiecīgi kopiju skaits palielinās.</t>
        </r>
      </text>
    </comment>
    <comment ref="M4773" authorId="4" shapeId="0" xr:uid="{706B0095-3D6E-45C0-9DA0-AD1A69DE9657}">
      <text>
        <r>
          <rPr>
            <sz val="9"/>
            <color theme="1"/>
            <rFont val="Arial"/>
            <family val="2"/>
            <charset val="186"/>
          </rPr>
          <t>[Threaded comment]
Your version of Excel allows you to read this threaded comment; however, any edits to it will get removed if the file is opened in a newer version of Excel. Learn more: https://go.microsoft.com/fwlink/?linkid=870924
Comment:
    Ir nepieciešams skolēniem, kuriem ir mācīšanās grūtības un kuri jau mācās skolā. Tas nav saistīts ar 58. kodu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Baiba Kanča</author>
    <author>Sarmīte Mūze</author>
    <author>tc={712FF9CB-9A1B-4EC0-9195-561C5058F9CD}</author>
  </authors>
  <commentList>
    <comment ref="F42" authorId="0" shapeId="0" xr:uid="{74B36B5A-F8E1-4D09-817E-9977FD515D32}">
      <text>
        <r>
          <rPr>
            <b/>
            <sz val="9"/>
            <color indexed="81"/>
            <rFont val="Tahoma"/>
            <family val="2"/>
            <charset val="186"/>
          </rPr>
          <t>Baiba Kanča:</t>
        </r>
        <r>
          <rPr>
            <sz val="9"/>
            <color indexed="81"/>
            <rFont val="Tahoma"/>
            <family val="2"/>
            <charset val="186"/>
          </rPr>
          <t xml:space="preserve">
Izveidot jaunu nodaļu!</t>
        </r>
      </text>
    </comment>
    <comment ref="H42" authorId="1" shapeId="0" xr:uid="{479171C6-02FC-462A-806C-FD73C1BE2E9D}">
      <text>
        <r>
          <rPr>
            <b/>
            <sz val="9"/>
            <color indexed="81"/>
            <rFont val="Tahoma"/>
            <family val="2"/>
            <charset val="186"/>
          </rPr>
          <t>Sarmīte Mūze:</t>
        </r>
        <r>
          <rPr>
            <sz val="9"/>
            <color indexed="81"/>
            <rFont val="Tahoma"/>
            <family val="2"/>
            <charset val="186"/>
          </rPr>
          <t xml:space="preserve">
Trūkst būvuzraudzība</t>
        </r>
      </text>
    </comment>
    <comment ref="I45" authorId="1" shapeId="0" xr:uid="{8EB205B1-D5BC-456F-9E58-C564F7B3CE31}">
      <text>
        <r>
          <rPr>
            <b/>
            <sz val="9"/>
            <color indexed="81"/>
            <rFont val="Tahoma"/>
            <family val="2"/>
            <charset val="186"/>
          </rPr>
          <t>Sarmīte Mūze:</t>
        </r>
        <r>
          <rPr>
            <sz val="9"/>
            <color indexed="81"/>
            <rFont val="Tahoma"/>
            <family val="2"/>
            <charset val="186"/>
          </rPr>
          <t xml:space="preserve">
Jāsaprot summa!</t>
        </r>
      </text>
    </comment>
    <comment ref="I46" authorId="1" shapeId="0" xr:uid="{D9755E93-1997-46B5-90BE-5203F2119A11}">
      <text>
        <r>
          <rPr>
            <b/>
            <sz val="9"/>
            <color indexed="81"/>
            <rFont val="Tahoma"/>
            <family val="2"/>
            <charset val="186"/>
          </rPr>
          <t>Sarmīte Mūze:</t>
        </r>
        <r>
          <rPr>
            <sz val="9"/>
            <color indexed="81"/>
            <rFont val="Tahoma"/>
            <family val="2"/>
            <charset val="186"/>
          </rPr>
          <t xml:space="preserve">
Jāsaprot summ!</t>
        </r>
      </text>
    </comment>
    <comment ref="H70" authorId="1" shapeId="0" xr:uid="{7B09C05F-7B7E-43EB-8B36-A374B9AAD72A}">
      <text>
        <r>
          <rPr>
            <b/>
            <sz val="9"/>
            <color indexed="81"/>
            <rFont val="Tahoma"/>
            <family val="2"/>
            <charset val="186"/>
          </rPr>
          <t>Sarmīte Mūze:</t>
        </r>
        <r>
          <rPr>
            <sz val="9"/>
            <color indexed="81"/>
            <rFont val="Tahoma"/>
            <family val="2"/>
            <charset val="186"/>
          </rPr>
          <t xml:space="preserve">
KA</t>
        </r>
      </text>
    </comment>
    <comment ref="K103" authorId="1" shapeId="0" xr:uid="{F8B6F64E-8992-442D-98BA-5C5827049D55}">
      <text>
        <r>
          <rPr>
            <b/>
            <sz val="9"/>
            <color indexed="81"/>
            <rFont val="Tahoma"/>
            <family val="2"/>
            <charset val="186"/>
          </rPr>
          <t>Sarmīte Mūze:</t>
        </r>
        <r>
          <rPr>
            <sz val="9"/>
            <color indexed="81"/>
            <rFont val="Tahoma"/>
            <family val="2"/>
            <charset val="186"/>
          </rPr>
          <t xml:space="preserve">
Pārcelt uz 2025.
Zemsvītras</t>
        </r>
      </text>
    </comment>
    <comment ref="K104" authorId="1" shapeId="0" xr:uid="{2401BC0C-5A71-4ABB-9246-06E7B4CE3618}">
      <text>
        <r>
          <rPr>
            <b/>
            <sz val="9"/>
            <color indexed="81"/>
            <rFont val="Tahoma"/>
            <family val="2"/>
            <charset val="186"/>
          </rPr>
          <t>Sarmīte Mūze:</t>
        </r>
        <r>
          <rPr>
            <sz val="9"/>
            <color indexed="81"/>
            <rFont val="Tahoma"/>
            <family val="2"/>
            <charset val="186"/>
          </rPr>
          <t xml:space="preserve">
Zemsvītras</t>
        </r>
      </text>
    </comment>
    <comment ref="K177" authorId="1" shapeId="0" xr:uid="{03CFDE97-F6ED-46FB-9DF7-C1EC9D5BC8BD}">
      <text>
        <r>
          <rPr>
            <b/>
            <sz val="9"/>
            <color indexed="81"/>
            <rFont val="Tahoma"/>
            <family val="2"/>
            <charset val="186"/>
          </rPr>
          <t>Sarmīte Mūze:</t>
        </r>
        <r>
          <rPr>
            <sz val="9"/>
            <color indexed="81"/>
            <rFont val="Tahoma"/>
            <family val="2"/>
            <charset val="186"/>
          </rPr>
          <t xml:space="preserve">
Zemsvītras</t>
        </r>
      </text>
    </comment>
    <comment ref="K199" authorId="1" shapeId="0" xr:uid="{2842D05D-8840-4ACF-93B9-6E9219FB0E83}">
      <text>
        <r>
          <rPr>
            <b/>
            <sz val="9"/>
            <color indexed="81"/>
            <rFont val="Tahoma"/>
            <family val="2"/>
            <charset val="186"/>
          </rPr>
          <t>Sarmīte Mūze:</t>
        </r>
        <r>
          <rPr>
            <sz val="9"/>
            <color indexed="81"/>
            <rFont val="Tahoma"/>
            <family val="2"/>
            <charset val="186"/>
          </rPr>
          <t xml:space="preserve">
Pēc epasta, ielikts arī zem svītras</t>
        </r>
      </text>
    </comment>
    <comment ref="K224" authorId="1" shapeId="0" xr:uid="{DD458308-2D50-4FC6-80F9-79341ACD44DC}">
      <text>
        <r>
          <rPr>
            <b/>
            <sz val="9"/>
            <color indexed="81"/>
            <rFont val="Tahoma"/>
            <family val="2"/>
            <charset val="186"/>
          </rPr>
          <t>Sarmīte Mūze:</t>
        </r>
        <r>
          <rPr>
            <sz val="9"/>
            <color indexed="81"/>
            <rFont val="Tahoma"/>
            <family val="2"/>
            <charset val="186"/>
          </rPr>
          <t xml:space="preserve">
Pēc epasta, ielikts arī zem svītras</t>
        </r>
      </text>
    </comment>
    <comment ref="K238" authorId="1" shapeId="0" xr:uid="{5714D4B5-AB68-4823-83F5-3748545F4996}">
      <text>
        <r>
          <rPr>
            <b/>
            <sz val="9"/>
            <color indexed="81"/>
            <rFont val="Tahoma"/>
            <family val="2"/>
            <charset val="186"/>
          </rPr>
          <t>Sarmīte Mūze:</t>
        </r>
        <r>
          <rPr>
            <sz val="9"/>
            <color indexed="81"/>
            <rFont val="Tahoma"/>
            <family val="2"/>
            <charset val="186"/>
          </rPr>
          <t xml:space="preserve">
Pēc epasta, ielikts arī zem svītras</t>
        </r>
      </text>
    </comment>
    <comment ref="K255" authorId="1" shapeId="0" xr:uid="{60BF0408-FF1F-42A7-AAB8-96FC164AE6A9}">
      <text>
        <r>
          <rPr>
            <b/>
            <sz val="9"/>
            <color indexed="81"/>
            <rFont val="Tahoma"/>
            <family val="2"/>
            <charset val="186"/>
          </rPr>
          <t>Sarmīte Mūze:</t>
        </r>
        <r>
          <rPr>
            <sz val="9"/>
            <color indexed="81"/>
            <rFont val="Tahoma"/>
            <family val="2"/>
            <charset val="186"/>
          </rPr>
          <t xml:space="preserve">
Zemsvītras</t>
        </r>
      </text>
    </comment>
    <comment ref="K280" authorId="1" shapeId="0" xr:uid="{45D15AF9-E027-49D7-BCD9-C4B06F658616}">
      <text>
        <r>
          <rPr>
            <b/>
            <sz val="9"/>
            <color indexed="81"/>
            <rFont val="Tahoma"/>
            <family val="2"/>
            <charset val="186"/>
          </rPr>
          <t>Sarmīte Mūze:</t>
        </r>
        <r>
          <rPr>
            <sz val="9"/>
            <color indexed="81"/>
            <rFont val="Tahoma"/>
            <family val="2"/>
            <charset val="186"/>
          </rPr>
          <t xml:space="preserve">
Zemsvītras
</t>
        </r>
      </text>
    </comment>
    <comment ref="K287" authorId="1" shapeId="0" xr:uid="{F302259F-1BF5-40FB-9C25-1196E1DC8A1B}">
      <text>
        <r>
          <rPr>
            <b/>
            <sz val="9"/>
            <color indexed="81"/>
            <rFont val="Tahoma"/>
            <family val="2"/>
            <charset val="186"/>
          </rPr>
          <t>Sarmīte Mūze:</t>
        </r>
        <r>
          <rPr>
            <sz val="9"/>
            <color indexed="81"/>
            <rFont val="Tahoma"/>
            <family val="2"/>
            <charset val="186"/>
          </rPr>
          <t xml:space="preserve">
1. Zemsvītras</t>
        </r>
      </text>
    </comment>
    <comment ref="K300" authorId="1" shapeId="0" xr:uid="{DA3CA60B-C956-4DA2-9224-E6C90183048C}">
      <text>
        <r>
          <rPr>
            <b/>
            <sz val="9"/>
            <color indexed="81"/>
            <rFont val="Tahoma"/>
            <family val="2"/>
            <charset val="186"/>
          </rPr>
          <t>Sarmīte Mūze:</t>
        </r>
        <r>
          <rPr>
            <sz val="9"/>
            <color indexed="81"/>
            <rFont val="Tahoma"/>
            <family val="2"/>
            <charset val="186"/>
          </rPr>
          <t xml:space="preserve">
3. Zemsvītras</t>
        </r>
      </text>
    </comment>
    <comment ref="K303" authorId="2" shapeId="0" xr:uid="{712FF9CB-9A1B-4EC0-9195-561C5058F9CD}">
      <text>
        <r>
          <rPr>
            <sz val="9"/>
            <color theme="1"/>
            <rFont val="Arial"/>
            <family val="2"/>
            <charset val="186"/>
          </rPr>
          <t>[Threaded comment]
Your version of Excel allows you to read this threaded comment; however, any edits to it will get removed if the file is opened in a newer version of Excel. Learn more: https://go.microsoft.com/fwlink/?linkid=870924
Comment:
    2. Zemsvītras</t>
        </r>
      </text>
    </comment>
    <comment ref="I305" authorId="0" shapeId="0" xr:uid="{990E31AE-F5CF-48FE-9363-8F9035B487EE}">
      <text>
        <r>
          <rPr>
            <b/>
            <sz val="9"/>
            <color indexed="81"/>
            <rFont val="Tahoma"/>
            <family val="2"/>
            <charset val="186"/>
          </rPr>
          <t>Baiba Kanča:</t>
        </r>
        <r>
          <rPr>
            <sz val="9"/>
            <color indexed="81"/>
            <rFont val="Tahoma"/>
            <family val="2"/>
            <charset val="186"/>
          </rPr>
          <t xml:space="preserve">
atkārtojas</t>
        </r>
      </text>
    </comment>
    <comment ref="K316" authorId="1" shapeId="0" xr:uid="{15E7FCEB-F317-4B05-8477-4F6DBA5E6576}">
      <text>
        <r>
          <rPr>
            <b/>
            <sz val="9"/>
            <color indexed="81"/>
            <rFont val="Tahoma"/>
            <family val="2"/>
            <charset val="186"/>
          </rPr>
          <t>Sarmīte Mūze:</t>
        </r>
        <r>
          <rPr>
            <sz val="9"/>
            <color indexed="81"/>
            <rFont val="Tahoma"/>
            <family val="2"/>
            <charset val="186"/>
          </rPr>
          <t xml:space="preserve">
Zemsvītras</t>
        </r>
      </text>
    </comment>
    <comment ref="K319" authorId="1" shapeId="0" xr:uid="{A905A0FE-A948-4BBC-93A5-B700CB6CDD6F}">
      <text>
        <r>
          <rPr>
            <b/>
            <sz val="9"/>
            <color indexed="81"/>
            <rFont val="Tahoma"/>
            <family val="2"/>
            <charset val="186"/>
          </rPr>
          <t>Sarmīte Mūze:</t>
        </r>
        <r>
          <rPr>
            <sz val="9"/>
            <color indexed="81"/>
            <rFont val="Tahoma"/>
            <family val="2"/>
            <charset val="186"/>
          </rPr>
          <t xml:space="preserve">
2024. avanss un vēl 1s maksājums</t>
        </r>
      </text>
    </comment>
    <comment ref="H327" authorId="1" shapeId="0" xr:uid="{6D070F0F-521E-453C-9AE2-F268566F05B8}">
      <text>
        <r>
          <rPr>
            <b/>
            <sz val="9"/>
            <color indexed="81"/>
            <rFont val="Tahoma"/>
            <family val="2"/>
            <charset val="186"/>
          </rPr>
          <t>Sarmīte Mūze:</t>
        </r>
        <r>
          <rPr>
            <sz val="9"/>
            <color indexed="81"/>
            <rFont val="Tahoma"/>
            <family val="2"/>
            <charset val="186"/>
          </rPr>
          <t xml:space="preserve">
Ir jau pie CKS pārvaldes</t>
        </r>
      </text>
    </comment>
    <comment ref="K330" authorId="1" shapeId="0" xr:uid="{06168D3F-D0DB-4DAB-9A4C-AB869926C1A0}">
      <text>
        <r>
          <rPr>
            <b/>
            <sz val="9"/>
            <color indexed="81"/>
            <rFont val="Tahoma"/>
            <family val="2"/>
            <charset val="186"/>
          </rPr>
          <t>Sarmīte Mūze:</t>
        </r>
        <r>
          <rPr>
            <sz val="9"/>
            <color indexed="81"/>
            <rFont val="Tahoma"/>
            <family val="2"/>
            <charset val="186"/>
          </rPr>
          <t xml:space="preserve">
2. Zemsvītras</t>
        </r>
      </text>
    </comment>
    <comment ref="K332" authorId="1" shapeId="0" xr:uid="{537319B7-AD4D-4680-8162-477B2F9CB1C9}">
      <text>
        <r>
          <rPr>
            <b/>
            <sz val="9"/>
            <color indexed="81"/>
            <rFont val="Tahoma"/>
            <family val="2"/>
            <charset val="186"/>
          </rPr>
          <t>Sarmīte Mūze:</t>
        </r>
        <r>
          <rPr>
            <sz val="9"/>
            <color indexed="81"/>
            <rFont val="Tahoma"/>
            <family val="2"/>
            <charset val="186"/>
          </rPr>
          <t xml:space="preserve">
6. Zemsvītras</t>
        </r>
      </text>
    </comment>
    <comment ref="K333" authorId="1" shapeId="0" xr:uid="{393F7056-F362-40BE-BDD1-A77B8684D776}">
      <text>
        <r>
          <rPr>
            <b/>
            <sz val="9"/>
            <color indexed="81"/>
            <rFont val="Tahoma"/>
            <family val="2"/>
            <charset val="186"/>
          </rPr>
          <t>Sarmīte Mūze:</t>
        </r>
        <r>
          <rPr>
            <sz val="9"/>
            <color indexed="81"/>
            <rFont val="Tahoma"/>
            <family val="2"/>
            <charset val="186"/>
          </rPr>
          <t xml:space="preserve">
7. Zemsvītras</t>
        </r>
      </text>
    </comment>
    <comment ref="K335" authorId="1" shapeId="0" xr:uid="{A571B009-9FAE-42E9-B8E5-2025B4061499}">
      <text>
        <r>
          <rPr>
            <b/>
            <sz val="9"/>
            <color indexed="81"/>
            <rFont val="Tahoma"/>
            <family val="2"/>
            <charset val="186"/>
          </rPr>
          <t>Sarmīte Mūze:</t>
        </r>
        <r>
          <rPr>
            <sz val="9"/>
            <color indexed="81"/>
            <rFont val="Tahoma"/>
            <family val="2"/>
            <charset val="186"/>
          </rPr>
          <t xml:space="preserve">
8. Zemsvītras</t>
        </r>
      </text>
    </comment>
    <comment ref="K363" authorId="1" shapeId="0" xr:uid="{F6BFACD9-85ED-4D64-B211-2C091E1FA4DB}">
      <text>
        <r>
          <rPr>
            <b/>
            <sz val="9"/>
            <color indexed="81"/>
            <rFont val="Tahoma"/>
            <family val="2"/>
            <charset val="186"/>
          </rPr>
          <t>Sarmīte Mūze:</t>
        </r>
        <r>
          <rPr>
            <sz val="9"/>
            <color indexed="81"/>
            <rFont val="Tahoma"/>
            <family val="2"/>
            <charset val="186"/>
          </rPr>
          <t xml:space="preserve">
Pārcelt uz 2025.
Zemsvītras</t>
        </r>
      </text>
    </comment>
    <comment ref="K365" authorId="1" shapeId="0" xr:uid="{30C685E0-F0A3-4FE7-B3C1-842B4B988A62}">
      <text>
        <r>
          <rPr>
            <b/>
            <sz val="9"/>
            <color indexed="81"/>
            <rFont val="Tahoma"/>
            <family val="2"/>
            <charset val="186"/>
          </rPr>
          <t>Sarmīte Mūze:</t>
        </r>
        <r>
          <rPr>
            <sz val="9"/>
            <color indexed="81"/>
            <rFont val="Tahoma"/>
            <family val="2"/>
            <charset val="186"/>
          </rPr>
          <t xml:space="preserve">
Pēc epasta, ielikts arī zem svītras</t>
        </r>
      </text>
    </comment>
    <comment ref="K366" authorId="1" shapeId="0" xr:uid="{D879E5CA-511C-447B-B388-7F42F1E4C1B5}">
      <text>
        <r>
          <rPr>
            <b/>
            <sz val="9"/>
            <color indexed="81"/>
            <rFont val="Tahoma"/>
            <family val="2"/>
            <charset val="186"/>
          </rPr>
          <t>Sarmīte Mūze:</t>
        </r>
        <r>
          <rPr>
            <sz val="9"/>
            <color indexed="81"/>
            <rFont val="Tahoma"/>
            <family val="2"/>
            <charset val="186"/>
          </rPr>
          <t xml:space="preserve">
Pēc epasta, ielikts arī zem svītras</t>
        </r>
      </text>
    </comment>
    <comment ref="K367" authorId="1" shapeId="0" xr:uid="{61E877C5-210B-4683-940E-F8C41A43344A}">
      <text>
        <r>
          <rPr>
            <b/>
            <sz val="9"/>
            <color indexed="81"/>
            <rFont val="Tahoma"/>
            <family val="2"/>
            <charset val="186"/>
          </rPr>
          <t>Sarmīte Mūze:</t>
        </r>
        <r>
          <rPr>
            <sz val="9"/>
            <color indexed="81"/>
            <rFont val="Tahoma"/>
            <family val="2"/>
            <charset val="186"/>
          </rPr>
          <t xml:space="preserve">
Pēc epasta, ielikts arī zem svītras</t>
        </r>
      </text>
    </comment>
    <comment ref="K368" authorId="1" shapeId="0" xr:uid="{23958406-9A1A-4CC5-88B1-EC719FE1253D}">
      <text>
        <r>
          <rPr>
            <b/>
            <sz val="9"/>
            <color indexed="81"/>
            <rFont val="Tahoma"/>
            <family val="2"/>
            <charset val="186"/>
          </rPr>
          <t>Sarmīte Mūze:</t>
        </r>
        <r>
          <rPr>
            <sz val="9"/>
            <color indexed="81"/>
            <rFont val="Tahoma"/>
            <family val="2"/>
            <charset val="186"/>
          </rPr>
          <t xml:space="preserve">
Zemsvītras</t>
        </r>
      </text>
    </comment>
    <comment ref="K369" authorId="1" shapeId="0" xr:uid="{C5C0356E-981A-4C10-B001-5F619DBAFB18}">
      <text>
        <r>
          <rPr>
            <b/>
            <sz val="9"/>
            <color indexed="81"/>
            <rFont val="Tahoma"/>
            <family val="2"/>
            <charset val="186"/>
          </rPr>
          <t>Sarmīte Mūze:</t>
        </r>
        <r>
          <rPr>
            <sz val="9"/>
            <color indexed="81"/>
            <rFont val="Tahoma"/>
            <family val="2"/>
            <charset val="186"/>
          </rPr>
          <t xml:space="preserve">
Zemsvītras
</t>
        </r>
      </text>
    </comment>
    <comment ref="K370" authorId="1" shapeId="0" xr:uid="{522C0D1A-C9B7-4296-9F11-011052656107}">
      <text>
        <r>
          <rPr>
            <b/>
            <sz val="9"/>
            <color indexed="81"/>
            <rFont val="Tahoma"/>
            <family val="2"/>
            <charset val="186"/>
          </rPr>
          <t>Sarmīte Mūze:</t>
        </r>
        <r>
          <rPr>
            <sz val="9"/>
            <color indexed="81"/>
            <rFont val="Tahoma"/>
            <family val="2"/>
            <charset val="186"/>
          </rPr>
          <t xml:space="preserve">
Zemsvītras</t>
        </r>
      </text>
    </comment>
    <comment ref="K371" authorId="1" shapeId="0" xr:uid="{06E329AF-E1E8-492E-A665-DC3352E6D3ED}">
      <text>
        <r>
          <rPr>
            <b/>
            <sz val="9"/>
            <color indexed="81"/>
            <rFont val="Tahoma"/>
            <family val="2"/>
            <charset val="186"/>
          </rPr>
          <t>Sarmīte Mūze:</t>
        </r>
        <r>
          <rPr>
            <sz val="9"/>
            <color indexed="81"/>
            <rFont val="Tahoma"/>
            <family val="2"/>
            <charset val="186"/>
          </rPr>
          <t xml:space="preserve">
Zemsvītras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F48" authorId="0" shapeId="0" xr:uid="{00000000-0006-0000-0A00-000005000000}">
      <text>
        <r>
          <rPr>
            <b/>
            <sz val="9"/>
            <color indexed="81"/>
            <rFont val="Tahoma"/>
            <family val="2"/>
            <charset val="186"/>
          </rPr>
          <t>Sarmīte Mūze:</t>
        </r>
        <r>
          <rPr>
            <sz val="9"/>
            <color indexed="81"/>
            <rFont val="Tahoma"/>
            <family val="2"/>
            <charset val="186"/>
          </rPr>
          <t xml:space="preserve">
33'476 Nod. 0970
49'493 Carnikavas skola
166'307 Ādažu pamatsk</t>
        </r>
      </text>
    </comment>
    <comment ref="E53" authorId="0" shapeId="0" xr:uid="{00000000-0006-0000-0A00-000007000000}">
      <text>
        <r>
          <rPr>
            <b/>
            <sz val="9"/>
            <color indexed="81"/>
            <rFont val="Tahoma"/>
            <family val="2"/>
            <charset val="186"/>
          </rPr>
          <t>Sarmīte Mūze:</t>
        </r>
        <r>
          <rPr>
            <sz val="9"/>
            <color indexed="81"/>
            <rFont val="Tahoma"/>
            <family val="2"/>
            <charset val="186"/>
          </rPr>
          <t xml:space="preserve">
EUR 1843 nodaļa 0901
EUR 540 nodaļa 0902
EUR 60 nodaļa 0910
EUR 4 nodaļa 0920
EUR 8'241 nodaļa 0952</t>
        </r>
      </text>
    </comment>
    <comment ref="E54" authorId="0" shapeId="0" xr:uid="{00000000-0006-0000-0A00-000008000000}">
      <text>
        <r>
          <rPr>
            <b/>
            <sz val="9"/>
            <color indexed="81"/>
            <rFont val="Tahoma"/>
            <family val="2"/>
            <charset val="186"/>
          </rPr>
          <t>Sarmīte Mūze:</t>
        </r>
        <r>
          <rPr>
            <sz val="9"/>
            <color indexed="81"/>
            <rFont val="Tahoma"/>
            <family val="2"/>
            <charset val="186"/>
          </rPr>
          <t xml:space="preserve">
0954 EUR 65'816;
09821 EUR 15'567
</t>
        </r>
      </text>
    </comment>
    <comment ref="E67" authorId="0" shapeId="0" xr:uid="{B7D5DA94-0BA8-43D8-91E9-FEAC138305B0}">
      <text>
        <r>
          <rPr>
            <b/>
            <sz val="9"/>
            <color indexed="81"/>
            <rFont val="Tahoma"/>
            <family val="2"/>
            <charset val="186"/>
          </rPr>
          <t>Sarmīte Mūze:</t>
        </r>
        <r>
          <rPr>
            <sz val="9"/>
            <color indexed="81"/>
            <rFont val="Tahoma"/>
            <family val="2"/>
            <charset val="186"/>
          </rPr>
          <t xml:space="preserve">
Piekrastes apsaimniekošana (0630); Kontakts (0930); EUCF 42'000; 
 </t>
        </r>
      </text>
    </comment>
    <comment ref="F67" authorId="0" shapeId="0" xr:uid="{00000000-0006-0000-0A00-000009000000}">
      <text>
        <r>
          <rPr>
            <b/>
            <sz val="9"/>
            <color indexed="81"/>
            <rFont val="Tahoma"/>
            <family val="2"/>
            <charset val="186"/>
          </rPr>
          <t>Sarmīte Mūze:</t>
        </r>
        <r>
          <rPr>
            <sz val="9"/>
            <color indexed="81"/>
            <rFont val="Tahoma"/>
            <family val="2"/>
            <charset val="186"/>
          </rPr>
          <t xml:space="preserve">
Soc. Dienesta pabalsti; 16'000 Uzņēmējdarbības veicināšana (0630); skolēnu nodarbinātība (0930.2)
</t>
        </r>
      </text>
    </comment>
    <comment ref="E84" authorId="0" shapeId="0" xr:uid="{00000000-0006-0000-0A00-00000C000000}">
      <text>
        <r>
          <rPr>
            <b/>
            <sz val="9"/>
            <color indexed="81"/>
            <rFont val="Tahoma"/>
            <family val="2"/>
            <charset val="186"/>
          </rPr>
          <t>Sarmīte Mūze:</t>
        </r>
        <r>
          <rPr>
            <sz val="9"/>
            <color indexed="81"/>
            <rFont val="Tahoma"/>
            <family val="2"/>
            <charset val="186"/>
          </rPr>
          <t xml:space="preserve">
239'963,68 ĀVSK</t>
        </r>
      </text>
    </comment>
    <comment ref="G107" authorId="0" shapeId="0" xr:uid="{D6C0ACF8-00BC-478A-8969-49766FEA8AB2}">
      <text>
        <r>
          <rPr>
            <b/>
            <sz val="9"/>
            <color indexed="81"/>
            <rFont val="Tahoma"/>
            <family val="2"/>
            <charset val="186"/>
          </rPr>
          <t>Sarmīte Mūze:</t>
        </r>
        <r>
          <rPr>
            <sz val="9"/>
            <color indexed="81"/>
            <rFont val="Tahoma"/>
            <family val="2"/>
            <charset val="186"/>
          </rPr>
          <t xml:space="preserve">
10'621 Piekrastes apsaimniekošana (0630); </t>
        </r>
      </text>
    </comment>
    <comment ref="I107" authorId="0" shapeId="0" xr:uid="{078F8BA8-5AE5-41D0-9529-FFBF59776BB3}">
      <text>
        <r>
          <rPr>
            <b/>
            <sz val="9"/>
            <color indexed="81"/>
            <rFont val="Tahoma"/>
            <family val="2"/>
            <charset val="186"/>
          </rPr>
          <t>Sarmīte Mūze:</t>
        </r>
        <r>
          <rPr>
            <sz val="9"/>
            <color indexed="81"/>
            <rFont val="Tahoma"/>
            <family val="2"/>
            <charset val="186"/>
          </rPr>
          <t xml:space="preserve">
25'000 no saimnieciskās darbības</t>
        </r>
      </text>
    </comment>
    <comment ref="E149" authorId="0" shapeId="0" xr:uid="{84B0388B-E864-4564-8BA8-C240BE7E754D}">
      <text>
        <r>
          <rPr>
            <b/>
            <sz val="9"/>
            <color indexed="81"/>
            <rFont val="Tahoma"/>
            <family val="2"/>
            <charset val="186"/>
          </rPr>
          <t>Sarmīte Mūze:</t>
        </r>
        <r>
          <rPr>
            <sz val="9"/>
            <color indexed="81"/>
            <rFont val="Tahoma"/>
            <family val="2"/>
            <charset val="186"/>
          </rPr>
          <t xml:space="preserve">
EUR 10'621 Piekrastes apsaimniekošanas projekts
</t>
        </r>
      </text>
    </comment>
    <comment ref="F149" authorId="0" shapeId="0" xr:uid="{5D408317-14D0-46CC-8701-D98CA8736B51}">
      <text>
        <r>
          <rPr>
            <b/>
            <sz val="9"/>
            <color indexed="81"/>
            <rFont val="Tahoma"/>
            <family val="2"/>
            <charset val="186"/>
          </rPr>
          <t>Sarmīte Mūze:</t>
        </r>
        <r>
          <rPr>
            <sz val="9"/>
            <color indexed="81"/>
            <rFont val="Tahoma"/>
            <family val="2"/>
            <charset val="186"/>
          </rPr>
          <t xml:space="preserve">
16'000 Uzņēmējdarbības veicināšana (0630)</t>
        </r>
      </text>
    </comment>
    <comment ref="J149" authorId="0" shapeId="0" xr:uid="{9204A5EF-DF84-466B-87D6-846C97FDBE90}">
      <text>
        <r>
          <rPr>
            <b/>
            <sz val="9"/>
            <color indexed="81"/>
            <rFont val="Tahoma"/>
            <family val="2"/>
            <charset val="186"/>
          </rPr>
          <t>Sarmīte Mūze:</t>
        </r>
        <r>
          <rPr>
            <sz val="9"/>
            <color indexed="81"/>
            <rFont val="Tahoma"/>
            <family val="2"/>
            <charset val="186"/>
          </rPr>
          <t xml:space="preserve">
Piekrastes apsaimn; Krastupes iela; Uzņēmējdarbības veicināšana u.c.</t>
        </r>
      </text>
    </comment>
    <comment ref="J165" authorId="0" shapeId="0" xr:uid="{260E7D5D-1FC8-4203-959F-093B0F81BF5B}">
      <text>
        <r>
          <rPr>
            <b/>
            <sz val="9"/>
            <color indexed="81"/>
            <rFont val="Tahoma"/>
            <family val="2"/>
            <charset val="186"/>
          </rPr>
          <t>Sarmīte Mūze:</t>
        </r>
        <r>
          <rPr>
            <sz val="9"/>
            <color indexed="81"/>
            <rFont val="Tahoma"/>
            <family val="2"/>
            <charset val="186"/>
          </rPr>
          <t xml:space="preserve">
NĪ iegāde Podniekos</t>
        </r>
      </text>
    </comment>
    <comment ref="I169" authorId="0" shapeId="0" xr:uid="{1A0894C1-948A-42CE-95B8-032E61B7160A}">
      <text>
        <r>
          <rPr>
            <b/>
            <sz val="9"/>
            <color indexed="81"/>
            <rFont val="Tahoma"/>
            <family val="2"/>
            <charset val="186"/>
          </rPr>
          <t>Sarmīte Mūze:</t>
        </r>
        <r>
          <rPr>
            <sz val="9"/>
            <color indexed="81"/>
            <rFont val="Tahoma"/>
            <family val="2"/>
            <charset val="186"/>
          </rPr>
          <t xml:space="preserve">
CKS+0649 (Bāze)</t>
        </r>
      </text>
    </comment>
    <comment ref="I170" authorId="0" shapeId="0" xr:uid="{DF417C8F-5353-4D5C-A0B6-F48313F60559}">
      <text>
        <r>
          <rPr>
            <b/>
            <sz val="9"/>
            <color indexed="81"/>
            <rFont val="Tahoma"/>
            <family val="2"/>
            <charset val="186"/>
          </rPr>
          <t>Sarmīte Mūze:</t>
        </r>
        <r>
          <rPr>
            <sz val="9"/>
            <color indexed="81"/>
            <rFont val="Tahoma"/>
            <family val="2"/>
            <charset val="186"/>
          </rPr>
          <t xml:space="preserve">
CKS</t>
        </r>
      </text>
    </comment>
    <comment ref="I171" authorId="0" shapeId="0" xr:uid="{272E4669-76A5-4610-BE50-59699CE52EBA}">
      <text>
        <r>
          <rPr>
            <b/>
            <sz val="9"/>
            <color indexed="81"/>
            <rFont val="Tahoma"/>
            <family val="2"/>
            <charset val="186"/>
          </rPr>
          <t>Sarmīte Mūze:</t>
        </r>
        <r>
          <rPr>
            <sz val="9"/>
            <color indexed="81"/>
            <rFont val="Tahoma"/>
            <family val="2"/>
            <charset val="186"/>
          </rPr>
          <t xml:space="preserve">
0649 (Bāze)</t>
        </r>
      </text>
    </comment>
    <comment ref="J172" authorId="0" shapeId="0" xr:uid="{A936FEBC-94E0-4DD9-96A0-938C5FCA66A6}">
      <text>
        <r>
          <rPr>
            <b/>
            <sz val="9"/>
            <color indexed="81"/>
            <rFont val="Tahoma"/>
            <family val="2"/>
            <charset val="186"/>
          </rPr>
          <t>Sarmīte Mūze:</t>
        </r>
        <r>
          <rPr>
            <sz val="9"/>
            <color indexed="81"/>
            <rFont val="Tahoma"/>
            <family val="2"/>
            <charset val="186"/>
          </rPr>
          <t xml:space="preserve">
Ēku siltināšana; Ķiršu iela</t>
        </r>
      </text>
    </comment>
    <comment ref="J185" authorId="0" shapeId="0" xr:uid="{CBBC7518-52C7-42F6-AC84-B39598396905}">
      <text>
        <r>
          <rPr>
            <b/>
            <sz val="9"/>
            <color indexed="81"/>
            <rFont val="Tahoma"/>
            <family val="2"/>
            <charset val="186"/>
          </rPr>
          <t>Sarmīte Mūze:</t>
        </r>
        <r>
          <rPr>
            <sz val="9"/>
            <color indexed="81"/>
            <rFont val="Tahoma"/>
            <family val="2"/>
            <charset val="186"/>
          </rPr>
          <t xml:space="preserve">
VKKF ekspozīcija</t>
        </r>
      </text>
    </comment>
    <comment ref="J186" authorId="0" shapeId="0" xr:uid="{C3AF50DF-81D4-49A9-8A3F-26D496426718}">
      <text>
        <r>
          <rPr>
            <b/>
            <sz val="9"/>
            <color indexed="81"/>
            <rFont val="Tahoma"/>
            <family val="2"/>
            <charset val="186"/>
          </rPr>
          <t>Sarmīte Mūze:</t>
        </r>
        <r>
          <rPr>
            <sz val="9"/>
            <color indexed="81"/>
            <rFont val="Tahoma"/>
            <family val="2"/>
            <charset val="186"/>
          </rPr>
          <t xml:space="preserve">
Interreg</t>
        </r>
      </text>
    </comment>
    <comment ref="E230" authorId="0" shapeId="0" xr:uid="{FE6F4CDE-B927-45D8-B8E5-C54FA6EDD9A1}">
      <text>
        <r>
          <rPr>
            <b/>
            <sz val="9"/>
            <color indexed="81"/>
            <rFont val="Tahoma"/>
            <family val="2"/>
            <charset val="186"/>
          </rPr>
          <t>Sarmīte Mūze:</t>
        </r>
        <r>
          <rPr>
            <sz val="9"/>
            <color indexed="81"/>
            <rFont val="Tahoma"/>
            <family val="2"/>
            <charset val="186"/>
          </rPr>
          <t xml:space="preserve">
Ēdināšana</t>
        </r>
      </text>
    </comment>
    <comment ref="F230" authorId="0" shapeId="0" xr:uid="{7F7518F3-C280-4116-AEF6-56926E11C135}">
      <text>
        <r>
          <rPr>
            <b/>
            <sz val="9"/>
            <color indexed="81"/>
            <rFont val="Tahoma"/>
            <family val="2"/>
            <charset val="186"/>
          </rPr>
          <t>Sarmīte Mūze:</t>
        </r>
        <r>
          <rPr>
            <sz val="9"/>
            <color indexed="81"/>
            <rFont val="Tahoma"/>
            <family val="2"/>
            <charset val="186"/>
          </rPr>
          <t xml:space="preserve">
Interešu izgl. 44'403, ēdināšana</t>
        </r>
      </text>
    </comment>
    <comment ref="F234" authorId="0" shapeId="0" xr:uid="{F2827C47-40FD-4DAF-B5E6-7E8BB031995E}">
      <text>
        <r>
          <rPr>
            <b/>
            <sz val="9"/>
            <color indexed="81"/>
            <rFont val="Tahoma"/>
            <family val="2"/>
            <charset val="186"/>
          </rPr>
          <t>Sarmīte Mūze:</t>
        </r>
        <r>
          <rPr>
            <sz val="9"/>
            <color indexed="81"/>
            <rFont val="Tahoma"/>
            <family val="2"/>
            <charset val="186"/>
          </rPr>
          <t xml:space="preserve">
Interešu; pedagogi</t>
        </r>
      </text>
    </comment>
    <comment ref="F243" authorId="0" shapeId="0" xr:uid="{3B5D3F7D-C964-4694-BECD-4F0B6AB8F933}">
      <text>
        <r>
          <rPr>
            <b/>
            <sz val="9"/>
            <color indexed="81"/>
            <rFont val="Tahoma"/>
            <family val="2"/>
            <charset val="186"/>
          </rPr>
          <t>Sarmīte Mūze:</t>
        </r>
        <r>
          <rPr>
            <sz val="9"/>
            <color indexed="81"/>
            <rFont val="Tahoma"/>
            <family val="2"/>
            <charset val="186"/>
          </rPr>
          <t xml:space="preserve">
Interešu; pedagogi</t>
        </r>
      </text>
    </comment>
  </commentList>
</comments>
</file>

<file path=xl/sharedStrings.xml><?xml version="1.0" encoding="utf-8"?>
<sst xmlns="http://schemas.openxmlformats.org/spreadsheetml/2006/main" count="27585" uniqueCount="6283">
  <si>
    <t xml:space="preserve">Ieņēmumu daļa </t>
  </si>
  <si>
    <t xml:space="preserve">N.p.k. </t>
  </si>
  <si>
    <t>Sadaļa</t>
  </si>
  <si>
    <t>%</t>
  </si>
  <si>
    <t>Valsts finansējums (mērķdotācijas)</t>
  </si>
  <si>
    <t>Projektu finansējums</t>
  </si>
  <si>
    <t>Komentāri</t>
  </si>
  <si>
    <t>1., 2., 3., 4., 5.</t>
  </si>
  <si>
    <t>Nodokļu ieņēmumi</t>
  </si>
  <si>
    <t>1.1.1.0.</t>
  </si>
  <si>
    <t>1.</t>
  </si>
  <si>
    <t>Iedzīvotāju ienākuma nodoklis</t>
  </si>
  <si>
    <t>PB</t>
  </si>
  <si>
    <t>1.1.</t>
  </si>
  <si>
    <t>01.1.1.2.</t>
  </si>
  <si>
    <t>1.2.</t>
  </si>
  <si>
    <t>pārskata gada</t>
  </si>
  <si>
    <t>4.1.1.0.</t>
  </si>
  <si>
    <t>2.</t>
  </si>
  <si>
    <t>Nekustamā īpašuma nodoklis par zemi</t>
  </si>
  <si>
    <t>04.1.1.1.</t>
  </si>
  <si>
    <t>2.1.</t>
  </si>
  <si>
    <t>04.1.1.2.</t>
  </si>
  <si>
    <t>2.2.</t>
  </si>
  <si>
    <t>iepriekšējo gadu parādi</t>
  </si>
  <si>
    <t>4.1.2.0.</t>
  </si>
  <si>
    <t>3.</t>
  </si>
  <si>
    <t>Nekustamā īpašuma nodoklis par ēkām</t>
  </si>
  <si>
    <t>04.1.2.1.</t>
  </si>
  <si>
    <t>3.1.</t>
  </si>
  <si>
    <t xml:space="preserve">pārskata gada </t>
  </si>
  <si>
    <t>04.1.2.2.</t>
  </si>
  <si>
    <t>3.2.</t>
  </si>
  <si>
    <t>4.1.3.0.</t>
  </si>
  <si>
    <t>4.</t>
  </si>
  <si>
    <t>Nekustamā īpašuma nodoklis par mājokļiem un inženierbūvēm</t>
  </si>
  <si>
    <t>04.1.3.1.</t>
  </si>
  <si>
    <t>4.1.</t>
  </si>
  <si>
    <t>04.1.3.2.</t>
  </si>
  <si>
    <t>4.2.</t>
  </si>
  <si>
    <t>5.</t>
  </si>
  <si>
    <t>Azartspēļu nodoklis</t>
  </si>
  <si>
    <t>9.0.0.0.</t>
  </si>
  <si>
    <t>6.</t>
  </si>
  <si>
    <t>Valsts (pašvaldību) un kancelejas nodevas</t>
  </si>
  <si>
    <t>9.4.0.0.</t>
  </si>
  <si>
    <t>6.1.</t>
  </si>
  <si>
    <t>valsts nodevas</t>
  </si>
  <si>
    <t>09.4.2.0.</t>
  </si>
  <si>
    <t>6.1.1.</t>
  </si>
  <si>
    <t>t.sk.: - par apliecinājumiem un citu funkciju pildīšanu bāriņtiesā</t>
  </si>
  <si>
    <t>09.4.5.0.</t>
  </si>
  <si>
    <t>6.1.2.</t>
  </si>
  <si>
    <t>09.4.9.0.</t>
  </si>
  <si>
    <t>6.1.3.</t>
  </si>
  <si>
    <t>9.5.0.0.</t>
  </si>
  <si>
    <t>6.2.</t>
  </si>
  <si>
    <t>pašvaldību nodevas</t>
  </si>
  <si>
    <t>09.5.1.1.</t>
  </si>
  <si>
    <t>6.2.1.</t>
  </si>
  <si>
    <t>09.5.1.4.</t>
  </si>
  <si>
    <t>6.2.2.</t>
  </si>
  <si>
    <t>09.5.1.5.</t>
  </si>
  <si>
    <t>6.2.3.</t>
  </si>
  <si>
    <t>09.5.1.7.</t>
  </si>
  <si>
    <t>6.2.4.</t>
  </si>
  <si>
    <t>09.5.2.1.</t>
  </si>
  <si>
    <t>6.2.5.</t>
  </si>
  <si>
    <t>09.5.2.9.</t>
  </si>
  <si>
    <t>6.2.6.</t>
  </si>
  <si>
    <t>10.0.0.0.</t>
  </si>
  <si>
    <t>7.</t>
  </si>
  <si>
    <t>Naudas sodi un sankcijas</t>
  </si>
  <si>
    <t>10.1.4.0.</t>
  </si>
  <si>
    <t>7.1.</t>
  </si>
  <si>
    <t>10.1.5.0.</t>
  </si>
  <si>
    <t>7.2.</t>
  </si>
  <si>
    <t>Naudas sodi, ko uzliek par pārkāpumiem ceļu satiksmē</t>
  </si>
  <si>
    <t>12.0.0.0.</t>
  </si>
  <si>
    <t>8.</t>
  </si>
  <si>
    <t>Pārējie nenodokļu ieņēmumi</t>
  </si>
  <si>
    <t>8.1.</t>
  </si>
  <si>
    <t>citi nenodokļu ieņēmumi</t>
  </si>
  <si>
    <t>8.2.</t>
  </si>
  <si>
    <t>8.3.</t>
  </si>
  <si>
    <t>9.</t>
  </si>
  <si>
    <t>Ieņēmumi no pašvaldības īpašuma pārdošana</t>
  </si>
  <si>
    <t>9.1.</t>
  </si>
  <si>
    <t>9.2.</t>
  </si>
  <si>
    <t>10.</t>
  </si>
  <si>
    <t>Valsts budžeta transferti</t>
  </si>
  <si>
    <t>mērķdotācija</t>
  </si>
  <si>
    <t>18.6.2.3.</t>
  </si>
  <si>
    <t>10.1.</t>
  </si>
  <si>
    <t>dotācija mākslas skolas algām</t>
  </si>
  <si>
    <t>18.6.2.4.</t>
  </si>
  <si>
    <t>10.2.</t>
  </si>
  <si>
    <t>dotācija sporta skolai</t>
  </si>
  <si>
    <t>dotācija skolēnu ēdināšanai</t>
  </si>
  <si>
    <t>18.6.2.5.</t>
  </si>
  <si>
    <t>18.6.2.0.</t>
  </si>
  <si>
    <t>dotācijas pedagogu algām (vsk., PII)</t>
  </si>
  <si>
    <t>18.6.2.2.</t>
  </si>
  <si>
    <t>t.sk.: - piecgadīgo bērnu apmācība</t>
  </si>
  <si>
    <t>18.6.2.1.</t>
  </si>
  <si>
    <t>18.6.2.9.</t>
  </si>
  <si>
    <t>18.6.3.1.</t>
  </si>
  <si>
    <t>18.6.2.7.</t>
  </si>
  <si>
    <t>dotācija asistenta pakalpojumu nodrošināšanai</t>
  </si>
  <si>
    <t>pārējās dotācijas</t>
  </si>
  <si>
    <t>10.10.</t>
  </si>
  <si>
    <t>ES struktūrfondu līdzekļi</t>
  </si>
  <si>
    <t>Projekts</t>
  </si>
  <si>
    <t>18.6.3.6.</t>
  </si>
  <si>
    <t>11.</t>
  </si>
  <si>
    <t>Pašvaldību budžeta transferti</t>
  </si>
  <si>
    <t>19.2.1.0.</t>
  </si>
  <si>
    <t>11.1.</t>
  </si>
  <si>
    <t>no citām pašvaldībām izglītības funkciju nodrošināšanai</t>
  </si>
  <si>
    <t>11.2.</t>
  </si>
  <si>
    <t>12.</t>
  </si>
  <si>
    <t>Budžeta iestāžu ieņēmumi</t>
  </si>
  <si>
    <t>21.3.5.0.</t>
  </si>
  <si>
    <t>12.1.</t>
  </si>
  <si>
    <t>12.1.1.</t>
  </si>
  <si>
    <t>21.3.5.2.</t>
  </si>
  <si>
    <t>12.1.2.</t>
  </si>
  <si>
    <t>21.3.5.9.</t>
  </si>
  <si>
    <t>21.3.8.0.</t>
  </si>
  <si>
    <t>12.2.</t>
  </si>
  <si>
    <t>ieņēmumi par nomu un īri</t>
  </si>
  <si>
    <t>21.3.8.1.</t>
  </si>
  <si>
    <t>12.2.1.</t>
  </si>
  <si>
    <t>21.3.8.4.</t>
  </si>
  <si>
    <t>12.2.2.</t>
  </si>
  <si>
    <t>21.3.9.0.</t>
  </si>
  <si>
    <t>12.3.</t>
  </si>
  <si>
    <t>budžeta iestāžu maksas pakalpojumi</t>
  </si>
  <si>
    <t>12.4.</t>
  </si>
  <si>
    <t>KOPĀ IEŅĒMUMI:</t>
  </si>
  <si>
    <t>13.</t>
  </si>
  <si>
    <t>Naudas līdzekļu atlikums gada sākumā</t>
  </si>
  <si>
    <t>13.1.</t>
  </si>
  <si>
    <t>Naudas atlikums iezīmētiem mērķiem</t>
  </si>
  <si>
    <t>13.2.</t>
  </si>
  <si>
    <t>Naudas atlikums pašvaldības līdzekļi</t>
  </si>
  <si>
    <t xml:space="preserve">14. </t>
  </si>
  <si>
    <t>Valsts Kases kredīti</t>
  </si>
  <si>
    <t>PAVISAM KOPĀ IEŅĒMUMI:</t>
  </si>
  <si>
    <t xml:space="preserve">Izdevumu daļa </t>
  </si>
  <si>
    <t>Vispārējie valdības dienesti</t>
  </si>
  <si>
    <t>pārvalde</t>
  </si>
  <si>
    <t>deputāti</t>
  </si>
  <si>
    <t>1.3.</t>
  </si>
  <si>
    <t>administratīvā komisija</t>
  </si>
  <si>
    <t>1.4.</t>
  </si>
  <si>
    <t>iepirkumu komisija</t>
  </si>
  <si>
    <t>1.5.</t>
  </si>
  <si>
    <t>vēlēšanu komisija</t>
  </si>
  <si>
    <t>1.6.</t>
  </si>
  <si>
    <t>1.7.</t>
  </si>
  <si>
    <t>dažādas komisijas</t>
  </si>
  <si>
    <t>1.8.</t>
  </si>
  <si>
    <t>aizņēmumu procentu maksājumi</t>
  </si>
  <si>
    <t>Iemaksas PFIF</t>
  </si>
  <si>
    <t>Pārējie vispārēja rakstura transferti</t>
  </si>
  <si>
    <t>Izdevumi neparedzētiem gadījumiem</t>
  </si>
  <si>
    <t>Sabiedriskā kārtība un drošība</t>
  </si>
  <si>
    <t>Sabiedriskās attiecības, laikraksts</t>
  </si>
  <si>
    <t>Pašvaldības teritoriju un mājokļu apsaimniekošana</t>
  </si>
  <si>
    <t>5.1.</t>
  </si>
  <si>
    <t>Būvvalde</t>
  </si>
  <si>
    <t>5.2.</t>
  </si>
  <si>
    <t>nodaļa</t>
  </si>
  <si>
    <t>5.3.</t>
  </si>
  <si>
    <t>Objektu un teritorijas apsaimniekošana un uzturēšana</t>
  </si>
  <si>
    <t>5.4.</t>
  </si>
  <si>
    <t>Atpūta, kultūra un reliģija</t>
  </si>
  <si>
    <t>Kultūras centrs</t>
  </si>
  <si>
    <t>6.3.</t>
  </si>
  <si>
    <t>Sporta daļa</t>
  </si>
  <si>
    <t>6.4.</t>
  </si>
  <si>
    <t>Evaņģēliski luteriskās draudzes</t>
  </si>
  <si>
    <t>6.5.</t>
  </si>
  <si>
    <t>Sociālā aizsardzība</t>
  </si>
  <si>
    <t>Sociālais dienests</t>
  </si>
  <si>
    <t>Stipendiāti / bezdarbnieki</t>
  </si>
  <si>
    <t>7.3.</t>
  </si>
  <si>
    <t>Bāriņtiesa</t>
  </si>
  <si>
    <t>Izglītība</t>
  </si>
  <si>
    <t>7210 (0940; 0970)</t>
  </si>
  <si>
    <t>Norēķini ar pašvaldību budžetiem par izglītības iestāžu pakalpojumiem</t>
  </si>
  <si>
    <t>Ādažu Pirmsskolas izglītības iestāde</t>
  </si>
  <si>
    <t>8.2.1.</t>
  </si>
  <si>
    <t>pedagogu algas (mērķdotācija)</t>
  </si>
  <si>
    <t>8.2.2.</t>
  </si>
  <si>
    <t>pārējās izmaksas</t>
  </si>
  <si>
    <t>Kadagas PII</t>
  </si>
  <si>
    <t>8.3.1.</t>
  </si>
  <si>
    <t>8.3.2.</t>
  </si>
  <si>
    <t>8.4.</t>
  </si>
  <si>
    <t>Privātās izglītības iestādes</t>
  </si>
  <si>
    <t>ĀBVS</t>
  </si>
  <si>
    <t>Pārējās privātās PII</t>
  </si>
  <si>
    <t>8.5.</t>
  </si>
  <si>
    <t>Ādažu vidusskola</t>
  </si>
  <si>
    <t>8.6.</t>
  </si>
  <si>
    <t>8.7.</t>
  </si>
  <si>
    <t>Sporta skola</t>
  </si>
  <si>
    <t>8.8.</t>
  </si>
  <si>
    <t>Ieguldījumi uzņēmumu pamatkapitālā</t>
  </si>
  <si>
    <t>SIA "Ādažu ūdens"</t>
  </si>
  <si>
    <t>SIA "Garkalnes ūdens"</t>
  </si>
  <si>
    <t>KOPĀ IZDEVUMI:</t>
  </si>
  <si>
    <t>Kredītu pamatsummas atmaksa</t>
  </si>
  <si>
    <t>PAVISAM KOPĀ IZDEVUMI:</t>
  </si>
  <si>
    <t>-</t>
  </si>
  <si>
    <t>Naudas līdzekļu atlikums uz gada beigām</t>
  </si>
  <si>
    <t>Veids</t>
  </si>
  <si>
    <t>Kopā</t>
  </si>
  <si>
    <t>Kopā:</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</si>
  <si>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</si>
  <si>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</si>
  <si>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</si>
  <si>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</si>
  <si>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</si>
  <si>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</si>
  <si>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</si>
  <si>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</si>
  <si>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</si>
  <si>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</si>
  <si>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</si>
  <si>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</si>
  <si>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</si>
  <si>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</si>
  <si>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</si>
  <si>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</si>
  <si>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</si>
  <si>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</si>
  <si>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</si>
  <si>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</si>
  <si>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</si>
  <si>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Reģistru grāmatu iesiešana  Dzimtsarakstiem</t>
  </si>
  <si>
    <t>Maksājumi par pašvaldību parāda apkalpošanu</t>
  </si>
  <si>
    <t xml:space="preserve">Parāda apkalpošanas maksa 0.25% </t>
  </si>
  <si>
    <t>Biroja preces, metodiskie materiāli</t>
  </si>
  <si>
    <t xml:space="preserve">Papīrs - e-iepirkums, apm EUR 1'400. </t>
  </si>
  <si>
    <t>KAC</t>
  </si>
  <si>
    <t>Rezerve EUR 150</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</si>
  <si>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</si>
  <si>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</si>
  <si>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</si>
  <si>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</si>
  <si>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</si>
  <si>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</si>
  <si>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</si>
  <si>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</si>
  <si>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</si>
  <si>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</si>
  <si>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</si>
  <si>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</si>
  <si>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</si>
  <si>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</si>
  <si>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</si>
  <si>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Izlikt informāciju ciemato, izbraukums pie vēlētājiem.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</si>
  <si>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</si>
  <si>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</si>
  <si>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</si>
  <si>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</si>
  <si>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</si>
  <si>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</si>
  <si>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</si>
  <si>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</si>
  <si>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</si>
  <si>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Izdevumi par atkritumu savākšanu, izvešanu no apdzīvotām vietām un teritorijām ārpus apdzīvotām vietām un atkritumu utilizāciju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</si>
  <si>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</si>
  <si>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</si>
  <si>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</si>
  <si>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</si>
  <si>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</si>
  <si>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</si>
  <si>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</si>
  <si>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</si>
  <si>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</si>
  <si>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</si>
  <si>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</si>
  <si>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</si>
  <si>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</si>
  <si>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</si>
  <si>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</si>
  <si>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</si>
  <si>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</si>
  <si>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</si>
  <si>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</si>
  <si>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</si>
  <si>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</si>
  <si>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</si>
  <si>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</si>
  <si>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 xml:space="preserve">Pārējās preces </t>
  </si>
  <si>
    <t>Attīstības pasākumi un programmas</t>
  </si>
  <si>
    <t>Domes darbinieku darba samaksa. Nometņu pedagogiem arī. EUR 500 uz EKK 1148</t>
  </si>
  <si>
    <t>"Ādažu ūdens" SIA, baseinam+ledus liešana+zāles laistīšana</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</si>
  <si>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</si>
  <si>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</si>
  <si>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</si>
  <si>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</si>
  <si>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</si>
  <si>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</si>
  <si>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Remonts grīdas mazgājamajai mašīnai.</t>
  </si>
  <si>
    <t>Ēku, būvju u.c. mantas apdrošināšana</t>
  </si>
  <si>
    <t>Pārējie iepriekš neklasificētie pakalpojumu veidi / kopējā summa /</t>
  </si>
  <si>
    <t xml:space="preserve">SIA "BIOR" - Analīzes. </t>
  </si>
  <si>
    <t>Par fonogrammas atskaņošanu un autortiesībām (AKA/LAA un Laipa) EUR 25/ceturksnī =100. Autortiesības lattelekom TV - / 19.24 kvartālā – gadā x4 = 76.96 EUR</t>
  </si>
  <si>
    <t>LR kompleksie sporta pasākumi</t>
  </si>
  <si>
    <t>Valsts un pašvaldību budžeta dotācija biedrībām un nodibinājumiem</t>
  </si>
  <si>
    <t>EIS - kancelejas preces</t>
  </si>
  <si>
    <t>Fēni matu žāvēšanai</t>
  </si>
  <si>
    <t xml:space="preserve">Izdevumi par apkuri </t>
  </si>
  <si>
    <t>AS "Latvijas Gāze"</t>
  </si>
  <si>
    <t>Degviela</t>
  </si>
  <si>
    <t>Zāles, ķimikālijas, laboratorijas preces</t>
  </si>
  <si>
    <t xml:space="preserve">Aptieka </t>
  </si>
  <si>
    <t>Saimniecibas preces</t>
  </si>
  <si>
    <t>EIS saimniecības preces.</t>
  </si>
  <si>
    <t>Depo</t>
  </si>
  <si>
    <t>BG maisiņi putekļusūcējam</t>
  </si>
  <si>
    <t>Ziedi</t>
  </si>
  <si>
    <t>Kliņģeri</t>
  </si>
  <si>
    <t>Pamatlīdzekļu izveidošana un nepabeigtā būvniecība</t>
  </si>
  <si>
    <t>Iekārtas, inventāra un aparatūras remonts, tehniskā apkalpošana</t>
  </si>
  <si>
    <t>Ēku, telpu īre un noma</t>
  </si>
  <si>
    <t>Inventārs - uzskaitāms</t>
  </si>
  <si>
    <t>Printeriem rezerves daļas, gr</t>
  </si>
  <si>
    <t>Izdevumi periodikas iegādei.</t>
  </si>
  <si>
    <t>Bibliotēku fondi - dārgākas grāmatas.</t>
  </si>
  <si>
    <t xml:space="preserve">Pašv. budž. kārt. izd. transferti citām pašv. </t>
  </si>
  <si>
    <t>Darba devēja soc.nod.-mērķdotācijas</t>
  </si>
  <si>
    <t>Ēku, būvju un telpu remonts - sakārtots prioritāšu secībā.</t>
  </si>
  <si>
    <t>Džudo (sporta skola), sambo</t>
  </si>
  <si>
    <t>Inventāra iegāde</t>
  </si>
  <si>
    <t>Sporta nometnes izdevumi</t>
  </si>
  <si>
    <t>Gada maksa sporta federācijai</t>
  </si>
  <si>
    <t>Medaļu, balvu, diplomu iegāde</t>
  </si>
  <si>
    <t>Peldēšana (sporta skola)</t>
  </si>
  <si>
    <t xml:space="preserve">Transporta izmaksas </t>
  </si>
  <si>
    <t>Dalības maksa sacensībās, federācijas biedru nauda, sportistu licences</t>
  </si>
  <si>
    <t>Sacensību organizēšanas izdevumi (tiesnešu pakalpojumi)</t>
  </si>
  <si>
    <t xml:space="preserve">Diplomu, medaļu, balvu iegāde </t>
  </si>
  <si>
    <t>Volejbols (sporta skola)</t>
  </si>
  <si>
    <t>Dalības maksa sacensībās, spēlētāju licences, akreditācijas maksas</t>
  </si>
  <si>
    <t>Inventāra iegāde, sporta tērpu iegāde</t>
  </si>
  <si>
    <t>Orientēšanās sports (Sporta skola)</t>
  </si>
  <si>
    <t>Grieķu-romiešu cīņa</t>
  </si>
  <si>
    <t>Dalības maksa sacensībās, akreditācijas izdevumi, sportistu licences, maksa sporta federācijai</t>
  </si>
  <si>
    <t xml:space="preserve">Sporta nometnes  izdevumi </t>
  </si>
  <si>
    <t>Vieglatlētika</t>
  </si>
  <si>
    <t>Florbols</t>
  </si>
  <si>
    <t>Dalības maksa sacensībās, spēlētāju licences</t>
  </si>
  <si>
    <t>Inventāra iegāde.</t>
  </si>
  <si>
    <t>Basketbols</t>
  </si>
  <si>
    <t>Inventāra iegāde (spēlētāju formas, bumbas, tīkliņi, pildbumbas,lecamauklas)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</si>
  <si>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</si>
  <si>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</si>
  <si>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</si>
  <si>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</si>
  <si>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</si>
  <si>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</si>
  <si>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</si>
  <si>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</si>
  <si>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</si>
  <si>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</si>
  <si>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</si>
  <si>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 xml:space="preserve">SIA „Ādažu Ūdens” </t>
  </si>
  <si>
    <t>Izdev.par transporta pak.,stāvvietas, pier.apm.br.</t>
  </si>
  <si>
    <t>Darba braucieniem. Ekskursija</t>
  </si>
  <si>
    <t>Normatīvajos aktos noteiktie darba devēja veselības izdevumi darba ņēmējiem</t>
  </si>
  <si>
    <t xml:space="preserve">"Latvijas rūpnieku tehniskās uzraudzības komisija" (liftu pārbaude), maijā </t>
  </si>
  <si>
    <t>Virtuves nosūces ventilācijas apkope - 1 reizi gadā pēc MK 250.00</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</si>
  <si>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</si>
  <si>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</si>
  <si>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</si>
  <si>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</si>
  <si>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</si>
  <si>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</si>
  <si>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Egle EUR 200</t>
  </si>
  <si>
    <t>Domes darbinieku darba samaksa.</t>
  </si>
  <si>
    <t>Darba samaksa - mērķdotācijas</t>
  </si>
  <si>
    <t>Darba devēja sociāla rakstura pabalsti, kompensācijas un citi maksājumi</t>
  </si>
  <si>
    <t>SIA Izglītības Sistēmas # PEK-2-05-5011A; 01.09.2015.-nenoteikts. EUR 30+PVN=36,30/mēnesī. Maksājums reizi ceturksnī.</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</si>
  <si>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</si>
  <si>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</si>
  <si>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</si>
  <si>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</si>
  <si>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</si>
  <si>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</si>
  <si>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</si>
  <si>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</si>
  <si>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</si>
  <si>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</si>
  <si>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</si>
  <si>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</si>
  <si>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</si>
  <si>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Žurnāli, SIA Plūsma,. APII ~130EUR</t>
  </si>
  <si>
    <t xml:space="preserve">Līdzfinansējums privātiem PII </t>
  </si>
  <si>
    <t>Izglītības funkciju nodrošināšanai-skolas savst.n.</t>
  </si>
  <si>
    <t>Printeru remonts EUR 50</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</si>
  <si>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</si>
  <si>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</si>
  <si>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</si>
  <si>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</si>
  <si>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</si>
  <si>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</si>
  <si>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</si>
  <si>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</si>
  <si>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Skaņu  aparatūras uzturēšana,  remonts saimnieciskie izdevumi</t>
  </si>
  <si>
    <t>Kultūras centra citas tehnikas (video) uzturēšana</t>
  </si>
  <si>
    <t>Iestādes iekšējo kolektīvo pasākumu organizēšanas izdevumi</t>
  </si>
  <si>
    <r>
      <t>Tradicionālo un novada svētku rīkošana :</t>
    </r>
    <r>
      <rPr>
        <i/>
        <sz val="8"/>
        <rFont val="Arial"/>
        <family val="2"/>
        <charset val="186"/>
      </rPr>
      <t xml:space="preserve"> (šo svētku organizēšana ir pašvaldības funkcija)</t>
    </r>
  </si>
  <si>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</si>
  <si>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</si>
  <si>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</si>
  <si>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</si>
  <si>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 xml:space="preserve">Tērpi amatiermākslas kolektīviem </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</si>
  <si>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</si>
  <si>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</si>
  <si>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</si>
  <si>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</si>
  <si>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</si>
  <si>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</si>
  <si>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</si>
  <si>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</si>
  <si>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</si>
  <si>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</si>
  <si>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</si>
  <si>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</si>
  <si>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</si>
  <si>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</si>
  <si>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</si>
  <si>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</si>
  <si>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</si>
  <si>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</si>
  <si>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</si>
  <si>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Instrumenti, darba apģērbs un apavi</t>
  </si>
  <si>
    <t>Kurināmais (dome-degviela, depo-gāze) - LG</t>
  </si>
  <si>
    <t xml:space="preserve">AS   „Latvijas Gāze” </t>
  </si>
  <si>
    <t>Zāles</t>
  </si>
  <si>
    <t xml:space="preserve">Higiēnas preces, mazgāšanas līdzekļi </t>
  </si>
  <si>
    <t>Darba burtnīcas</t>
  </si>
  <si>
    <t xml:space="preserve">Sporta T-krekli dāvana 1.klasniekiem </t>
  </si>
  <si>
    <t xml:space="preserve">Saimniecības pamatlīdzekļi; </t>
  </si>
  <si>
    <t>Bibliotēku fondi</t>
  </si>
  <si>
    <t>Skandas datoram 10 komplekti</t>
  </si>
  <si>
    <t>Izdevumi par transporta pakalpojumiem - te iet ceļa atmaksa asistentiem, kuriem visa summa (mērķdotācija) sākotnēji ielikta zem algām.</t>
  </si>
  <si>
    <t>Pārējie remontdarbu un iestāžu uzturēšanas pakalpojumi</t>
  </si>
  <si>
    <t>Neparedzēti izdevumi. (Atbalsts centra dušas telpai)</t>
  </si>
  <si>
    <t>Ziedi utml.</t>
  </si>
  <si>
    <t>Pabalsti ēdināšanai naudā (brīvpusdienas naudā)</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</si>
  <si>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</si>
  <si>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</si>
  <si>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</si>
  <si>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</si>
  <si>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</si>
  <si>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</si>
  <si>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</si>
  <si>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</si>
  <si>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</si>
  <si>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</si>
  <si>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Ēku, būvju un telpu kārtējais remonts</t>
  </si>
  <si>
    <t>Slotas, spaiņi utml.</t>
  </si>
  <si>
    <t>Nekustamā īpašuma uzturēšana</t>
  </si>
  <si>
    <t>Kapitālais remonts un rekonstrukcija</t>
  </si>
  <si>
    <t>Izdevumi par pārējiem komunālajiem pakalpojumiem</t>
  </si>
  <si>
    <t>Pasts</t>
  </si>
  <si>
    <t>Kārtridžu uzpilde</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</si>
  <si>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</si>
  <si>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</si>
  <si>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</si>
  <si>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</si>
  <si>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</si>
  <si>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</si>
  <si>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</si>
  <si>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Tehnikas remonts.Kopētāji.</t>
  </si>
  <si>
    <t>Konkurss Par sakoptāko īpašumu (balvu fonds 250+150+100 + reprezentācija)RP</t>
  </si>
  <si>
    <r>
      <t xml:space="preserve">Darba devēja soc.nod. </t>
    </r>
    <r>
      <rPr>
        <sz val="8"/>
        <color indexed="10"/>
        <rFont val="Arial"/>
        <family val="2"/>
        <charset val="186"/>
      </rPr>
      <t>Maksā no pašvaldības budžeta</t>
    </r>
  </si>
  <si>
    <t>Bezdarbnieku stipendijas no NVA</t>
  </si>
  <si>
    <t>0110</t>
  </si>
  <si>
    <t>0111</t>
  </si>
  <si>
    <t>0120</t>
  </si>
  <si>
    <t>0130</t>
  </si>
  <si>
    <t>0140</t>
  </si>
  <si>
    <t>0150</t>
  </si>
  <si>
    <t>0490</t>
  </si>
  <si>
    <t>0340</t>
  </si>
  <si>
    <t>0610</t>
  </si>
  <si>
    <t>0630</t>
  </si>
  <si>
    <t>0812</t>
  </si>
  <si>
    <t>0830</t>
  </si>
  <si>
    <t>0880</t>
  </si>
  <si>
    <t>0910</t>
  </si>
  <si>
    <t>0940</t>
  </si>
  <si>
    <t>0950</t>
  </si>
  <si>
    <t>0960</t>
  </si>
  <si>
    <t>0965</t>
  </si>
  <si>
    <t>0970</t>
  </si>
  <si>
    <t>Ieņēmumi</t>
  </si>
  <si>
    <t>BN</t>
  </si>
  <si>
    <t>M</t>
  </si>
  <si>
    <t>BT</t>
  </si>
  <si>
    <t>P</t>
  </si>
  <si>
    <t>BNk</t>
  </si>
  <si>
    <t>I</t>
  </si>
  <si>
    <t>EUR</t>
  </si>
  <si>
    <t>Mērķdotācija</t>
  </si>
  <si>
    <t>BN_SID</t>
  </si>
  <si>
    <t>Vakance</t>
  </si>
  <si>
    <t>jurists</t>
  </si>
  <si>
    <t>Ivo Bērziņš</t>
  </si>
  <si>
    <t>Pašvaldības finansējums</t>
  </si>
  <si>
    <t>Ēku, būvju un telpu uzturēšana</t>
  </si>
  <si>
    <t>A</t>
  </si>
  <si>
    <t>Ugunsdzēsības aparātu uzpilde</t>
  </si>
  <si>
    <t>Projektors</t>
  </si>
  <si>
    <t>Materiāli elektrotīkla apkalpes līgumam, spuldzītes utml.</t>
  </si>
  <si>
    <t xml:space="preserve">Klavieru skaņošana un remonts. </t>
  </si>
  <si>
    <t xml:space="preserve">Dalības maksa pasākumos piem. deju svētkos, GenExis portāla abonēšana u.c. </t>
  </si>
  <si>
    <t>Dalības maksa JAL programmā</t>
  </si>
  <si>
    <t>BNK_I</t>
  </si>
  <si>
    <t>Pamatkapitāls</t>
  </si>
  <si>
    <t>Saimniecības preces</t>
  </si>
  <si>
    <t>BT_pabalsti</t>
  </si>
  <si>
    <t>Kancelejas preces. EIS</t>
  </si>
  <si>
    <t>Pabalsti</t>
  </si>
  <si>
    <r>
      <t>Pārējo darbinieku mēneša amatalga.</t>
    </r>
    <r>
      <rPr>
        <sz val="8"/>
        <color indexed="56"/>
        <rFont val="Arial"/>
        <family val="2"/>
        <charset val="186"/>
      </rPr>
      <t xml:space="preserve"> </t>
    </r>
  </si>
  <si>
    <t xml:space="preserve">Darba dev.labumi,ves.uzlab.,naudas balvas. </t>
  </si>
  <si>
    <t>BNk_I</t>
  </si>
  <si>
    <t>Videonovērošanas sistēmas nodrošinājums (4gab.)-stundā 106.5 w.</t>
  </si>
  <si>
    <t>Sporta laukumu apgaismojums</t>
  </si>
  <si>
    <t xml:space="preserve">Depo. </t>
  </si>
  <si>
    <t xml:space="preserve">No pašvaldības. </t>
  </si>
  <si>
    <t>Reprezentācijas materiāli</t>
  </si>
  <si>
    <t>7.1.1.</t>
  </si>
  <si>
    <t>Asistentu pakalpojumi</t>
  </si>
  <si>
    <t>7.1.2.</t>
  </si>
  <si>
    <t>Domes finansējums</t>
  </si>
  <si>
    <t>NVA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</si>
  <si>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</si>
  <si>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</si>
  <si>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</si>
  <si>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</si>
  <si>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</si>
  <si>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</si>
  <si>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</si>
  <si>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</si>
  <si>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</si>
  <si>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</si>
  <si>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</si>
  <si>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</si>
  <si>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BN_SID_I</t>
  </si>
  <si>
    <t>Spiedogi lietvedībai</t>
  </si>
  <si>
    <t xml:space="preserve">Konditoreja </t>
  </si>
  <si>
    <t>Tautas tērpu un aksesuāru labošana, atjaunošana</t>
  </si>
  <si>
    <t>Specifisks papīrs un dažādi papīra izstādājumi ielūgumi, flaieri u.c.</t>
  </si>
  <si>
    <t>0930</t>
  </si>
  <si>
    <t>Izglītības un jauniešu lietu pārvalde</t>
  </si>
  <si>
    <t>VPVKAC</t>
  </si>
  <si>
    <t>Reprezentatīvas lietas (priekšsēdētāja un domes administrācijas vajadzībām - vizītēm, novada pārstāvēšanai - klientu pieņemšanai)</t>
  </si>
  <si>
    <t>Projekti</t>
  </si>
  <si>
    <t>BT_pasākumi</t>
  </si>
  <si>
    <t xml:space="preserve">Piemaksa par papildu darbu (bilances piemaksas) </t>
  </si>
  <si>
    <t xml:space="preserve">Naudas balvas </t>
  </si>
  <si>
    <t>Ic</t>
  </si>
  <si>
    <t xml:space="preserve">Pirmās palīdzības kursi </t>
  </si>
  <si>
    <t>direktore 20l*12</t>
  </si>
  <si>
    <t xml:space="preserve">Daudzstāvu ēku siltināšanas līdzfinansējums EUR 5'000. </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</si>
  <si>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</si>
  <si>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</si>
  <si>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</si>
  <si>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</si>
  <si>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</si>
  <si>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</si>
  <si>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</si>
  <si>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</si>
  <si>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</si>
  <si>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</si>
  <si>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Ādažu Mākslas un mūzikas skola (bāze)</t>
  </si>
  <si>
    <t>Sporta skola (bāze)</t>
  </si>
  <si>
    <t>Sabiedriskā kārtība un drošība (bāze)</t>
  </si>
  <si>
    <t>Būvvalde (bāze)</t>
  </si>
  <si>
    <t>5.6.</t>
  </si>
  <si>
    <t>5.7.</t>
  </si>
  <si>
    <t>Sporta daļa (bāze)</t>
  </si>
  <si>
    <t>Kultūras centrs (bāze)</t>
  </si>
  <si>
    <t>Sociālais dienests (bāze+pabalsti)</t>
  </si>
  <si>
    <t>pārējās komisijas</t>
  </si>
  <si>
    <t>Izmaksas, kuras sedz NVA koordinatoram</t>
  </si>
  <si>
    <t>projekts Erasmus+</t>
  </si>
  <si>
    <t>pedagogu algas, grāmatas (mērķdotācija)</t>
  </si>
  <si>
    <t>Dārza kopšanas tehnikas remontam EUR 100</t>
  </si>
  <si>
    <t>6.6.</t>
  </si>
  <si>
    <t>Sabiedrība ar dvēseli. Atbalsts iedzīvotāju grupām projektu īstenošanā RP. Palielināts, jo ;sis ir vienīgis instruments, kur privātās zemēs veido rotaļu un sporta laukumus. AP 10.1.1.2.1.</t>
  </si>
  <si>
    <t>AP 10.1.1.2.1.</t>
  </si>
  <si>
    <t>Sporta daļai elektrosistēmu remontiem:</t>
  </si>
  <si>
    <t xml:space="preserve">Kārtridži </t>
  </si>
  <si>
    <t>Papīrs e-iepirkums  300</t>
  </si>
  <si>
    <t>Pasta izdevumi, personu lietas, eiropas konkurss.</t>
  </si>
  <si>
    <t xml:space="preserve">Juris Edvīns Eglītis klavieru skaņošana. </t>
  </si>
  <si>
    <t xml:space="preserve">Par fonogrammas atskaņošanu un autortiesībām (AKA/LAA un Laipa) </t>
  </si>
  <si>
    <t xml:space="preserve">Stīgu instrumentu skaņošana. </t>
  </si>
  <si>
    <t>Transporta izmaksas</t>
  </si>
  <si>
    <t xml:space="preserve">Dalības maksa sacensībās, akreditācijas izdevumi, sportistu licences, naktsmītnes. </t>
  </si>
  <si>
    <r>
      <t>Sacensību organizēšanas izdevumi (tiesnešu pakalpojumi).</t>
    </r>
    <r>
      <rPr>
        <sz val="8"/>
        <color indexed="56"/>
        <rFont val="Arial"/>
        <family val="2"/>
        <charset val="186"/>
      </rPr>
      <t xml:space="preserve"> </t>
    </r>
  </si>
  <si>
    <t>Dalības maksa sacensībās</t>
  </si>
  <si>
    <t>Apliecības un atestāti.</t>
  </si>
  <si>
    <t xml:space="preserve">Naudas balvas. </t>
  </si>
  <si>
    <t>Vizītkartes ~50 EUR</t>
  </si>
  <si>
    <t>13.1.0.0.</t>
  </si>
  <si>
    <t>Mērķdotācijas - Darba devēja sociāla rakstura pabalsti un kompensācijas, no kuriem aprēķina ienākuma nodokli un valsts sociālās apdrošināšanas obligātās iemaksas</t>
  </si>
  <si>
    <t>Būvniecība</t>
  </si>
  <si>
    <t xml:space="preserve">Izdevumi par transporta pakalpojumiem </t>
  </si>
  <si>
    <t>Pārējie komandējuma izdevumi - ārvalstu</t>
  </si>
  <si>
    <t>910_843</t>
  </si>
  <si>
    <t>Ādažu ūdens-Ūdens kanalizācijas tīrīšana - avārijas pasākums. EUR 1 033 (līgumā gada summa). Termiņš 15.06.2017.</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</si>
  <si>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</si>
  <si>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</si>
  <si>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</si>
  <si>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</si>
  <si>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</si>
  <si>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</si>
  <si>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</si>
  <si>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</si>
  <si>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</si>
  <si>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</si>
  <si>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</si>
  <si>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Papildus atkritumu izvešana~ lielos atkritumus, kas krājas gada laikā. (~996 EUR)</t>
  </si>
  <si>
    <t xml:space="preserve">Juris Edvīns Eglītis (2 klavieru skaņošana) . </t>
  </si>
  <si>
    <t>e-iepirkums saimniecības preces.300x1=300</t>
  </si>
  <si>
    <t>Multihalle</t>
  </si>
  <si>
    <t>Krasas, materiāli lai renovetu  bernu aprikojumu ārā</t>
  </si>
  <si>
    <t>Kompensācija par auto amortizāciju  A.Krasts EUR 14*12</t>
  </si>
  <si>
    <t xml:space="preserve">Dokumentācija, māli, glazūras, līmes, otas, papīrs, stikli, ādas, audumi, utt. </t>
  </si>
  <si>
    <t>Cietie diski HDD no EKK 5238</t>
  </si>
  <si>
    <t>Mācību materiāli interešu izglīītības pulciņu darbības nodrošināšanai</t>
  </si>
  <si>
    <t>Skolas telpu labiekārtošana - tematiskas planšetes (1. sept., izlaigdums, valsts svētki utml), informācijas stendi u.c.</t>
  </si>
  <si>
    <t xml:space="preserve">Ieejas biļetes muzejos, izstādē Skola u.c.). </t>
  </si>
  <si>
    <t>Mācību metodiskā literatūra</t>
  </si>
  <si>
    <t>BnK_I</t>
  </si>
  <si>
    <t xml:space="preserve">Auto nolietojums. </t>
  </si>
  <si>
    <t>Auto nolietojums</t>
  </si>
  <si>
    <t>Vizītkartes, zīmogi un spiedogi. Jaunu projektu nomenklatūru, mainās daudz zīmogi.</t>
  </si>
  <si>
    <t>Kompensācija par auto izmantošanu 0,04 EUR/km ~35 EUR*12</t>
  </si>
  <si>
    <t xml:space="preserve">Maksa par serveri </t>
  </si>
  <si>
    <t>Gaujas svētku publicitātes nodrošināšana</t>
  </si>
  <si>
    <t>BT_algas</t>
  </si>
  <si>
    <t>Piemaksa par papildu darbu</t>
  </si>
  <si>
    <t>BnK</t>
  </si>
  <si>
    <t>Skursteņa tīrīšana</t>
  </si>
  <si>
    <t>Ziemas uzturēšanas darbi pašvaldības teritorijās</t>
  </si>
  <si>
    <t>SN Nāk ar čekiem, maksājam trūcīgām un maznodrošinātām ģimenēm.</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</si>
  <si>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</si>
  <si>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</si>
  <si>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</si>
  <si>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</si>
  <si>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</si>
  <si>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</si>
  <si>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</si>
  <si>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</si>
  <si>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</si>
  <si>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</si>
  <si>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</si>
  <si>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</si>
  <si>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</si>
  <si>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</si>
  <si>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Neparedzētie izdevumi, aizslietņi utml.</t>
  </si>
  <si>
    <t>0981</t>
  </si>
  <si>
    <t>Valsts un pašvaldību budžeta dotācija komersantiem</t>
  </si>
  <si>
    <t>līgumsodi un procentu maksājumi par saistību neizpildi</t>
  </si>
  <si>
    <t>12.3.9.5.</t>
  </si>
  <si>
    <t>Aizņēmumi</t>
  </si>
  <si>
    <t>Deputātu darba samaksa</t>
  </si>
  <si>
    <t>Rotājumu sastāvdaļas (pagarinātāji, transformatori, sadalītāji)</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</si>
  <si>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</si>
  <si>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</si>
  <si>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</si>
  <si>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</si>
  <si>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</si>
  <si>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</si>
  <si>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</si>
  <si>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19.2.2.0.</t>
  </si>
  <si>
    <t>citi ieņēmumi no citām pašvaldībam</t>
  </si>
  <si>
    <t xml:space="preserve">Kārtējā remonta un iestāžu uzturēšanas materiāli </t>
  </si>
  <si>
    <t>ES struktūrfondu līdzekļi un aktivitāšu līdzfinansējumi</t>
  </si>
  <si>
    <t>SIA Tehnoloģiju Studija - mājas lapas izmitināšana (līgumcena norādīta 1 gadam) EUR 242 (ar PVN)</t>
  </si>
  <si>
    <t>Valsts budžeta transferti un projektu finansējums</t>
  </si>
  <si>
    <t>Pamatlīdzekļa izveidošana</t>
  </si>
  <si>
    <t>Pārējie komandējumu un dienesta, darba braucienu izdevumi. Ārzemju</t>
  </si>
  <si>
    <t>12.3.9.9.; 8.3.9.0.</t>
  </si>
  <si>
    <t>Dienas nauda komandējumiem</t>
  </si>
  <si>
    <t>VISA projekts "Atbalsts izglītojamo individuālo kompetenču attīstībai"</t>
  </si>
  <si>
    <t xml:space="preserve">Pārējo darbinieku mēnešalga (darba alga) </t>
  </si>
  <si>
    <t>Pedagoģiskā personāla atalgojums</t>
  </si>
  <si>
    <t>Pakalpojumu izmaksas</t>
  </si>
  <si>
    <t>Privātās skolas</t>
  </si>
  <si>
    <t>Līdzfinansējums privātajām vidējās izglītības iestādēm</t>
  </si>
  <si>
    <t>Pasta izdevumi. Eur 25</t>
  </si>
  <si>
    <t xml:space="preserve">SIA Baltijas ugunsdrošības serviss, ugunsdzēsības aparātu apkope un instruktāža </t>
  </si>
  <si>
    <t xml:space="preserve">Personīgo transportlīdzekl. Izmant. degviela EUR 20*2*11=440 </t>
  </si>
  <si>
    <t>"Ādažu aptieka". Plāno, ka apmēram EUR 50/mēnesī</t>
  </si>
  <si>
    <t>Apmācības (6 komis loc.+sekretāre)*100 EUR</t>
  </si>
  <si>
    <t>U.5.1.4.</t>
  </si>
  <si>
    <t>U.9.1.7.</t>
  </si>
  <si>
    <t>U.9.2.1.</t>
  </si>
  <si>
    <t>Atalgojums Erasmus+ projekta ietvaros</t>
  </si>
  <si>
    <t>SIA Lattelecom Elektr.sakaru pakalpojumi EUR 4,84*12</t>
  </si>
  <si>
    <t xml:space="preserve">Sophos UTM. Ugunsmūris. </t>
  </si>
  <si>
    <t>Klaviatūras ~7 EUR</t>
  </si>
  <si>
    <t>Peles</t>
  </si>
  <si>
    <t xml:space="preserve">UPS bateriju nomaiņa – 12V 7 A/h. </t>
  </si>
  <si>
    <t>skolutiesibas.lv portāla abonements</t>
  </si>
  <si>
    <t>vokālās mūzikas un dejas festivāls</t>
  </si>
  <si>
    <t>Rezerve, inventārs pēc vajadzības</t>
  </si>
  <si>
    <t>Pludmales volejbola laukumu (2gab.) remonts (skalotas smiltis 30 m3)</t>
  </si>
  <si>
    <t>BN_I</t>
  </si>
  <si>
    <t>Inform.plāksnes un stendi. Šai mājai, KACam utml.</t>
  </si>
  <si>
    <t>Koplīguma dāvana darbiniekiem (likuma ietvaros)</t>
  </si>
  <si>
    <t>Darba devēja piešķirtie labumi un maksājumi</t>
  </si>
  <si>
    <t>Drukas un kopēšanas pakalpojums lielais formāts(projektu informācijas noformējuma baneri, daudz būvprojektu un informatīvo baneru)</t>
  </si>
  <si>
    <t>Autoratlīdzības līgumi</t>
  </si>
  <si>
    <t>Autostāvvietu izmantošana, transporta kompensācija</t>
  </si>
  <si>
    <t xml:space="preserve">Valsts, Kancelejas nodevas gadā apmēram 300*2,85 EUR. Par 1u darījumu EUR 2,85, piemēram par nomas parādiem, par citiem parādiem. </t>
  </si>
  <si>
    <t xml:space="preserve">SIA " Ortega"  - kopētāja uzturēšana- 2as kopēšanas iekārtas. + rezerve remontiem un kārtridžiem </t>
  </si>
  <si>
    <t>Dzimtsarakstu nodaļa 100l/gadā</t>
  </si>
  <si>
    <t>Remontdarbi un apkopes drukas iekārtām</t>
  </si>
  <si>
    <t>NĪ speciālists V.Kukk - max EUR 36</t>
  </si>
  <si>
    <t>Rezerve, sabojātu labiekārtošanas elementu iegādei</t>
  </si>
  <si>
    <t>Projektēšana</t>
  </si>
  <si>
    <t>SAM 9311 Deinstitucionalizācija - Dienas centrs</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</si>
  <si>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</si>
  <si>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</si>
  <si>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</si>
  <si>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</si>
  <si>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</si>
  <si>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</si>
  <si>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</si>
  <si>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</si>
  <si>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</si>
  <si>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</si>
  <si>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</si>
  <si>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Izlaiduma ēdināšana</t>
  </si>
  <si>
    <t>Papīrs, kancelejas preces</t>
  </si>
  <si>
    <t>Dienas nauda komandējumiem ārvalstu</t>
  </si>
  <si>
    <t xml:space="preserve"> U5.4.1.;  Rīcības programma 5.4.4.1.</t>
  </si>
  <si>
    <t xml:space="preserve">Zivju fonds  „Zivju resursu aizsardzības pasākumi Ādažu novada ūdenstipnēs”  </t>
  </si>
  <si>
    <t>Darbiniekam atbalsta centrā samaksa uz pakalpojuma līguma EUR 267*12mēn=3204</t>
  </si>
  <si>
    <t>Pašvaldības vienreizējie pabalsti naudā krīzes un ārkārtas situācijā</t>
  </si>
  <si>
    <t>Pārējā sociālā palīdzība un citi maksājumi iedzīvotājiem naudā (skolas piederumi)</t>
  </si>
  <si>
    <t>Valsts noteiktais</t>
  </si>
  <si>
    <t>Maksā trūcigajām un maznodrošinātajām ģimenēm 100 % apmērā</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</si>
  <si>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</si>
  <si>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</si>
  <si>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</si>
  <si>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</si>
  <si>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</si>
  <si>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</si>
  <si>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Pabalsts transportam personai,kurai ir pārvietošanās grūtības 50EUR gadā</t>
  </si>
  <si>
    <t xml:space="preserve">Komisijas locekļu darba samaksa </t>
  </si>
  <si>
    <t>Vēlēšanu komisija - komisijas priekšsēdētāj, sekretārs un 5 locekļi</t>
  </si>
  <si>
    <t>2.1.2.2.1.</t>
  </si>
  <si>
    <t>Piemaksas</t>
  </si>
  <si>
    <t>0956</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</si>
  <si>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</si>
  <si>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</si>
  <si>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</si>
  <si>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</si>
  <si>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</si>
  <si>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</si>
  <si>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</si>
  <si>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</si>
  <si>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dotācija sociālajiem darbiniekiem, kuri strādā ar ģimenēm un bērniem</t>
  </si>
  <si>
    <t>saņemts no Valsts kases sadales konta iepriekšējā gada nesadalītais iedzīvotāju ienākuma nodokļa atlikums</t>
  </si>
  <si>
    <t>Atsauce uz plānošanas dokumentiem</t>
  </si>
  <si>
    <t>Id.Nr. Investīciju plānā</t>
  </si>
  <si>
    <t>AP 9.1.1.11.3.</t>
  </si>
  <si>
    <t>AP 5.2.1.10.</t>
  </si>
  <si>
    <t>AP 5.2.2.2.</t>
  </si>
  <si>
    <t>AP 1.2.4.8.</t>
  </si>
  <si>
    <t>Pašvaldību līdzekļi neparedzētiem gadījumiem</t>
  </si>
  <si>
    <t>Pašvaldību atmaksa valsts budžetam par iepriekšējos gados saņemto, bet neizlietoto valsts budžeta transfertu uzturēšanas izdevumiem</t>
  </si>
  <si>
    <t>Paceļamās sienas remonts</t>
  </si>
  <si>
    <t>Transferta atmaksa</t>
  </si>
  <si>
    <t>Kārtridžu uzpilde.</t>
  </si>
  <si>
    <t>18.6.3.4</t>
  </si>
  <si>
    <t xml:space="preserve">18.6.3.13. </t>
  </si>
  <si>
    <t xml:space="preserve">18.6.3.14.  </t>
  </si>
  <si>
    <t xml:space="preserve">Pārējās preces  </t>
  </si>
  <si>
    <t xml:space="preserve">Mācību līdzekļi un materiāli  </t>
  </si>
  <si>
    <t>Erasmus+ projekta ietvaros - Pārējās preces</t>
  </si>
  <si>
    <t xml:space="preserve">Pārējie komandējumu un dienesta, darba braucienu izdevumi </t>
  </si>
  <si>
    <t>Faktiskā izpilde</t>
  </si>
  <si>
    <t xml:space="preserve">Darba devēja piešķirtie labumi un maksājumi </t>
  </si>
  <si>
    <t>Sacensību organizēšanas izdevumi (aparatūras noma).  Latvijas Peldēšanas federācija - Laika fiksēšanas sistēmas noma</t>
  </si>
  <si>
    <t xml:space="preserve">Pabalsts represētajiem 100 EUR gadā. </t>
  </si>
  <si>
    <t xml:space="preserve">Ēku, būvju un telpu uzturēšana </t>
  </si>
  <si>
    <t>Mežu dienu projekts</t>
  </si>
  <si>
    <t>1.3. Neparedzētie izdevumi (līdz 2% no  projekta kopējā finansējuma)</t>
  </si>
  <si>
    <t>RP U9.2.2.</t>
  </si>
  <si>
    <t>nometne Līgatnē (40 vietas)</t>
  </si>
  <si>
    <t>konkurss Rojā (40 vietas)</t>
  </si>
  <si>
    <t>konkurss Salacgrīvā (40 vietas)</t>
  </si>
  <si>
    <t>konkurss Ozolniekos (40 vietas)</t>
  </si>
  <si>
    <t>konkurss Aucē (40 vietas)</t>
  </si>
  <si>
    <t>konkurss Jelgavā (40 vietas)</t>
  </si>
  <si>
    <t>rezerve</t>
  </si>
  <si>
    <t>AKKA/LAA</t>
  </si>
  <si>
    <t xml:space="preserve">SIA "Radošo darbu galerija" </t>
  </si>
  <si>
    <t>Skolu tiesības.lv abonoments 50.00</t>
  </si>
  <si>
    <t>SIA "Lattelecom" ~EUR 25*12m</t>
  </si>
  <si>
    <t xml:space="preserve"> Virtuves iekārtas, rezerve virtuves pamatlīdzekļu remontiem</t>
  </si>
  <si>
    <t>"Ādažu ūdens" Citi darbi , kanalizācijas aku tīrīšana, sūknēšana\ EUR1423</t>
  </si>
  <si>
    <t>SIA Lattelecom Elektr.sakaru pakalpojumi EUR 3,51*12</t>
  </si>
  <si>
    <t>Kārtridži pēc fakta</t>
  </si>
  <si>
    <t>Siltin. Proj.</t>
  </si>
  <si>
    <t>Vingrošanas soli - 2 gab.</t>
  </si>
  <si>
    <r>
      <t xml:space="preserve">AS "Latvenergo" - </t>
    </r>
    <r>
      <rPr>
        <i/>
        <sz val="8"/>
        <color indexed="10"/>
        <rFont val="Arial"/>
        <family val="2"/>
        <charset val="186"/>
      </rPr>
      <t xml:space="preserve">halle </t>
    </r>
  </si>
  <si>
    <t>Rezerve kanalizācijas sistēmas remontiem</t>
  </si>
  <si>
    <t>Solfegio lietošanas licence gadam</t>
  </si>
  <si>
    <t>Skolas servera un datortīkla uzturēšnas izdevumi</t>
  </si>
  <si>
    <t xml:space="preserve">Depo. Remontiņi un saimniecības preces. </t>
  </si>
  <si>
    <t>mobīlais telefons, Būvvaldē</t>
  </si>
  <si>
    <t xml:space="preserve">Teritorijas plānotājs informē - ierakstītas vēstules, pērk ~ 2 reizes gadā. </t>
  </si>
  <si>
    <t>RP 9.1.1.17 Pedagogu profesionālās pilnveides un pieredzes apmaiņas nodrošināšana, iesaistīšanās projektos</t>
  </si>
  <si>
    <t>Amortizācija, izmantojot personīgo autotransportu</t>
  </si>
  <si>
    <t xml:space="preserve">Datortehnika </t>
  </si>
  <si>
    <t>Rezerve komandējuma izdevumu segšanai.</t>
  </si>
  <si>
    <t>SIA Baltijas ugunsdrošības serviss, ugunsdzēsības aparātu apkope un instruktāža, ugunsdzēsības krānu pārbaude</t>
  </si>
  <si>
    <t>Degviela - lapu putejam EUR 200</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</si>
  <si>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</si>
  <si>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</si>
  <si>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</si>
  <si>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</si>
  <si>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</si>
  <si>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</si>
  <si>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</si>
  <si>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</si>
  <si>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</si>
  <si>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</si>
  <si>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</si>
  <si>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Kultūras centra tehniskie izdevumi- audio vadi, konektori, lēcas, spuldzes skatuvju gaismu sistēmu nodrošinājumam, elekto instalācijas, detaļas, dumu sķidrumi, akumulatori baterejas skatuves tehnikas nodrošināšanai, līmlentas, otas, vienreizējie cimdi tehnisko darbu veikšanai, mērlentas, skrūves, darba instrumenti, skavas, durvju balsti, savilces, vides reklāmu stiprināšanas piederumi</t>
  </si>
  <si>
    <t>Ziemassvētku noformējums /egle, rotas) Kultūras centrā</t>
  </si>
  <si>
    <t xml:space="preserve">RĪC.PL.11.1.3.2.
</t>
  </si>
  <si>
    <t>NĪ speciālista N.Rubina - max EUR 36</t>
  </si>
  <si>
    <t>Ēku apdrošināšana</t>
  </si>
  <si>
    <t xml:space="preserve">Līgums ar SIA "Viada" </t>
  </si>
  <si>
    <t>Biroja krēsls</t>
  </si>
  <si>
    <t>Kancelejas preces administrācija, dzimtsaraksti</t>
  </si>
  <si>
    <t>6.2.1.1.pašvaldības finansējums</t>
  </si>
  <si>
    <t xml:space="preserve">6.2.1.5., 6.2.1.3. pašvaldības finansējums </t>
  </si>
  <si>
    <t>6.2.1.5.,6.2.1.3.pašvaldības finansējums</t>
  </si>
  <si>
    <t>6.2.1.2.pašvaldības finansējums</t>
  </si>
  <si>
    <t>6.2.1.2., 11.1.1.2.pašvaldības finansējums</t>
  </si>
  <si>
    <t>Ādažu novada attīstības virzienu audiovizuālā dokumentēšana – kultūrmantojuma veidošana. 2640eiro bez PVN  + PVN =3194,4</t>
  </si>
  <si>
    <t xml:space="preserve">6.2.5.5.,6.2.6.6.pašvaldības finansējums </t>
  </si>
  <si>
    <t xml:space="preserve">6.2.1.9. pašvaldības finansējums </t>
  </si>
  <si>
    <t>6.2.1.2. pašvaldības finansējums</t>
  </si>
  <si>
    <t>Fotoaparāta (pašvaldības īpašums), objektīva, profilakse un remonts</t>
  </si>
  <si>
    <t xml:space="preserve">Programmu un datorsistēmu uzturēšana. </t>
  </si>
  <si>
    <t>SIA "Profilakse" - deratizācija /3 reizes gadā /. Līgumā ielikts 450</t>
  </si>
  <si>
    <t>Ugunsdzēsības aparātu apkope (40 gab.)</t>
  </si>
  <si>
    <t>Sporta zāles mehānisko iekārtu (2 gab.), paceļamo grozu (2 gab.), elektronisko tablo, 24 sekunžu tablo (2 gab.), paceļamas sienas motora un konstrukcijas ikgadēja pārbaude (atbilstošu eksploatācijas drošības noteikumiem)</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</si>
  <si>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</si>
  <si>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</si>
  <si>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</si>
  <si>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</si>
  <si>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</si>
  <si>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9.1.7.3.</t>
  </si>
  <si>
    <t>9.1.2.2.</t>
  </si>
  <si>
    <t>9.2.4.2.</t>
  </si>
  <si>
    <t>sākumskolas uzturēšanas izmaksas</t>
  </si>
  <si>
    <t>projekts "Skolas soma"</t>
  </si>
  <si>
    <t>Darba apmaksakomisiju un darba grupu locekļiem, kuri nav deputāti un pašvaldības darbinieki</t>
  </si>
  <si>
    <t>Izdevumi par sakaru pakalpojumiem</t>
  </si>
  <si>
    <t>Transportlīdzekļu uzturēšana, remonts un apdrošināšana</t>
  </si>
  <si>
    <t>Pērējās p-reces</t>
  </si>
  <si>
    <t>dotācija māksliniecisko kolektīvu vadītāju atalgojumam</t>
  </si>
  <si>
    <t>Skolēnu nogādāšana baseinā</t>
  </si>
  <si>
    <t>Medikamenti</t>
  </si>
  <si>
    <t xml:space="preserve">Printeru remonts </t>
  </si>
  <si>
    <r>
      <t xml:space="preserve">Deputātu darba samaksa </t>
    </r>
    <r>
      <rPr>
        <sz val="8"/>
        <color indexed="56"/>
        <rFont val="Arial"/>
        <family val="2"/>
        <charset val="186"/>
      </rPr>
      <t>(EUR 5'000 no EKK 1119)</t>
    </r>
  </si>
  <si>
    <t>treneris OS 970l/gadā</t>
  </si>
  <si>
    <t xml:space="preserve">Mk noteikumi Nr. 494 (obligātās veselības pārbaudes)  līdz 25 EUR  darbiniekam (Koplīgums) </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</si>
  <si>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</si>
  <si>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</si>
  <si>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</si>
  <si>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</si>
  <si>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</si>
  <si>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</si>
  <si>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</si>
  <si>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</si>
  <si>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</si>
  <si>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EUR 1'500 no EKK 1147 uz EKK 1142</t>
  </si>
  <si>
    <t>Licences, koncesijas un patenti, preču zīmes un līdzīgas tiesības</t>
  </si>
  <si>
    <t>18.6.2.6.1.</t>
  </si>
  <si>
    <t xml:space="preserve">Ēdināšanas izdevumi </t>
  </si>
  <si>
    <t xml:space="preserve">Izdevumi par pārējiem komunālajiem pakalpojumiem  </t>
  </si>
  <si>
    <t>Dienas nauda, piem., tiesa, ispilddirektoru asociāciju</t>
  </si>
  <si>
    <t>2 uzaicinātie semināri ~ EUR 300*2 (Par korupciju. Par interešu konfliktiem.)</t>
  </si>
  <si>
    <t>Dalība sporta spēlēs. 2i braucieni EUR 275*2 -2019. 2020.g - 1 brauciens: 15 pers *20 (dalības maksa); EUR 300 krekliņi utml.; EUR 300 transports</t>
  </si>
  <si>
    <t>Sludinājumi "Latvijas Vēstnesī", vispārējie a/a. Tiesu administrācija utml.</t>
  </si>
  <si>
    <t>Bite - ~ EUR 45*12mēn</t>
  </si>
  <si>
    <t>TET (Lattelecom) telefons+internets EUR 70*12</t>
  </si>
  <si>
    <t>Naudas līdzekļi kontrolpirkumu veikšanai. 20.08.2013.MK noteikumi Nr.619</t>
  </si>
  <si>
    <t>NVR video iekrārtu remonts, nomaiņa</t>
  </si>
  <si>
    <t>Prēmijas, naudas balvas un materiālā stimulēšana</t>
  </si>
  <si>
    <t>Pārējie iekšzemes komandējumu un dienesta, darba braucienu izdevumi</t>
  </si>
  <si>
    <t>Kursi un semināri 75*8 cilvēki ~ 2i lētie kursi/ gadā. EUR 510 (3 sertif.uzturēšana). EUR 490 rezerve</t>
  </si>
  <si>
    <t>2 krēsli EUR 135*2</t>
  </si>
  <si>
    <t>Dienas nauda ārvalstu komandējumiem</t>
  </si>
  <si>
    <t>Apdrošināšana</t>
  </si>
  <si>
    <t>Kafija -Līgumā Par kafijas iegādi JUR 2016-02/107 norādītā summa - 700 eiro SIA "EmeraldBaltic" ~ (EUR 700)</t>
  </si>
  <si>
    <t>Asni, derīgo izrakteņu pases atjaunošana</t>
  </si>
  <si>
    <t>Traktortehnikas un iekrāvēja inventārs darba veikšanai</t>
  </si>
  <si>
    <t xml:space="preserve">SN "Par pašvaldību līdzfinansējumu daudzdzīvokļu dzīvojamām mājām piesaistīto zemes gabalu labiekārtošanai" (24.03.2015). </t>
  </si>
  <si>
    <t xml:space="preserve"> Pogrammas uzturēšanu no SIA Mikrokods.  </t>
  </si>
  <si>
    <t>Piemaksa par personisko darba ieguldījumu un darba kvalitāti</t>
  </si>
  <si>
    <t>Naudas balva jubilejā</t>
  </si>
  <si>
    <t>Gaujas svētki moderatoram priekšsēdētāja viesu uzņemšanai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</si>
  <si>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</si>
  <si>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</si>
  <si>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</si>
  <si>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</si>
  <si>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</si>
  <si>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</si>
  <si>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</si>
  <si>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</si>
  <si>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Kultūras centra inventāra, mēbeļu, dekorāciju, biroja tehnikas uzturēšana un remonts</t>
  </si>
  <si>
    <t xml:space="preserve">Specifiskas papildus skatuves aparatūras īre iekštelpu pasākumiem/pēc mākslinieku tehniskajiem raideri </t>
  </si>
  <si>
    <t>Rīcības plānā 11.1.1.2.</t>
  </si>
  <si>
    <t>Muzeju nakts u.c. pasākuma organizēšana</t>
  </si>
  <si>
    <t>Koplīguma dāvana darbiniekiem (likuma ietvaros) EUR 15*4</t>
  </si>
  <si>
    <t>NAIS portāla abonēšana. EUR 10</t>
  </si>
  <si>
    <t>Pārējie komandējumu un dienesta, darba braucienu izdevumi</t>
  </si>
  <si>
    <t>Sporta centra aerobikas zāles un cīņu zāles kosmētiskais remonts.</t>
  </si>
  <si>
    <t>Biotualetes noma stadionam (visu gadu)</t>
  </si>
  <si>
    <t>Darba devēja soc.pab.bez nodokļa</t>
  </si>
  <si>
    <t>2020.g.4. darbiniekam apaļas gadu jub.</t>
  </si>
  <si>
    <t>Remontu rezerve</t>
  </si>
  <si>
    <t xml:space="preserve"> Dezinfekcijas līdzekļi, EUR 1'300</t>
  </si>
  <si>
    <t>SIA Depo/santehnikai-det.(pašregulējošais automātiskais silta ūdens maisītājs)</t>
  </si>
  <si>
    <t xml:space="preserve"> </t>
  </si>
  <si>
    <t>Pārējās privātās vidējās izglītības iestādes</t>
  </si>
  <si>
    <t>Subočš - kompensācija par personīgā auto izmantošanu</t>
  </si>
  <si>
    <t>Fasādes logu mazgāšana (cenu pieaugums)</t>
  </si>
  <si>
    <t>Alise - uzturēšana</t>
  </si>
  <si>
    <t xml:space="preserve">Smart lerning suite programmatūras licences. </t>
  </si>
  <si>
    <t>letonika.lv</t>
  </si>
  <si>
    <t>uzdevumi.lv</t>
  </si>
  <si>
    <t>Soma.lv</t>
  </si>
  <si>
    <t>FUNERAL SERVICE LATVIA SIA</t>
  </si>
  <si>
    <t>Koplīguma dāvana darbiniekiem (likuma ietvaros) EUR 15</t>
  </si>
  <si>
    <t>Izdevumi par apkuri</t>
  </si>
  <si>
    <t xml:space="preserve">SIA "PROFILAKSE" - deratizācija </t>
  </si>
  <si>
    <t>Dzeramā ūdens (medicīnas kabin). Venden (EUR 3,45 mēnesī 2 gab.)</t>
  </si>
  <si>
    <t>Medicīnisko atkritumu utilizācija</t>
  </si>
  <si>
    <t>Mērinstrumentu verifikācija  medic.kab. (1 rezi gadā pēc MK not.)</t>
  </si>
  <si>
    <t xml:space="preserve">Mācību līdzekļi un materiāli </t>
  </si>
  <si>
    <t>Rīcības plāna VTP11: U11.1.2.: 11.1.2.2. Atbalsts bērnu dalībai konkursos, izstādēs, koncertos, festivālos Latvijā un ārvalstīs.</t>
  </si>
  <si>
    <t>RP VTP11: U11.1.2.: 11.1.2.2.</t>
  </si>
  <si>
    <t xml:space="preserve">RP 9.1.1.17 </t>
  </si>
  <si>
    <t xml:space="preserve">konkurss Cēsīs (20 vietas) </t>
  </si>
  <si>
    <t xml:space="preserve">konkurss Viļņā (30 vietas) </t>
  </si>
  <si>
    <t>konkurss Nīcā (40 vietas)</t>
  </si>
  <si>
    <t xml:space="preserve">konkurss Iecavā (40vietas) </t>
  </si>
  <si>
    <t xml:space="preserve">konkurss Jūrmalā (40vietas) </t>
  </si>
  <si>
    <t>VTP11: 11.1.2.1.1.</t>
  </si>
  <si>
    <t xml:space="preserve">papīrs </t>
  </si>
  <si>
    <t>Mūzikas instrumentu piederumi (stīgu komplekti, lociņi, statīvi, utt.)</t>
  </si>
  <si>
    <t xml:space="preserve">SIA"Plūsma" apliecības par profesionālās ievirzes izglītību </t>
  </si>
  <si>
    <t xml:space="preserve">Sociālās aprūpes pakalpojums. Valstī noteiktā minimālā mēneša darba alga par nostrādātām stundām. Līgumi ar SD, šobrīd noslēgti7. </t>
  </si>
  <si>
    <t>Iekšzemes komandējumi - Dienas nauda</t>
  </si>
  <si>
    <t>Iekšzemes komandējumi - Pārējie komandējumu un dienesta, darba braucienu izdevumi</t>
  </si>
  <si>
    <t>Atbalsta centrs - materiāli nodarbībām, atbalsta grupu lektori. EUR 1500</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</si>
  <si>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</si>
  <si>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</si>
  <si>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</si>
  <si>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</si>
  <si>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t>Saeimas frakciju, komisiju un administrācijas darbinieku mēnešalga</t>
  </si>
  <si>
    <t>mācību līdzekļi un materiāli  EUR 500</t>
  </si>
  <si>
    <t>Vadītāja novērtēšana</t>
  </si>
  <si>
    <t>Telpu īre ziemas nodarbībām</t>
  </si>
  <si>
    <t>Pamatlīdzekļu izveidošana un nepabeigtā celtniec. Plūdi 1.k.</t>
  </si>
  <si>
    <t>ēdināšana (mērķdotācija)</t>
  </si>
  <si>
    <t>sākumskolas ēdināšana (mērķdotācija)</t>
  </si>
  <si>
    <t>18.6.2.10.; 18.6.2.11</t>
  </si>
  <si>
    <t>0911</t>
  </si>
  <si>
    <t>0921</t>
  </si>
  <si>
    <r>
      <t xml:space="preserve">IA "PROFILAKSE" - deratizācija. " </t>
    </r>
    <r>
      <rPr>
        <i/>
        <sz val="8"/>
        <color indexed="10"/>
        <rFont val="Arial"/>
        <family val="2"/>
        <charset val="186"/>
      </rPr>
      <t>+halle , =985m</t>
    </r>
    <r>
      <rPr>
        <sz val="8"/>
        <color indexed="10"/>
        <rFont val="Calibri"/>
        <family val="2"/>
        <charset val="186"/>
      </rPr>
      <t>²</t>
    </r>
  </si>
  <si>
    <t>valsts dotācija ceļu uzturēšanai</t>
  </si>
  <si>
    <t>Saimnieciskie pamatlīdzekļi</t>
  </si>
  <si>
    <t>AP 10.1.2.2.</t>
  </si>
  <si>
    <t>P_Pabalsti</t>
  </si>
  <si>
    <t xml:space="preserve">MD KA </t>
  </si>
  <si>
    <t>Komunālā saimniecība - DRN</t>
  </si>
  <si>
    <t>EUR 100 kancelejas precēm</t>
  </si>
  <si>
    <t>Saskaņā ar 09.01.2020. vienošanos Nr. 35.9.3-1/4-1 kopsumma koordinatora dotācijai 13.01.-30.12.2020. kopsumma EUR 1'752 (papildus EUR 164)</t>
  </si>
  <si>
    <t>Papildus dotācijas soc. Nod.</t>
  </si>
  <si>
    <t>18.6.2.9.;</t>
  </si>
  <si>
    <t>EUR 50 no EKK 2239 uz EKK 2311</t>
  </si>
  <si>
    <t>EUR 50 no EKK 2239 uz EKK 2312</t>
  </si>
  <si>
    <t>Tiesu izpildītājiem</t>
  </si>
  <si>
    <t>Nodaļas kods</t>
  </si>
  <si>
    <t>Druka utml. Pakalpojumi</t>
  </si>
  <si>
    <t>Sniega tīrīšana no jumta; 1gr =350kvm*13grupas=4550kvm*30 centi/kvm=1281 EUR. Bruģa tīrīšana utml.</t>
  </si>
  <si>
    <t>Ārvalstu komandējumi - dienas nauda</t>
  </si>
  <si>
    <t>Ortega - kārtridžu papildināšana</t>
  </si>
  <si>
    <t>Kancelejas preces. Zīmogi</t>
  </si>
  <si>
    <t>Licences</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</si>
  <si>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</si>
  <si>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</si>
  <si>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</si>
  <si>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</si>
  <si>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</si>
  <si>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</si>
  <si>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</si>
  <si>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 xml:space="preserve">Informācijas stendu remonts un apkolpe  </t>
  </si>
  <si>
    <t>MK 04.02.2020. not. Nr.71 (atalgojumam - 8211 euro; VPVKAC uzturēšanai - 700*12*0,15=1'260 euro)</t>
  </si>
  <si>
    <t>Portatīvo datoru iegādei, lai nodrošinātu ĀPP nepārtrauktu darbību ārkārtas stāvoklī.</t>
  </si>
  <si>
    <t>Ķīmiskās tīrīšanas pakalpojumi (tērpi, galdauti)</t>
  </si>
  <si>
    <t>Kultūras centra mājas lapas  regulāra uzturēšana</t>
  </si>
  <si>
    <t xml:space="preserve">Izstāžu iekārtošana, organizēšana </t>
  </si>
  <si>
    <t>DJI akumulatori, kabeļi un datu nesēji ĀKC zālēs</t>
  </si>
  <si>
    <t>ziedi māksliniekiem , telpu noformējumam , zaļie augi</t>
  </si>
  <si>
    <t>MK 04.02.2020. not. Nr.71 (atalgojumam - 8211 euro; VPVKAC uzturēšanai - 700*12*0,15=1'260 euro (max summa EUR 213))</t>
  </si>
  <si>
    <t xml:space="preserve">Dzimtsaraksti - Komandējums (ko organizē no DZINDA) </t>
  </si>
  <si>
    <t>BT_IIF</t>
  </si>
  <si>
    <t>Par dalību domei nozīmīgu projektu īstenošanā</t>
  </si>
  <si>
    <t>AutoCAD abonēšana - licence</t>
  </si>
  <si>
    <t>Microsoft licences</t>
  </si>
  <si>
    <t>Līdzfinansējums Salaspils domei  par programmas Alise-i servera uztur., metodiskā palīdzība semināri u.t.t. (920,- EUR)</t>
  </si>
  <si>
    <t xml:space="preserve">Eat right move right feel right (L.Kalniņa) </t>
  </si>
  <si>
    <t xml:space="preserve">Līgums "Par kiberjaunsardzes mācību procesa nodrošināšanu", EUR 300*9mēn.=2'700. Šie izdevumi caur Ādažu vidusskolu. </t>
  </si>
  <si>
    <t>Skolotāju pedagoģiskās izaugsmes skola - ar skatu uz nākotni (J.Osīte)</t>
  </si>
  <si>
    <t>Sea-Inspired Active Learning of United (J.Litvinovs)</t>
  </si>
  <si>
    <t>A DIGItal toolkit for promoting gender (J.Litvinovs)</t>
  </si>
  <si>
    <t>Skolotāju pedagoģiskās izaugsmes skola - ar skatu uz nākotni</t>
  </si>
  <si>
    <t xml:space="preserve">Eat right move right feel right  (L.Kalniņa) </t>
  </si>
  <si>
    <t>Office 355 A3 AddOn to OffProPlus 135 SKOLOTĀJI UN VISI SKOLĒNI. (Lietotāju skaits audzis)</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</si>
  <si>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</si>
  <si>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</si>
  <si>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</si>
  <si>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</si>
  <si>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</si>
  <si>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 xml:space="preserve">Mācību materiāli meiteņu mājturībai </t>
  </si>
  <si>
    <t>Mācību līdzekļi valodu katedrām</t>
  </si>
  <si>
    <t>Kalendārs</t>
  </si>
  <si>
    <t>Skolas reprezentācijas izdevumi</t>
  </si>
  <si>
    <t>Grīdu vaskošana Aula 197kv.m</t>
  </si>
  <si>
    <t>Dezinfekcijas līdzekļi mediķiem</t>
  </si>
  <si>
    <t>Mācību materiāli sākumskolai (vizuālajai mākslai, atbalsta katedrai, mājturībai, dabaszinībām, interešu izglītībai, telpu noformēšanai, u.c)</t>
  </si>
  <si>
    <t>Komandējumam mācībām</t>
  </si>
  <si>
    <t xml:space="preserve">AS "Latvenergo" </t>
  </si>
  <si>
    <t>JUR 2020-05/400 14.05.2020 SIA "Ortega" kārtridžu uzpildīšana ~ pēc fakta Jur 2020-05/400 + Zeļonka</t>
  </si>
  <si>
    <t>Degviela tehnikai (lapu pūtējs)</t>
  </si>
  <si>
    <t>Kancelejas preču iegāde JUR 2019-7/588 līdz 2021 08.07."A-Birojs"</t>
  </si>
  <si>
    <t xml:space="preserve">Egles </t>
  </si>
  <si>
    <t>Darbinieku tālākizglītība  - 25 darbinieki x 90 (divi kursi gadā)</t>
  </si>
  <si>
    <t>BJSS pieredzes apmaiņas brauciens</t>
  </si>
  <si>
    <t>direktores vietniece 15l*12</t>
  </si>
  <si>
    <t>Videonovērošanas sistēmu apkalpošana. SIA "Amaro"1.08.2019. - 31.07.2022. EUR 400/gadā</t>
  </si>
  <si>
    <t xml:space="preserve">Sniega tīrīšana no jumta, sniega tīrīšana stāvlaukumā. Sniega tīrīšana, </t>
  </si>
  <si>
    <t xml:space="preserve">Ēku apdrošināšana, Skolai liekam 75%, sporta centram 25%. </t>
  </si>
  <si>
    <t>Siltummezglu apkalpošana un remonts. SIA "Ūdensnesējs serviss" Papildus darbiem - neparedzētiem gadījumiem. EUR 2'479,3+PVN=3000</t>
  </si>
  <si>
    <t>Abonomenti, plakāti, bukleti. Laminējamie materiāli</t>
  </si>
  <si>
    <t>0952</t>
  </si>
  <si>
    <t>Niedru pļaušana ūdensobjektos, peldvietās</t>
  </si>
  <si>
    <t>Materiālu drupināšana</t>
  </si>
  <si>
    <t>Venden SIA ~ 24 reizes/gadā *EUR 36</t>
  </si>
  <si>
    <t>Inventārs peldētapmācībai un sportam EUR 200</t>
  </si>
  <si>
    <t>Partika (kafija, tēja, min.ūdens, konfektes, cukurs, cepumi )</t>
  </si>
  <si>
    <t xml:space="preserve">Printera apkope un remonts </t>
  </si>
  <si>
    <t>Pabalsti veselības aprūpei naudā (medicīna )</t>
  </si>
  <si>
    <t>Stādiem teritorijā</t>
  </si>
  <si>
    <t>3. Personāla atlīdzība (piemaksas u.c.) (10% no 1.+2.)</t>
  </si>
  <si>
    <t>P2</t>
  </si>
  <si>
    <t xml:space="preserve">Sociālā aizsardzība - projekti </t>
  </si>
  <si>
    <t>KA 31.12.2020.</t>
  </si>
  <si>
    <t>Pasākumi</t>
  </si>
  <si>
    <t>Ic ar SN</t>
  </si>
  <si>
    <t>SIA "Ūdensnesējs Serviss" gāzes saimniecības apkakpošana 02.02.2020-01.02.2021. Līguma summa ĀPP neparedzēto remontu rezerve EUR 661,16+PVN=800</t>
  </si>
  <si>
    <t>Izglītības kvalitātes dienestam par vadītāja novērtēšanu</t>
  </si>
  <si>
    <t>Ikmēneša atlīdzība EUR 150 - 10 bezdarbnieki šobrīd plānā vidēji, max nodarbinātības laiks 4 mēneši. KA EUR 2'459</t>
  </si>
  <si>
    <t>Erasmus+ KA 31.12.2020. , kas pārceļas uz 2022.</t>
  </si>
  <si>
    <t>Biroja krēsls darbiniekam</t>
  </si>
  <si>
    <t>Datortehnika</t>
  </si>
  <si>
    <t xml:space="preserve">PII </t>
  </si>
  <si>
    <t>-  uzturēšana</t>
  </si>
  <si>
    <t>SAM 4.2.2. ĀPII siltināšanas projekts - Ēku, būvju un telpu uzturēšana</t>
  </si>
  <si>
    <t>Energoefektivitātes plāns, garantija</t>
  </si>
  <si>
    <t>Pārējie iestādes administratīvie izdevumi</t>
  </si>
  <si>
    <t>MD mācību satura digitalizācijai</t>
  </si>
  <si>
    <t>Darba samaksa-interešu izglitiba (40% skolotājiem (EUR 72'580; 60% ārējiem EUR 108'871 EKK 2239)</t>
  </si>
  <si>
    <t>t.sk.: - par civilstāvokļa aktu reģistrēšanu, grozīšanu un papildināšanu</t>
  </si>
  <si>
    <t>t.sk.: - pārējās valsts nodevas, kuras ieskaita pašvaldību budžetā</t>
  </si>
  <si>
    <t>t.sk.: - nodeva par domes izstrādāto oficiālo dokumentu saņemšanu</t>
  </si>
  <si>
    <t>t.sk.: - nodeva par tirdzniecību publiskās vietās</t>
  </si>
  <si>
    <t>t.sk.: - nodeva par dzīvnieku turēšanu</t>
  </si>
  <si>
    <t>t.sk.: - nodeva par reklāmas, afišu un sludinājumu izvietošanu publiskās vietās</t>
  </si>
  <si>
    <t>t.sk.: - nodeva par būvatļaujas saņemšanu</t>
  </si>
  <si>
    <t>t.sk.: - pārējās nodevas</t>
  </si>
  <si>
    <t>t.sk.: - skolotāju algām</t>
  </si>
  <si>
    <t>t.sk.: - interešu izglītība</t>
  </si>
  <si>
    <t>Dotācijas</t>
  </si>
  <si>
    <t>Dotācija</t>
  </si>
  <si>
    <t>Projekts - būvniecība</t>
  </si>
  <si>
    <t>Projekts - pakalpojumi</t>
  </si>
  <si>
    <t>Dokumentu iesniegšana Siguldas zonālajā valsts arhīvā</t>
  </si>
  <si>
    <t xml:space="preserve">PC programmatūra </t>
  </si>
  <si>
    <t xml:space="preserve">Rezerve. </t>
  </si>
  <si>
    <t xml:space="preserve">Printeru, kompjūtertehnikas remonts </t>
  </si>
  <si>
    <t>Slēpošanas trases izveide</t>
  </si>
  <si>
    <t>0150 - Pārējās komisijas</t>
  </si>
  <si>
    <t>KOPĀ</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</si>
  <si>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</si>
  <si>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</si>
  <si>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</si>
  <si>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Valsts piemaksa PII pedagogiem, pedag. Palīgiem, auklēm. (EUR 17'150 (EKK 1147 EUR 13'877 EKK 1210 EUR 3273) ĀPII; EUR 9'388 KPII). Pēc rīkojuma ĀPII EUR 13472,10 + soc. 3178,07</t>
  </si>
  <si>
    <t>Bibliotēku krājumi</t>
  </si>
  <si>
    <t>t.sk.: - nodeva par izklaidējoša rakstura pasākumu sarīkošanu publiskās vietās</t>
  </si>
  <si>
    <t>12.4.1.</t>
  </si>
  <si>
    <t>12.4.2.</t>
  </si>
  <si>
    <t>12.4.3.</t>
  </si>
  <si>
    <t>12.5.</t>
  </si>
  <si>
    <t>1.9.</t>
  </si>
  <si>
    <t>Nr.</t>
  </si>
  <si>
    <t>Autoceļu fonds</t>
  </si>
  <si>
    <t>CKS</t>
  </si>
  <si>
    <t>Pašvaldības aģentūra "Carnikavas Komunālserviss"</t>
  </si>
  <si>
    <t>Projekts "Sabiedrība ar dvēseli"</t>
  </si>
  <si>
    <t>Carnikavas novadpētniecības centrs</t>
  </si>
  <si>
    <t>Pirmsskolas izglītības iestāde "Riekstiņš"</t>
  </si>
  <si>
    <t>Carnikavas pamatskola</t>
  </si>
  <si>
    <t>Sociālā centra "Kadiķis" uzturēšana</t>
  </si>
  <si>
    <t>Carnikava</t>
  </si>
  <si>
    <t>Nr.p.k.</t>
  </si>
  <si>
    <t>Kultūra</t>
  </si>
  <si>
    <t>Pirmsskolas izglītības iestādes "Piejūra"</t>
  </si>
  <si>
    <t>7.1.3.</t>
  </si>
  <si>
    <t>Aizņēmums</t>
  </si>
  <si>
    <t>Apkure</t>
  </si>
  <si>
    <t>Attīrīšanas saimniecība</t>
  </si>
  <si>
    <t>PII Riekstiņš</t>
  </si>
  <si>
    <t>6.2.7.</t>
  </si>
  <si>
    <t>Projekts "Skolas soma" Ādaži</t>
  </si>
  <si>
    <t>ESF projekts Karjeras atbalsts vispārējās un profesionālās izglītības iestādēs ©</t>
  </si>
  <si>
    <t>ES Padomes projekts LIFE COHABIT ©</t>
  </si>
  <si>
    <t>ESF projekts Atbalsts priekšlaicīgas mācību pārtraukšanas samazināšanai ©</t>
  </si>
  <si>
    <t>SAM 5.5.1. Kultūras objektu būvniecība ©</t>
  </si>
  <si>
    <t>pārrobežu EST-LAT projekts "Militārais mantojums</t>
  </si>
  <si>
    <t>pārrobežu projektu ieņēmumi ©</t>
  </si>
  <si>
    <t>12.3.1.</t>
  </si>
  <si>
    <t>12.3.2.</t>
  </si>
  <si>
    <t>ieņēmumi par telpu nomu</t>
  </si>
  <si>
    <t>ieņēmumi par zemes nomu</t>
  </si>
  <si>
    <t>12.3.3.</t>
  </si>
  <si>
    <t>pārējie ieņēmumi par nomu ©</t>
  </si>
  <si>
    <t>ieņēmumi no dzīvokļu un komunālajiem pakalpojumiem ©</t>
  </si>
  <si>
    <t>12.6.</t>
  </si>
  <si>
    <t>ieņēmumi no zvejas tiesību nomas</t>
  </si>
  <si>
    <t>Informācijas tehnoloģiju nodaļa, vispārējas nozīmes dienestu darbība un pakalpojumi - datortīkla uzturēšana ©</t>
  </si>
  <si>
    <t>Pārrobežu EST-LAT projekts "Militārais mantojums ©</t>
  </si>
  <si>
    <t>Ceļu, ielu infrastruktūras attīstības programma  - pašvaldības ieguldījums ©</t>
  </si>
  <si>
    <t>Tautas nams "Ozolaine" ©</t>
  </si>
  <si>
    <t>SAM 5.5.1. Kultūras objektu būvniecība (maksājumi projekta partneriem) ©</t>
  </si>
  <si>
    <t>ES projekts Eiropa pilsoņiem (diskriminētām personām) ©</t>
  </si>
  <si>
    <t>Ādažu pašvaldības apvienotais budžets</t>
  </si>
  <si>
    <t>Ādaži</t>
  </si>
  <si>
    <t>ERASMUS + projekti</t>
  </si>
  <si>
    <t>Interešu izglītība. Saskaņā ar IZM vēstuli - jāatgriež 2020.gada neizlietotais finansējums. EUR 70'718 (EUR 28'288 (40%) EKK 1119 EUR 22'888; EKK 1210 EUR 5'400; EUR 42'430 (60%) EKK 2239).</t>
  </si>
  <si>
    <t>V</t>
  </si>
  <si>
    <t>Korekcijas</t>
  </si>
  <si>
    <t>Saskaņā a MK 09.04.2021.rīkojumu Nr.236 "Par finanšu līdzekļu piešķiršanu no valsts budžeta programmas "Līdzekļi neparedzētiem gadījumiem" vienreizēja piemaksa pedagogiem par darbu Covid pandēmijas laikā. 13'971 (EUR 11'304 EKK 1147; EUR 2667 EKK 1210)</t>
  </si>
  <si>
    <t>EUR 65 no EKK 1119 uz EKK 7245 (neiztērētās MD atmaksa)</t>
  </si>
  <si>
    <t>Korekcija</t>
  </si>
  <si>
    <t xml:space="preserve">    Atalgojums fiziskajām personām uz tiesiskās attiecības regulējošu dokumentu pamata (atalgojums par  autoratlīdzību un uzņēmuma līgumu iestādes darbiniekiem vai citām fiziskajām personām)</t>
  </si>
  <si>
    <t>- pedagogu algas (mērķdotācija)</t>
  </si>
  <si>
    <t>Koplīguma dāvana darbiniekiem (likuma ietvaros) EUR 15*9</t>
  </si>
  <si>
    <t>Samaksa par ilgstošas sociālās aprūpes un sociālās rehabilitācijas institūciju sniegtajiem pakalpojumiem</t>
  </si>
  <si>
    <t>Kompensācija pie attālinātā darba</t>
  </si>
  <si>
    <t>Grāmatvedība</t>
  </si>
  <si>
    <t>Laila</t>
  </si>
  <si>
    <t>Juristi</t>
  </si>
  <si>
    <t>Dzimtsaraksti</t>
  </si>
  <si>
    <t>IDR</t>
  </si>
  <si>
    <t>Visi</t>
  </si>
  <si>
    <t>Pasta, telefona un citi sakaru pakalpojumi</t>
  </si>
  <si>
    <t>01.110.01 Administrācija</t>
  </si>
  <si>
    <t>Transportlīdzekļu uzturēšana un remonts</t>
  </si>
  <si>
    <t>CND</t>
  </si>
  <si>
    <t>01.330.03 Informācijas tehnoloģiju nodaļa, vispārējas nozīmes dienestu darbība un pakalpojumi - datortīkla uzturēšana</t>
  </si>
  <si>
    <t>Atalgojums fiziskajām personām uz tiesiskās attiec.pam.( ārštats)</t>
  </si>
  <si>
    <t>DD sociāla rakstura pabalsti un kompensācijas, no kuriem neaprēķina ie</t>
  </si>
  <si>
    <t>Informācijas tehnoloģijas pakalpojumi</t>
  </si>
  <si>
    <t xml:space="preserve">ĀND </t>
  </si>
  <si>
    <t>Piemaksa par virsstundu darbu</t>
  </si>
  <si>
    <t>Izdevumi par saņemtajiem apmācību pakalpojumiem</t>
  </si>
  <si>
    <t>Pievienotās vērtības nodoklis</t>
  </si>
  <si>
    <t>Kompensācija strādājot attālināti</t>
  </si>
  <si>
    <t>Pārējie komandējumu un dienesta braucienu izdevumi</t>
  </si>
  <si>
    <t>Pasta, telefona un citu sakaru pakalpojumi</t>
  </si>
  <si>
    <t>Dezinfekcijas līdzekļi un statīvs</t>
  </si>
  <si>
    <t>Izdevumi par precēm iestādes administratīvās darbības nodrošināšanai</t>
  </si>
  <si>
    <t>Datoru palīgierīces</t>
  </si>
  <si>
    <t>Venden</t>
  </si>
  <si>
    <t>Skursteņslauča pakalpojujmi</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</si>
  <si>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</si>
  <si>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</si>
  <si>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</si>
  <si>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</si>
  <si>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</si>
  <si>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0952.1</t>
  </si>
  <si>
    <t>0954</t>
  </si>
  <si>
    <t>0957</t>
  </si>
  <si>
    <t>Izdevumu kompensācija strādājot attālināti</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</si>
  <si>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</si>
  <si>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</si>
  <si>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</si>
  <si>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</si>
  <si>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</si>
  <si>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Sociālais dienests - SAM 9311 Deinstitucionalizācija - Dienas centrs Carnikava</t>
  </si>
  <si>
    <t>Basketbola aprīkojuma remonts</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</si>
  <si>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</si>
  <si>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</si>
  <si>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</si>
  <si>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</si>
  <si>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</si>
  <si>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</si>
  <si>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</si>
  <si>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</si>
  <si>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</si>
  <si>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</si>
  <si>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Tālruņu izdevumi ( Lattelecom, Bite )</t>
  </si>
  <si>
    <t xml:space="preserve">Pasta izdevumi. </t>
  </si>
  <si>
    <t>Personīgā auto nolietojums</t>
  </si>
  <si>
    <t>Pārējie komandējuma izdevumi (Iekšzemes)</t>
  </si>
  <si>
    <t>Izmaksas</t>
  </si>
  <si>
    <t>10.500.03 ESF projekts "Algotie pagaidu sabiedriski darbi pašvaldības" Nr.7APSD-42-2016</t>
  </si>
  <si>
    <t>09824</t>
  </si>
  <si>
    <t>VISA projekts "Atbalsts izglītojamo individuālo kompetenču attīstībai" Carnikava</t>
  </si>
  <si>
    <t>09.530.05 ESF Atbalsts izglītojamo individuālo kompetenču attstibai Nr.8.3.2.2/16/I/001</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</si>
  <si>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</si>
  <si>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</si>
  <si>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</si>
  <si>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</si>
  <si>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</si>
  <si>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</si>
  <si>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</si>
  <si>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</si>
  <si>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</si>
  <si>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</si>
  <si>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</si>
  <si>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0650_4</t>
  </si>
  <si>
    <t>Pamatlīdzekļu izveidošana un nepabeigtā celtniecība</t>
  </si>
  <si>
    <t>08.290.24 Eiropas pilsētas veicina starpkulturu dialogu un ciņu pret migrantu un minoritāšu diskrimināciju</t>
  </si>
  <si>
    <t>Valsts un pašvaldību budžeta dotācija komersantiem, biedrībām un nodibinājumiem</t>
  </si>
  <si>
    <t>09011</t>
  </si>
  <si>
    <t>Algas</t>
  </si>
  <si>
    <t>Rīkojums ĀNP/1-6-1/21/29</t>
  </si>
  <si>
    <t>Naudas balvas, prēmijas</t>
  </si>
  <si>
    <t>Pielikums Nr.1 Carnikavas novada domes 11.09.2020. rīkojumam Nr.01-7.1/22</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</si>
  <si>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</si>
  <si>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</si>
  <si>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</si>
  <si>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</si>
  <si>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Pielikums Nr.1 Carnikavas novada domes 11.09.2020. rīkojumam Nr.01-7.1/23</t>
  </si>
  <si>
    <t>Izdevumi par siltumenerģiju +30%</t>
  </si>
  <si>
    <t>Kārtējā remonta un iestāžu un uzturēšanas materiāli</t>
  </si>
  <si>
    <t>Virtuves inventārs, trauki un galda piederumi</t>
  </si>
  <si>
    <t>Saskaņā ar attīstības plānu 201.-2023.gadam, uzdevums "Veikt iestādes vides riska faktoru izvērtēšanu." 3.	Pirmsskolas attīstības prioritātes 2020.-2023.gadam</t>
  </si>
  <si>
    <t>0901; 650_0901</t>
  </si>
  <si>
    <t>Pasta izdevumi Eur 25.00</t>
  </si>
  <si>
    <t xml:space="preserve">Avārijas remontu rezerve </t>
  </si>
  <si>
    <t>Ziedi un to izstrādājumi nozīmīgiem pasākumiem (t.sk. Izlaidums, 1. septembris, Skolotāju diena)</t>
  </si>
  <si>
    <t>0902; 650_0902</t>
  </si>
  <si>
    <t>09021</t>
  </si>
  <si>
    <t>0982</t>
  </si>
  <si>
    <t>09821</t>
  </si>
  <si>
    <t>09822</t>
  </si>
  <si>
    <t>0982; 0650_0982</t>
  </si>
  <si>
    <t>0901</t>
  </si>
  <si>
    <t>09.530.07 Valsts programma "Latvijas skolas soma"</t>
  </si>
  <si>
    <t>0932</t>
  </si>
  <si>
    <t>0931</t>
  </si>
  <si>
    <t>09.530.08 ESF projekts Atbalsts priekšlaicīgas mācību pārtraukšanas</t>
  </si>
  <si>
    <t>DD Valsts sociālā apdrošināšanas obligātā iemaksa</t>
  </si>
  <si>
    <t>DD sociāla rakstura pabalsti un kompensācijas, no kuriem aprēķina ienā</t>
  </si>
  <si>
    <t>09.530.06 ESF Karjeras atbalsts vispārējās un profesionālās izglītības iestādes</t>
  </si>
  <si>
    <t>Izdevumi periodikas iegādei</t>
  </si>
  <si>
    <t>Informācijas tehnoloģiju nodaļa</t>
  </si>
  <si>
    <t>P1</t>
  </si>
  <si>
    <t>08.290.19 ESF projekts SAM 9.2.4.2. Sabiedrības veselība un sports</t>
  </si>
  <si>
    <t>Procenti/ parāda apkalpošana</t>
  </si>
  <si>
    <t>Lursoft.</t>
  </si>
  <si>
    <t>KAC darbin. attālin. Darba veikšanai</t>
  </si>
  <si>
    <t>Dezinfekcijas salvetes dokumentu apstrādei arhīvam</t>
  </si>
  <si>
    <t>Kursu apmeklējumi. Ja vidēji EUR 85 uz darbinieku*60</t>
  </si>
  <si>
    <t>Dalība pašvaldību savienības kongresā EUR 35*3*3</t>
  </si>
  <si>
    <t>PFI</t>
  </si>
  <si>
    <t xml:space="preserve">Autoservisa pakalpojumi  </t>
  </si>
  <si>
    <t>LG</t>
  </si>
  <si>
    <t>2023. gada kalendāru piegāde.</t>
  </si>
  <si>
    <t>Datorprogrammu licences izdevumi:Photoshop, Illustrator, InDesign, Adobe XD, Lightroom, Acrobat Pro, Animate, Dreamweaver, Premiere Pro, Premiere Rush, After Effects, Dimension, InCopy, Lightroom Classic, Media Encoder, Character Animator. (66,99 eiro mēnesīx12=804)</t>
  </si>
  <si>
    <t>ES standartu gadskārtējā pārbaude tīmekļvietnēm saskaņā ar MK not.</t>
  </si>
  <si>
    <t>Kursu, semināru apmeklējumi. (EUR 75  x 5 cilvēki)</t>
  </si>
  <si>
    <t>Kārtridžu uzpildīšana (23,90 x5) = 119.50</t>
  </si>
  <si>
    <t xml:space="preserve">Balvas novada apbalvojumiem (sudraba un zelta nozīmītes "Goda Ādažnieks" 2023.g.). </t>
  </si>
  <si>
    <t>Video statīvs Manfrotto Befree live Carbon fiber tripod twist, video head (MVKBFRTC-LIVE) https://www.masterfoto.lv/lv/video-stativi/27367-Manfrotto-Befree-live-Carbon-fiber-tripod-twist-video-head-MVKBFRTCLIVE.html?search_query=karbona+stativs+video&amp;results=14 € 315,45</t>
  </si>
  <si>
    <t>Objektīvs Sony FE 24-105mm f/4 G Oss Lens SEL24105G https://www.masterfoto.lv/lv/objektivi/12524-Sony-FE-24105mm-f4-G-Oss-Lens-SEL24105G.html 1269, 96 eiro</t>
  </si>
  <si>
    <t>Kompensācija attālināta darba veikšana</t>
  </si>
  <si>
    <t>Transports Gaujas svētki dažādām aktivitātēm</t>
  </si>
  <si>
    <t>Transports Valsts svētku pasākumiem ārpus ĀKC telpām</t>
  </si>
  <si>
    <t xml:space="preserve">Maksas pasākumu (garantēto) programmu apmaksa.  Prognozētie ieņēmumiem no kultūras  pasākumiem. Piem., filmu izrādes katru Maksas pasākumu (garantēto) programmu apmaksa.   </t>
  </si>
  <si>
    <t>Kvadracikla OCTA</t>
  </si>
  <si>
    <t>Dzelzs ārdurvju remonts</t>
  </si>
  <si>
    <t>tatjanai (40 gadi), Agnetai (40 gadi), Marinai (60 gadi), Aldonai 15 gadu darba jubileja</t>
  </si>
  <si>
    <t>Transports Florbola komandas nodrošināšanai uz sacensībām</t>
  </si>
  <si>
    <t>Transports Basketbola komandas nodrošināšanai uz sacensībām</t>
  </si>
  <si>
    <t>Finansējums Ādažu novada sporta komandām</t>
  </si>
  <si>
    <t>Izdevumu tāme</t>
  </si>
  <si>
    <t>Sporta veids</t>
  </si>
  <si>
    <t>Transports</t>
  </si>
  <si>
    <t>Dalības maksas, licences, saskaņā ar Federāciju izcenojumu</t>
  </si>
  <si>
    <t>Formas</t>
  </si>
  <si>
    <t>Kopā sekcijā</t>
  </si>
  <si>
    <t xml:space="preserve">Florbols </t>
  </si>
  <si>
    <t>Amatieru grupas komanda</t>
  </si>
  <si>
    <t xml:space="preserve">Basketbols </t>
  </si>
  <si>
    <t>Pavisam kopā</t>
  </si>
  <si>
    <t>Ielikām, ka visiem jāiet OVP</t>
  </si>
  <si>
    <t>Biedru naudas iemaksas Latvijas Sporta federācijās</t>
  </si>
  <si>
    <t>Pasākums</t>
  </si>
  <si>
    <t>Norises vieta</t>
  </si>
  <si>
    <t>Kopējie izdevumi</t>
  </si>
  <si>
    <t>Jaungada džudo turnīrs</t>
  </si>
  <si>
    <t>Ādažu novada sporta laureāts</t>
  </si>
  <si>
    <t>Carnikavas kauss zolītē</t>
  </si>
  <si>
    <t>Carnikavas pavasara nūjošana</t>
  </si>
  <si>
    <t>Ādažu pavasara MTB velomaratons</t>
  </si>
  <si>
    <t>GAUJAS SVĒTKU sporta programma</t>
  </si>
  <si>
    <t>Ekstrēmo sporta veidu fetsivāls (norisinās pumpu trasē)</t>
  </si>
  <si>
    <t>Garkalnes ciema SPORTA FESTIVĀLS</t>
  </si>
  <si>
    <t>Garkalne</t>
  </si>
  <si>
    <t>Kalngales "Kaimiņu dienas"</t>
  </si>
  <si>
    <t>Kalngale</t>
  </si>
  <si>
    <t>A.Vītoliņa piemiņas turnīrs šahā</t>
  </si>
  <si>
    <t>Carnikavas kauss futbolā veterāniem/ D.Gudermaņa kauss</t>
  </si>
  <si>
    <t>Ādaži, Carnikava</t>
  </si>
  <si>
    <t>Nēģu svētku sporta programma</t>
  </si>
  <si>
    <t>Ādažu aktīvās atpūtas un sporta diena "Ādaži Sporto"</t>
  </si>
  <si>
    <t>Aktīvā pastaiga "IeČāpo"</t>
  </si>
  <si>
    <t>Carnikavas rudens kross</t>
  </si>
  <si>
    <t>Izdevumi kopā:</t>
  </si>
  <si>
    <t>Bāze_Pasākumi</t>
  </si>
  <si>
    <t>Basketbola komandas dalība Ramirent Nacionālajā Basketbola līgā</t>
  </si>
  <si>
    <t>Florbola komandas dalība Elvi Virslīgā</t>
  </si>
  <si>
    <t xml:space="preserve">13.09.2021.-31.07.2022. SIA "Spa serviss" par remontiem kopsumma EUR 2844*1,21=3'441,24. </t>
  </si>
  <si>
    <t>13.10.2020.-30.06.2021. SIA SIA "SPA Servisa Centrs" ķimikālijas - gada summa EUR 6650.</t>
  </si>
  <si>
    <t>Ikmēneša apgaismojuma elektrosistēmas apkalpošana. SIA Leģenda Gold EUR 90+PVN=108.9*12=1306.8 (06.11.2020. -13.11.2022.)
Saskaņā ar jauno noslēgo līgumu Nr.JUR2020-11/847</t>
  </si>
  <si>
    <t>WEB kameras uzturēšana (nomas maksa par online strīmu) Carnikavas stadionā</t>
  </si>
  <si>
    <t>Trenažieru zāles aprīkojums</t>
  </si>
  <si>
    <t>kopā</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</si>
  <si>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</si>
  <si>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</si>
  <si>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Tautas nama lielajā zālē ir nepieciešama gaismekļu nomaiņa, jo esoši gaismekļi ir nolietoti. Gaismekļu korpuss novecošanās rezultātā ir kļuvis trausls un plaisā. Daudziem gaismekļiem nav aizsargstikli, dažiem aizsargstikli ir bojāti (ar caurumiem). Ieteicams izvērtēt iegādāties gaismekļus ar dimmēšanu, lai būtu iespējams pielāgot telpas apgaismojumu notiekošajiem pasākumiem.</t>
  </si>
  <si>
    <t>ĀN Muzejs</t>
  </si>
  <si>
    <t>Info centrs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</si>
  <si>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</si>
  <si>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</si>
  <si>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</si>
  <si>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</si>
  <si>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CND Novadpētniecības centrs</t>
  </si>
  <si>
    <t xml:space="preserve">Muzejs - Tehniskā aprīkojuma remonts </t>
  </si>
  <si>
    <t>CND infocentrs</t>
  </si>
  <si>
    <t>CND Info centrs</t>
  </si>
  <si>
    <t>Muzejs - Saimiecības izdevumi ( vāzes, svečturi u.taml.)</t>
  </si>
  <si>
    <t>CND Carnikavas novadpētniecības centrs - Zvejnieku mājas fasādes krāsošana un atjaunošana</t>
  </si>
  <si>
    <t>Koplīguma dāvana darbiniekiem (likuma ietvaros) EUR 15*5</t>
  </si>
  <si>
    <t>30% kompensāijas maksa studijām (rezerve) 3 mācīsies</t>
  </si>
  <si>
    <t>Pasta pakalpojumi ierakstītajām vēstulēm (bērnu uzņemšana)</t>
  </si>
  <si>
    <t>Dalība kursos, konferencēs, kongresos, semināros, t.sk.telpu īre, lektora izmaksas, t.sk. izmitināšanas, ēdināšanas; izglītojamo papildus izglītības programmas</t>
  </si>
  <si>
    <t>Eliis izmantošana, Edukas Latvia, SIA</t>
  </si>
  <si>
    <t>Klavieru skaņošana….Inventāra, aparatūras remonts, tehniskā apkalpošana, kalibrēšana, verificēšana</t>
  </si>
  <si>
    <t>Lifts, pedbaseins, ventilācijas apkope, medicīnas iekārtu verifikācija nodrošina PA "Komunālserviss"</t>
  </si>
  <si>
    <t>Rezerve, pārējo nodrošina PA "Komunālserviss"</t>
  </si>
  <si>
    <t xml:space="preserve">Kopētāja noma (tiks izņemts, ja iegādāsies jaunu kopētāju), </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</si>
  <si>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</si>
  <si>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</si>
  <si>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</si>
  <si>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</si>
  <si>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</si>
  <si>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</si>
  <si>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</si>
  <si>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</si>
  <si>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</si>
  <si>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</si>
  <si>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</si>
  <si>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</si>
  <si>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</si>
  <si>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</si>
  <si>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</si>
  <si>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</si>
  <si>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C12.1.2.1. Veselīga dzīvesveida veicināšana</t>
  </si>
  <si>
    <t>C8.1.2.3. Iekļaujošas pirmsskolas izglītības pieejamības nodrošināšana</t>
  </si>
  <si>
    <t>C12.1.2.4. Izglītojošo, kultūras un sporta pasākumu organizēšana ģimenēm (bērniem, jauniešiem, vecākiem un senioriem)</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</si>
  <si>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</si>
  <si>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</si>
  <si>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</si>
  <si>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</si>
  <si>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</si>
  <si>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</si>
  <si>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</si>
  <si>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 xml:space="preserve"> C16.1.1.2. Pašvaldības iestāžu, struktūrvienību un uzņēmumu materiāltehniskās bāzes paplašināšana</t>
  </si>
  <si>
    <t xml:space="preserve">Stacijas iela 5 -215,20eur/mēn.; </t>
  </si>
  <si>
    <t xml:space="preserve">Telefoni VoIP ar ierakstu -147,43eur/mēn. </t>
  </si>
  <si>
    <t>MikroTik apmācības (Sertifikāru pagarināšana); Elektro drošība B kategorija.</t>
  </si>
  <si>
    <t>Tīkla vadu testēšanai un izšūšanai instrumenti, kā arī optisko tīkla vadu testeris.</t>
  </si>
  <si>
    <t>150EUR mēnesī ~100l degvielas</t>
  </si>
  <si>
    <t>Esošo veco MS Office licenžu atjaunināšana</t>
  </si>
  <si>
    <t>Pēc koplīguma - EUR 150 uz personu briļļu iegādei vai apdrošināšanai (21 darbinieki)</t>
  </si>
  <si>
    <t>Koplīguma dāvana darbiniekiem (likuma ietvaros) EUR 15*21</t>
  </si>
  <si>
    <t xml:space="preserve">Līgums Nr. JUR 2021-10/755 </t>
  </si>
  <si>
    <t xml:space="preserve">IT 5 darbiniekiem mobilie telefoni ar bezlimita internetu -50eur/mēn. </t>
  </si>
  <si>
    <t>CN Stacionāro datoru nomaiņa uz Portatīvajiem datoriem (1200eur/gab.), jauni monitori, u.t.t.</t>
  </si>
  <si>
    <t>EUR 15*5</t>
  </si>
  <si>
    <t>Kompensācija par auto amortizāciju - Priekšsēdētāja vietnieks ~EUR 57*12</t>
  </si>
  <si>
    <t>Internetbankas apkalpošanas maksa 238737 EUR 12,81*12m</t>
  </si>
  <si>
    <t>Priekšsēdētāja vietnieks  100 l*12</t>
  </si>
  <si>
    <t>Pieaugums</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</si>
  <si>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</si>
  <si>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</si>
  <si>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</si>
  <si>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Edurio pakalpojumiem</t>
  </si>
  <si>
    <t>SIA „Ādažu Ūdens” 738*12=8856</t>
  </si>
  <si>
    <t>VAS „Latvenergo” + 30% pie faktiskā</t>
  </si>
  <si>
    <t xml:space="preserve">Veļas mazgāšana. </t>
  </si>
  <si>
    <t>SIA "Profilakse" - deratizācija.</t>
  </si>
  <si>
    <r>
      <t>Elektrosaimniecības apkalpošana</t>
    </r>
    <r>
      <rPr>
        <b/>
        <i/>
        <sz val="8"/>
        <color theme="4" tint="-0.499984740745262"/>
        <rFont val="Arial"/>
        <family val="2"/>
        <charset val="186"/>
      </rPr>
      <t xml:space="preserve"> SIA Leģenga Gold</t>
    </r>
    <r>
      <rPr>
        <i/>
        <sz val="8"/>
        <color theme="4" tint="-0.499984740745262"/>
        <rFont val="Arial"/>
        <family val="2"/>
        <charset val="186"/>
      </rPr>
      <t xml:space="preserve"> Remontmateriālu un remontu rezerve 500,00 eur+PVN</t>
    </r>
  </si>
  <si>
    <t xml:space="preserve"> eis- kārtridži. EUR 1275,00</t>
  </si>
  <si>
    <t>eis-kancelejas preces EUR 700,00</t>
  </si>
  <si>
    <t>Rezerve jauno amat vietu nodrošināšanai</t>
  </si>
  <si>
    <t xml:space="preserve">SIA "iŽurnāli" - iFinanses, </t>
  </si>
  <si>
    <t>GDN lielajā kabinetā bijušais SID Kondicioniera pārcelšana no koridora uz kabinetu</t>
  </si>
  <si>
    <t>Dezinfekcijas materiāli, uzturēšanas lietas</t>
  </si>
  <si>
    <t xml:space="preserve">Ziedi un to izstrādājumi, </t>
  </si>
  <si>
    <r>
      <t>Reprezentācijas rezerve (kliņģeri utt.)</t>
    </r>
    <r>
      <rPr>
        <i/>
        <sz val="8"/>
        <color theme="3"/>
        <rFont val="Arial"/>
        <family val="2"/>
      </rPr>
      <t xml:space="preserve"> Konditoreja SaracēnsSumma Pārvaldei, Venden</t>
    </r>
  </si>
  <si>
    <t>Grāmatu kaste iedzīvotāju vajadzību nodrošināšanai</t>
  </si>
  <si>
    <t>Līdzfinansējums Salaspils domei  par programmas Alise-i servera uztur., metodiskā palīdzība semināri u.t.t.</t>
  </si>
  <si>
    <t>Preču pievešana</t>
  </si>
  <si>
    <t>MK Nr.238</t>
  </si>
  <si>
    <t>17 grupām rotaļlietas 200*17+5%cenu pieaugums</t>
  </si>
  <si>
    <t>Degviela vadītājai 34*10 (20% cenas pieaugums)</t>
  </si>
  <si>
    <t>Degviela saimniecības daļas vadītājam 34*11(20% cenas pieaugums)</t>
  </si>
  <si>
    <t>Edurio programma datu apstrādei</t>
  </si>
  <si>
    <t>Datorprogrammu un licenču iegāde (Tajā skaitā MS Teams)</t>
  </si>
  <si>
    <t xml:space="preserve">Students against extinction (J.Litvinovs) </t>
  </si>
  <si>
    <t>Ekoskolas Zaļais karogs</t>
  </si>
  <si>
    <t xml:space="preserve">Mācību līdzekļi atbalsta komandas katedrai </t>
  </si>
  <si>
    <t>maconis.zvaigzne.lv</t>
  </si>
  <si>
    <t>Daiļliteratūra</t>
  </si>
  <si>
    <t>Mācību līdzekļi un materiāli PI izglītības psihologam</t>
  </si>
  <si>
    <t>Mācību līdzekļi un materiāli ĀBECĪTE</t>
  </si>
  <si>
    <t>Mācību līdzekļi un materiāli BURTIŅI</t>
  </si>
  <si>
    <t>Mācību līdzekļi un materiāli CIPARIŅI</t>
  </si>
  <si>
    <t>Mācību līdzekļi un materiāli KĀPĒCĪŠI</t>
  </si>
  <si>
    <t>Mācību līdzekļi un materiāli RAKARI</t>
  </si>
  <si>
    <t>Mācību līdzekļi un materiāli mūzikas stundās</t>
  </si>
  <si>
    <t>Mācību līdzekļi un materiāli sporta stundās</t>
  </si>
  <si>
    <t>Metodiskā literatūra</t>
  </si>
  <si>
    <t>Darba apģērbs mediķiem, labiekārtošanas strādniekiem</t>
  </si>
  <si>
    <t xml:space="preserve">Ādažu vidusskolas sākumskolas 1.-2. klašu viena skolēna pusdienu ēdināšana dienā: 402 x 1.42 x 22 x 8 (valsts mērķdotācija) </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</si>
  <si>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</si>
  <si>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</si>
  <si>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</si>
  <si>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</si>
  <si>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</si>
  <si>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</si>
  <si>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3 nometnes (māksla, mūzika, deja) - 90 audzēkņi x EUR 100.00 - pakalpojumu cenas (ēdināšana, naktsmītnes, inspekciju atzinumi) katru gadu pieaug.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</si>
  <si>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</si>
  <si>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</si>
  <si>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</si>
  <si>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</si>
  <si>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Darbinieku tālākizglītības kursi, palielinājums sakarā ar jaunā satura ieviešanu        </t>
  </si>
  <si>
    <t xml:space="preserve">VTP16. RV16.1. U16.1.1. Ā16.1.1.4. Darbinieku kvalifikācijas paaugstināšana                                                                                       </t>
  </si>
  <si>
    <t xml:space="preserve">Meistarklases ĀMMS </t>
  </si>
  <si>
    <t xml:space="preserve">VTP8. RV8.2. U8.2.4.Ā8.2.4.1. atbalsts iestādes rīkoto konkursu, festivālu organizēšanai </t>
  </si>
  <si>
    <t xml:space="preserve">Stabila interneta risinājumi attālinātā procesa nodrošināšanai - nepieciešams paātrināt ātrumu, pievienot papildu iekārtas, izskatīt individuālus risinājumus problēmas risināšanai. </t>
  </si>
  <si>
    <t xml:space="preserve">Datortehnikas remonts </t>
  </si>
  <si>
    <t>Printeru un kopētāja kārtridži - ļoti dārgi. nāk arī citas iestādes printēt, piemēram diplomus utml, kā arī palielinājies printeru skaits.</t>
  </si>
  <si>
    <t>VTP16. RV16.1.U16.1.1.Ā16.1.1.3. Pašvaldības iestāžu materiāltehniskās bāzes paplašināšana</t>
  </si>
  <si>
    <t>Izstāžu eksponēšanas sistēmas turpināšana.</t>
  </si>
  <si>
    <t xml:space="preserve">10gab stepa deja kurpes mācību procesa nodrošināšanai Dejas nodaļā </t>
  </si>
  <si>
    <t xml:space="preserve">Mazie, kompaktie projektori, OV-MULTIPIC 3.5 datorgrafikas stundu nodrošināšanai. </t>
  </si>
  <si>
    <t>izglītības administrēšanas speciālists</t>
  </si>
  <si>
    <t>interešu izglītības koordinators</t>
  </si>
  <si>
    <t xml:space="preserve"> izglītības satura un kvalitātes speciālists</t>
  </si>
  <si>
    <t xml:space="preserve"> jaunatnes lietu speciālists</t>
  </si>
  <si>
    <t>U.8.1.4.</t>
  </si>
  <si>
    <t>U.8.4.1.
U.8.4.2.</t>
  </si>
  <si>
    <t>U.16.1.4.</t>
  </si>
  <si>
    <t>U15.1.4.</t>
  </si>
  <si>
    <t>No 2022.gada septembra līdz 31.decembrim 1.42x20x170x4=19312.00 EUR ,kopā 38851.20 EUR</t>
  </si>
  <si>
    <t>telpu īre mākslas nodaļai Atpūtas ielā 1, Carnikavā ~EUR 2'085/mēn</t>
  </si>
  <si>
    <t>Koplīguma dāvana darbiniekiem (likuma ietvaros) EUR 15*20</t>
  </si>
  <si>
    <t>LM dotācija, nāks atpakaļ. Plānoti 12 darbinieki ~EUR 122 +soc.nod.</t>
  </si>
  <si>
    <t>Līgums par optiskā kabeļa apkalpošanu (mēnesī EUR 121*12 mēn) Ādaži</t>
  </si>
  <si>
    <t>Sociālā dienesta vadītāja I.Roze, un divi vietnieki  personīgais transportlīdzeklis max nolietojums mēnesī EUR 19/14/14</t>
  </si>
  <si>
    <t>Ērču potes EUR 30*7 darbinieki (pēc rīkojuma)</t>
  </si>
  <si>
    <t xml:space="preserve">Telpu īre (2019-04/271) no 01.04.2019. EUR 5*197,1kvm+PVN. (EUR 892+PVN + komunālie) </t>
  </si>
  <si>
    <t>Reprezentācijas materiāli , jaunā DI centra atklāšana</t>
  </si>
  <si>
    <t>Portatīvā datora licence 2 gab.</t>
  </si>
  <si>
    <t>Bāze_pabalsti</t>
  </si>
  <si>
    <t>Ārkārtas situācija 700 EUR ar  Domes lēmumu piešķir pabalstu pēc ugunsgrēka.</t>
  </si>
  <si>
    <t>Trūcīgajiem mācību līdzekļu iegādei</t>
  </si>
  <si>
    <t xml:space="preserve">Mājokļa pabalsts </t>
  </si>
  <si>
    <t>Pielikums Nr 1</t>
  </si>
  <si>
    <t>Pasākuma organizēšana  Ziemassvētku labdarības pasākumam bērniem EUR 1000</t>
  </si>
  <si>
    <t xml:space="preserve">Brīvā laika centrs Pīlādzis </t>
  </si>
  <si>
    <t>Servisa suņa pakalpojums</t>
  </si>
  <si>
    <t>Līgums par uzkopšanu</t>
  </si>
  <si>
    <t>Maināmie paklāji</t>
  </si>
  <si>
    <t>Pielikums Nr. 2</t>
  </si>
  <si>
    <t>Aprīkojums</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</si>
  <si>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</si>
  <si>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</si>
  <si>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 xml:space="preserve">SIA TET, SIA EUR 100*12 </t>
  </si>
  <si>
    <t>Balstoties uz MK noteikumiem..17 cilvēki * (EUR 40). OVP</t>
  </si>
  <si>
    <t>Kārtridžu uzpilde 100 EUR Ādaži, 100 EUR Carnikava.</t>
  </si>
  <si>
    <t>Invalīdu pacēlāja apkope EUR 200 Ādaži 360 EUR Carnikava</t>
  </si>
  <si>
    <t>Ēdināšana DAC</t>
  </si>
  <si>
    <t>Alise, - 400</t>
  </si>
  <si>
    <t>Telefonu apmaksa saskaņā ar rīkojumu (vadītāja EUR 15; bibliotekāre EUR 10)</t>
  </si>
  <si>
    <t>lekcijas, tikšanās</t>
  </si>
  <si>
    <t>biroja preces, papīrs</t>
  </si>
  <si>
    <t>tīrīšanas līdzekļi</t>
  </si>
  <si>
    <t>Vadītājs ~ max EUR 57</t>
  </si>
  <si>
    <r>
      <t xml:space="preserve">Toneri. </t>
    </r>
    <r>
      <rPr>
        <i/>
        <sz val="8"/>
        <color theme="3"/>
        <rFont val="Arial"/>
        <family val="2"/>
      </rPr>
      <t>No plānotā 1'000 EUR 150 zem EKK 2239 un EUR 850 zem EKK 2311</t>
    </r>
  </si>
  <si>
    <t>AK 09.02.2021. lēmums, Domes 27.10.2021. lēmums</t>
  </si>
  <si>
    <t>Līguma ar Legenda Gold par elektrības pagaidu pieslēguma izveidi, materiālu nodrošināšanu un uzturēšanu JAUNU Ziemassvētku dekoru uzstādīšanai. Iekšējo un ārējo elektrotīklu un apgaismes</t>
  </si>
  <si>
    <t>Latvijas valsts ceļu ikgadējais maksājums par elektrību, par elektrību 2021.gadā maksājums būs 2022.gadā 63 eiro+PVN=76,23 eiro</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</si>
  <si>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</si>
  <si>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</si>
  <si>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</si>
  <si>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</si>
  <si>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Atkritumu izvešana "EBV" ~EUR 220*12</t>
  </si>
  <si>
    <t>Ēku apdrošināšana, 29.04.2021 - 28.04.2022. līgums ar COMPENSA uz gadu kopsumma EUR 3500. Ēkai  G33A EUR 410,-</t>
  </si>
  <si>
    <t>Katla apkalpošana (SIA Dartes līg,JUR 2015-11/920 543 EUR/gadā ar PVN). Pagarināts līdz 30.09.2024.</t>
  </si>
  <si>
    <t>Kursu, semināru apmeklējumi. (9 locekļi * EUR 85)</t>
  </si>
  <si>
    <t>Nepieciešams iegādāties portatīvo datoru I.Žīgurei un divus monitorus I.Žīgurei un E.Kēlerei</t>
  </si>
  <si>
    <t>Telefonu apmaksa</t>
  </si>
  <si>
    <t>~12 deputātiem 50l*1,4 mēnesī</t>
  </si>
  <si>
    <t>2.3.3.1.RS -1 izbūve</t>
  </si>
  <si>
    <t>1013_2</t>
  </si>
  <si>
    <t>Paklāju maiņa</t>
  </si>
  <si>
    <t>Rezerve CMMS Jūras ielas 4 un Atpūtas ielas 1 ēku, būvju un telpu remonta izdevumi</t>
  </si>
  <si>
    <t>uzturēšanas līdzekļi Jūras 4 un Atpūtas 1 ielai ( tualetes papīrs, atkritumu maisi, slotas, ziepes, mazgāšanas, dezinfekcijas līdzekļi, roku dezinfekcijas līdzekļi utt.</t>
  </si>
  <si>
    <t xml:space="preserve">KA 31.12.2021. </t>
  </si>
  <si>
    <t>Mērķdotācija pedagogiem</t>
  </si>
  <si>
    <t>Mērķdotācija interešu izglītība</t>
  </si>
  <si>
    <t>Mērķdotācij</t>
  </si>
  <si>
    <t>Izdevumi par ūdensapgādi un kanalizāciju</t>
  </si>
  <si>
    <t>Izdevumi par siltumenerģiju</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</si>
  <si>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</si>
  <si>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</si>
  <si>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</si>
  <si>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 xml:space="preserve">Degviela komandējumiem un darba braucieniem </t>
  </si>
  <si>
    <t>Zāles un pārsienamie materiāli, medicīniskie instrumenti</t>
  </si>
  <si>
    <t>Zinātniski pētniecisko darbu un laboratorijas darbiem nepieciešamais inventārs, instrumenti un materiāli</t>
  </si>
  <si>
    <t>Ēdināšanas izdevumi</t>
  </si>
  <si>
    <t>2021./2022. m.g. 2. semestris 1.-4. klašu izglītojamajiem</t>
  </si>
  <si>
    <t>Mācību maksas kompensācija</t>
  </si>
  <si>
    <t>SIA "Enviroprojekts" 2022.g. 20% avanss EUR 6'846,66 (ar PVN); 2023.g. EUR 27'386,66</t>
  </si>
  <si>
    <t>Garciemā apgaismes armatūra videonovērošanas uzstādīšanai Optika 100/100 ar vienu statisko IP</t>
  </si>
  <si>
    <t>Stacijas iela VoIP abonēšanas maksa</t>
  </si>
  <si>
    <t>Sarunu ieraksts</t>
  </si>
  <si>
    <t>CKS - Domes teritorijas kopšana,uzturēšana (bāze)</t>
  </si>
  <si>
    <t>Nav iekļauts bāzes aprēķinos</t>
  </si>
  <si>
    <t>ĀND</t>
  </si>
  <si>
    <t>NĪD</t>
  </si>
  <si>
    <t>5.5.</t>
  </si>
  <si>
    <t>Bibliotēka Ādaži (bāze)</t>
  </si>
  <si>
    <t>Bibliotēka Carnikava (bāze)</t>
  </si>
  <si>
    <t>Muzejs_Carnikavas novadpētniecības centrs (bāze)</t>
  </si>
  <si>
    <t>Tautas nams "Ozolaine" (bāze)</t>
  </si>
  <si>
    <t>7.5.</t>
  </si>
  <si>
    <t>Sociālā centra "Kadiķis" uzturēšana (bāze)</t>
  </si>
  <si>
    <t>Stipendiāti / bezdarbnieki (bāze)</t>
  </si>
  <si>
    <t>Pirmsskolas izglītības iestāde "Riekstiņš" (bāze)</t>
  </si>
  <si>
    <t>Pirmsskolas izglītības iestādes "Piejūra" (bāze)</t>
  </si>
  <si>
    <t>Pirmsskolas izglītības iestādes Ādažu vidusskolā (bāze)</t>
  </si>
  <si>
    <t>Carnikavas pamatskola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</si>
  <si>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</si>
  <si>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</si>
  <si>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</si>
  <si>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</si>
  <si>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</si>
  <si>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</si>
  <si>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</si>
  <si>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</si>
  <si>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</si>
  <si>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</si>
  <si>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</si>
  <si>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Biroja krēsli skolas administrācijai</t>
  </si>
  <si>
    <t>Zintis Varts ~ max EUR 57</t>
  </si>
  <si>
    <t>Grīnbergs ~ EUR 21</t>
  </si>
  <si>
    <t>Medicīniskā.  Potes 40x3=120</t>
  </si>
  <si>
    <t xml:space="preserve">Pārējie iepriekš neklasificētie pakalpojumu veidi </t>
  </si>
  <si>
    <t>Varts  80 l*1,3*12</t>
  </si>
  <si>
    <t xml:space="preserve"> vadītājs</t>
  </si>
  <si>
    <t>VISA projekts "Atbalsts izglītojamo individuālo kompetenču attīstībai" Ādaži</t>
  </si>
  <si>
    <t>Teritorijas plānošanas nodaļa (bāze)</t>
  </si>
  <si>
    <t>Cits finansējums</t>
  </si>
  <si>
    <t>2.Autoruzraudzība. Līgums vēl nav noslēgts ar SIA “Projekts 3". Līgumsumma EUR 2'400,00+PVN= 2,904.00</t>
  </si>
  <si>
    <t>4. Būvniecība. Iepirkums par Laivu ielas un stāvlaukuma izbūvi ir  noslēdzies 12.11.2021., līgums vēl nav noslēgts</t>
  </si>
  <si>
    <t xml:space="preserve"> Laivu ielas virsmas izlīdzināšana no stāvlaukuma līdz jūrai, atbilstoši projekta nosacījumiem un Domes  2021. gada 27.janvāra lēmumam "Par grozījumiem Carnikavas novada domes 2020. gada 23. decembra lēmumā (protokols Nr.27. 5.§)</t>
  </si>
  <si>
    <t>4.2. Būvdarbu sadārdzinājums</t>
  </si>
  <si>
    <t>5. Būvuzraudzība. Veikta cenu aptauja, uzvarētājs SIA “Anita29”, plānotā Līguma summa EUR 5777.00, bez PVN (pretendents nav PVN maksātājs). Līgums nav noslēgts. (cenu aptauja veikta 2021.gada oktobrī)</t>
  </si>
  <si>
    <t>Kopsumma</t>
  </si>
  <si>
    <t>KOPĀ BĀZES IZDEVUMI</t>
  </si>
  <si>
    <t>0831</t>
  </si>
  <si>
    <t>0170</t>
  </si>
  <si>
    <t>0670</t>
  </si>
  <si>
    <t>08.290 8 SAM 5.5.1. Kultūras objektu būvniecība (Saviļņojošā vidzeme)</t>
  </si>
  <si>
    <t>Atalgojums Civilās aizsardzības komisijas sekretāra amatam 10% no amatalgas (1'917) 6 mēneši</t>
  </si>
  <si>
    <t>BĀZES IEŅĒMUMI - BĀZES IZDEVUMI</t>
  </si>
  <si>
    <t>Kredītu pamatsummu atmaksas:</t>
  </si>
  <si>
    <t>Atlikums:</t>
  </si>
  <si>
    <t>Ūdenssaimniecība</t>
  </si>
  <si>
    <t>Kompensācija par auto amortizāciju - I.Bērziņš - max EUR 57</t>
  </si>
  <si>
    <t>Ādažu IP telefonijas uzturēšana - gada maksa. EUR 145,20/ mēn</t>
  </si>
  <si>
    <t>Gaujas iela 16 (Ādaži) Internets ~ EUR 102,9*12</t>
  </si>
  <si>
    <t>Gaujas iela 16 (Ādaži) Telefons, te lieku arī ĀŪ. ~EUR 23*12</t>
  </si>
  <si>
    <t xml:space="preserve">Gaujas iela 33A ; Internets Lattelecom </t>
  </si>
  <si>
    <t>Gaujas iela 33A. WEB uzturēšanai EUR 3,50 mēnesī x 12 (adazi.lv)</t>
  </si>
  <si>
    <t xml:space="preserve">Gaujas 33A; Kurināmais </t>
  </si>
  <si>
    <t>Izglītības, kultūras, sporta un sociālā komiteja EUR 20/mēn</t>
  </si>
  <si>
    <t>Attīstības komiteja EUR 20/mēn</t>
  </si>
  <si>
    <t>Pārējie deputāti 10 * EUR 10/mēn</t>
  </si>
  <si>
    <t>Auto mazgāšana</t>
  </si>
  <si>
    <t>Būvuzraudzība.</t>
  </si>
  <si>
    <t>Būvuzraudzība</t>
  </si>
  <si>
    <t>Parāda procentu maksājumi</t>
  </si>
  <si>
    <t>0902</t>
  </si>
  <si>
    <t>Projekts "Skolas soma" Carnikava</t>
  </si>
  <si>
    <t>Projekts Skolas soma</t>
  </si>
  <si>
    <t>Datu noslēgšana programmā Horizon</t>
  </si>
  <si>
    <t>CKS - dzīvokļu un komunālajiem pakalpojumi (bāze)</t>
  </si>
  <si>
    <t>Sporta stratēģijas nodaļa</t>
  </si>
  <si>
    <t>Teritorijas plānošanas nodaļa</t>
  </si>
  <si>
    <t>Attīstības un projektu nodaļa</t>
  </si>
  <si>
    <t>Attīstības un projektu nodaļa (bāze)</t>
  </si>
  <si>
    <t>P/A "Carnikavas komunālserviss" teritorijas un īpašumu apsaimniekošana</t>
  </si>
  <si>
    <t xml:space="preserve">Ādažu kultūras centrs </t>
  </si>
  <si>
    <t xml:space="preserve">Ādažu bibliotēka </t>
  </si>
  <si>
    <t xml:space="preserve">Carnikavas bibliotēka </t>
  </si>
  <si>
    <t xml:space="preserve">Sociālās funkcijas nodrošināšana </t>
  </si>
  <si>
    <t xml:space="preserve">Puses vienojas izbeigt 2019. gada 5. novembrī noslēgto Nomaksas pirkuma līgumu Nr. 02-14.6/19/245 un 2019. gada 5. novembrī noslēgto Ķīlas līgumu Nr. 02-14.6/19/246. </t>
  </si>
  <si>
    <t>Ii</t>
  </si>
  <si>
    <t>”Mobilitātes punkta infrastruktūras izveidošana Rīgas metropoles areālā – “Carnikava””</t>
  </si>
  <si>
    <t>Maģistrālā  veloceļa izbūve Rīga-Carnikava</t>
  </si>
  <si>
    <t>Latvijas dzelzceļš - objektu noma (01.110.01 Administrācija)</t>
  </si>
  <si>
    <t>Bāzes ieņēmumi</t>
  </si>
  <si>
    <t>Bāzes izdevumi</t>
  </si>
  <si>
    <t>Ā12.1.2.3.</t>
  </si>
  <si>
    <t>C12.1.2.1.</t>
  </si>
  <si>
    <t xml:space="preserve">teritorijas plānotājs  </t>
  </si>
  <si>
    <t>konkurss Daugavpils 1 reizes (40 vietas)</t>
  </si>
  <si>
    <t>Portatīvā datora licence 4 gab.</t>
  </si>
  <si>
    <t>Apaļas jubilejas 3*300</t>
  </si>
  <si>
    <t xml:space="preserve">Programmēšanas darbi datu pārnesei no carnikava.lv uz adazi.lv </t>
  </si>
  <si>
    <t xml:space="preserve">Ā15.1.2.1. un C15.1.2.1. </t>
  </si>
  <si>
    <t xml:space="preserve">Ā15.1.2.4. </t>
  </si>
  <si>
    <t>pusdienu komplekts, tēja un cepums brokastīm/launagam, dzeramais ūdens Venden vai cits, nepeiciešamības gadījumā arī speciālās pārtikas pusdienu komplekts</t>
  </si>
  <si>
    <t>Carnikavas Nēģu svētki</t>
  </si>
  <si>
    <t xml:space="preserve">Mākslas darbu izstādes </t>
  </si>
  <si>
    <t>Konta atlikums</t>
  </si>
  <si>
    <t>KA 31.12.2021. EUR 18'249,72</t>
  </si>
  <si>
    <t>KA 31.12.2021. EUR 125'255. Gada ieņēmumi ~40'000</t>
  </si>
  <si>
    <t>mācību vides labiekārtošana</t>
  </si>
  <si>
    <t>Būvniecība (ar sadārdzinājuus)</t>
  </si>
  <si>
    <t xml:space="preserve">Nodaļas vadītāja vietniece I.Pērkone- max EUR 19 </t>
  </si>
  <si>
    <t xml:space="preserve">Vecākais eksperts (vakance) max `19 EUR </t>
  </si>
  <si>
    <t>Ārvalstu sadarbība ES Dienas nauda  = 4*42 *4 darbinieki= 672</t>
  </si>
  <si>
    <t>Ārvalstu delegāciju uzņemšanas pakalpojumu nodrošināšana (transpotrts, ekskursijas utml.)</t>
  </si>
  <si>
    <t>Nodokļi un maksājumi par tiesībām lietot atsevišķas preces</t>
  </si>
  <si>
    <t>Ekonomiskā darbība</t>
  </si>
  <si>
    <t>skolas akreditācija</t>
  </si>
  <si>
    <t>Konta atlikums 31.12.2021.</t>
  </si>
  <si>
    <t>pārējie ieņēmumi/ stāvvietu ieņēmumi</t>
  </si>
  <si>
    <t>ŠIS EUR 25'770 IR CKS KONTU ATLIKUMĀ, SAMAZINĀTS PAR 4'567, JO NO LAD KONTA ATLIKUMS DOMĒ EUR 57'269; NO LAD IENĀKS 230'685; AIZŅĒMUMS eur 178'120. PROJEKTA KOPSUMMA 2022.GADĀ EUR 491'843 CKS_04.510.21 Ceļu ielu infrastruktūras attīstības programma</t>
  </si>
  <si>
    <t>Nekustamo īpašumu uzturēšana (Ā)</t>
  </si>
  <si>
    <t>KA uz 31.12.2021. - par janvāri.</t>
  </si>
  <si>
    <t>Dabas resursu nodokļa izlietojums</t>
  </si>
  <si>
    <t>Vides aizsardzība</t>
  </si>
  <si>
    <t>6.4.1.</t>
  </si>
  <si>
    <t>6.4.2.</t>
  </si>
  <si>
    <t>6.4.6.</t>
  </si>
  <si>
    <t>6.4.7.</t>
  </si>
  <si>
    <t>6.4.8.</t>
  </si>
  <si>
    <t>6.4.9.</t>
  </si>
  <si>
    <t>7.6.</t>
  </si>
  <si>
    <t>7.7.</t>
  </si>
  <si>
    <t>7.8.</t>
  </si>
  <si>
    <t>7.9.</t>
  </si>
  <si>
    <t>8.1.1.</t>
  </si>
  <si>
    <t>8.1.2.</t>
  </si>
  <si>
    <t>8.1.3.</t>
  </si>
  <si>
    <t>8.1.5.</t>
  </si>
  <si>
    <t>8.1.6.</t>
  </si>
  <si>
    <t>8.3.3.</t>
  </si>
  <si>
    <t>9.2.1.</t>
  </si>
  <si>
    <t>9.2.2.</t>
  </si>
  <si>
    <t>9.3.</t>
  </si>
  <si>
    <t>9.3.1.</t>
  </si>
  <si>
    <t>9.3.2.</t>
  </si>
  <si>
    <t>9.4.</t>
  </si>
  <si>
    <t>9.4.1.</t>
  </si>
  <si>
    <t>9.4.2.</t>
  </si>
  <si>
    <t>9.5.</t>
  </si>
  <si>
    <t>9.5.1.</t>
  </si>
  <si>
    <t>9.5.2.</t>
  </si>
  <si>
    <t>9.6.</t>
  </si>
  <si>
    <t>9.6.1.</t>
  </si>
  <si>
    <t>9.6.2.</t>
  </si>
  <si>
    <t>9.6.3.</t>
  </si>
  <si>
    <t>9.7.</t>
  </si>
  <si>
    <t>9.7.1.</t>
  </si>
  <si>
    <t>9.7.2.</t>
  </si>
  <si>
    <t>9.7.3.</t>
  </si>
  <si>
    <t>9.7.4.</t>
  </si>
  <si>
    <t>9.7.5.</t>
  </si>
  <si>
    <t>9.7.6.</t>
  </si>
  <si>
    <t>9.9.</t>
  </si>
  <si>
    <t>9.9.1.</t>
  </si>
  <si>
    <t>9.9.2.</t>
  </si>
  <si>
    <t>9.9.3.</t>
  </si>
  <si>
    <t>9.9.4.</t>
  </si>
  <si>
    <t>9.9.5.</t>
  </si>
  <si>
    <t>9.9.6.</t>
  </si>
  <si>
    <t>9.9.7.</t>
  </si>
  <si>
    <t>9.9.8.</t>
  </si>
  <si>
    <t>9.10.</t>
  </si>
  <si>
    <t>9.10.1.</t>
  </si>
  <si>
    <t>9.10.2.</t>
  </si>
  <si>
    <t>9.11.</t>
  </si>
  <si>
    <t>9.11.1.</t>
  </si>
  <si>
    <t>9.11.2.</t>
  </si>
  <si>
    <t>9.12.</t>
  </si>
  <si>
    <t>9.13.</t>
  </si>
  <si>
    <t>9.14.</t>
  </si>
  <si>
    <t>9.15.</t>
  </si>
  <si>
    <t>9.16.</t>
  </si>
  <si>
    <t>9.17.</t>
  </si>
  <si>
    <t>Administrācija</t>
  </si>
  <si>
    <t>Sabiedrisko attiecību nodaļa</t>
  </si>
  <si>
    <t>0841.3</t>
  </si>
  <si>
    <t>0841.2</t>
  </si>
  <si>
    <r>
      <rPr>
        <b/>
        <i/>
        <sz val="8"/>
        <color rgb="FFFF0000"/>
        <rFont val="Arial"/>
        <family val="2"/>
        <charset val="186"/>
      </rPr>
      <t xml:space="preserve">KA 31.12.2021. </t>
    </r>
    <r>
      <rPr>
        <i/>
        <sz val="8"/>
        <color theme="3"/>
        <rFont val="Arial"/>
        <family val="2"/>
        <charset val="186"/>
      </rPr>
      <t>EUR 109'261 (EKK 1119 EUR 88'406; EKK 1210 EUR 20'855)</t>
    </r>
  </si>
  <si>
    <t>1014.1</t>
  </si>
  <si>
    <t>0510</t>
  </si>
  <si>
    <t xml:space="preserve">Darbinieku apmācība </t>
  </si>
  <si>
    <t>0632.1</t>
  </si>
  <si>
    <t>0632.2</t>
  </si>
  <si>
    <t>0632.3</t>
  </si>
  <si>
    <t>0420</t>
  </si>
  <si>
    <t>0633.1</t>
  </si>
  <si>
    <t>0633.2</t>
  </si>
  <si>
    <t>0633.3</t>
  </si>
  <si>
    <t>Decembra PVN</t>
  </si>
  <si>
    <t>Ģerbonis</t>
  </si>
  <si>
    <t>ZZ Dats</t>
  </si>
  <si>
    <t>0841.1</t>
  </si>
  <si>
    <t>EUR 352 uz EKK 1150</t>
  </si>
  <si>
    <t xml:space="preserve"> Muzejs -  Audiovizuālā arhīva aprīkojuma  un multivides materiālu nesēji, spuldzes, vadi, materiāli (stikls, polikarbonāts, koks, kartons u.c.) muzeja krājuma eksponēšanas nodrošināšanai – 500.00 EUR</t>
  </si>
  <si>
    <t>EUR 3'000 no EKK 6299 uz EKK 6292</t>
  </si>
  <si>
    <t>SN Vasaras nometne bērniem invalīdiem</t>
  </si>
  <si>
    <t xml:space="preserve">Portatīvais dators 4 gab.  EUR 2700. </t>
  </si>
  <si>
    <t>1013.1</t>
  </si>
  <si>
    <t>EUR 6000 uz EKK 1147</t>
  </si>
  <si>
    <t>No EKK 1119</t>
  </si>
  <si>
    <t>Grāmatas, mācību metodiskā literatūra</t>
  </si>
  <si>
    <t>Nemateriālo ieguldījumu izveidošana</t>
  </si>
  <si>
    <t>EUR 10'192 no EKK 2239 uz EKK 5140 ZZ Dats</t>
  </si>
  <si>
    <t>0844.1. Kultūras objektu būvniecība (maksājumi projekta partneriem) ©</t>
  </si>
  <si>
    <t>0844.2.  ES projekts Eiropa pilsoņiem (diskriminētām personām) ©</t>
  </si>
  <si>
    <t>1., 2., 3., 4., 5.1.</t>
  </si>
  <si>
    <t>1., 2., 3., 4.</t>
  </si>
  <si>
    <t>Nekustamā īpašuma nodokļu ieņēmumi</t>
  </si>
  <si>
    <t>Dabas resursu nodoklis</t>
  </si>
  <si>
    <t>5.5.3.1.</t>
  </si>
  <si>
    <t>5.4.1.0.</t>
  </si>
  <si>
    <t>Jāatmaksā neizlietotā MD daļa VARAM projekts "Pašvaldību attīstības nacionālie atbalsta instrumenti" - šim jābūt zem Pārvaldes (0110/7245)</t>
  </si>
  <si>
    <t>EUR 1000 no EKK 2239 uz EKK 2519 (EKK korekcija)</t>
  </si>
  <si>
    <t>Izdevumi par tiesvedības darbiem</t>
  </si>
  <si>
    <t>Piemaksa par darbu īpašos apstākļos, speciālās piemaksas</t>
  </si>
  <si>
    <t>Pārējie neklasificētie izdevumi</t>
  </si>
  <si>
    <t>Pašvaldību pabalsti naudā krīzes situācijā</t>
  </si>
  <si>
    <t>EUR 3'800 no EKK 2275 uz EKK 2239 Domes lēmums par atbalstu ārkārtas situācijā</t>
  </si>
  <si>
    <t>10.1.1.</t>
  </si>
  <si>
    <t>10.1.2.</t>
  </si>
  <si>
    <t>10.1.3.</t>
  </si>
  <si>
    <t>10.1.4.</t>
  </si>
  <si>
    <t>10.1.5.</t>
  </si>
  <si>
    <t xml:space="preserve">  10.1.5.1.</t>
  </si>
  <si>
    <t xml:space="preserve">  10.1.5.2.</t>
  </si>
  <si>
    <t xml:space="preserve">  10.1.5.3.</t>
  </si>
  <si>
    <t>10.1.6.</t>
  </si>
  <si>
    <t>10.1.7.</t>
  </si>
  <si>
    <t>10.1.8.</t>
  </si>
  <si>
    <t>10.1.9.</t>
  </si>
  <si>
    <t>10.1.10.</t>
  </si>
  <si>
    <t>10.1.11.</t>
  </si>
  <si>
    <t>10.2.1.</t>
  </si>
  <si>
    <t>10.2.2.</t>
  </si>
  <si>
    <t>10.2.3.</t>
  </si>
  <si>
    <t>10.2.4.</t>
  </si>
  <si>
    <t>10.2.5.</t>
  </si>
  <si>
    <t>10.2.6.</t>
  </si>
  <si>
    <t>10.2.8.</t>
  </si>
  <si>
    <t>10.2.10.</t>
  </si>
  <si>
    <t>10.2.11.</t>
  </si>
  <si>
    <t>EUR 5'000 no EKK 1147 uz EKK 1146 (EKK korekcija)</t>
  </si>
  <si>
    <t>EUR 2'000 no EKK 1147 uz EKK 1148 (EKK korekcija)</t>
  </si>
  <si>
    <t>EUR 100 no EKK 1210 uz EKK 1228</t>
  </si>
  <si>
    <r>
      <t xml:space="preserve">Valsts nodevas. Jāparedz budžetā ~EUR 1'000. Kad sods nomaksāts, atmaksa nāk kopējā kontā un netiek attiecināta pret iestādi, kas to uzlikusi. </t>
    </r>
    <r>
      <rPr>
        <i/>
        <sz val="8"/>
        <color rgb="FF7030A0"/>
        <rFont val="Arial"/>
        <family val="2"/>
        <charset val="186"/>
      </rPr>
      <t>Šis no EKK 2239 uz EKK 2519</t>
    </r>
  </si>
  <si>
    <t xml:space="preserve">Pārējie budžeta iestāžu pārskaitītie nodokļi un nodevas </t>
  </si>
  <si>
    <t>18.6.4.0.</t>
  </si>
  <si>
    <t>IIN budžeta dotācija</t>
  </si>
  <si>
    <t>10.3.</t>
  </si>
  <si>
    <t xml:space="preserve">Izdevumi par tiesvedības darbiem </t>
  </si>
  <si>
    <t>EUR 100 no EKK 2519 uz EKK 2272</t>
  </si>
  <si>
    <t>0620</t>
  </si>
  <si>
    <t>0633.4</t>
  </si>
  <si>
    <t>0634</t>
  </si>
  <si>
    <t>0844.1</t>
  </si>
  <si>
    <t>0844.2</t>
  </si>
  <si>
    <t>EUR 1000 no EKK 1228 uz EKK 1227 (EKK korekcija - apdrošināšanas kompensācijas EKK 1227)</t>
  </si>
  <si>
    <t>EUR 10'011 Projekta vadībai būvuzraugs tiek maksāts no EKK 1150 (EKK korekcija)</t>
  </si>
  <si>
    <t>0420 (18.6.2.9.)</t>
  </si>
  <si>
    <t>F40321210</t>
  </si>
  <si>
    <t>0933</t>
  </si>
  <si>
    <t>VKKF atbalstīts projekts EUR 2'000 Datora iegāde, līdzfinansējumu EUR 469 no EKK 2239 (interneta risinājumi) uz EKK 5239</t>
  </si>
  <si>
    <t>Pašvaldības un tās iestāžu savstarpējie transferti</t>
  </si>
  <si>
    <r>
      <t xml:space="preserve">Daudzbērnu ģimenes pabalsts EUR 50,00 apmērā bērniem no 7-24 g.v. (par ceturto, piekto, sesto utt.). </t>
    </r>
    <r>
      <rPr>
        <i/>
        <sz val="8"/>
        <color rgb="FF7030A0"/>
        <rFont val="Arial"/>
        <family val="2"/>
        <charset val="186"/>
      </rPr>
      <t>Šie EUR 53'650 no 0930 uz 1010, jo to vadīs soc. dienests.</t>
    </r>
  </si>
  <si>
    <t>0649</t>
  </si>
  <si>
    <t>Latvijas vides aizsardzības fonda finansējums "Piekrastes apsaimniekošanas praktisko aktivitāšu realizēšanai" EUR 10'621</t>
  </si>
  <si>
    <t>EUR 15'758 (EKK 1119 EUR 12'750; EKK 1210 EUR 3'008) no 0110 (neatvērs auditora amatu) uz 0670 nekustamā īpašuma speciālists.</t>
  </si>
  <si>
    <t>EUR 460 no EKK 2239 uz EKK 2264 - Venden</t>
  </si>
  <si>
    <t>Latvijas Republikas Iekšlietu ministrijas kompensācija pašvaldības policijas darbiniekiem (virsstundas, nakts darbs) MK rīk.Nr. 17 (EUR 8'000)</t>
  </si>
  <si>
    <t>16.09.2015. Fin. kom. atbalstīta dalība biedrībā "Pierīgas pašvaldību apvienība" biedru nauda"Rīgas metropole"</t>
  </si>
  <si>
    <t>09651</t>
  </si>
  <si>
    <t>0920</t>
  </si>
  <si>
    <t>09825</t>
  </si>
  <si>
    <t>EUR 50 no EKK 1119 uz EKK 2210</t>
  </si>
  <si>
    <r>
      <t xml:space="preserve">Samazinājums EUR 33 604 eiro no atalgojumu sadaļas. (EUR 27'190 EKK 1119; EUR 6'414 EKK 1210). </t>
    </r>
    <r>
      <rPr>
        <b/>
        <i/>
        <sz val="8"/>
        <color rgb="FFC00000"/>
        <rFont val="Arial"/>
        <family val="2"/>
        <charset val="186"/>
      </rPr>
      <t>Samazinājums -27'190</t>
    </r>
  </si>
  <si>
    <r>
      <t xml:space="preserve">Korekcija. </t>
    </r>
    <r>
      <rPr>
        <b/>
        <i/>
        <sz val="8"/>
        <color rgb="FFC00000"/>
        <rFont val="Arial"/>
        <family val="2"/>
        <charset val="186"/>
      </rPr>
      <t>Samazinājums uz neaizpildītajām vakancēm -13'338</t>
    </r>
  </si>
  <si>
    <r>
      <t xml:space="preserve">Korekcija. </t>
    </r>
    <r>
      <rPr>
        <b/>
        <i/>
        <sz val="8"/>
        <color rgb="FFC00000"/>
        <rFont val="Arial"/>
        <family val="2"/>
        <charset val="186"/>
      </rPr>
      <t>Samazinājums uz neaizpildītajām vakancēm -3'146</t>
    </r>
  </si>
  <si>
    <r>
      <t xml:space="preserve">3 velo novietnes pie sporta centra (apaļās kā visā novadā). </t>
    </r>
    <r>
      <rPr>
        <b/>
        <i/>
        <sz val="8"/>
        <color rgb="FFC00000"/>
        <rFont val="Arial"/>
        <family val="2"/>
        <charset val="186"/>
      </rPr>
      <t>Samazinājums -1'500</t>
    </r>
  </si>
  <si>
    <t>No ekonomijas florbola komandas transportam no EKK 2233 EUR 900 uz EKK 2244 BMX trase virāžām</t>
  </si>
  <si>
    <t>Dekorēšanas materiāli.</t>
  </si>
  <si>
    <r>
      <rPr>
        <b/>
        <sz val="8"/>
        <color rgb="FFC00000"/>
        <rFont val="Arial"/>
        <family val="2"/>
        <charset val="186"/>
      </rPr>
      <t>Samazinājums 944</t>
    </r>
    <r>
      <rPr>
        <sz val="8"/>
        <color rgb="FFC00000"/>
        <rFont val="Arial"/>
        <family val="2"/>
        <charset val="186"/>
      </rPr>
      <t xml:space="preserve">. </t>
    </r>
    <r>
      <rPr>
        <sz val="8"/>
        <rFont val="Arial"/>
        <family val="2"/>
        <charset val="186"/>
      </rPr>
      <t>Logopēda vakance 4 mēn.</t>
    </r>
  </si>
  <si>
    <t>Samazinājums EUR 6'473</t>
  </si>
  <si>
    <t>Samazinājums EUR 1'527</t>
  </si>
  <si>
    <r>
      <t xml:space="preserve">Profesionālās izglītības programma “Transportlīdzekļu vadītāju apmācības programma”. </t>
    </r>
    <r>
      <rPr>
        <b/>
        <i/>
        <sz val="8"/>
        <color rgb="FFC00000"/>
        <rFont val="Arial"/>
        <family val="2"/>
        <charset val="186"/>
      </rPr>
      <t>Samazinājums -1'000</t>
    </r>
  </si>
  <si>
    <t>Samazinājums -1'500</t>
  </si>
  <si>
    <t>0660</t>
  </si>
  <si>
    <t>EUR 10'000 no EKK 1119 uz EKK 1221 (EKK korekcija - atvaļinājuma pabalsti)</t>
  </si>
  <si>
    <t>EUCF finansējums uz APN daļu energoresursu TEP izstrādei</t>
  </si>
  <si>
    <t>Ādažu vēstis</t>
  </si>
  <si>
    <t>4.1.1.</t>
  </si>
  <si>
    <t>4.1.2.</t>
  </si>
  <si>
    <t>DI projekts noslēdzies, projekta rezerve EUR 34'000 novirzīt pamatskolas aprīkojumam.</t>
  </si>
  <si>
    <t>Iedzīvotāju iniciatīvas un konkursi.</t>
  </si>
  <si>
    <t>EUR 82'823 sadārdzinājums. Saskaņā ar 25.05.2022. lēmumu # 245:
1) EUR 49'823, samazinot ceļu uzturēšanas materiālus (0645/7230)
2) EUR 25'000 no paredzētā Dzirnupes satiksmes organizācijas uzlabošanas (0645/7230)
3) EUR 8'000 no paredzētā Jūras ielā gājēju pārejas ar ātrumvalni izbūve (0645/7230)</t>
  </si>
  <si>
    <t>10.2.13.</t>
  </si>
  <si>
    <t>10.2.14.</t>
  </si>
  <si>
    <t>10.2.15.</t>
  </si>
  <si>
    <t>Aprīkojuma iepirkumi sadalās pa EKK 2312; EKK 5239. Pārvietot EUR 12'000 un 29'215 no EKK 5240 uz EKK 2312</t>
  </si>
  <si>
    <t>Aprīkojuma iepirkumi sadalās pa EKK 2312; EKK 5239. Pārvietot EUR 60'191 no EKK 5240 uz EKK 5239</t>
  </si>
  <si>
    <t>Dotācija patvērumiem no krīzes skartām teritorijām EUR 200'000 (EUR 10'596 EKK 1147; EUR 100 EKK 6252; EUR 88'000 EKK 6254; EUR 12'000 EKK 6255; EUR 82'900)</t>
  </si>
  <si>
    <t>0633.1 AID -  ”Mobilitātes punkta infrastruktūras izveidošana Rīgas metropoles areālā – “Carnikava””</t>
  </si>
  <si>
    <t>0632.1 AID -  LAD projekts "Aizvēju ielas dubultā virsmas apstrāde" ©</t>
  </si>
  <si>
    <t>0630.2</t>
  </si>
  <si>
    <t>0630.1</t>
  </si>
  <si>
    <t>Līguma gada summa EUR 4'878</t>
  </si>
  <si>
    <t>0633.2 - AID -  Maģistrālā  veloceļa izbūve Rīga-Carnikava</t>
  </si>
  <si>
    <t>0633.3 - AID - "Auto stāvlaukuma Lilastē paplašināšana, atpūtas vietu, labiekārtojuma, labierīcību, kempinga iespēju projektēšana un izbūve" ©</t>
  </si>
  <si>
    <t>06391 - AID - Attīstības plānošanas dokumentu izstrāde</t>
  </si>
  <si>
    <t>0912 - AID - SAM 4.2.2. ĀPII siltināšanas projekts</t>
  </si>
  <si>
    <t>1013.1 - AID - SAM 9.2.4.2. projekts "Pasākumi vietējās sabiedrības veselības veicināšanai Ādažu novadā" Ādaži</t>
  </si>
  <si>
    <t>1013.2 - AID - SAM 9.2.4.2. projekts "Pasākumi vietējās sabiedrības veselības veicināšanai Ādažu novadā" Carnikava</t>
  </si>
  <si>
    <t>0632.2 - AID - LAD projekts "Laivu ielas un tai piegulošā auto stāvlaukuma projektēšana un būvniecība" ©</t>
  </si>
  <si>
    <t>0632.3 - AID - LAD projekts "Publisko ūdeņu infrastruktūras attīstība Carnikavā"</t>
  </si>
  <si>
    <t>0830 - Ādažu bibliotēka</t>
  </si>
  <si>
    <t>0930 - Izglītības un jauniešu lietu pārvalde</t>
  </si>
  <si>
    <t>0933 - Izglītības un jauniešu lietu pārvalde - Atbalsts jaunatnes politikas īstenošanai vietējā līmenī</t>
  </si>
  <si>
    <t>0932 - Izglītības un jauniešu lietu pārvalde - ESF Karjeras atbalsts vispārējās un profesionālās izglītības iestādes</t>
  </si>
  <si>
    <t>0931 - Izglītības un jauniešu lietu pārvalde - ESF projekts Atbalsts priekšlaicīgas mācību pārtraukšanas</t>
  </si>
  <si>
    <t>0962 - Ādažu mākslas un mūzikas skola</t>
  </si>
  <si>
    <t>0960 - Ādažu mākslas un mūzikas skola</t>
  </si>
  <si>
    <t>0831 - Carnikavas bibliotēka</t>
  </si>
  <si>
    <t>0648 - Komunālā saimniecība 0648</t>
  </si>
  <si>
    <t>0340 - Pašvaldības policija</t>
  </si>
  <si>
    <t>0910 - Ādažu Pirmsskolas izglītibas iestāde</t>
  </si>
  <si>
    <t>0911 - Ādažu Pirmsskolas izglītibas iestāde</t>
  </si>
  <si>
    <t>0843 - Ādažu Pirmsskolas izglītibas iestāde - Multihalle</t>
  </si>
  <si>
    <t xml:space="preserve">0950 - Ādažu vidusskola </t>
  </si>
  <si>
    <t xml:space="preserve">0954 - Ādažu vidusskola </t>
  </si>
  <si>
    <t>0982 - Carnikavas pamatskola</t>
  </si>
  <si>
    <t>09821 - Carnikavas pamatskola</t>
  </si>
  <si>
    <t>09825 - Carnikavas pamatskola Erasmus+</t>
  </si>
  <si>
    <t xml:space="preserve"> Piemaksa par papildu darbu</t>
  </si>
  <si>
    <t>Dienas nauda - ārpus LV</t>
  </si>
  <si>
    <t>Pārējie komandējumu un dienesta, darba braucienu izdevumi - ārpus LV</t>
  </si>
  <si>
    <t xml:space="preserve"> Izdevumi par transporta pakalpojumiem</t>
  </si>
  <si>
    <t>1030 - Bāriņtiesa</t>
  </si>
  <si>
    <t>0620 - BŪVVALDE</t>
  </si>
  <si>
    <t>0921 - Kadagas pirmsskolas izglītības iestāde</t>
  </si>
  <si>
    <t>0920 - Kadagas pirmsskolas izglītības iestāde</t>
  </si>
  <si>
    <t>0111 - Deputāti</t>
  </si>
  <si>
    <t>0510 - DRN</t>
  </si>
  <si>
    <t>0880 - Evaņģēliski luteriskās draudzes</t>
  </si>
  <si>
    <t xml:space="preserve">0140 - Iepirkumu komisija </t>
  </si>
  <si>
    <t>0170 - Informācijas tehnoloģiju nodaļa</t>
  </si>
  <si>
    <t>0670 - INFRASTRUKTŪRAS UN VIDES NODAĻA</t>
  </si>
  <si>
    <t>0841.1 - KC</t>
  </si>
  <si>
    <t>0841.3 - Muzejs_Carnikavas novadpētniecības centrs</t>
  </si>
  <si>
    <t>0610 - Neparedzēti gadījumi</t>
  </si>
  <si>
    <t>0901 - PII Riekstiņš</t>
  </si>
  <si>
    <t>09011 - PII Riekstiņš</t>
  </si>
  <si>
    <t>0952 - PII_AVS</t>
  </si>
  <si>
    <t>09521 - PII_AVS</t>
  </si>
  <si>
    <t>0490 - Sabiedriskās attiecības, informācija</t>
  </si>
  <si>
    <t>0490.1 - Sabiedrisko attiecību daļa - Ādažu vēstis</t>
  </si>
  <si>
    <t>09822 - Skolas soma Carnikavas pamatskola</t>
  </si>
  <si>
    <t>0951 - Skolas_soma Ādaži</t>
  </si>
  <si>
    <t>1010 - Sociālais dienests</t>
  </si>
  <si>
    <t>1012 - Sociālais dienests - asistenti</t>
  </si>
  <si>
    <t>1014.1 - Sociālais dienests - SAM 9311 Deinstitucionalizācija - Dienas centrs Ādaži</t>
  </si>
  <si>
    <t>1014.2 - Sociālais dienests - SAM 9311 Deinstitucionalizācija - Dienas centrs Carnikava</t>
  </si>
  <si>
    <t>1015 - Sociālā centra "Kadiķis" uzturēšana</t>
  </si>
  <si>
    <t>0812 - Sporta daļa</t>
  </si>
  <si>
    <t>0965 - Sporta skola</t>
  </si>
  <si>
    <t>09651 - Sporta skola</t>
  </si>
  <si>
    <t>1011 - Stipendiāti / bezdarbnieki</t>
  </si>
  <si>
    <t>0841.2 - Tautas nams "Ozolaine"</t>
  </si>
  <si>
    <t>0660 - TERITORIJAS PLĀNOŠANAS NODAĻA</t>
  </si>
  <si>
    <t>0970 - Valdorfa skola</t>
  </si>
  <si>
    <t xml:space="preserve">0120 - Vēlēšanu komisija </t>
  </si>
  <si>
    <t>0956 - VISA projekts "Atbalsts izglītojamo individuālo kompetenču attīstībai"</t>
  </si>
  <si>
    <t>09824 - VISA projekts "Atbalsts izglītojamo individuālo kompetenču attīstībai" Carnikava</t>
  </si>
  <si>
    <t>EUR 1300 no EKK 1119 (S.Rozes algas ekonomija) uz EKK 1150 (autoratlīdzības līgumi Ādažu pilsētas svētkos)</t>
  </si>
  <si>
    <t>EUR 1500 no EKK 1119 uz EKK 1142 (EKK korekcija)</t>
  </si>
  <si>
    <t>EUR 200 no EKK 1119 uz EKK 1141 (EKK korekcija)</t>
  </si>
  <si>
    <t>EUR 2500 no EKK 1119 uz EKK 1142 (EKK korekcija)</t>
  </si>
  <si>
    <t>EUR 1300 no EKK 1119 uz EKK 1150 (EKK korekcija)</t>
  </si>
  <si>
    <t>EUR 9'134 no EKK 1147 uz EKK 1221 (atvaļinājuma pabalstu grāmatošanas maiņa)</t>
  </si>
  <si>
    <t xml:space="preserve">06451 - Komunālā saimniecība - SID ātrās reaģēšanas brigāde.                                                                                                                                                                     </t>
  </si>
  <si>
    <t>EUR 230 no EKK 2112 uz EKK 2121</t>
  </si>
  <si>
    <t>9.7.7.</t>
  </si>
  <si>
    <t>Carnikavas stadiona rekonstrukcija</t>
  </si>
  <si>
    <t>Uz informācijas tehnoloģijas nodaļu no 0648</t>
  </si>
  <si>
    <t>EUR 100 no EKK 1142 uz EKK 1221 (EKK korekcija)</t>
  </si>
  <si>
    <t>EUR 10000 no EKK 1119 uz EKK 1141 (EKK korekcija)</t>
  </si>
  <si>
    <t>Atalgojums fiziskajām personām uz tiesiskās attiecības regulējošu dokumentu pamata (atalgojums par autoratlīdzību un uzņēmuma līgumu iestādes darbiniekiem vai citām fiziskajām personām)</t>
  </si>
  <si>
    <t>EUR 6460 no EKK 5240 uz EKK 7230 DRN, kas tiks nodoti CKS</t>
  </si>
  <si>
    <t>CKS dotācija Carnikavas plānotais</t>
  </si>
  <si>
    <t xml:space="preserve">Bite EUR 30,56*12. </t>
  </si>
  <si>
    <t>PFIF</t>
  </si>
  <si>
    <t xml:space="preserve">	Maksājumu pakalpojumi un komisijas (bankas komisija, pakalpojumi)</t>
  </si>
  <si>
    <t>EUR 8'657 no EKK 1119 uz EKK 7230 (CKS nodarbināto jauniešu atalgojums)</t>
  </si>
  <si>
    <t>Projekta atmaksa (Koka gājēju tilts) EUR 32'186 novirzīts saskaņā ar 25.05.lēmumu EUR 26'320 Laivu ielas sadārdzinājumam; EUR 5'865 Aizvēju ielas sadārdzinājumam.</t>
  </si>
  <si>
    <t>0633.4 - CKS_06.300.31 ERAF līdzfinansejums - Carnikavas novada udensaimsniecības attīstība III karta</t>
  </si>
  <si>
    <t>0634 - AID - Plūdu projekts</t>
  </si>
  <si>
    <t>0643 - Komunālā saimniecība - Gaujas 33A</t>
  </si>
  <si>
    <t>EUR 6'000 no EKK 1119 uz EKK 1221 (EKK korekcija)</t>
  </si>
  <si>
    <t>Pārējie komandējumu un dienesta, darba braucienu izdevumi- LV</t>
  </si>
  <si>
    <t>EUR 66'915 atalgojums SID darbiniekiem, kuri pāriet uz Komunālservisu. (EUR 54 143 no EKK 1119; EUR 12 772 no EKK 1210)</t>
  </si>
  <si>
    <t>Iestāžu uzturēšanas materiāli un preces</t>
  </si>
  <si>
    <t>Izdevumu kompensācija</t>
  </si>
  <si>
    <t>EUR 121 no EKK 1119 uz EKK 1150 (EKK korekcija)</t>
  </si>
  <si>
    <t>Atvaļinājuma pabalsts</t>
  </si>
  <si>
    <t>Logu mazgāšana</t>
  </si>
  <si>
    <t>Atvaļinājuma pabalsti</t>
  </si>
  <si>
    <t>EUR 160 no EKK 1119 uz EKK 2111 (komandējumam)</t>
  </si>
  <si>
    <t>EUR 65 no EKK 1119 uz EKK 1141 (EKK korekcija)</t>
  </si>
  <si>
    <t>EUR 1162 no EKK 1119 uz EKK 1142 (EKK korekcija)</t>
  </si>
  <si>
    <t>Piemaksu rezerve</t>
  </si>
  <si>
    <t>EUR 3189 no EKK 1147 uz EKK 1221 - atvaļinājumu pabalsti</t>
  </si>
  <si>
    <t xml:space="preserve">Dienas nauda - ārpus LV </t>
  </si>
  <si>
    <t>Briļļu kompensācija</t>
  </si>
  <si>
    <t>Apdrošināšanas kompensācija</t>
  </si>
  <si>
    <t>korekcija</t>
  </si>
  <si>
    <t>Toneru uzpildīšana</t>
  </si>
  <si>
    <t>EUR 50 no EKK 2350 uz EKK 2390 (EKK korekcija)</t>
  </si>
  <si>
    <t>EUR 5000 no EKK 1119 uz EKK 1147 (EKK korekcija)</t>
  </si>
  <si>
    <t>Pašvaldības un tās iestāžu savstarpējie transfert</t>
  </si>
  <si>
    <t xml:space="preserve">Izdevumu kompensācija, strādājos attālināti </t>
  </si>
  <si>
    <t>EUR 1151 no EKK 2312 (samazinājums uz spēlēm) uz EKK 5239 žāvēšanas skapju iegādei</t>
  </si>
  <si>
    <t xml:space="preserve">Darba devēja izdevumi veselības, dzīvības un nelaimes gadījumu apdrošināšanai </t>
  </si>
  <si>
    <r>
      <t>Apdrošināšanas polises iegāde, pēc koplīgum</t>
    </r>
    <r>
      <rPr>
        <i/>
        <sz val="8"/>
        <color theme="1"/>
        <rFont val="Arial"/>
        <family val="2"/>
      </rPr>
      <t xml:space="preserve">a. </t>
    </r>
  </si>
  <si>
    <r>
      <t>Briļļu iegāde, pēc koplīgum</t>
    </r>
    <r>
      <rPr>
        <i/>
        <sz val="8"/>
        <color theme="1"/>
        <rFont val="Arial"/>
        <family val="2"/>
      </rPr>
      <t xml:space="preserve">a. </t>
    </r>
  </si>
  <si>
    <t>EUR 6268 no EKK 2239 uz EKK 5120 rindu moduļa izstrāde</t>
  </si>
  <si>
    <t>Rotaļlietas, puzles</t>
  </si>
  <si>
    <t xml:space="preserve">Licences, koncesijas un patenti, preču zīmes un līdzīgas tiesības </t>
  </si>
  <si>
    <r>
      <t xml:space="preserve">09.530.08 ESF projekts Atbalsts priekšlaicīgas mācību pārtraukšanas. </t>
    </r>
    <r>
      <rPr>
        <b/>
        <i/>
        <sz val="8"/>
        <color rgb="FFFF0000"/>
        <rFont val="Arial"/>
        <family val="2"/>
        <charset val="186"/>
      </rPr>
      <t>Ieņēmumos 2022. EUR 7'360</t>
    </r>
  </si>
  <si>
    <t xml:space="preserve">Piemaksa par papildu darbu </t>
  </si>
  <si>
    <t>EUR 330 no EKK 2239 uz EKK 2121 - komandējums uz Lietuvu</t>
  </si>
  <si>
    <t>EUR 120 no EKK 2239 uz EKK 2122 - komandējums uz Lietuvu</t>
  </si>
  <si>
    <t xml:space="preserve">Pārējie komandējumu un dienesta, darba braucienu izdevumi - ārpus LV </t>
  </si>
  <si>
    <t>EUR 41 no EKK 2244 uz EKK 2247</t>
  </si>
  <si>
    <t>Atvaļinājuma pabasts EKK 1221</t>
  </si>
  <si>
    <t>Atvaļinājuma pabalsti EKK 1221</t>
  </si>
  <si>
    <t>EUR 2900 no EKK 1119 uz EKK 7245 - neiztērētās mērķdotācijas atgriešana</t>
  </si>
  <si>
    <t>Kopētāja apkope, kārtridžu uzpildīšana, putekļu sūcēja apkope</t>
  </si>
  <si>
    <t>09823 - Carnikavas stadiona rekonstrukcija</t>
  </si>
  <si>
    <t>09823</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</si>
  <si>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</si>
  <si>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</si>
  <si>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</si>
  <si>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</si>
  <si>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</si>
  <si>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2023.gada plāns EUR</t>
  </si>
  <si>
    <t>2023.gada plāns/ detaļas</t>
  </si>
  <si>
    <t>1016 - Dotācijas Ukraiņas pilsoņu atbalstam</t>
  </si>
  <si>
    <t>Par Ukraiņas pilsoņiem</t>
  </si>
  <si>
    <t>1017 - Dotācijas "Energoresursu atbalsts"</t>
  </si>
  <si>
    <t>0420 - Ceļu mērķdotācija</t>
  </si>
  <si>
    <t>Turpmāk ceļu uzturēšana iet caur CKS</t>
  </si>
  <si>
    <t>0957 - Ādažu vidusskola ERASMUS</t>
  </si>
  <si>
    <t>Dotācijas Ukrainas pilsoņu atbalstam</t>
  </si>
  <si>
    <t xml:space="preserve">  10.1.4.1.</t>
  </si>
  <si>
    <t xml:space="preserve">  10.1.4.2.</t>
  </si>
  <si>
    <t>t.sk.: - dotācija mācību grāmatām</t>
  </si>
  <si>
    <t>dotācija mācību līdzekļiem</t>
  </si>
  <si>
    <t>t.sk.: - dotācija digitālajiem mācību līdzekļiem</t>
  </si>
  <si>
    <t>10.2.16.</t>
  </si>
  <si>
    <t>21.3.8.9.</t>
  </si>
  <si>
    <t>21.3.9.9.</t>
  </si>
  <si>
    <t>Carnikavas Komunālserviss PA - Komunālie pak., Stacijas iela 5</t>
  </si>
  <si>
    <t>Latvenergo, AS, Elektroenerģija Stacijas iela 5</t>
  </si>
  <si>
    <t>Algas rezerves 50% apmērā no mēnešalgas atgriešana budžetā.</t>
  </si>
  <si>
    <t xml:space="preserve">0902 - PII Piejūra </t>
  </si>
  <si>
    <t>Precizētas mērķdotācijas sept. - dec.
(EUR 13683 EKK 1119; EUR 3228 EKK 1210)</t>
  </si>
  <si>
    <t>Precizētas mērķdotācijas sept. - dec. EUR 9767 EKK 1119; EUR 2305</t>
  </si>
  <si>
    <t xml:space="preserve">09021 - PII Piejūra </t>
  </si>
  <si>
    <t>Precizētas mērķdotācijas sept. - dec. EUR 9587 (EUR 7757 EKK 1119; EUR 1830 EKK 1210)</t>
  </si>
  <si>
    <t>Precizētas mērķdotācijas sept. - dec.
EUR 12'776 (EUR 10'337 EKK 1119; EUR 2'439)</t>
  </si>
  <si>
    <t>Precizēts mērķdotāciju apjoms sept. - decembrim (+ EUR 159'116 pedagogi) (EUR 128'745 EKK 1119; EUR 30'371 EKK 1210)</t>
  </si>
  <si>
    <t>Precizēts mērķdotāciju apjoms sept. - decembrim (-EUR 27'113 interešu izgl) (-EUR 21'938 EKK 1119; - EUR 5'175 EKK 1210)</t>
  </si>
  <si>
    <t>EUR 11'987 no ĀVS piešķirtās dotācijas interešu izglītībai ekonomijas uz CKS interešu izglītības finansēšanu. EUR 9'699 EKK 1119; EUR 2'288 EKK 1210</t>
  </si>
  <si>
    <t>Pabalsti ēdināšanai natūrā</t>
  </si>
  <si>
    <t>IIN pieaugums, līdz ar to iemaksu PFIF pieaugums</t>
  </si>
  <si>
    <t>Drona vispārējā civiltiesiskā apdrošinšana</t>
  </si>
  <si>
    <t>Pēc ITN norādījumiem</t>
  </si>
  <si>
    <t xml:space="preserve">Multifunkcionālais printeris ar PVN </t>
  </si>
  <si>
    <t>EUR 3'955 no attīstības daļas uz Ādažu vidusskolas, sakarā ar darbinieka pāriešanu uz ĀVS (IT administrators);</t>
  </si>
  <si>
    <t>Prēmijas un naudas balvas</t>
  </si>
  <si>
    <t xml:space="preserve"> 50 EUR palielinājums pedagogu palīgiem</t>
  </si>
  <si>
    <t>Kora JUMIS draudzības koncerts</t>
  </si>
  <si>
    <t>Kora MUNDUS koncerts</t>
  </si>
  <si>
    <t>ĀKC deju kolektīvu ZIEMAS SAULGRIEŽU koncerts (visi deju kolektīvi)</t>
  </si>
  <si>
    <t>Dziesmu svētku ieskaņas koncerts (deju kolektīvi)</t>
  </si>
  <si>
    <t>Amatierteātris KONTAKTS dalība Dziesmu svētku skatē (scenogrāfija un tehniskais nodrošinājums skates- izrādes norises vietā)</t>
  </si>
  <si>
    <t>Organizatoriskie izdevumi Dziesmu svētku sagatavošanas procesa nodrošināšanai- skatu organizēšanai Pierīgas reģionā</t>
  </si>
  <si>
    <t>VPDK SPRIGULIS Ādažu novada jakas 12gab.</t>
  </si>
  <si>
    <t>TAD SPRIGULĪTIS Vidzemes novada meiteņu tērpi - pilns komplekts 12 gab. brunči 12 gab. ņieburi, 12 gab. vainagi</t>
  </si>
  <si>
    <t>Kora SAKNES materiāls sieviešu apmetņu izgatavošanai</t>
  </si>
  <si>
    <t>Kora SAKNES materiāls vīriešu apmetņu izgatavošanai</t>
  </si>
  <si>
    <t>Aptumšojošās žalūzijas  ĀKC  telpās</t>
  </si>
  <si>
    <t>Summa BEZ NODOKĻIEM
EUR</t>
  </si>
  <si>
    <t>Summa EUR
(iesk.nod.)</t>
  </si>
  <si>
    <t>MĀKSLINIEKI, PROGRAMMAS</t>
  </si>
  <si>
    <t xml:space="preserve">Svētku koncepcijas izstrāde, organizācija, 
realizācija,dienas programmu  nodrošināšana, radošā grupa, visu tehnisko, satura, mārketinga sadaļu nodrošināšana </t>
  </si>
  <si>
    <t>BUNGU SAMITS 50 bungu seti /dalībnieki, grupa, programma</t>
  </si>
  <si>
    <t>TEHNISKAIS NODROŠINĀJUMS</t>
  </si>
  <si>
    <t>Rāciju noma</t>
  </si>
  <si>
    <t>Ģeneratoru noma</t>
  </si>
  <si>
    <t>Dīzeļdegviela ģeneratoru darbībai</t>
  </si>
  <si>
    <t>Svētku teritorijas labiekārtošana, norobežojumi</t>
  </si>
  <si>
    <t xml:space="preserve">Svētku teritorijas uzkopšana, uzraudzība, konteineru noma </t>
  </si>
  <si>
    <t>Informācijas telts un aprīkojums</t>
  </si>
  <si>
    <t xml:space="preserve">Pasākuma fiziskā apsardze  </t>
  </si>
  <si>
    <t>Neatliekamās medicīniskās palīdzības ekipāža</t>
  </si>
  <si>
    <t>CITI IZDEVUMI</t>
  </si>
  <si>
    <t>Pasākuma organizēšana, dienas un vakara programmu scenārijs, administrēšana 
publicitāte , visu reklāmas materiālu sagatavošana, izvietošana, video, audio materiālu sagatavošana, visas svētku norises realizācija</t>
  </si>
  <si>
    <t>REKLĀMA</t>
  </si>
  <si>
    <t>Visu reklāmas materiālu vides objekta banera maketēšana</t>
  </si>
  <si>
    <t>Reklāmas materiālu druka plakāti 200gb. flaieri A5 1000gb.</t>
  </si>
  <si>
    <t>Programmu A5(1500gb.) druka</t>
  </si>
  <si>
    <t>Plakātu 3x2 2gb., fotosiena druka</t>
  </si>
  <si>
    <t>Sociālie tīkli, mediju vide</t>
  </si>
  <si>
    <t>Kafija, tēja aizskatuve</t>
  </si>
  <si>
    <t>Autortiesību nomaksa AKKA/LA un LaiPA</t>
  </si>
  <si>
    <t>Sporta un aktīvās atpūtas zonas nodrošinājums</t>
  </si>
  <si>
    <t>Tehnikas izstādes nodrošinājums</t>
  </si>
  <si>
    <t>Uzņēmumu prezentāciju nodrošināšana</t>
  </si>
  <si>
    <t>NBS militārās tehnikas un ekipējuma izstādes</t>
  </si>
  <si>
    <t>EKK 2239</t>
  </si>
  <si>
    <t>EKK 2264</t>
  </si>
  <si>
    <t>EKK 2390</t>
  </si>
  <si>
    <t>EKK 1150</t>
  </si>
  <si>
    <t xml:space="preserve">Sagatavoja L.TIĻUGA </t>
  </si>
  <si>
    <t>tālr.29456335</t>
  </si>
  <si>
    <t>linda@adazikultura.lv</t>
  </si>
  <si>
    <t>Transporta pakalpojumi kolektīviem uz skatēm, koncertiem, novada svētkiem (max 3 braucieni kolektīvam saskaņā ar nolikumu)</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</si>
  <si>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</si>
  <si>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</si>
  <si>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</si>
  <si>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</si>
  <si>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Prēmijas fonds</t>
  </si>
  <si>
    <t>Apbalvošanas pasākums</t>
  </si>
  <si>
    <t>Muzikālie vasaras pikniki</t>
  </si>
  <si>
    <t>Carnikavas pagasta tradicionālie svētki:</t>
  </si>
  <si>
    <t xml:space="preserve">Kino seansi </t>
  </si>
  <si>
    <t>Dalības maksa konkursos un skatēs</t>
  </si>
  <si>
    <t>Tautas deju festivāls "Jādejo, lai būtu prieks"</t>
  </si>
  <si>
    <t>Folkloras kopas "Cēlāji" 10 gadu jubileja</t>
  </si>
  <si>
    <t>Deju izrāde "Sūnu ciema zēni"</t>
  </si>
  <si>
    <t>Koru kari</t>
  </si>
  <si>
    <t>Klavieru remonts un skaņošana</t>
  </si>
  <si>
    <t>Skatuves aprīkojuma un gaismu sistēmas uzturēšana un remonts</t>
  </si>
  <si>
    <t>Skatuves priekškara nomaiņa -esošais priekškara sistēma ir salūzusi, kā arī izdilis audums. Esošais priekškars nav ugunšdrošs</t>
  </si>
  <si>
    <t>Paklāju, parketa slotu, dvieļu mazgāšanas un nomaiņas pakalpojumi</t>
  </si>
  <si>
    <t>Venden aparāta noma</t>
  </si>
  <si>
    <t>20 apaļie galdauti, jo esošie galdauti 8 gadu laikā ir nolietoti un vairs nav izmantojami</t>
  </si>
  <si>
    <t xml:space="preserve">Pagarinātāji, krēsli mūziķiem uz skatuves </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</si>
  <si>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</si>
  <si>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</si>
  <si>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</si>
  <si>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</si>
  <si>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Foto kamera ar video funkcijām: https://www.masterfoto.lv/lv/mirrorless-cameras/41949-Sony-A7C-2860mm-Black-ILCE7CLB-7C-Alpha-7C.html?search_query=Sony+Alpha+a7C&amp;results=4</t>
  </si>
  <si>
    <t>Vadītājs D.Čūriška</t>
  </si>
  <si>
    <t>NĪ speciālists G.Cielava</t>
  </si>
  <si>
    <t>NĪ e-izsoļu nodrošinājums (NĪ tirgus vertējums EUR 400/NĪ, sludinājumi SS.lv EUR 20/NĪ, Tiesu administrācijas pakalpojumi e-izsoļu vietnē EUR 20/NĪ), 10 NĪ x EUR 440 = EUR 4400).</t>
  </si>
  <si>
    <t xml:space="preserve">NĪ vērtējumi un citas procedūras to sagatavošanai atsavināšanai vai iznomāšanai vai apbūves tiesību nodibināšanai (NĪ vērtējumi, notāra pakalpojumi) - vismaz 5 īpašumi gada laikā x 220 EUR, saskaņā ar iepr. gadu statistiku) </t>
  </si>
  <si>
    <t>Venden iekārtas gada īre Pirmā 42A.</t>
  </si>
  <si>
    <t>Vadītājs 50 litri* EUR 1,85 * 12 mēn.</t>
  </si>
  <si>
    <t>NĪ un NĪLM speciālists 40 litri* EUR 1,85 * 12 mēn. (V.Kuks)</t>
  </si>
  <si>
    <t>NĪ un adresācijas speciālists 40 litri* EUR 1,85 * 12 mēn. (N.Rubina)</t>
  </si>
  <si>
    <t>NĪ speciālists 40 litri* EUR 1,85*12 mēn. (G.Cielava)</t>
  </si>
  <si>
    <t>Reprezentācijas izdevumi sadarbības veicināšanai (mērnieki, vērtētāji u.c.).</t>
  </si>
  <si>
    <t>Sporta pasākumi 2023</t>
  </si>
  <si>
    <t>Kadagas "Ģimenes dienas"</t>
  </si>
  <si>
    <t>Kadaga</t>
  </si>
  <si>
    <t>Veselības skrējiens (7 posmi)</t>
  </si>
  <si>
    <t>apjoms</t>
  </si>
  <si>
    <t>Zemes noma ĶULLENI Baltezera krastā no Vijas Antones (Vienošanaš par nomas līguma termiņa pagarinājumu, JUR 2015-03/321 EUR 200/ gadā). Ivars Cielēns, 13.12.2021.līgums JUR 2021-12/992.</t>
  </si>
  <si>
    <t xml:space="preserve">Griestu nomaiņa ĀSC koridorī </t>
  </si>
  <si>
    <t>Apgaismojuma nomaiņa sporta centra koridorī un kāpņu telpās. Kustību sensoru uzstādīšana apgaismojumam.</t>
  </si>
  <si>
    <t>Inavlīdu panduss pie ieejas sporta centrā(margu uzstādīšana)</t>
  </si>
  <si>
    <t>Sporta centra dušu telpas jāaprīko ar gludām,
viegli mazgājamām, dezinficējamām un necaurspīdīgām
starpsienām.14gab. Veselības inspekcija</t>
  </si>
  <si>
    <t>VUGD aktā minēto pārkāpumu likvedēšana</t>
  </si>
  <si>
    <t>Apsardze un apsardzes signalizāciju sistēmu apkalpošana, SIA "AS G4S Latvia" EUR 100,27 (ar PVN)/ mēnesī. 01.11.2022.-30.04.2024.</t>
  </si>
  <si>
    <t>Elis Tekstila Serviss, paklāju noma, ~EUR 15,73/mēn</t>
  </si>
  <si>
    <t>SIA "Moduls Engineering" 02.09.2022.-01.09.2023 ventilācijas sistēmu pusgada apkope, pilnā tehniskā apkope</t>
  </si>
  <si>
    <t>SIA "Moduls Engineering"  - Neparedzēto darbu max fonds: EUR 4685,12 (ar PVN).</t>
  </si>
  <si>
    <t>Siltummezglu apkalpošana un remonts. 02.02.2022.-01.02.2023. SIA "Ūdensnesējs Serviss" EUR 27*12+PVN=393,00 Ikmēneša apkalpošana</t>
  </si>
  <si>
    <t>Rožu ielas futbola laukuma noma (granulas)</t>
  </si>
  <si>
    <t>Jaunu dušas galviņu iegāde</t>
  </si>
  <si>
    <t>Āra trenažieru uzstādīšana pie Ādažu stadiona</t>
  </si>
  <si>
    <t>Bāriņtiesas priekšsēdētāja un priekšsēdētāja vietnieka personīgā transportlīdzekļa vid. nolietojums mēnesī EUR 30*2*12</t>
  </si>
  <si>
    <t>Sakaru pakalpojumi un pasta sūtījumi</t>
  </si>
  <si>
    <t>Printeru uzpilde 40 EUR*3*2 (jaunus kārtridžus nevajag)</t>
  </si>
  <si>
    <t>Bāriņtiesu asociācijas biedru nauda (2023.g. -300 EUR)</t>
  </si>
  <si>
    <t>Monitora iegāde</t>
  </si>
  <si>
    <t>Limits/ mēnesī ~50l*EUR 1,77*12mēn =1062*2=2124</t>
  </si>
  <si>
    <t>Komandējumi un darba braucieni</t>
  </si>
  <si>
    <t>Rezerve (pieredzes apmaiņas braucieniem)</t>
  </si>
  <si>
    <t>Par lektoriem, kuri lasa lekcijas mūsu darbiniekiem</t>
  </si>
  <si>
    <t>Mācību materiāli, kuri tiek klasificēti kā mazvērtīgais inventārs (kur daļa varētu būt līgums ar DEPO)</t>
  </si>
  <si>
    <t>Mikrofons un statīvs</t>
  </si>
  <si>
    <t>Rezerve (ūdens, konditoreja, u.c)</t>
  </si>
  <si>
    <t>Nojumes pie Pūcēniem labiekārtošana (grīdas seguma nomaiņa, krāsošana)</t>
  </si>
  <si>
    <r>
      <t>28.10.2021. SIA "Edurio" Līgums Nr.L202110-06,  Klienta līgums Nr.JUR 2021-10/846 pirmsskolas darbības izvērtēšanai (vecāki, darbinieki) abonēšana kalendārā gada ietvaros (100+210)-10% atlaide=</t>
    </r>
    <r>
      <rPr>
        <b/>
        <i/>
        <sz val="8"/>
        <rFont val="Arial"/>
        <family val="2"/>
        <charset val="186"/>
      </rPr>
      <t>EUR 282,00</t>
    </r>
    <r>
      <rPr>
        <i/>
        <sz val="8"/>
        <rFont val="Arial"/>
        <family val="2"/>
        <charset val="186"/>
      </rPr>
      <t xml:space="preserve"> (210 izglītojamie)</t>
    </r>
  </si>
  <si>
    <t>VAS „Latvenergo” cena plānota EUR 56550,00 (0.617 kWh par  vidēji 7642 kW mēn.) ,t.sk.PVN, OIK, sadalīšana 3f, PVN. (2022.gadā bija 10381 kWh mēn.) Aprēķinus veica PA "Carnikavas komunālserviss" enerģētiķis I. Jankovskis</t>
  </si>
  <si>
    <r>
      <t xml:space="preserve">SIA “Markol”, Līgums Nr. 9841/21 no 01.07.2021., dzeramais ūdens bērniem ikdienas dzeršanai EUR 12.30 uz grupu mēnesī. Pamatojums- pamatojoties uz veikto ūdens analīžu rezultātiem, ēkā ienākošais ūdens arī novārītā veidā nav izmantojams dzeršanai. EUR 12.30x11 gr. X12 mēn.=EUR </t>
    </r>
    <r>
      <rPr>
        <b/>
        <sz val="8"/>
        <rFont val="Arial"/>
        <family val="2"/>
        <charset val="186"/>
      </rPr>
      <t xml:space="preserve">1624.00 gadā. </t>
    </r>
  </si>
  <si>
    <r>
      <t>SIA Ortega kopētāja/printera Xerox Workcentre 7830i noma mēnesī EUR 30,25x12=</t>
    </r>
    <r>
      <rPr>
        <b/>
        <i/>
        <sz val="8"/>
        <rFont val="Arial"/>
        <family val="2"/>
        <charset val="186"/>
      </rPr>
      <t>EUR 363.00</t>
    </r>
  </si>
  <si>
    <t>Kancelejas preces administrācijai: EUR 350 (kanceleja)+EUR 100 (vadītāja) +EUR 150 (vadītājas vietn)=EUR 600.00</t>
  </si>
  <si>
    <t>EUR 100 rezerve.</t>
  </si>
  <si>
    <r>
      <t>Metodisko materiālu un līdzekļu organizatori abalsta komandas, mūzikas un sporta jomu pedagogiem (mapes, grozi, kastes) EUR 75x7=</t>
    </r>
    <r>
      <rPr>
        <b/>
        <i/>
        <sz val="8"/>
        <rFont val="Arial"/>
        <family val="2"/>
        <charset val="186"/>
      </rPr>
      <t>EUR 525</t>
    </r>
  </si>
  <si>
    <r>
      <t xml:space="preserve">Inventārs āra sporta laukumam (t.sk. Futbola un florbola vārti) un āra aktivitātēm (lāpstiņas, grābeklīši, sietiņi, piltuves, karotītes, kausiņi, spainīši, lejkannas, caurduris, siets, pinumi, režģoti paliktņi, caurumoti silueti un formas u. c.) </t>
    </r>
    <r>
      <rPr>
        <b/>
        <i/>
        <sz val="8"/>
        <rFont val="Arial"/>
        <family val="2"/>
        <charset val="186"/>
      </rPr>
      <t>EUR 360.00</t>
    </r>
  </si>
  <si>
    <r>
      <t xml:space="preserve">Pārvietojama  runājoša siena/tāfele/ziņojuma dēlis ar ritenīšiem 70x180 cm (IKEA), 5-6 gadīgo grupām  </t>
    </r>
    <r>
      <rPr>
        <sz val="8"/>
        <rFont val="Arial"/>
        <family val="2"/>
        <charset val="186"/>
      </rPr>
      <t xml:space="preserve">EUR 119*3= </t>
    </r>
    <r>
      <rPr>
        <b/>
        <sz val="8"/>
        <rFont val="Arial"/>
        <family val="2"/>
        <charset val="186"/>
      </rPr>
      <t>EUR 357</t>
    </r>
  </si>
  <si>
    <r>
      <t xml:space="preserve">Psiholoģiskās izpētes materiāls  "Psiholoģiskās izpētes komplekts pirmsskolai" (uzsākta "Stop 4-7" programmas īstenošana).  Atbalsta komandas darbam izglītojamo izpētei un atbalstam </t>
    </r>
    <r>
      <rPr>
        <b/>
        <i/>
        <sz val="8"/>
        <rFont val="Arial"/>
        <family val="2"/>
        <charset val="186"/>
      </rPr>
      <t>EUR 480</t>
    </r>
  </si>
  <si>
    <r>
      <t>Pirmsskolas tradīcijas "Cauri gadskārtām" tālākai īstenošanai -Tautiskās vilnas zeķes 28 pāri EUR18.00x28=</t>
    </r>
    <r>
      <rPr>
        <b/>
        <i/>
        <sz val="8"/>
        <rFont val="Arial"/>
        <family val="2"/>
        <charset val="186"/>
      </rPr>
      <t>504.00 EUR</t>
    </r>
    <r>
      <rPr>
        <i/>
        <sz val="8"/>
        <rFont val="Arial"/>
        <family val="2"/>
        <charset val="186"/>
      </rPr>
      <t xml:space="preserve"> (cenu aptauja SIA Arnita)</t>
    </r>
  </si>
  <si>
    <r>
      <t>Pirmsskolas tradīcijas "Cauri gadskārtām" tālākai īstenošanai - Pastalas 28 pāri, EUR 17x34=</t>
    </r>
    <r>
      <rPr>
        <b/>
        <i/>
        <sz val="8"/>
        <rFont val="Arial"/>
        <family val="2"/>
        <charset val="186"/>
      </rPr>
      <t>578.00</t>
    </r>
    <r>
      <rPr>
        <i/>
        <sz val="8"/>
        <rFont val="Arial"/>
        <family val="2"/>
        <charset val="186"/>
      </rPr>
      <t xml:space="preserve"> EUR (cenu aptauja SIA Jette)</t>
    </r>
  </si>
  <si>
    <r>
      <t>Iestādes pamatdarbības nodrošināšanai - degviela (J. Skrastiņa 25l +A. Krasta35l =60l mēn. x EUR/l 1.75*12mēn) kopā</t>
    </r>
    <r>
      <rPr>
        <b/>
        <i/>
        <sz val="8"/>
        <rFont val="Arial"/>
        <family val="2"/>
        <charset val="186"/>
      </rPr>
      <t xml:space="preserve"> EUR 1260,00</t>
    </r>
    <r>
      <rPr>
        <i/>
        <sz val="8"/>
        <rFont val="Arial"/>
        <family val="2"/>
        <charset val="186"/>
      </rPr>
      <t xml:space="preserve">. </t>
    </r>
  </si>
  <si>
    <r>
      <t xml:space="preserve">Melnzeme un kūdras maisījumi 11 grupām dabaszinātņu jomas nodarbībām  augu sēšanai un stādīšanai iestādes teritorijas dobēm </t>
    </r>
    <r>
      <rPr>
        <b/>
        <i/>
        <sz val="8"/>
        <rFont val="Arial"/>
        <family val="2"/>
        <charset val="186"/>
      </rPr>
      <t>EUR 150.00</t>
    </r>
  </si>
  <si>
    <r>
      <t>Individuālajam darbam ar bērniem ar MG un MT kinētiskās smiltis (5kg) 11 grupām, 3 atbalsta personāka kabinetiem EUR 44.50x11=</t>
    </r>
    <r>
      <rPr>
        <b/>
        <i/>
        <sz val="8"/>
        <rFont val="Arial"/>
        <family val="2"/>
        <charset val="186"/>
      </rPr>
      <t>EUR 490</t>
    </r>
  </si>
  <si>
    <r>
      <t xml:space="preserve">Mācību līdzekļi sporta zālei Veselības un fiziskās aktivitātes mācību jomas īstenošanai: sfērisko formu komplekts kāpelēšanai, līdzsvara taciņa ar saliņām, pussfēras “ezīši”  </t>
    </r>
    <r>
      <rPr>
        <b/>
        <i/>
        <sz val="8"/>
        <rFont val="Arial"/>
        <family val="2"/>
        <charset val="186"/>
      </rPr>
      <t>EUR 250.00</t>
    </r>
  </si>
  <si>
    <r>
      <t>Veselības un fiziskās aktivitātes mācību jomas īstenošanai - Ziemas sporta un brīvā laika āra inventārs (t.sk. 4 ragavas katrai grupai, sniega lāpstas, grābeklīši, slotiņas, smilšu formas, u.c.) 11.gr. xEUR 40=</t>
    </r>
    <r>
      <rPr>
        <b/>
        <i/>
        <sz val="8"/>
        <rFont val="Arial"/>
        <family val="2"/>
        <charset val="186"/>
      </rPr>
      <t>EUR 440.00</t>
    </r>
  </si>
  <si>
    <r>
      <t>Ziemassvētku egles</t>
    </r>
    <r>
      <rPr>
        <b/>
        <i/>
        <sz val="8"/>
        <rFont val="Arial"/>
        <family val="2"/>
        <charset val="186"/>
      </rPr>
      <t xml:space="preserve"> EUR 200. </t>
    </r>
  </si>
  <si>
    <r>
      <t xml:space="preserve">Tehnoloģiju mācību jomas īstenošanai: Mini elektriskā/mikroviļņu  krāsns  (42l) ar 2  gatavošanas riņķiem, sulu spiede. Kopā </t>
    </r>
    <r>
      <rPr>
        <b/>
        <i/>
        <sz val="8"/>
        <rFont val="Arial"/>
        <family val="2"/>
        <charset val="186"/>
      </rPr>
      <t xml:space="preserve"> EUR 360.00 </t>
    </r>
  </si>
  <si>
    <r>
      <t xml:space="preserve">ED-SW-1-Smart Learning suite ga Licences atslēga interaktīvajam displejam (gadam) SIA "Baltijas Biroju Tehnoloģijas" </t>
    </r>
    <r>
      <rPr>
        <b/>
        <i/>
        <sz val="8"/>
        <rFont val="Arial"/>
        <family val="2"/>
        <charset val="186"/>
      </rPr>
      <t>EUR 205</t>
    </r>
    <r>
      <rPr>
        <i/>
        <sz val="8"/>
        <rFont val="Arial"/>
        <family val="2"/>
        <charset val="186"/>
      </rPr>
      <t xml:space="preserve">. </t>
    </r>
  </si>
  <si>
    <r>
      <t xml:space="preserve">Licence plānotajam portatīvajam (EKK 5238)  datoram </t>
    </r>
    <r>
      <rPr>
        <b/>
        <i/>
        <sz val="8"/>
        <rFont val="Arial"/>
        <family val="2"/>
        <charset val="186"/>
      </rPr>
      <t>EUR 200</t>
    </r>
  </si>
  <si>
    <r>
      <t xml:space="preserve">Portatīvais dators vadītājas attālināta darba nodrošināšanai </t>
    </r>
    <r>
      <rPr>
        <b/>
        <i/>
        <sz val="8"/>
        <rFont val="Arial"/>
        <family val="2"/>
        <charset val="186"/>
      </rPr>
      <t xml:space="preserve">EUR 1300 </t>
    </r>
    <r>
      <rPr>
        <i/>
        <sz val="8"/>
        <rFont val="Arial"/>
        <family val="2"/>
        <charset val="186"/>
      </rPr>
      <t>(nepeiciešamais modelis saskaņots ar IT nodaļu)</t>
    </r>
  </si>
  <si>
    <r>
      <t xml:space="preserve">ELIIS -pirmsskolas izglītības iestāžu mācību darba organizēšanai. (SIA „Edukas Latvia” EUR 4'069)Līgums JUR 2021-08/559 </t>
    </r>
    <r>
      <rPr>
        <i/>
        <sz val="8"/>
        <color rgb="FFFF0000"/>
        <rFont val="Arial"/>
        <family val="2"/>
        <charset val="186"/>
      </rPr>
      <t>līdz 2024. g. 11.08</t>
    </r>
    <r>
      <rPr>
        <i/>
        <sz val="8"/>
        <rFont val="Arial"/>
        <family val="2"/>
        <charset val="186"/>
      </rPr>
      <t>(114,95*12)</t>
    </r>
  </si>
  <si>
    <t>pēc fakta</t>
  </si>
  <si>
    <t>Kursi, semināru organizēšana(vienam pedagogam 50 , skolotāju palīgam 30)2400+600</t>
  </si>
  <si>
    <t>Zem grīdas apkures cauruļu nomaiņa un kosmētisks remonts 4 grupās</t>
  </si>
  <si>
    <t>Udensvada un apkures sistēmas remontdarbi pagrabā</t>
  </si>
  <si>
    <t>Apkures sistēmas automatizācija (13 grupās. Zem grīdas ievados+BMS)</t>
  </si>
  <si>
    <t>Mehāniskās ventilācijas sistēmas tīrīšana un tehniskā stāvokļa pārbaude saskaņā ar MK noteikumien Nr.238.</t>
  </si>
  <si>
    <t>Dabīgās ventilācijas sistēmas tīrīšana un tehniskā stāvokļa pārbaude saskaņā ar MK noteikumien Nr.238.</t>
  </si>
  <si>
    <t>Ventilācijas sistēmas izpēte, projektēšana (trīs korpusos)</t>
  </si>
  <si>
    <t>Ventilācijas sistēmas PN2 pārbūve (no 17 grupas uz Z dārzu, kontroliera nomaiņa)</t>
  </si>
  <si>
    <t>Kanalizācijas sistēmas remonts pagrabā</t>
  </si>
  <si>
    <t xml:space="preserve">Apkures apsaiste ventilācijas iekārtai 9. grupā + iekaramie griesti garderobē </t>
  </si>
  <si>
    <t>galdi un krēsli grupām (galdi 20*80 un krēsli 40*32)</t>
  </si>
  <si>
    <t>Pasākumi iestādes jubilejas organizēšanai (suvenīri, iestādes prezent. preces)</t>
  </si>
  <si>
    <t>Digitālās klavieres multihallei</t>
  </si>
  <si>
    <t>SIA Edukas Latvija,ELIIS sistema par apkalpošanu 67*12=804</t>
  </si>
  <si>
    <t>Kursi 13 skolotājas palīgiem 50.00 EUR *13=650 EUR.</t>
  </si>
  <si>
    <t>Kursi 27 pirmsskolas skolotājam 50.00 EUR *27=1350,00 EUR.</t>
  </si>
  <si>
    <t>dažādi apdares darbi (uzturēšanas remonti, 2 kāpņu remonts)</t>
  </si>
  <si>
    <r>
      <rPr>
        <b/>
        <i/>
        <sz val="8"/>
        <color theme="4" tint="-0.249977111117893"/>
        <rFont val="Arial"/>
        <family val="2"/>
        <charset val="186"/>
      </rPr>
      <t xml:space="preserve">AS G4S apsardzes pakalpojumi </t>
    </r>
    <r>
      <rPr>
        <i/>
        <sz val="8"/>
        <rFont val="Arial"/>
        <family val="2"/>
        <charset val="186"/>
      </rPr>
      <t>EUR 24.00*12=288,00 +PVN; par drošības sistemu apkalpošanu EUR 124,14 *12=1 489,68+PVN Kopējā līgumcena 2 666.52+PVN</t>
    </r>
  </si>
  <si>
    <r>
      <t xml:space="preserve">Neparedzēto darbu fonds un remonts, siltummezgls, </t>
    </r>
    <r>
      <rPr>
        <i/>
        <sz val="8"/>
        <color rgb="FF0070C0"/>
        <rFont val="Arial"/>
        <family val="2"/>
        <charset val="186"/>
      </rPr>
      <t>SIA "Ūdensnesējs"</t>
    </r>
    <r>
      <rPr>
        <i/>
        <sz val="8"/>
        <rFont val="Arial"/>
        <family val="2"/>
        <charset val="186"/>
      </rPr>
      <t xml:space="preserve"> EUR 991,74+PVN. </t>
    </r>
  </si>
  <si>
    <t xml:space="preserve">Papīrs - e-iepirkums  </t>
  </si>
  <si>
    <t>Inreraktīva tāfele (pārnēsājama)</t>
  </si>
  <si>
    <t>EUR 2600 no ekonomijas EKK 1119 uz EKK 5238 datoru iegādei</t>
  </si>
  <si>
    <t xml:space="preserve">Naudas balvas veiksmīga projekta realizācijas gadījumā </t>
  </si>
  <si>
    <t>ĀDAŽI- koordinators (1) EUR 500
kolektīvu vadītāji (9) EUR 200
speciālisti (8) EUR 100</t>
  </si>
  <si>
    <t>CARNIKAVA- koordinators (1) EUR 500
kolektīvu vadītāji EUR 200
speciālisti EUR 100</t>
  </si>
  <si>
    <t>ĀDAŽU VIDUSSKOLA- koordinators (1) EUR 500
kolektīvu vadītāji (3) EUR 200
speciālisti (3) EUR 100</t>
  </si>
  <si>
    <t>Transporta pakalpojumi ĀDAŽU kolektīvu dalībai Dziesmu un Deju svētkos</t>
  </si>
  <si>
    <t>ĀDAŽI- ĀKC 9 kolektīvi 
5 kolektīvi x 8 dienas
3 kolektīvi x 7 dienas
1 kolektīvs x 2 dienas 
Kopā 63 laika vienība x apt.EUR 450</t>
  </si>
  <si>
    <t>Transporta pakalpojumi CARNIKAVAS kolektīvu dalībai Dziesmu un Deju svētkos</t>
  </si>
  <si>
    <t>CARNIKAVA- 7 kolektīvi 
3 kolektīvi x 9 dienas
2 kolektīvi x 8 dienas
2 kolektīvs x 2 dienas 
Kopā 47 laika vienība x apt.EUR 450</t>
  </si>
  <si>
    <t>Transporta pakalpojumi ĀDAŽU VIDUSSKOLAS kolektīvu dalībai Dziesmu un Deju svētkos</t>
  </si>
  <si>
    <t>ĀDAŽU VIDUSSKOLA- 3 kolektīvi 
3 kolektīvi x 8 dienas
Kopā 24 laika vienība x apt.EUR 450</t>
  </si>
  <si>
    <t xml:space="preserve">Dalībnieku ēdināšanas izdevumi </t>
  </si>
  <si>
    <t xml:space="preserve">ĀDAŽU kolektīvu dalībnieku ēdināšanas izdevumi </t>
  </si>
  <si>
    <t>ĀDAŽI - 9 kolektīvi 10 EUR + PVN dienā= 12,10 EUR
117 dalībnieki  x 8 dienas x 12,10 EUR = 11325,6 EUR
111 dalībnieki x 7 dienas x 12,10 EUR  = 9401,7EUR
13 dalībnieki X 2 dienas x 12,10 EUR = 314,60 EUR"</t>
  </si>
  <si>
    <t xml:space="preserve">CARNIKAVAS  kolektīvu dalībnieku ēdināšanas izdevumi </t>
  </si>
  <si>
    <t>CARNIKAVA- 7 kolektīvi 10 EUR + PVN dienā= 12,10 EUR
83 dalībnieki +5 vadītāji x 9 dienas x 12,10 EUR = 9584 EUR
29 dalībnieki+2 vadītāji x 2 dienas x 12,10 EUR  = 750 EUR
70 dalībnieki + 3 vadītāji x 8 dienas x 12,10 EUR = 7067 EUR</t>
  </si>
  <si>
    <t xml:space="preserve">ĀDAŽU VIDUSSKOLAS kolektīvu dalībnieku ēdināšanas izdevumi </t>
  </si>
  <si>
    <t>ĀDAŽU VIDUSSKOLA - 3 kolektīvi 10 EUR + PVN dienā= 12,10 EUR
93 dalībnieki  x 8 dienas x 12,10 EUR =  EUR</t>
  </si>
  <si>
    <t xml:space="preserve">no pašvaldības budžeta EUR 12,10 (iesk.PVN) par personu/ dienā  </t>
  </si>
  <si>
    <t>Tehnisko darbinieku un koordinatoru ēdināšanas izdevumi ĀDAŽI</t>
  </si>
  <si>
    <t>ĀDAŽI 
EUR 12,10 par personu/ dienā
10 tehniskie darbinieki x 9 dienas x 12,10 EUR</t>
  </si>
  <si>
    <t>Tehnisko darbinieku un koordinatoru ēdināšanas izdevumi CARNIKAVA</t>
  </si>
  <si>
    <t>CARNIKAVA                                                                                                               
EUR 12,10 par personu/ dienā
7 tehniskie darbinieki x 9 dienas x 12,10 EUR</t>
  </si>
  <si>
    <t>Tehnisko darbinieku un koordinatoru ēdināšanas izdevumi ĀDAŽU VIDUSSKOLA</t>
  </si>
  <si>
    <t>ĀDAŽU VIDUSSKOLA                                                                                                          EUR 12,10 par personu/ dienā
4 tehniskie darbinieki x 9 dienas x 12,10 EUR</t>
  </si>
  <si>
    <t xml:space="preserve">Metodiskie materiāli </t>
  </si>
  <si>
    <t>Metodiskie materiāli svētku repertuāra sagatavošanai, repertuāra grāmatas (350 gab.) nošu grāmatas vadītājiem</t>
  </si>
  <si>
    <t xml:space="preserve">Tērpi Dziesmu svētku kolektīviem ĀDAŽI </t>
  </si>
  <si>
    <t>SDK SPRIGULIS Priekules jakas 12gab.</t>
  </si>
  <si>
    <t xml:space="preserve">Vienīgie no Ādažu  kolektīviem -SDK SPRIGULIS ir izvēlēti dalībai noslēguma koncertā KOPĀ AUGŠUP Mežaparka estrādē. 
Nepieciešams pilns tērpu komplekts (ĀKC bāzē ir svērki, vestes, nepieciešamas tikai jakas) </t>
  </si>
  <si>
    <t xml:space="preserve">SDK DĒKA esošo tērpu papildinājums- Vīriešu vilnas bikses (4gab.), vīriešu mēteļi (4 gab.), vītriešu zābaki (2 pāŗi) </t>
  </si>
  <si>
    <t>Lai visiem kolektīvu dalībniekiem būtu nepieciešamie tērpi. 
Atsevišķu tērpu izgatavošana</t>
  </si>
  <si>
    <t xml:space="preserve">VPDK SPRIGULĪTIS Abrenes tērpu aksesuāri galvas auti (10gab.), pārpieri ( 10gab.) </t>
  </si>
  <si>
    <t>Esošo tērpu papildinājums</t>
  </si>
  <si>
    <t>Tērpi Dziesmu svētku kolektīviem CARNIKAVA</t>
  </si>
  <si>
    <t>JDK Abi divi</t>
  </si>
  <si>
    <t>16 gab puišu bikses, 12 gan meitu Vidzemes jakas, 12 gab meitu uzkrekli zem jakām,  12 gab puišu deju kurpes, 12 gab meitu deju kurpes</t>
  </si>
  <si>
    <t>SDK Tacis</t>
  </si>
  <si>
    <t>Esošo tērpu papildinājums - 8 gab vīru mēteļi, 12 gab sieviešu jakas, 8 gab aubes, 8 gab vīriešu bikses</t>
  </si>
  <si>
    <t>Jauktais koris Vēja balss</t>
  </si>
  <si>
    <t xml:space="preserve">Jaunajiem dziedātājiem trūkst tērpi, līdz ar to nepieciešams esošo tērpu papildinājums 7 sieviešu tērpi (brunči, mētelis) un 4 vīriešu tērpi (bikses, mētelis) </t>
  </si>
  <si>
    <t xml:space="preserve">Novada delegācijas noformējums, karogi u.c. </t>
  </si>
  <si>
    <t>Ir</t>
  </si>
  <si>
    <t>administrācijas mob. telefonu apmaksa</t>
  </si>
  <si>
    <t xml:space="preserve"> ĀNMS - konkurss "Solis Laikā Ādažos"</t>
  </si>
  <si>
    <t xml:space="preserve">Degviela administrācijas darbiniekiem </t>
  </si>
  <si>
    <t>2 klasiskās ģitāras</t>
  </si>
  <si>
    <t>Basģitāra</t>
  </si>
  <si>
    <t>2 digitālās klavieres</t>
  </si>
  <si>
    <t>0841.4</t>
  </si>
  <si>
    <t>no valsts budžeta EUR 12,10 (iesk.PVN) par personu/ dienā  .</t>
  </si>
  <si>
    <t>Tas pats, kas 2022.g.</t>
  </si>
  <si>
    <t>Ierakstītas vēstules</t>
  </si>
  <si>
    <t>Pieci mobīlie tālr. (350x5=1750 eur)</t>
  </si>
  <si>
    <t>Venden statīva noma 29,83*12</t>
  </si>
  <si>
    <t>BV vadītājs 150l*1,9*12</t>
  </si>
  <si>
    <t>BV vadītāja vietnieks 120l*1,9*12</t>
  </si>
  <si>
    <t>1 speciālists 100l*1.9*12</t>
  </si>
  <si>
    <t>4 speciālisti 70l*1,9*12</t>
  </si>
  <si>
    <t>3 monitoru iegāde</t>
  </si>
  <si>
    <t xml:space="preserve">Kursi un semināri 85*7 cilvēki </t>
  </si>
  <si>
    <t>Apmācības darbam ar TAPIS datu apstrādi</t>
  </si>
  <si>
    <t>Papīri teritorijas plānošanai. Izprintēšanai būs lielie papīri. Plotera papīrs</t>
  </si>
  <si>
    <t>Cinis</t>
  </si>
  <si>
    <t xml:space="preserve">rezerves portatīvais dators, (Silvim ir beigts)- printera kārtridži (ploterim un printerim), </t>
  </si>
  <si>
    <t>Vecākā eksperte, G.Dundure, max 19</t>
  </si>
  <si>
    <t>Vecākā eksperte  I.Grīviņa Dilāne - max EUR 19</t>
  </si>
  <si>
    <t>Nodaļas vadītāja - max EUR 63 (Vid EUR 31,5/mēn)</t>
  </si>
  <si>
    <t>Tehniskais projektu vadītājs I.Plikgalve- max EUR 19</t>
  </si>
  <si>
    <t>Vecākā eksperte A.Dukāte max EUR 19</t>
  </si>
  <si>
    <t>Medicīniskā (8x50 eiro)=400 eiro (7 esošiem darbiniekiem un 1 plānotai vakancei)</t>
  </si>
  <si>
    <t>Komisijas maksas</t>
  </si>
  <si>
    <t>Kursi un semināri 85*8=EUR 680 (7 esošajiem darbiniekiem un 1 vakancei)</t>
  </si>
  <si>
    <t xml:space="preserve"> SVĒTKU NOFORMĒJUMI</t>
  </si>
  <si>
    <t>vienības izmaksas</t>
  </si>
  <si>
    <t>Lieldienas</t>
  </si>
  <si>
    <t>Maija svētki</t>
  </si>
  <si>
    <t>Gaujas svētki</t>
  </si>
  <si>
    <t xml:space="preserve">Jaunā novada  svētku karoglentu izgatavošana - Ādažu pagasts - 90 gab, Carnikavas pagasts -70 </t>
  </si>
  <si>
    <t>karogu eksponēšana - 160 gab (23,35  uz 1 karogu)</t>
  </si>
  <si>
    <t>Jāņi</t>
  </si>
  <si>
    <t>jauni dekori Līgo laukuma vides objektam</t>
  </si>
  <si>
    <t>Pirmais septembris</t>
  </si>
  <si>
    <t>dekoru noma, fotostūris</t>
  </si>
  <si>
    <t>Valsts svētki</t>
  </si>
  <si>
    <t>LV karogi  - noma 16,82 uz 1 karogu ( kopā 90 karogi) Ādažu pagastā 70 karogi Carnikavas pagastā</t>
  </si>
  <si>
    <t>Carnikavai mazo LV  karoglentu izgatavošana 70x140   Kopā 45 gab</t>
  </si>
  <si>
    <t xml:space="preserve">karogu eksponēšana </t>
  </si>
  <si>
    <t>eksponēšana - 160 gab ( 23,35 uz 1 karogu)</t>
  </si>
  <si>
    <t>dekori Līgo laukuma vides objektā</t>
  </si>
  <si>
    <t>vides objekta papildināšana ar valsts svētku simboliku un gaismām</t>
  </si>
  <si>
    <t>Ziemassvētki, Jaunais gads</t>
  </si>
  <si>
    <t>Ietver: Ziemassvētku egles ciemos, 2X150.00 EUR</t>
  </si>
  <si>
    <t>Alderi, Baltezers</t>
  </si>
  <si>
    <t>dekoru eksponēšana un noma</t>
  </si>
  <si>
    <t>Līgo laukuma un vides elementa noformēšana ar  gaismas dekoriem un eksponēšana</t>
  </si>
  <si>
    <t>Lielās egles eksponēšanas sistēmas  dekoru noma un eksponēšana</t>
  </si>
  <si>
    <t>dekoru eskponēšana un noma apļos</t>
  </si>
  <si>
    <t>Gaismas dekoru noma un eksponēšana rotācijas apļiem - Rīgas -Gaujas ; Gaujas - Pirmā; Gaujas - Attekas; Kadagas</t>
  </si>
  <si>
    <t>Adventes vainags Carnikavā</t>
  </si>
  <si>
    <t>elektrības nodrošinājums</t>
  </si>
  <si>
    <t>sakārtot pieslēgumu uz Baltezera tilta</t>
  </si>
  <si>
    <t xml:space="preserve">esošo dekoru remonts, atjaunošana </t>
  </si>
  <si>
    <t>CV online publikācija saistībā ar APN vakancēm</t>
  </si>
  <si>
    <t>Kārtridži 8 darbinieku darbam (50*8=400 eiro)</t>
  </si>
  <si>
    <t>Svētku dekorācijas- jaunas</t>
  </si>
  <si>
    <t>Degviela - vecākā eskperte, Gunta Dundure, max EUR 25*2,0x12=600</t>
  </si>
  <si>
    <t>Degviela - vecākā eskperte A.Dukāte, max EUR 25*2,0*12=600</t>
  </si>
  <si>
    <t>Degviela - vecākā eskperte, L.Bite, max EUR 25*1,5*12=360</t>
  </si>
  <si>
    <t>ES projektu atklāšanas pasākumu nodrošināšana</t>
  </si>
  <si>
    <t xml:space="preserve">ES Padomes projekts LIFE COHABIT </t>
  </si>
  <si>
    <t>Inclusion makes friendships (A.Brinkmane)</t>
  </si>
  <si>
    <t xml:space="preserve"> “Personu mobilitātes mācību nolūkos” Skolu izglītības sektora aktivitātē KA121</t>
  </si>
  <si>
    <t>Veselības apdrošināšana (150.00 x 210)</t>
  </si>
  <si>
    <t>Tet SIA EUR 170*12 (sakaru pakalpojumi)</t>
  </si>
  <si>
    <t>Laikraksti un žurnāli (Izglītība un Kultūra, Rīgas Apriņķa Avīze, Psiholoģija Ģimenei un Skolai, Avene, Ilustrētā Zinātne, Burda, Prakstiskie Rokdarbi</t>
  </si>
  <si>
    <t>Sienu remonts administratīvajam korpusam, kāpņutelpām 2.stāvā A korpuss</t>
  </si>
  <si>
    <t>Kanalizācijas un ūdensistēmas nomaiņa, remonts (A korpuss)</t>
  </si>
  <si>
    <t>Apsardze/remonti</t>
  </si>
  <si>
    <t>981</t>
  </si>
  <si>
    <t>ģeometrisko figūru komplekts 8 gab</t>
  </si>
  <si>
    <t>Zinātniskie kalkulatori 120 gab (matemātika)</t>
  </si>
  <si>
    <t>Rasperry Pi4 sensori 6 kompl(matemātika)</t>
  </si>
  <si>
    <t>Pannas ar vāku 4 gab (dizains un tehn.)</t>
  </si>
  <si>
    <t>Nolietoto instrumentu nomaiņa (Dizains un teh. meitenēm)</t>
  </si>
  <si>
    <t>IRD staru termometrs 4 gab (dizains un teh. zēniem)</t>
  </si>
  <si>
    <t>Rokas svari 1 gab (dabaszinības)</t>
  </si>
  <si>
    <t>Svari 500 g 8 gab (dabaszinības)</t>
  </si>
  <si>
    <t>Svari elektroniskie 500g 10 gab(dabaszinības)</t>
  </si>
  <si>
    <t>Mikroskops10 gab (dabaszinības)</t>
  </si>
  <si>
    <t>Citas mēbeles (Skolotāju galdi, krēsli)</t>
  </si>
  <si>
    <t>Mēbeles. Gan skolēnu mēbeļu komplekti, gan aprīkojums un mēbelēs klasēm</t>
  </si>
  <si>
    <t>Deju kolektīviem Dziesmu un deju svētkiem:</t>
  </si>
  <si>
    <t>VISC skatuviskās tautas dejas koncerta “Tā tik ir vasara!” jaundeju krājums (mēģinājuma norisei)</t>
  </si>
  <si>
    <t>Skaļrunis JBL Flip 5, sarkans IPX7 , ūdensizturīgs (mēģinājuma norisei)</t>
  </si>
  <si>
    <t>Tautiskās vilnas zeķes (tautas tērpa detaļa)</t>
  </si>
  <si>
    <t>Deju svētku jakas  (meitenēm un puišiem)(tautas tērpa detaļa)</t>
  </si>
  <si>
    <t>Deju kupes  (meitenēm un puišiem)(tautas tērpa detaļa)</t>
  </si>
  <si>
    <t>Akustiskā skanda/skaļrunis (skolas pasākuma organizēšanai)</t>
  </si>
  <si>
    <t>Mobilie telefoni 2 gab. (atbalsta personālam nepieciešami viedtālruņi)</t>
  </si>
  <si>
    <t>Degviela direktora vietniekam saimn. darbā</t>
  </si>
  <si>
    <t xml:space="preserve">Degviela saimniecības vadītajam </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</si>
  <si>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</si>
  <si>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</si>
  <si>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</si>
  <si>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</si>
  <si>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</si>
  <si>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Krāsainais printeris sekretariātam</t>
  </si>
  <si>
    <t>Unimat ML galda koka virpas (12 gab)(Dizains)</t>
  </si>
  <si>
    <t>Galda ripzāģis DeWalt DWE7485RS-QS 1850 W(dizains)</t>
  </si>
  <si>
    <t>Optikas komplekts 5 gab(fizika)</t>
  </si>
  <si>
    <t>Kalorimetra komplekts 3 gab(fizika)</t>
  </si>
  <si>
    <t>Elektrostatiskā mašīna(fizika)</t>
  </si>
  <si>
    <t>Ratiņi komplektiem 3 gab(fizika)</t>
  </si>
  <si>
    <t>24 darb. x 25 EUR</t>
  </si>
  <si>
    <t>Apskaņošanas pakalpojums 1. septembra pasākumam</t>
  </si>
  <si>
    <r>
      <rPr>
        <i/>
        <sz val="8"/>
        <color rgb="FF000000"/>
        <rFont val="Arial"/>
        <family val="2"/>
        <charset val="186"/>
      </rPr>
      <t>Apsrdzes sistēmas apkalpošana</t>
    </r>
    <r>
      <rPr>
        <i/>
        <sz val="8"/>
        <color rgb="FF44546A"/>
        <rFont val="Arial"/>
        <family val="2"/>
        <charset val="186"/>
      </rPr>
      <t xml:space="preserve"> (no 2022.gada1.nov. līdz 2024.gada 31.martam) 401.17 eur/mēn.</t>
    </r>
  </si>
  <si>
    <t>Iekārtu rezerves daļām un remontam</t>
  </si>
  <si>
    <t>"Vienkāršie mehānismi" konstruktori (Sākumskolas)</t>
  </si>
  <si>
    <t>Papīra smalcinātājs, medicīnisko dokumentu smalcināšanai (Mediķi)</t>
  </si>
  <si>
    <t>Degviela direktora vietniekam saimn. darbā (EUR 1,90*20*11)</t>
  </si>
  <si>
    <t>Monitors (administrators) apsardzes sistēmām 27"</t>
  </si>
  <si>
    <t>Neparedzētiem domofonu remontiem</t>
  </si>
  <si>
    <t>IKVD iestādes vadītāja vērtēšana</t>
  </si>
  <si>
    <t>3 stāva 4 grupu gaisa dzesēšanas sistēmas uzstādīšana.  Izpēti veic R. Kaufmanis - pēdējais zemākais piedāvājums EUR 13500</t>
  </si>
  <si>
    <t xml:space="preserve">Pašvaldības iesaiste publiski svarīgos pasākumos, projektos Ādažu novadā </t>
  </si>
  <si>
    <t>Līdzfinansējums</t>
  </si>
  <si>
    <t xml:space="preserve">Profesionāls stacionārs PROJEKTORS un komutāciju sistēmaĀKC Skatītāju zālē </t>
  </si>
  <si>
    <t>Pārcelts uz EKK 1228. Šis dublējas - te būtu jāņem ārā, ja vien tie nav domāti citi izdevumi.</t>
  </si>
  <si>
    <t xml:space="preserve">ELIS SIA. Paklāju maiņa. ~12,50*12 menesī. Ādažos, Carnikava 65 EUR mēnesī </t>
  </si>
  <si>
    <t>100% atmaksa</t>
  </si>
  <si>
    <t>Atmaksa 100%</t>
  </si>
  <si>
    <t>SN ģimenes asistenta pakalpojums 12 EUR stundā</t>
  </si>
  <si>
    <t>Datorkrēsls 5 gab. (Ādaži 2gab. Carnikava 3gab.)</t>
  </si>
  <si>
    <t>Datorgalds  ar skapīti(Ādaži 1gab.)</t>
  </si>
  <si>
    <t>Tējkanna  2gab.</t>
  </si>
  <si>
    <t>Printeris  4  gab. ~ Ādaži 2gab. EUR 500 Carnikava 2.gab.500 EUR</t>
  </si>
  <si>
    <t>māls, krāsas- dažādas, guaša, akvareļa, flomāsteri, audumam, svecēm, papīrs zīmēšanai un birojam, stikls, parafīns, ģipsis,</t>
  </si>
  <si>
    <t>Virtuves priekšmeti,panna,katli dažādu izmēru, kausi,nažu komplekts u.c lietas, dēlīši griešanai.</t>
  </si>
  <si>
    <t>Grupu dzīvokļa pakalpojums  EUR 841 mēnesī</t>
  </si>
  <si>
    <t xml:space="preserve">Dienas centrs  personām ar garīga rakstura traucējumiem   Ar pašaprūpes spējām EUR 32.19 dienā 3klienti, bez pašaprūpes spējām 11 klienti </t>
  </si>
  <si>
    <t xml:space="preserve">prese 4 žurnāli, ekskursija līgums ar Venden Nr. 0103991409 </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</si>
  <si>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</si>
  <si>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</si>
  <si>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</si>
  <si>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</si>
  <si>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</si>
  <si>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</si>
  <si>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</si>
  <si>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</si>
  <si>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Medaļu, balvu, diplomu iegāde</t>
  </si>
  <si>
    <t>Sporta sekcijas - Dalības maksas, biedru naudas, sporta nometnes, tiesnešu pakalpojumi</t>
  </si>
  <si>
    <t>Ādaži, Gaujas iela 33A Lielā aktu zāle datu pārraides tīkla severu skapja un tīkla vadu ierīkošanai (~ EUR 8000), optikas savienojumi zālē un uz galveno serveru telpu.</t>
  </si>
  <si>
    <t xml:space="preserve">Adobe cloud 2.gab. 2181.00EUR ar PVN; </t>
  </si>
  <si>
    <t>Symantec AntiVirus visiem pašvaldības datoriem (410+580 =990.gab.) 12830.00EUR</t>
  </si>
  <si>
    <t>Papildus programmatūras licences (PDF Architect Pro, sēžu video apstrādei atsevišķi Adobe Premere, e-pasta serverim iRedAdmin, u.c.)</t>
  </si>
  <si>
    <t>Jāskatās, kādas būs nākamā gada izmaksas, jo izbraukumu ir daudz!</t>
  </si>
  <si>
    <t>ĀN Stacionāro datoru nomaiņa uz Portatīvajiem datoriem (1200eur/gab.), monitori, viens Multifunkcionāls A3 printeris ar skaneri, Videonovērošas serveris ar lielu diska masīvu</t>
  </si>
  <si>
    <t>DZIESMU SVĒTKI 2023</t>
  </si>
  <si>
    <t>Stadiona rekonstrukcija</t>
  </si>
  <si>
    <t>EKK nosaukums</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</si>
  <si>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</si>
  <si>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</si>
  <si>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</si>
  <si>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</si>
  <si>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</si>
  <si>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</si>
  <si>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</si>
  <si>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</si>
  <si>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Pārējie remontdarbu un iestāžu uzturēšanas pakalpojumi</t>
  </si>
  <si>
    <t xml:space="preserve">    Informācijas tehnoloģiju pakalpojumi</t>
  </si>
  <si>
    <t xml:space="preserve">    Izdevumi par precēm iestādes sabiedrisko aktivitāšu īstenošanai</t>
  </si>
  <si>
    <t xml:space="preserve">    Degviela</t>
  </si>
  <si>
    <t xml:space="preserve">    Pārējās preces</t>
  </si>
  <si>
    <t xml:space="preserve">    Nemateriālo ieguldījumu izveidošana</t>
  </si>
  <si>
    <t xml:space="preserve">    Pārējie iepriekš neklasificētie pamatlīdzekļi un ieguldījuma īpašumi</t>
  </si>
  <si>
    <t xml:space="preserve">    Pamatlīdzekļu un ieguldījumu īpašumu izveidošana un nepabeigtā būvniecība</t>
  </si>
  <si>
    <t xml:space="preserve">    Samaksa par aprūpi mājās</t>
  </si>
  <si>
    <t xml:space="preserve">    Pašvaldības un tās iestāžu savstarpējie transferti</t>
  </si>
  <si>
    <t>Projekts ERASMUS+</t>
  </si>
  <si>
    <t>Projekts ERASMUS</t>
  </si>
  <si>
    <t>Nolikums tiek izstrādāts katru gadu no jauna.</t>
  </si>
  <si>
    <t>0630.1 AID</t>
  </si>
  <si>
    <t>0630 AID</t>
  </si>
  <si>
    <t>0630.2 AID Militārais mantojums ©</t>
  </si>
  <si>
    <t>Studiju maksas kompensācija EUR1000 x 6 darb. + 2 vakances</t>
  </si>
  <si>
    <t>Ziedi dzimtsaraksti</t>
  </si>
  <si>
    <t>Sveces (kāzām)</t>
  </si>
  <si>
    <t>Civilstāvokļa apliecības.</t>
  </si>
  <si>
    <t>Vāciņi dzimšanas un miršanas apliecībām.</t>
  </si>
  <si>
    <t>Kleita laulību reģistrācijai 2xEUR150</t>
  </si>
  <si>
    <t>Dzimtsarakstiem izdevums "Mans bērns".</t>
  </si>
  <si>
    <t>Dāvanas laulību jubilejā.</t>
  </si>
  <si>
    <t xml:space="preserve">Dāvaniņa jaundzimušajiem - sienas lineāls - auguma mērītājs </t>
  </si>
  <si>
    <t>Skaļrunis (2 gab.)</t>
  </si>
  <si>
    <t>Nošu turētājs (2 gab.)</t>
  </si>
  <si>
    <t>Grāmatvedība. Uz domi attiecas EUR 7500+PVN=9075</t>
  </si>
  <si>
    <t>IK protokols SIA "Auditorfirma Padoms"</t>
  </si>
  <si>
    <t xml:space="preserve">Kompensācija par auto amortizāciju - A.Snigireva - max EUR 57 </t>
  </si>
  <si>
    <t>Grāmatvedība  vidēji 8 eiro*12=96</t>
  </si>
  <si>
    <t>4 POS terminālu bankas  komisijas maksas (Master card). (10,5+50)*4gab*12mēn. POS termināla nomas maksa 10,50</t>
  </si>
  <si>
    <t>Anita Snigireva 120l/gadā</t>
  </si>
  <si>
    <t>Grāmatvedības nodaļai tonējošās plēves uzlikšana jumta logiem</t>
  </si>
  <si>
    <t>KAC - tikai Ādaži</t>
  </si>
  <si>
    <t>Gaisa sausinātājs un mitruma termometrs Carnikavas arhīvam (arhīva dokumentu glabāšanai atbilstoši normatīvo aktu prasībām nepieciešams noteikts mitrums un temperatūra)</t>
  </si>
  <si>
    <t>Dokumnetu kameras x 2 (klientu datoriem - digitālais ierēdnis) Ādažu VPVKAC un Carnikavas VPVKAC https://www.1a.lv/p/dokumentu-kamera-avermedia-m5/en8p</t>
  </si>
  <si>
    <t>Skeneris klientu datoram Carnikavas VPVKAC</t>
  </si>
  <si>
    <t>Printeris un skeneris klientu datoram Carnikavas VPVKAC https://birojatehnika.lv/M2040dn</t>
  </si>
  <si>
    <t>Ergonomisks krēsla paliktnis x 2 Carnikavas VPVKAC https://www.4office.lv/katalogs.html?itemid=5993</t>
  </si>
  <si>
    <t>4 krēsli darbiniekiem Carnikavas VPVKAC + Linda Pavlovska https://www.ajprodukti.lv/birojs-sapulcu-telpa/kresli/biroja-kresli/biroja-kresls-ar-augstu-atzveltni-179985-179983</t>
  </si>
  <si>
    <t>Aigai Kazulei darba krēsls</t>
  </si>
  <si>
    <t>5 klientu krēsli Ādažu VPVKAC https://rkf.lv/lv/katalogs/kategorija:4-kresli-apmekletajiem Mikro 4k variants</t>
  </si>
  <si>
    <t>Klientu dators Ādažu VPVKAC</t>
  </si>
  <si>
    <t>Iepirkums  Ādažu novada teritorijas plānojuma ainavu plānam</t>
  </si>
  <si>
    <t>Iepirkums  Ādažu novada teritorijas plānojuma SIVN (2023.-2025.)</t>
  </si>
  <si>
    <t>U.5.1.2. Ā.5.1.2.4.</t>
  </si>
  <si>
    <t>U16.1.4, C16.1.4.4.</t>
  </si>
  <si>
    <t>U16.1.4., C16.1.4.3.</t>
  </si>
  <si>
    <t>Prezentācijas izdevumi, pieredzes apmaiņai, sanāksmēm ar sadarbības partneriem</t>
  </si>
  <si>
    <t>Projekts"Mobilais darbs ar jaunatni Ādažu novadā" (2022. gada 1. decembra līdz 2023. gada 30. oktobrim. )</t>
  </si>
  <si>
    <t>Projekts"Mobilais darbs ar jaunatni Ādažu novadā"</t>
  </si>
  <si>
    <t xml:space="preserve">0981 - Ādažu vidusskolas sākumskola                                                                                                                                                      </t>
  </si>
  <si>
    <t>par bezmantinieka mantu (~ 6 gab.)</t>
  </si>
  <si>
    <t>Izpilddirektors plāno LPIA pasākumus 3=&gt; 3*50=150</t>
  </si>
  <si>
    <t>Rezerve priekšsēdētāja komandējumiem</t>
  </si>
  <si>
    <t>Ventspils digitālais centrs- pieslēgums Eur 6.10*12m. No 2022.gada vidus 12,10</t>
  </si>
  <si>
    <t>Ārpakalpojuma līgumam (darba aizsardzība un ugunsdrošība) visam apvienotajam novadam (apmēram 1000 cilvēki)
SIA “FN-SERVISS” līgums uz 3 gadiem no 02.2022. EUR 336+PVN/mēn=4'878,72 (gadā)</t>
  </si>
  <si>
    <t>Darbinieku apdrošināšana</t>
  </si>
  <si>
    <t>Apdrošināšana Stacijas iela 5</t>
  </si>
  <si>
    <t>4.3.</t>
  </si>
  <si>
    <t>4.4.</t>
  </si>
  <si>
    <t>4.5.</t>
  </si>
  <si>
    <t>4.6.</t>
  </si>
  <si>
    <t>4.7.</t>
  </si>
  <si>
    <t>4.8.</t>
  </si>
  <si>
    <t>7.2.1.</t>
  </si>
  <si>
    <t>7.2.2.</t>
  </si>
  <si>
    <t>7.10.</t>
  </si>
  <si>
    <t>7.11.</t>
  </si>
  <si>
    <t>7.12.</t>
  </si>
  <si>
    <t>7.13.</t>
  </si>
  <si>
    <t>7.16.</t>
  </si>
  <si>
    <t>Gada atalgojums</t>
  </si>
  <si>
    <t xml:space="preserve">Atalgojums, atvaļinājuma pabalsti </t>
  </si>
  <si>
    <t>Laulību ceremoniju vadītājai friziera un manikīra pakalpijumi. 
Dzimtsaraksti - 2 darbin x750EUR/gadā</t>
  </si>
  <si>
    <t>Tehniskā apskate Volvo V60</t>
  </si>
  <si>
    <t xml:space="preserve">Tehniskās apkopes, remonti.   VOLVO V 60                                                                                                                                  </t>
  </si>
  <si>
    <t xml:space="preserve">VolvoV60  OCTA                                                                                                                                                                                           </t>
  </si>
  <si>
    <t xml:space="preserve">VolvoV60   KASKO                                                                                                                                                                               </t>
  </si>
  <si>
    <r>
      <t>KAC - tikai Ādaži.</t>
    </r>
    <r>
      <rPr>
        <i/>
        <sz val="8"/>
        <color rgb="FFFF0000"/>
        <rFont val="Arial"/>
        <family val="2"/>
        <charset val="186"/>
      </rPr>
      <t xml:space="preserve"> </t>
    </r>
  </si>
  <si>
    <t>Izdevumi par tiesvedību darbiem. Izdevumi tiesu izpildītājam par bezmantinieku mantu</t>
  </si>
  <si>
    <t>Zīmogi. Ādažiem un Carnikavai - administrācijai</t>
  </si>
  <si>
    <t xml:space="preserve">Riepu iegādei. 1 kompl.  VOLVO V 60                                                                                                                                           </t>
  </si>
  <si>
    <t>Izpilddirektors + vietnieks  100 l*12</t>
  </si>
  <si>
    <t>Procentu likmju pieaugums un parāda portfeļa palielinājums. Dati no VK prognozēm.</t>
  </si>
  <si>
    <t>Apstādījumu uzturēšana Ādažu teritorijā</t>
  </si>
  <si>
    <t>Dārznieka pakalpojumi, apstādījumu uzturēšana, vasaras puku kompozīcijas podos, jaunstādīto koku kopšana</t>
  </si>
  <si>
    <t>saskanā ar tehnisko specifikāciju</t>
  </si>
  <si>
    <t>Jaunu koku stādīšana</t>
  </si>
  <si>
    <t xml:space="preserve"> 20 koki</t>
  </si>
  <si>
    <t>Jaunu stādījumu izveide</t>
  </si>
  <si>
    <t>Dailu skvērā 90 m2 ( summa iekļauta kopējā darznieka pakalpojumā)</t>
  </si>
  <si>
    <t>Atpūtas un aktivitāšu zonu projektu izstrāde</t>
  </si>
  <si>
    <t>jaunu teritoriju labiekārtojumu projektu izsstrāde</t>
  </si>
  <si>
    <t>Vējupei pieguļosās pašvaldības teritorijas sakopšana, labiekārtošana un jaunas infrastruktūras izveide vides pieejamības nodrošināšanai.   ( ~25 ha)</t>
  </si>
  <si>
    <t>Iespējami 3 varianti darbībām":</t>
  </si>
  <si>
    <t>1) koncepcijas izstrāde, detalizēta, ar izrunātiem risinājumiem ar pasūtītāju, iekļaujot sabiedriskās apspriešanas, iedzīvotāju viedokļu un ideju uzklausīšanu</t>
  </si>
  <si>
    <t>grūti izmērīt laika nogrieznī, ja iesaista iedzīvotājus</t>
  </si>
  <si>
    <t xml:space="preserve">Projekta, meta vai konepcijā paredzamie elementi:     </t>
  </si>
  <si>
    <t>2) metu konkurss, bet tad jāuzmēra iztrūkstošie fragmenti topogrāfijā (balvu fonds 10 000 plus klāt topogrāfijas izdevumi)</t>
  </si>
  <si>
    <t>10000 (5000+3000+2000 balvu fonds)</t>
  </si>
  <si>
    <t>idejiski skaidrs formāts, definējams laiks</t>
  </si>
  <si>
    <t xml:space="preserve">Visapkār Vējupei gājēju pastaigu taka, ceļš - gan pa sausszemi, gan gar ūdeni, gan ūdenī; Labiekārtota pludmale ar visiem pludmalei nepieciešamajiem aprīkojuma elementiem; Piedāvāt atpūtas vietas pieguļošajā teritorijā - klusā atpūta ar soliņiem, sauļošanās soliem, āra trenažieriem, atkritumu urnām, elementiem bērnu aktivitātēm, skatu platformām u.c.; Piedāvāt laivu, supu ielaišanas vietas; </t>
  </si>
  <si>
    <t>3) pēc meta  pilna būvprojekta izstrāde, sadalīta vairākās realizācija kārtās. Jāatceras, ka mets ir tikai iedejas, nav detalizētu tehnisku risinājumu. Ja metu konkursā būtu iegūts viens ideālais meta variants, kur visi parādītie objekti realizējami , kā iecerēts, tad var aprakstīt katru objektu pa vienam un realizēt pa vienam objektam arī bez kopēja būvprojekta.</t>
  </si>
  <si>
    <t>50000-70000</t>
  </si>
  <si>
    <t>cena pecizētos pec tā, kas izstrādāts metā</t>
  </si>
  <si>
    <t>visvērtīgākais gala produkts, ko realizējot pa kārtām iegūst pilnu vēlamo ainu</t>
  </si>
  <si>
    <t>Piedāvāt laivu, supu ielaišanas vietas; Apgaismojuma piedāvājums, esošāo gaismas ķermeņu maiņa gar Attekas ielas gājēju celiņu, noteikti atsevišķa izbūves kārta; Savienojumi ar pieguļošajām teritorijām un ielām; Apstādījumi, kā esošās dabīgās vides papildinājumi; Piedāvāt vietas publiski pieejamām laipām ūdenī, kur iespējams iet peldēties;  Paredzēt vietas vides objektiem - dekoriem;  Piedāvāt ūdens objektus - strūklakas u.c. Kā variants - ūdens strūklaku sistēma, kas var darboties kā šovprogramma;  Piedāvāt ūdens objektus - strūklakas u.c. Kā variants - ūdens strūklaku sistēma, kas var darboties kā šovprogramma;</t>
  </si>
  <si>
    <t>Jauniešu aktīvās atpūtas/sporta zona</t>
  </si>
  <si>
    <t>saskaņā ar publiskās ārtelpas koncepciju</t>
  </si>
  <si>
    <t>Rotaļu un aktīvās atpūtas laukums Dailu skvērā</t>
  </si>
  <si>
    <t>Izveidotajā un pašvadībai nodotajā skvērā sākt veidot aktivitāšu laukumu. Sākt ar jauniešu zonu - vingrošanas iekārtas un trenažieri</t>
  </si>
  <si>
    <t>Ir vieta  dažādu vecumu bērniem, ar aktivitāšu elementiem, kur bērniem iespējas aktīvi darboties, sākumam jauniešu zona, pēc  tam pretī bērnu zona attīstāma</t>
  </si>
  <si>
    <t>gumijas mulčas segums zem sporta iekārtām, 200 m2 platībā</t>
  </si>
  <si>
    <t>Bērnu rotaļu laukums Carnikavā</t>
  </si>
  <si>
    <t>Attīstāmas jaunas un revitalizējamas publiskās ārtelpas teritorijas</t>
  </si>
  <si>
    <t>Promenāde gar Vējupi - koka laipa - taka</t>
  </si>
  <si>
    <t>turpinājums līdz pašvaldības īpašumam - 200 m līdz Stirana zemei  - koka laipa x  150 eur t.m.( pēc piemēra Krastupes terase</t>
  </si>
  <si>
    <t>2017  izveidoti 180 m (līdz pašvaldības zemes gabalam lai aizietu pa krastmalu vēlams ap 500 m vēl) 2022  uzlikt 200 m līdz Stirāna gabalam</t>
  </si>
  <si>
    <t>Vējupes pludmales mežs</t>
  </si>
  <si>
    <t>aktivitāšu elementi Vējupei pieguļošajā teritorijā</t>
  </si>
  <si>
    <t>mežu dienas projekts</t>
  </si>
  <si>
    <t>Puķu podi Pirmā ielā pie bērnu dārza transporta organizēšana</t>
  </si>
  <si>
    <t>zemais lielais pods - 440,00, LOTUs vidējais188,00</t>
  </si>
  <si>
    <t>Info stends, digitāls</t>
  </si>
  <si>
    <t>pie tirgus Gaujas ielā</t>
  </si>
  <si>
    <t>Info stends ar iespēju izvietot informāciju pie tirgus laukuma ( analogs Carnikavai), LMT kabeļa gals ir izbūvēts jau Gaujas ielas projekta laikā atrodas zem gājēju bruģa seguma pretī UTT)</t>
  </si>
  <si>
    <t>Suņu pastaigu laukums, malā gar stadionu</t>
  </si>
  <si>
    <t>iepējams variants, jauns objekts</t>
  </si>
  <si>
    <t>Velo maršrutu marķēšana</t>
  </si>
  <si>
    <t>ap Lielo Baltezeru, Atari, pa dambi, numuru piešķiršana</t>
  </si>
  <si>
    <t>Dižkoku sakopšana, jaunu apzīmēšana, koku pie Gaujas 33a sakopšana</t>
  </si>
  <si>
    <t>pēc iepriekšējām Labo koku tāmēm</t>
  </si>
  <si>
    <t>ir sena tāme</t>
  </si>
  <si>
    <t>Gaujas tilta svētku izgaismojums</t>
  </si>
  <si>
    <t>par godu 100 gadei</t>
  </si>
  <si>
    <t>Info plāksnes segumā vai co par Gaujas ielu būvnieku skatē</t>
  </si>
  <si>
    <t>Gaujas iela atpūtas zonā pie Saukas veikala ievietot dekoratīvu piemiņas plāksni vai kādu citu vides objektu</t>
  </si>
  <si>
    <t>Zoom 1'200 EUR</t>
  </si>
  <si>
    <t>Pārējie iepriekš neklasificētie pamatlīdzekļi un ieguldījuma īpašumi</t>
  </si>
  <si>
    <t xml:space="preserve">VAS Ceļu satiksmes drošības direkcijai saņemto sodu daļa, saskaņā ar līgumu 08-PV/520 JUR 2012. </t>
  </si>
  <si>
    <t>Elektrotīklu apkalpošana SIA Leģenda Gold EUR 60,50 (ar PVN)/ mēnesī</t>
  </si>
  <si>
    <t>Ēkas uzkopšanas pakalpojums līgums Baltcleaner OU 6392,4+PVN=7'735</t>
  </si>
  <si>
    <t>Pārcelts uz EKK 2250</t>
  </si>
  <si>
    <t>biroja galds karšu līmēšanai + 4 krēsli + 1 biroja krēsls (jāmaina) + galda kājas ar pacelšanas mehānismu 5 galdiem</t>
  </si>
  <si>
    <t>Biedru nauda Pašvaldību savienībā izpilddirektoru asociācija ~EUR 1500/gadā.</t>
  </si>
  <si>
    <t>Apdrošināšanas pakalpojumi</t>
  </si>
  <si>
    <t>Gāzes katla mērījumu attālinātie nolasītāji, "Ūdensnesējs serviss" EUR 12/mēnesī</t>
  </si>
  <si>
    <t>klēpjdatori (1x1200)</t>
  </si>
  <si>
    <t>Stāvgalds -apspriežu telpā projektu izskatīšanai. 2gab*850</t>
  </si>
  <si>
    <t>Degvielas kompensācija</t>
  </si>
  <si>
    <t>ESRI licence (ArcGIS Basic lic. 786,50EUR.)</t>
  </si>
  <si>
    <t>ESRI kredītpunkti (par faktiski izmantoto)</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</si>
  <si>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</si>
  <si>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</si>
  <si>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</si>
  <si>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</si>
  <si>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11 NĪ pirmreizēja ierakstīšana ZG (Ādažu pag. 2 NĪ, Carnikavas pag. 9 NĪ, EUR 50x11=550).</t>
  </si>
  <si>
    <t xml:space="preserve">Ielu/ceļu pārņemšana pašvaldības īpašumā (nodevas EUR 500) un gadā vairāku servitūta līgumu noslēgšanas izdevumi (EUR 400). </t>
  </si>
  <si>
    <t>Plānota būvju/inženierbūvju Ādažu pag. uzmērīšana un ierakstīšana zemesgrāmatā: 4 ielas (Muižas, Saules, Attekas B, Gaujas; EUR 1590)</t>
  </si>
  <si>
    <t>Pamatlīdzekļu un ieguldījumu īpašumu izveidošana un nepabeigtā būvniecība</t>
  </si>
  <si>
    <t xml:space="preserve">Atvaļinājuma pabalsts, </t>
  </si>
  <si>
    <t>Piemaksas par papildus darbu un ceļa kompensācijas</t>
  </si>
  <si>
    <t>Erasmus+ , Nordplus projekti</t>
  </si>
  <si>
    <t>Dienas nauda komandējumiem - LV</t>
  </si>
  <si>
    <t xml:space="preserve"> Erasmus+ , Nordplus projekti</t>
  </si>
  <si>
    <t>Skolas ēka Nākotnes ielā 1 (septembris - maijs)</t>
  </si>
  <si>
    <t>Skolas ēka Nākotnes ielā 1 (jūnijs - augusts)</t>
  </si>
  <si>
    <t xml:space="preserve">Iekļauti CKS budžetā </t>
  </si>
  <si>
    <t>Skolas ēka Nākotnes ielā 1</t>
  </si>
  <si>
    <t>Darba devēja apmaksātās obligātās veselības pārbaudes</t>
  </si>
  <si>
    <r>
      <t xml:space="preserve">Laikrakstu un žurnālu abonēšana </t>
    </r>
    <r>
      <rPr>
        <i/>
        <sz val="8"/>
        <color theme="3"/>
        <rFont val="Arial"/>
        <family val="2"/>
      </rPr>
      <t>- "Izglītība un kultūra", "Ilustrētā zinātne", "Praktiskie rokdarbi" u.c.</t>
    </r>
  </si>
  <si>
    <t>Fonogrammu atskaņošana un autortiesības video un audio materiāliem</t>
  </si>
  <si>
    <r>
      <t xml:space="preserve">Dalības maksa pasākumos, olimpiādēs </t>
    </r>
    <r>
      <rPr>
        <i/>
        <sz val="8"/>
        <color theme="3"/>
        <rFont val="Arial"/>
        <family val="2"/>
      </rPr>
      <t>- piemēram, Ķengurs, GenExis</t>
    </r>
  </si>
  <si>
    <r>
      <t xml:space="preserve">Ieejas biļetes pasākumos, izstādēs un muzejos </t>
    </r>
    <r>
      <rPr>
        <i/>
        <sz val="8"/>
        <color theme="3"/>
        <rFont val="Arial"/>
        <family val="2"/>
      </rPr>
      <t xml:space="preserve">- Skola, u.c. </t>
    </r>
  </si>
  <si>
    <t>Darbinieku dalība kursos, konferencēs, mācību semināros ārpusskolas</t>
  </si>
  <si>
    <t>Skolas pasākumu apskaņošana un gaismošana</t>
  </si>
  <si>
    <t>Skolas noformēšana izlaidumā, 1. septembrī</t>
  </si>
  <si>
    <t>Neparedzētiem gadījumiem</t>
  </si>
  <si>
    <t xml:space="preserve">Klavieru skaņošana. </t>
  </si>
  <si>
    <t xml:space="preserve">Ēkas Nākotnes ielā 1 un tajā esošā inventāra apdrošināšana </t>
  </si>
  <si>
    <t>Tvaika nosūcēji virs plītīm dizaina un tehnoloģiju mācību virtuvē</t>
  </si>
  <si>
    <t>Putekļu un skaidu savācējs dizaina un tehnoloģiju darbnīcai</t>
  </si>
  <si>
    <r>
      <t xml:space="preserve">Depo </t>
    </r>
    <r>
      <rPr>
        <i/>
        <sz val="8"/>
        <color theme="3"/>
        <rFont val="Arial"/>
        <family val="2"/>
      </rPr>
      <t>- saimniecības precēm, remontiem</t>
    </r>
  </si>
  <si>
    <t>Koplietošanas telpu sienu apstrāde pret mehāniskiem bojājumiem</t>
  </si>
  <si>
    <t>2022./2023. m.g. 2. semestris 1.-4. klašu izglītojamajiem (94 dienas mācās)</t>
  </si>
  <si>
    <t>2023./2024. m.g. 1. semestris 1.-4. klašu izglītojamajiem (75 dienas mācās)</t>
  </si>
  <si>
    <t>Apliecības par pamatizglītības iegūšanu SIA "Plūsma"</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</si>
  <si>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</si>
  <si>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</si>
  <si>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</si>
  <si>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</si>
  <si>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</si>
  <si>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</si>
  <si>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</si>
  <si>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</si>
  <si>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</si>
  <si>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r>
      <t xml:space="preserve">Ziedi </t>
    </r>
    <r>
      <rPr>
        <i/>
        <sz val="8"/>
        <color theme="3"/>
        <rFont val="Arial"/>
        <family val="2"/>
      </rPr>
      <t>- izlaidumam, 1. septembrim, valsts svētkiem, jaunajiem pedagogiem u.c. svinīgiem un piemiņas pasākumiem</t>
    </r>
  </si>
  <si>
    <r>
      <t xml:space="preserve">Konditorejas pakalpojumi </t>
    </r>
    <r>
      <rPr>
        <i/>
        <sz val="8"/>
        <color theme="3"/>
        <rFont val="Arial"/>
        <family val="2"/>
      </rPr>
      <t>- ciemiņu uzņemšanai, valsts svētkiem</t>
    </r>
  </si>
  <si>
    <r>
      <t xml:space="preserve">Dāvanas absolventiem un labākajiem skolēniem un par panākumiem olimpiādēs, konkursos (atlikums tiek izmantots kā skolas reprezentācijas suvenīri viesiem un sadarbības partneriem), izdales materiāli </t>
    </r>
    <r>
      <rPr>
        <i/>
        <sz val="8"/>
        <color theme="3"/>
        <rFont val="Arial"/>
        <family val="2"/>
      </rPr>
      <t>- pildspalvas, nozīmītes, pudeles u.c. ar skolas logo</t>
    </r>
  </si>
  <si>
    <t>Skolas dekorēšanai uz svētkiem</t>
  </si>
  <si>
    <t>Printeri digitāli pieejamo mācību līdzekļu izdrukāšanai</t>
  </si>
  <si>
    <t>Kopētāji mācību līdzekļu pavairošanai</t>
  </si>
  <si>
    <t>Līgums Nr.JUR 2022-11/xxx ar "Leģenda Gold" EUR 110+PVN=133,10mēnesī (EUR 1 597 ar PVN 12mēnešiem)+rezerve materiāliem</t>
  </si>
  <si>
    <t>Ēkas logu mazgāšana no ārpuses un iekšpuses 3920m²× 0,85 EUR. abpusēja logu mazgāšana</t>
  </si>
  <si>
    <t>Gāzes katlu māju un siltummezglu apkalpošana un remonts. SIA "Ūdensnesēju serviss". JUR 2022-01/74  apkalpošana un remontdarbiem</t>
  </si>
  <si>
    <t>Piekļuves sistēmas automatizācija - kodi vārtiem un ieejas durvīm</t>
  </si>
  <si>
    <t>AS   „Latvijas Gāze” 18 000*8+4000*3</t>
  </si>
  <si>
    <t>Raiders ar uzkabēm (lāpsta, birste u.c.) komplekts</t>
  </si>
  <si>
    <t>Jaunas rotaļiekārtas laikumiņos (1.,2.,9. un 12. grupām)</t>
  </si>
  <si>
    <t>Interneta tīkla sakārtošana - 20 000 () + Word licence (1500)</t>
  </si>
  <si>
    <r>
      <t xml:space="preserve">Kompensācija par ceļa izdevumiem audzinātājām </t>
    </r>
    <r>
      <rPr>
        <i/>
        <sz val="8"/>
        <color theme="0"/>
        <rFont val="Arial"/>
        <family val="2"/>
        <charset val="186"/>
      </rPr>
      <t>EUR 2033,45x10mēn.; auklītēm 1557,24x11mēn.</t>
    </r>
  </si>
  <si>
    <t>Kompensācija par ceļa izdevumiem audzinātājām</t>
  </si>
  <si>
    <t>Bāzes (CKS)</t>
  </si>
  <si>
    <t>Bāze (CKS)</t>
  </si>
  <si>
    <t xml:space="preserve">Kompensācija par ceļa izdevumiem audzinātājām </t>
  </si>
  <si>
    <t>Korekcija; atvaļinājuma pabalsti</t>
  </si>
  <si>
    <t>Veselibas apdrošināšana 150x51= 7'650; vai brilles un izziņa darbam. Domes pirktā apdrošināšana zem EKK 2247</t>
  </si>
  <si>
    <t>SIA"Funeral Service Latvia" JUR 2020-03/174 līdz 2021.gada 21.februārim+5%cenu pieaugums</t>
  </si>
  <si>
    <t>Uz CKS - Pilnībā netiks nodarbināts, jādomā par to, ka CKS to dara tāpat kā Piejūrā</t>
  </si>
  <si>
    <t>Rezerve neparedzētiem gadījumiem</t>
  </si>
  <si>
    <t>Meža inventarizācijas plāni un to aktualizācija (rezerve)</t>
  </si>
  <si>
    <t>Rezerve plānotajam PI skolotāju atalgojumam (no 01.01. +50 EUR (pārējām PII šo kompensēs no MD)</t>
  </si>
  <si>
    <t>Ventilatora remonts baseinā (rezerve)</t>
  </si>
  <si>
    <t>Līgums spēkā līdz 2023. gada maijam, Summa 5 mēnešiem 70943,29 EUR</t>
  </si>
  <si>
    <t>Izdevumi par apkuri, Nākotnes ielā 1, Carnikavā</t>
  </si>
  <si>
    <t>Izdevumi par ūdeni un kanalizāciju, Nākotnes ielā 1, Carnikavā</t>
  </si>
  <si>
    <t>Izdevumi par elektroenerģiju, Nākotnes ielā 1, Carnikavā</t>
  </si>
  <si>
    <t xml:space="preserve">Mājas lapas uzturēšana SIA "MEGASOFT" </t>
  </si>
  <si>
    <t xml:space="preserve">Dators, monitors  EUR 1300. </t>
  </si>
  <si>
    <t>MK noteikumi jāsedz izdevumi atbilstoši izmaksām</t>
  </si>
  <si>
    <t>Sociālās aprūpes pakalpojums. Valstī noteiktā minimālā mēneša darba alga par nostrādātām stundām. Līgumi ar SD, šobrīd noslēgti 9 līgumi</t>
  </si>
  <si>
    <t>DI pakalpojumu dotācijas</t>
  </si>
  <si>
    <t>Brilles, apdrošināšana</t>
  </si>
  <si>
    <t>Elektrotīklu apkope</t>
  </si>
  <si>
    <t>Maksājumu pakalpojumi un komisijas (bankas komisija, pakalpojumi)</t>
  </si>
  <si>
    <t>Ventilācijas sistēmu apkope</t>
  </si>
  <si>
    <t>SIA TET internets, telefons, dekoders. Abonēšanas maksa (82.03 EUR +61.65EUR)</t>
  </si>
  <si>
    <t xml:space="preserve">Ādažu novada sporta pasākumi </t>
  </si>
  <si>
    <t>Apsardze un apsardzes signalizāciju sistēmu apkalpošana, SIA "AS G4S Latvia" . Neparedzēto darbu  fonds: EUR 1000 (ar PVN).</t>
  </si>
  <si>
    <t>Elis Tekstila Serviss A/S. Noma (gaisa atsvaidzinātājs, putu ziepju dozators, automātiskais papīra ruļļu dvielis, dezinfekcijas līdzeklis tualetes podam. Apmeklētāju tualetē.</t>
  </si>
  <si>
    <t>Venden SIA - aparātu noma / 2.iekārtas /. EUR 15/mēn</t>
  </si>
  <si>
    <t>Ādažu novada sporta pasākumi (4000 EUR EKK 2390 Kausu un medaļu iegādei)</t>
  </si>
  <si>
    <t>Ēkas apdrošināšana</t>
  </si>
  <si>
    <t>Rezerve skolēnu līdzfinansējumam dalībai konkursos, balstoties uz kritērijiem</t>
  </si>
  <si>
    <t>Līdzfinansējums dalībai konkursos</t>
  </si>
  <si>
    <t>Dators jaunajam darbiniekam</t>
  </si>
  <si>
    <t>Elektrība par dekoriem, saistības no LVC vienošanās</t>
  </si>
  <si>
    <t>Kancelejas preces ārpus EIS 8 darbiniekiem (70 eiro/gadāx12=840)</t>
  </si>
  <si>
    <t>2 Monitori tiem, kas strādā ar portatīvajiem</t>
  </si>
  <si>
    <t xml:space="preserve">ZZ Dats Bāriņtiesu informācijas sistēma BARIS </t>
  </si>
  <si>
    <t>Orgtehnikas (printeri un multifukcionālās iekārtas) un citas tehnikas remonta darbi</t>
  </si>
  <si>
    <t>Instrumenti, kuriem nepieciešami palīgmateriāli un arī baterijas. (Nebija iespējams iegādāties 2022.)</t>
  </si>
  <si>
    <t>monitoru, printeru un tīklā iekārtu iegāde</t>
  </si>
  <si>
    <t xml:space="preserve">Jaunu videonovērošanas kameru iegāde/uzstādīšana -videonovērošanas sistēma Ādažu pilsētas pusē. </t>
  </si>
  <si>
    <t>Ādažos jaunas sēžu zāles ierīkošana; Skaņas aparatūra, video aparatūra. Jaunie MK noteikumi par domes sēžu ierakstiem! (Vai skatītāju zāles datu tīkla ierīkošana)</t>
  </si>
  <si>
    <t>Inženiertehnisko iekārtu remonti Gaujas 33A</t>
  </si>
  <si>
    <t xml:space="preserve">Izdevumi par elektroenerģiju </t>
  </si>
  <si>
    <t>SVĒTKU LAUKUMS</t>
  </si>
  <si>
    <t>Saraksts no CKS</t>
  </si>
  <si>
    <t>Komunālā saimniecība (bāze) Dome</t>
  </si>
  <si>
    <t>Piemaksa par virsstundām un darbu svētku dienās</t>
  </si>
  <si>
    <t>Naudas balva</t>
  </si>
  <si>
    <t>Darba dev.labumi,ves.uzlab.,naudas balvas (slimības naudas)</t>
  </si>
  <si>
    <t xml:space="preserve">Darba devēja pabalsti un kompensācijas, no kā neaprēķina iedzīvotāju ienākuma nodokli un valsts sociālās apdrošināšanas </t>
  </si>
  <si>
    <t>Kompensācija par personīgo automobili</t>
  </si>
  <si>
    <t>Iekšzemes komandējumi, dienas nauda</t>
  </si>
  <si>
    <t>Ārvalstu komandējumi, dienas nauda</t>
  </si>
  <si>
    <t>Pārējie komandējumu izdevumi</t>
  </si>
  <si>
    <t>Sakaru pakalpojumi</t>
  </si>
  <si>
    <t>Pasta pakalpojumi</t>
  </si>
  <si>
    <t>Auto GPS "Inteligent systems" LĪGUMS Nr. JUR 2022-05/345 4gb. ~8,75*4*12m</t>
  </si>
  <si>
    <t>Izdevumi par elektroenerģiju (aizsargdambja sūkņi,polderi)</t>
  </si>
  <si>
    <t xml:space="preserve"> SIA "Clean R" Nr.2018/103 "Par sadzīves atkritumu apsaimniekošanu"</t>
  </si>
  <si>
    <t>Kriminālu līķu vai bezpajumtnieku apglabāšana kapos</t>
  </si>
  <si>
    <t>Ekspertu pakalpojumi</t>
  </si>
  <si>
    <t>Bīstamo koku stāvokļa novērtējums</t>
  </si>
  <si>
    <t>Koku stāvokļa novērtējums (arborists vai ornitologa ekspertīze)</t>
  </si>
  <si>
    <t>Tehniskā apsekošanas atzinumu pakalpojumi Saules pļavām (grāvjiem, caurtekām u.c.)</t>
  </si>
  <si>
    <t>BIOR peldvietu ūdens kvalitātes analīzes. 7 peldvietas 3x sezonā atbilstoši cenrādim. 03.03.2022. noslēgts līgums Nr.L_2022_18 “Laboratorisko izmeklējumu līgums”</t>
  </si>
  <si>
    <t>Zivsaimnieciskās ekspertīzes atjaunošana Lielajam Baltezeram</t>
  </si>
  <si>
    <t>Augstā pacēlāja noma</t>
  </si>
  <si>
    <t>Autobusa noma darbinieku pieredzes apmaiņas braucienam</t>
  </si>
  <si>
    <t>Preču piegādes un pakalpojumu sniegšanas transporta izdevumi</t>
  </si>
  <si>
    <t>Ērču potes (nav iekļautas veselības apdrošināšanas kartē)</t>
  </si>
  <si>
    <t>Līdzekļu iegāde Covid 19 profilaksei</t>
  </si>
  <si>
    <t>Kursi, semināri, konferences darbinieku kvalifikācijas celšanai</t>
  </si>
  <si>
    <t>Bankas komisija</t>
  </si>
  <si>
    <t>Bankas komisjija</t>
  </si>
  <si>
    <t>Pārējie iestādes administratīvie izdevumi un ar iestādes darbību saistītie pakalpojumi</t>
  </si>
  <si>
    <t>Darba apģēru remonts</t>
  </si>
  <si>
    <t>Kafija,tēja</t>
  </si>
  <si>
    <t>Stāvvietas domes automašīnām, līgums ar SIA „CityCredit” ~EUR 30*12  Mobilly.</t>
  </si>
  <si>
    <t>2 alumīnija ārdurvju uzstādīšana Stacijas 7(esošās nolietojušās)</t>
  </si>
  <si>
    <t>Liftu dispečerizācija Gaujas 33</t>
  </si>
  <si>
    <t>Kulturas centra Gaujas iela 33A Skatuves grīdas atjaunošana</t>
  </si>
  <si>
    <t>Logu mazgāšana no ārpuses Gaujas 16, Stacijas 5, Stacijas 7</t>
  </si>
  <si>
    <t>Ādažu Mākslu skolas Gaujas iela 33A telpu remonts ziemeļu pusē(sienu špaktelēšana, krāsošana, palodžu nomaiņa)</t>
  </si>
  <si>
    <t>Ādažu Mākslu skolas Gaujas iela 33A grīdas līstu nomaiņa 1. un 2. stāvā (330m)</t>
  </si>
  <si>
    <t>Ādažu Kultūras centra telpu remonts (Izstāžu zāle - sienu kosmētiskais remonts, ieejas mezglu - sienu/griestu kosmētiskais remonts, piekaramo griestu nomaiņa)</t>
  </si>
  <si>
    <t>Ādažu Kultūras centra telpu remonts (skatītāju zāle - durvju remonts, zāles un  skatuves sienu kosmētisks remonts)</t>
  </si>
  <si>
    <t>Ādažu Kultūras centra telpu remonts  (Deju zāle - bojātās spoguļa daļas nomaiņa)</t>
  </si>
  <si>
    <t>Stacijas iela 7 Pandusa remonts</t>
  </si>
  <si>
    <t>Novadpētniecības centra Jomas iela 7 fasādes krāsošanas darbi</t>
  </si>
  <si>
    <t>Jūras iela 4, Telpu pielāgošana bez pārbūves, Jauniešu centram</t>
  </si>
  <si>
    <t>Stacijas iela 5 fasādes apmaļu atjaunošana un vējtvera remonts</t>
  </si>
  <si>
    <t>Jūras iela 3A ēkas fasādes remonts un krāsošana</t>
  </si>
  <si>
    <t>Gaujas iela 16 avārijas darbu remonts</t>
  </si>
  <si>
    <t>Angāru Jomas 5 piebūvju jumtu un noteku remonts</t>
  </si>
  <si>
    <t>Gaujas iela 16, Elektrosadales remonts</t>
  </si>
  <si>
    <t>Gaujas iela 16, UGD bloka pārvietošana</t>
  </si>
  <si>
    <t>Traktortehnikas apkope un remonts Ādaži</t>
  </si>
  <si>
    <t>Traktortehnikas  CASE apkope un remonts SIA " Intrac Latvia" garantijas līgums</t>
  </si>
  <si>
    <t>Tehniskā apskate ar ceļu nodokļiem</t>
  </si>
  <si>
    <t>Iekārtu, inventāra un aparatūras remonts, tehniskā apkalpošana</t>
  </si>
  <si>
    <t>Laveru un Mangaļu poldera sūkņu staciju sūkņu avārijas apkope un remonts</t>
  </si>
  <si>
    <t>Sūkņu stacijas profilaktiskie remontdarbi, sprieguma mērījum, smērvielas aizvariem (Kārklu SS)</t>
  </si>
  <si>
    <t>Sūkņu apkalpes līgums Kārklu SS (1 profilaktiskā akope gadā 396 EUR bez PVN, papildus neparedzēto remontdarbu fonds 200 EUR bez PVN)</t>
  </si>
  <si>
    <t>Namdaru inventāra un aparatūras remonts, tehniskā apkalpošana</t>
  </si>
  <si>
    <t>Apkures katlu remonts</t>
  </si>
  <si>
    <t>Stacijas iela 5 siltummezgla remonts</t>
  </si>
  <si>
    <t>Stacijas iela 7 siltummezgla automātikas nomaiņa</t>
  </si>
  <si>
    <t>Kulturas centra Gaujas iela 33A noteku cauruļu apsildes kabeļu maiņa</t>
  </si>
  <si>
    <t>Ventilācijas sistēmu iekārtu apkope (SIA "CITY service" līg. Nr. 02-20.1/2021/34)</t>
  </si>
  <si>
    <t>Vent.sistēmu remonts</t>
  </si>
  <si>
    <t>Kondic. sist. apkope</t>
  </si>
  <si>
    <t>Kondic. Sist. remonts</t>
  </si>
  <si>
    <t>Dūmvadu un vent. kanālu tīrīšana</t>
  </si>
  <si>
    <t>Printera remonts</t>
  </si>
  <si>
    <t>Telts remonts</t>
  </si>
  <si>
    <t>Apsardzes sistēmu remonts</t>
  </si>
  <si>
    <t>Futbola laukuma zāliena kopšanas pasākumi-smilšošana, aerācija, mēslošana</t>
  </si>
  <si>
    <t>Pārvietojamo tualešu (40 gab) apkalpošana atpūtas vietās, stacijās, stāvlaukumos, Siguļu kapos, promenādē, stadionā, pie Jūrtakas, Zibeņu trasē, Mežciema ielas kāpā, Ādažos un Baltezera kapos SIA "BLAIZER-AG"Nr. 02-20.1/22/6</t>
  </si>
  <si>
    <t xml:space="preserve">Koku zāģēšana ar alpīnisma metodi </t>
  </si>
  <si>
    <t>Elektrotīklu apkalpošana un remonts Ādažu pagasts</t>
  </si>
  <si>
    <t>Neparedzētie darbi ielu apgaismojums</t>
  </si>
  <si>
    <t>Mērniecības pakalpojumi apgaismojuma infrastruktūras uzmērīšanai</t>
  </si>
  <si>
    <t>Lilastes - Dūņezera kanāla tīrīšana, niedru slīkšņas izvākšana (jāveic katru gadu, jo mums ir saistības ar LVAFA. Projekta pēcieviešana 5 gadi - līdz 2024.gadam ieskaitot.</t>
  </si>
  <si>
    <t>Daudzgadīgo stādījumu kopšana Ādažu pagasta teritorijā</t>
  </si>
  <si>
    <t>Lietus kanalizācijas uzturēšana Ādažos</t>
  </si>
  <si>
    <t>Ceļu un ielu kārtējais remonts</t>
  </si>
  <si>
    <t>Apdrošināšanas izdevumi transportam.KASKO-8gab.</t>
  </si>
  <si>
    <t>Apdrošināšanas traktortehnikai-9gab.speciālās tehnika(CPM</t>
  </si>
  <si>
    <t>Apdrošināšanas izdevumi transportam.OCTA-42gab.</t>
  </si>
  <si>
    <t>Transporta apdrošināšana CKS</t>
  </si>
  <si>
    <t>Programmu, licenču noma, uzturēšana</t>
  </si>
  <si>
    <t>Kapu digitalizācijas programma (SIA "Cemety" līg.Nr.2015/61)</t>
  </si>
  <si>
    <t>Apsaimniekošanas datu programma (QGIS) (SIA 'SunGIS' līg.Nr.2016/52)</t>
  </si>
  <si>
    <t>SIA AutoNams (servera uzturēšana) (līg.Nr.2015/9)</t>
  </si>
  <si>
    <t>Mobio aplikācijas noma (līg.Nr.M1-2018/20)</t>
  </si>
  <si>
    <t>Horizon licences abonēšana</t>
  </si>
  <si>
    <t>Horizon(konsultācijas)</t>
  </si>
  <si>
    <t>Lursoft sistēmas abonēšana</t>
  </si>
  <si>
    <t>Mērniecības datu centra servera topogrāfij.lv abonēšana (līg.Nr.2017/21)</t>
  </si>
  <si>
    <t>AUTOcad abonēšana</t>
  </si>
  <si>
    <t>i-finanses žurnāla abonēšana</t>
  </si>
  <si>
    <t>Venden aparātu noma</t>
  </si>
  <si>
    <t>Industriālo gāzes balonu noma</t>
  </si>
  <si>
    <t>Instrumentu noma</t>
  </si>
  <si>
    <t>Toneri</t>
  </si>
  <si>
    <t>Pludmales konteineri (atjaunošanai) (20gb.)</t>
  </si>
  <si>
    <t>Uzkabe trimmerim</t>
  </si>
  <si>
    <t>Rokas instrumenti labiekārtošanai un telpu uzkopšanai (grābekļi, slotas, mopi, šaufeles, sliedes u.tml.)</t>
  </si>
  <si>
    <t>Arboristu ķiveres 2 gb</t>
  </si>
  <si>
    <t>Volejbola un basketbola tīkli</t>
  </si>
  <si>
    <t>Suņu atkritumu urnas (35 l -13 gb)</t>
  </si>
  <si>
    <t>Zāles pļāvējs ( 1 gb-Kalngale) nolietotā vietā un ĀDAŽOS (vidusskola)</t>
  </si>
  <si>
    <t>Norāžu atjaunošana un papildināšana uz apskates objektiem</t>
  </si>
  <si>
    <t>instrumentu k-ts,2-gab,plazmas griezējs 1-gab</t>
  </si>
  <si>
    <t xml:space="preserve">Videonovērošanas tīkla uzturēšana un papildināšana </t>
  </si>
  <si>
    <t>Instrumenti un mēraparāti elektriķiem</t>
  </si>
  <si>
    <t>Motorzāģis mazais</t>
  </si>
  <si>
    <t>Putekļu sūcējs Stacijas 7</t>
  </si>
  <si>
    <t>Biroja galds paceļamais (I.Deisone)</t>
  </si>
  <si>
    <t xml:space="preserve"> 3 guļbaļķu galdi/soli ar jumtu Atpūtas iela 20  </t>
  </si>
  <si>
    <t>Ceļu uzturēšanas inventārs (norobežojušie vadstatņi)</t>
  </si>
  <si>
    <t>Ceļu uzturēšanas inventārs (vairogs/barjera)</t>
  </si>
  <si>
    <t>Juridiskā literatūra</t>
  </si>
  <si>
    <t>Akumulatora dzīvžoga šķeres</t>
  </si>
  <si>
    <t>Preces administratīvajai vadībai</t>
  </si>
  <si>
    <t>Vizītkarte, spiedogi, darba apliecības</t>
  </si>
  <si>
    <t>Venden ūdens</t>
  </si>
  <si>
    <t>Ādažu labiekārtošanas nodaļai</t>
  </si>
  <si>
    <t>Pārējie enerģētiskie materiāli</t>
  </si>
  <si>
    <t>Elektromateriāli pašvaldības ēku un darba vajadzībām (spuldzes rozetes, utt. +svētku vajadzībām)</t>
  </si>
  <si>
    <t>Materiāli ielu apgaismojuma uzturēšanai/remontam (spuldzes savienojumi, kabeļi un stiprinājumi)</t>
  </si>
  <si>
    <t xml:space="preserve">Ziemassvētku dekoru iegāde un materiāli pasākumu norisei </t>
  </si>
  <si>
    <t>Pulksteņu skvēra gaismekļu nomaiņai</t>
  </si>
  <si>
    <t>Rezerves daļas transportlīdzekļu ikdienas uzturēšana un remonts, autotransports -17 vienības,moto-4 vienības.BBS serviss,līgumsNr.02-20.1.2021/47.</t>
  </si>
  <si>
    <t xml:space="preserve">Darba cimdi, darba apavi, zeķes </t>
  </si>
  <si>
    <t>Kultūras centrs Gaujas iela 33A materiāli (slēdzenes, skrūves, remonta detaļas, spuldzes)</t>
  </si>
  <si>
    <t>Iekārtas,inventāra un aparatūras remontam,apkalpošana,materiāli,dzelzs izstradājūmi,JOMAS 5 angārs.</t>
  </si>
  <si>
    <t>PBLC "Kadiķis" tehniskās uzturēšanas materiāli</t>
  </si>
  <si>
    <t>Ēkas Stacijas 5 tehniskās uzturēšanas materiāli</t>
  </si>
  <si>
    <t>Ēkas Stacijas 7 tehniskās uzturēšanas materiāli</t>
  </si>
  <si>
    <t>MMSK tehniskās uzturēšanas materiāli Jūras iela 4</t>
  </si>
  <si>
    <t>NPC tehniskās uzturēšanas materiāli</t>
  </si>
  <si>
    <t>Kempinga "Gauja" tehniskās uzturēšanas materiāli</t>
  </si>
  <si>
    <t>Angāru Jomas ielā 5 tehniskās uzturēšanas materiāli</t>
  </si>
  <si>
    <t>TN "Ozolaine" , Jūras iela 1 tehniskās uzturēšanas materiāli</t>
  </si>
  <si>
    <t>Bērnu rotaļu laukumu tehniskās uzturēšanas materiāli</t>
  </si>
  <si>
    <t>Polderu sūkņu stacijuēku un tiltu tehniskās uzturēšanas materiāli</t>
  </si>
  <si>
    <t>Sociālo un īres dzīvokļu tehniskās uzturēšanas materiāli</t>
  </si>
  <si>
    <t>Angāra "Ūdens blusas" tehniskās uzturēšanas materiāli</t>
  </si>
  <si>
    <t>Materiāli TN Ozolaine zāles sienu remontam</t>
  </si>
  <si>
    <t>Virpoti koka stabi pludmales celiņu atjaunošanai</t>
  </si>
  <si>
    <t>Divviru metāla durvju uzstādīšana Tulpju 5</t>
  </si>
  <si>
    <t>Materiāli mūra remontam Balezera kapos</t>
  </si>
  <si>
    <t>Materiāli ūdensapgādes sistēmas remontdarbiem Baltezera kapos</t>
  </si>
  <si>
    <t>Akumulatori zāģim, trimmeriem ,lapu pūtējam 3 gb.</t>
  </si>
  <si>
    <t>Materiāli atpūtas solu remontam.</t>
  </si>
  <si>
    <t>Canva Pro versija</t>
  </si>
  <si>
    <t xml:space="preserve">Adobe Photoshop </t>
  </si>
  <si>
    <t>Zwcad</t>
  </si>
  <si>
    <t>Transportlīdzekļi</t>
  </si>
  <si>
    <t>Nulles pagrieziena pļaujmašīna (raiders)</t>
  </si>
  <si>
    <t>Datortehnika, sakaru un cita tehnika</t>
  </si>
  <si>
    <t>Elektro pieslēgums un videonovērošanas izveide Baltezera kapos</t>
  </si>
  <si>
    <t>Paceļamo vārtu uzstādīšana angārā Ūdens blusas</t>
  </si>
  <si>
    <t>Lielās stikla vitrīnas nomaiņa  Kulturas centrā Gaujas iela 33A</t>
  </si>
  <si>
    <t>Plauktu sistēma Ūdens blusās</t>
  </si>
  <si>
    <t>Traktora piekabei  PTU-7,5 kravas kaste.-lietota,BELARUS 952</t>
  </si>
  <si>
    <t>PVC nojume (5x8)</t>
  </si>
  <si>
    <t>Pļaušanas panna ar aprīkojumu</t>
  </si>
  <si>
    <t xml:space="preserve"> Traktortehnikai BOBCAT S650,ACC kondicioniers</t>
  </si>
  <si>
    <t>Bioloģiskie un lauksaimniecības aktīvi</t>
  </si>
  <si>
    <t>CKS_apsaimniekošana</t>
  </si>
  <si>
    <t>Uzturēšana</t>
  </si>
  <si>
    <t>Komunālā saimniecība - Ielu uzturēšana</t>
  </si>
  <si>
    <t>Ceļu un ielu kārtējais remonts (bedrītes)</t>
  </si>
  <si>
    <t>SID izdevumi ceļu un ielu kārtējam remonta</t>
  </si>
  <si>
    <t>Ziemas uzturēšanas materiāli  (sāls)</t>
  </si>
  <si>
    <t>0649 PB Autoceļu fonds</t>
  </si>
  <si>
    <t xml:space="preserve">Mākslinieki, tulkotāji un zinātnisko darbu veicēji mēdz izvēlēties autorlīgumus, arī lielo svētku ietvaros </t>
  </si>
  <si>
    <t xml:space="preserve">Autoratlīdzības līgumi ar zvejniekiem, vraka konservēšana (tiek pārcelts uz 2023. gadu, 2022. gadā neizmatojām), tūrisma attīstības stratēģijas izstrāde, tradīciju pasākumu vadītājiem </t>
  </si>
  <si>
    <t>NC</t>
  </si>
  <si>
    <t>T</t>
  </si>
  <si>
    <t xml:space="preserve">NC - Dienas nauda - ārpus LV </t>
  </si>
  <si>
    <t xml:space="preserve">Tūrisms - Dienas nauda - ārpus LV </t>
  </si>
  <si>
    <t xml:space="preserve">Eksperti tūrisma attīstības dokumentu izstrādē.  </t>
  </si>
  <si>
    <t>Biedru nauda Pierīgas tūrisma asociācija</t>
  </si>
  <si>
    <t>Biedru nauda Vidzemes Tūrisma asociācija</t>
  </si>
  <si>
    <t>Biedru nauda - Zaļo vilcienu asociācija</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</si>
  <si>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</si>
  <si>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</si>
  <si>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</si>
  <si>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04.740.31 INTERREG projekts "DESTI-SMART" tūrisma nodrošināšana, cilvēku skaitītāju apkope, tūrisma ceļu apkope</t>
  </si>
  <si>
    <t xml:space="preserve">Informācijas centra darba vietas iekārtošana otram darbiniekam </t>
  </si>
  <si>
    <t>CND Info centrs. Bukletu turētāji tūrismu centrā un tūrismu punktos (150 x 3) = 300 EUR, telts - 1200 EUR</t>
  </si>
  <si>
    <t>Klēts ēkas iekārtošana, 3 vitrīnas  - 500.00 EUR x 3 = 1500.00 EUR, Tūrisma stendi (jauni, atjaunošana) - 1000.00 EUR</t>
  </si>
  <si>
    <t>Fasādes atjaunošana/ krāsošana</t>
  </si>
  <si>
    <t>Citi remontdarbi</t>
  </si>
  <si>
    <t xml:space="preserve">ieņēmumi no LAD </t>
  </si>
  <si>
    <t>konta atlikums uz 31.12.2022.</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</si>
  <si>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</si>
  <si>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</si>
  <si>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</si>
  <si>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</si>
  <si>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</si>
  <si>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</si>
  <si>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Summa 104321 eiro var no LAD ienākt 2022.vai 2023.gadā (nav zināms)</t>
  </si>
  <si>
    <t>Izmaksu un ieguvumu analīze (TEP), 10.10.2022. līguma Nr. JUR 2022-10/1091, SIA "Grupa93"</t>
  </si>
  <si>
    <t>Neatkarīga revidenta vai iekšējā auditora piesaistes izmaksas, neparedzētie izdveumi, u.c.</t>
  </si>
  <si>
    <t xml:space="preserve">0633.1 </t>
  </si>
  <si>
    <t xml:space="preserve"> ”Mobilitātes punkta infrastruktūras izveidošana Rīgas metropoles areālā – “Carnikava””</t>
  </si>
  <si>
    <t>1.Tehniski ekonomiskā pamatojuma izstrāde, 24.10.2022 līgums Nr.JUR2022-10/1143 ar SIA"Grupa93", līgumsumma 20965,00+PVN=25367,65 eiro</t>
  </si>
  <si>
    <t>2.Par ietekmi uz vides sākotnējo izvērtējumu</t>
  </si>
  <si>
    <t>3.Būvprojekta izstrāde, par ietekmes uz vidi sākotnējais izvērtējums  un IVN (ja nepieciešams)</t>
  </si>
  <si>
    <t>Neparedzētie izdevumi</t>
  </si>
  <si>
    <t xml:space="preserve"> Maģistrālā  veloceļa izbūve Rīga-Carnikava</t>
  </si>
  <si>
    <t>Būvdarbi</t>
  </si>
  <si>
    <r>
      <t xml:space="preserve">Projektēšana un autoruzraudzība,16.08.2022. Līgums Nr.2022-08/909 ar SIA "Baltex Group". Līgumsumma EUR 21622,00+PVN=26162,62. </t>
    </r>
    <r>
      <rPr>
        <i/>
        <sz val="8"/>
        <color theme="4" tint="-0.249977111117893"/>
        <rFont val="Arial"/>
        <family val="2"/>
        <charset val="186"/>
      </rPr>
      <t>Projektēšana</t>
    </r>
  </si>
  <si>
    <t>Autoruzraudzība</t>
  </si>
  <si>
    <t>Plūdu projekts</t>
  </si>
  <si>
    <t>Finansējuma avots</t>
  </si>
  <si>
    <t>SAM 9.2.4.2. projekts "Pasākumi vietējās sabiedrības veselības veicināšanai Ādažu novada pašvaldības Ādažu pagastā"</t>
  </si>
  <si>
    <t>1013.2</t>
  </si>
  <si>
    <t>SAM 9.2.4.2. projekts "Pasākumi vietējās sabiedrības veselības veicināšanai Ādažu novada pašvaldības Carnikavas pagastā"</t>
  </si>
  <si>
    <t>ieņēmumi no CFLA (ERAF+dotācija)</t>
  </si>
  <si>
    <t>AND trūkstošais finansējums uz 12.2022. (ko jāatmaksā citām pašv.)</t>
  </si>
  <si>
    <t>Pārrobežu EST-LAT projekts "Militārais mantojums © konta atlikums uz 31.12.2022.</t>
  </si>
  <si>
    <t xml:space="preserve">Latvijas vides aizsardzības fonda finansējums "Piekrastes apsaimniekošanas praktisko aktivitāšu realizēšanai" </t>
  </si>
  <si>
    <t xml:space="preserve"> Sporta daļa</t>
  </si>
  <si>
    <t>LR kompleksie sporta pasākumi - Basketbola komandas dalība Ramirent Nacionālajā Basketbola līgā</t>
  </si>
  <si>
    <t>LR kompleksie sporta pasākumi - Florbola komandas dalība Elvi Virslīgā</t>
  </si>
  <si>
    <t>Ādažu vidusskolas ēkas B korpusa un savienojuma daļas starp korpusiem (C un B) fasādes atjaunošana</t>
  </si>
  <si>
    <t>Autoratlīdzības līgumu apmaksa māksliniekiem</t>
  </si>
  <si>
    <t>Tradicionālo un novada svētku rīkošana</t>
  </si>
  <si>
    <t>Muzejs - Carnikavas novadpētniecības centrs</t>
  </si>
  <si>
    <t>DRN</t>
  </si>
  <si>
    <t>Atbalsts Garkalnes un Baltezera baznīcām</t>
  </si>
  <si>
    <t>Atbalsts jaunatnes politikas īstenošanai vietējā līmenī - Projekts"Mobilais darbs ar jaunatni Ādažu novadā"</t>
  </si>
  <si>
    <t>Optiskās datu pārraides nodrošināšana Ādažu vidusskolā Gaujas ielā 30. Ierīkošanas izmaksas un abonēšana mēnesī  (TET piedāvājums 18150 EUR un  297 EUR) (LMT piedāvājums no 14520 līdz  18150 EUR un  300 EUR)</t>
  </si>
  <si>
    <t>Ādažu vidusskola ERASMUS</t>
  </si>
  <si>
    <t>Carnikavas pamatskola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</si>
  <si>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</si>
  <si>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</si>
  <si>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</si>
  <si>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</si>
  <si>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</si>
  <si>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Ūdens, siltumenerģijas un elektrības skaitītāju montāža sporta centrā (EUR 2538.48+EUR 1237.81 = EUR 3776.29)</t>
  </si>
  <si>
    <t>Pieejamie līdzekļi</t>
  </si>
  <si>
    <t>Novada karte rāmī Ādažu VPVKAC</t>
  </si>
  <si>
    <t>Līdzfinansējums privātiem PII, 
1,5-4 g.v. 285, 5-6 g.v.120 (bez ĀBVS)</t>
  </si>
  <si>
    <t xml:space="preserve">par 390 skolēniem (vidējais 90 eiro par 1 skolēnu) un 170 PII (vidējais 220 par bērnu) </t>
  </si>
  <si>
    <t>Skolēnu apbalvošana par augstiem mācību sasniegumiem (balvu fonds), tāme Nr. 14</t>
  </si>
  <si>
    <t>Pašvaldības līdzfinansējums 15% EUR 16</t>
  </si>
  <si>
    <t xml:space="preserve">KF Ūdenssaimniecības projekts Carnikavā, 3.kārta © - gala maksājums, kas jāatdod VK (aizņēmuma atmaksa) </t>
  </si>
  <si>
    <t>Divpusējs grāmatu plaukts</t>
  </si>
  <si>
    <t>Mazais ledusskapis (vecais nokalpojis)</t>
  </si>
  <si>
    <t>Žalūzijas. Avanss samaksāts 2022.gadā</t>
  </si>
  <si>
    <t>Zemes īpašnieki maina lietošanas mērķus.</t>
  </si>
  <si>
    <t>Cīruļu ielas žogs</t>
  </si>
  <si>
    <t>Apsardzes pakalpojumi Gaujas 16, EUR 60,23+PVN/ mēn</t>
  </si>
  <si>
    <t xml:space="preserve">Piemiņas pasākumi, jāorganizē vismaz 5 pasākumi gada, viena pasākuma izmakasa - 400.00 EUR </t>
  </si>
  <si>
    <t>Drona apdrpšināšana</t>
  </si>
  <si>
    <t>CND Info centrs. Bukletu turētāji Ādažu novadā, tūrisma stendu omaiņa Dabas parkā Piejūra )viens stends - 350 EUR)</t>
  </si>
  <si>
    <t xml:space="preserve">Saimniecības preces (komunālserviss vairs neko nenodrošina). </t>
  </si>
  <si>
    <t xml:space="preserve">Servīze kāzu pasākumu nodrošināšanai </t>
  </si>
  <si>
    <t xml:space="preserve">Tūrisma brošūras vienas kopā ar lklāsteri Saviļņojošā Vidzeme - plānotā summa - 3000.00 EUR no vienas pašvaldības </t>
  </si>
  <si>
    <t>Gada atskaites pasākums</t>
  </si>
  <si>
    <t>Ziemassvētku dāvaniņas</t>
  </si>
  <si>
    <t xml:space="preserve">Uzkodas utml. - reprezentācijas izdevumi. </t>
  </si>
  <si>
    <t>Dadzīšu ielas projekts</t>
  </si>
  <si>
    <t xml:space="preserve">Novada sporta pasākumi </t>
  </si>
  <si>
    <r>
      <t xml:space="preserve">30% piemaksa nodaļas darbiniekiem 2023., plānojumu izstrādājam paši FIN KOM prezentācijā bija 30 000 eiro gadā,  jo atņēmu atvaļinājuma un aizvietošanas mēnešus </t>
    </r>
    <r>
      <rPr>
        <i/>
        <sz val="8"/>
        <color rgb="FFC00000"/>
        <rFont val="Arial"/>
        <family val="2"/>
        <charset val="186"/>
      </rPr>
      <t>(precizēts: piemaksa 30% 6 darb. 6 mēn.)</t>
    </r>
  </si>
  <si>
    <t xml:space="preserve">Skolēnu vasaras nodarbinātība - soc.nodoklis, tāme Nr.1 </t>
  </si>
  <si>
    <t xml:space="preserve">Skolēnu vasaras nodarbinātība - darba samaksa, tāme Nr.1 </t>
  </si>
  <si>
    <t>CKS Pārvalde</t>
  </si>
  <si>
    <t>Ceļu ielu infrastruktūras attīstības programma</t>
  </si>
  <si>
    <t xml:space="preserve">Nekustamā īpašuma nodoklis par mājokļiem </t>
  </si>
  <si>
    <t>Nekustamā īpašuma nodoklis par ēkām un inženierbūvēm</t>
  </si>
  <si>
    <t>Projekts "Eiropas pilsētu iniciatīva"</t>
  </si>
  <si>
    <t>Dotācijas "Energoresursu atbalsts"</t>
  </si>
  <si>
    <t>KA 31.12.2022.</t>
  </si>
  <si>
    <t>10</t>
  </si>
  <si>
    <t>Komunālā tehnika (2 gb)ar aprīkojumu pļaušanai, lapu savākšanai, slaucīšanai, sniega šķūrēšanai (KUBOTA ) operatīvajā līzingā</t>
  </si>
  <si>
    <t>Rix Technology apmācības</t>
  </si>
  <si>
    <t>"Specializētās darbnīcas" pārbūve</t>
  </si>
  <si>
    <t>"Specializētās darbnīcas" aprīkojums</t>
  </si>
  <si>
    <t>"Specializētās darbnīcas" rezerve</t>
  </si>
  <si>
    <t>A/C</t>
  </si>
  <si>
    <t>Elektroinstlācijas mērījumu pārbaude (Izolācijas pretestības mērījumi)</t>
  </si>
  <si>
    <t>Nekustamā īpašumu nodaļa (bāze)</t>
  </si>
  <si>
    <t>Valsts finansējums projektu konkursā "Atbalsts jaunatnes politikas īstenošanai vietējā līmenī"  projekts "Mobilais darbs ar jaunatni Ādažu novadā"</t>
  </si>
  <si>
    <t>0632.4</t>
  </si>
  <si>
    <t>TEP “Atjaunojamo energoresursu izmantošana Ādažu novadā” (EUCF)</t>
  </si>
  <si>
    <t>0632.5 AID TEP “Atjaunojamo energoresursu izmantošana Ādažu novadā” (EUCF)</t>
  </si>
  <si>
    <t>Pārējās investīcijas:</t>
  </si>
  <si>
    <t>SAM 5.1.1. Pretplūdu pasākumi Ādažu centra polderī, Ādažu novadā</t>
  </si>
  <si>
    <t>Projekts pabeigts, 2022.g ieskaitīts EUR 35 784 - šo atlikumu var pārcelt citiem mērķiem</t>
  </si>
  <si>
    <t>Projekts pabeigts</t>
  </si>
  <si>
    <t>0632.5</t>
  </si>
  <si>
    <t>14.1.</t>
  </si>
  <si>
    <t>14.2.</t>
  </si>
  <si>
    <t>14.3.</t>
  </si>
  <si>
    <t>14.4.</t>
  </si>
  <si>
    <t>14.5.</t>
  </si>
  <si>
    <t>Plūdu risku projekts</t>
  </si>
  <si>
    <t>Dotācija nodarbinātības pasākumiem</t>
  </si>
  <si>
    <t>SAM 9311 Deinstitucionalizācija - Dienas centrs - specializētās darbnīcas</t>
  </si>
  <si>
    <t>Dienas centrs - pakalpojumi (Ā)</t>
  </si>
  <si>
    <t>10.2.9.</t>
  </si>
  <si>
    <t>10.2.12.</t>
  </si>
  <si>
    <t>10.2.17.</t>
  </si>
  <si>
    <t>10.2.18.</t>
  </si>
  <si>
    <t>10.2.19.</t>
  </si>
  <si>
    <t>ESF projekts Atbalsts priekšlaicīgas mācību pārtraukšanas samazināšanai © (Pumpurs)</t>
  </si>
  <si>
    <t>KA 54. Potenciālā līguma summa 2023.gadam EUR 16'104 (EUR 1500 EKK 2233; EUR 13'158 EKK 2239; EUR 1500 EKK 2370</t>
  </si>
  <si>
    <t>DI centra uzturēšanas izdevumi</t>
  </si>
  <si>
    <t>DI centra pakalpojumi (projekts)</t>
  </si>
  <si>
    <t>Ādažu novada  Mākslu skola</t>
  </si>
  <si>
    <t>DI projekts- specializētās darbnīcas</t>
  </si>
  <si>
    <t>C korpusa siltināšana, Ugunsgrēka atklāšanas un trauksmes signalizācijas sistēmas iekārtu un materiālu piegāde un izbūve- Būvuzraudzība (pārejošais maksājums)</t>
  </si>
  <si>
    <t>SIA "Ādažu Namsaimnieks" gāzes rēķinu pārvaldība</t>
  </si>
  <si>
    <t>0633.5 - Ģimenes ārsta prakses izveide_Garā iela 20 (ERAF, SAM 9.3.2. 4.kārta)</t>
  </si>
  <si>
    <t>Telpu pārbūves izmaksas. ERAF 14'100; ĀND 900</t>
  </si>
  <si>
    <t>Mežaparka ceļa gala maksājums</t>
  </si>
  <si>
    <t>Uzsāktie un atbalstītie projekti</t>
  </si>
  <si>
    <t>Obligātās/gadskārtējās investīcijas</t>
  </si>
  <si>
    <t>Uzsāktie un atbalstītie projekti pavisam kopā:</t>
  </si>
  <si>
    <t>Obligātās/gadskārtējās investīcijas kopā:</t>
  </si>
  <si>
    <t>Pēdējais rēķins, kam jau izņemts VK aizņēmums 12.2022. EUR 72'387</t>
  </si>
  <si>
    <t>Garantijas ieturējuma izmaksa</t>
  </si>
  <si>
    <t>ieņēmumi no vecāku maksām (PII)</t>
  </si>
  <si>
    <t>ieņēmumi no vecāku maksām (ĀMMS; BJSS)</t>
  </si>
  <si>
    <t xml:space="preserve">budžeta iestāžu maksas pakalpojumi </t>
  </si>
  <si>
    <t>21.3.9.3.</t>
  </si>
  <si>
    <t>ieņēmumi no biļešu realizācijas</t>
  </si>
  <si>
    <t>Baseina pakalpojumi; telmu nomu komunālie maksājumi</t>
  </si>
  <si>
    <t xml:space="preserve">49 austas rakstainās jostas korim SAKNES </t>
  </si>
  <si>
    <t>Jumta ventilatora CTHB/4-400 iegāde</t>
  </si>
  <si>
    <t xml:space="preserve">Citas, neklasificējamās preces </t>
  </si>
  <si>
    <t>saimniecības pamatlīdzekļiem (mūz. instrumentiem) (bungas un citi instrumenti)</t>
  </si>
  <si>
    <t>(mūz. instrumentiem) (tumbas un iekārtas)</t>
  </si>
  <si>
    <t>Pašvaldības iesaiste publiski svarīgos pasākumos, projektos Ādažu novadā - Līdzfinansējums</t>
  </si>
  <si>
    <r>
      <t xml:space="preserve">Izdevumi, </t>
    </r>
    <r>
      <rPr>
        <b/>
        <sz val="9"/>
        <color theme="1"/>
        <rFont val="Arial"/>
        <family val="2"/>
        <charset val="186"/>
      </rPr>
      <t>EUR</t>
    </r>
  </si>
  <si>
    <t>Izmaiņa, EUR</t>
  </si>
  <si>
    <t>Izmaiņa, %</t>
  </si>
  <si>
    <t>Kritums</t>
  </si>
  <si>
    <t>Visp. vald. dien.</t>
  </si>
  <si>
    <t>Sab. kārtība un drošība</t>
  </si>
  <si>
    <t>Sab. attiecības, laikraksts</t>
  </si>
  <si>
    <t>Pašv. teritoriju un mājokļu apsaimn.</t>
  </si>
  <si>
    <t>Sociālā aizsardz.</t>
  </si>
  <si>
    <t>Bāzes izdevumi 2023</t>
  </si>
  <si>
    <t>Labels</t>
  </si>
  <si>
    <t>0632.4 AID Apgaismojuma izbūve uz Salas aizsargdambja</t>
  </si>
  <si>
    <t>SIA "Delta EM" apgaismojuma projektēšana no dzelzceļa līdz tiltam pār Gauju.</t>
  </si>
  <si>
    <t xml:space="preserve">BIS ALISE-i uzturēšanai no 2023.gada 25. janvāra 390.00 EUR (bez PVN) 471,90 (ar PVN) </t>
  </si>
  <si>
    <t>Iekārtu, aparatūras un inventāra īre un noma</t>
  </si>
  <si>
    <t>maksa par izglītības pakalpojumiem</t>
  </si>
  <si>
    <t>pārējie ieņēmumi/stāvvietu ieņēmumi</t>
  </si>
  <si>
    <t>LG. ~ Decembra izmaksas</t>
  </si>
  <si>
    <t>Decembra rēķins - visi Ādažu saimniecības objekti</t>
  </si>
  <si>
    <t>Decembra LG rēķins Pirmā iela 42; 2i dzīvokļi</t>
  </si>
  <si>
    <t>Decembra Virši rēķins Gaujas ielai 16</t>
  </si>
  <si>
    <t>Pāreja uz jaunajām telpām</t>
  </si>
  <si>
    <t>1014.3 - Sociālais dienests - Dienas centrs Ūdensroze</t>
  </si>
  <si>
    <t>Projekts - Specializētās darbnīcas</t>
  </si>
  <si>
    <t xml:space="preserve"> MD</t>
  </si>
  <si>
    <t xml:space="preserve">Darba samaksa-interešu izglitiba </t>
  </si>
  <si>
    <t>Valsts un pašvaldību budžeta dotācija valsts un pašvaldību komersantiem</t>
  </si>
  <si>
    <t>Interešu izglītības MD</t>
  </si>
  <si>
    <t>09.5.1.2.</t>
  </si>
  <si>
    <t xml:space="preserve">KA 31.12. </t>
  </si>
  <si>
    <t>KA</t>
  </si>
  <si>
    <t>KA 31.12.</t>
  </si>
  <si>
    <t>Konta atlikums uz 31.12.</t>
  </si>
  <si>
    <t>Konta atlikums 31.12.</t>
  </si>
  <si>
    <t>PII Piejūra</t>
  </si>
  <si>
    <t>9.4.3.</t>
  </si>
  <si>
    <t>uzturēšanas izmaksas (CKS)</t>
  </si>
  <si>
    <t>9.5.3.</t>
  </si>
  <si>
    <t>CKS_apsaimniek</t>
  </si>
  <si>
    <t>Muzejs un Carnikavas novadpētniecības centrs</t>
  </si>
  <si>
    <t>0843</t>
  </si>
  <si>
    <t>1014.3</t>
  </si>
  <si>
    <t>2022. - Stāvvietas 75'000; 0630 energoproj 42'000; 2023. - stāvvietas; kapsēta</t>
  </si>
  <si>
    <t>Avīzes izplatīšana privāt- un daudzdz. mājām - 545EUR x 11 mēneši.</t>
  </si>
  <si>
    <t>4.9.</t>
  </si>
  <si>
    <t>4.10.</t>
  </si>
  <si>
    <t>Florbola bortu iegāde</t>
  </si>
  <si>
    <t>Būvdarbiem Stapriņu ciema pieslēgšanai Ādažu centralizētajai ūdensapgādes un kanalizācijas sistēmai</t>
  </si>
  <si>
    <t xml:space="preserve">Pabalsts EUR 50,00 mēnesī ēdināšanai par trešo* bērnu (1,5-7 gadiem). </t>
  </si>
  <si>
    <t xml:space="preserve">Pabalsts EUR 40,00 mēnesī ēdināšanai par trešo* bērnu (5.-9.klase). </t>
  </si>
  <si>
    <t>EUR 2000 no EKK 6423 (rezerves) uz EKK 2239 Supervīzijai un kursiem</t>
  </si>
  <si>
    <t>Degviela (kurināmā) Gaujas iela 16. Līgums ar SIA “VIRŠI-A”. LĪGUMS 14.09.2022. -01.05.2023. 14'000l*1.56+PVN=26426 (ar PVN). Šis uz 0648, jo piestādīs rēķinus Domei</t>
  </si>
  <si>
    <t>Neatbalstītās investīcijas</t>
  </si>
  <si>
    <t>6.4.3.</t>
  </si>
  <si>
    <t>6.4.4.</t>
  </si>
  <si>
    <t>6.4.5.</t>
  </si>
  <si>
    <t>6.4.10.</t>
  </si>
  <si>
    <t xml:space="preserve">Nekustamā īpašumas nodaļa </t>
  </si>
  <si>
    <t>EUR 2600+PVN no 0648/2321 apkures uz 0649/5250 Ķiršu ielas autoruzraudzība</t>
  </si>
  <si>
    <t>EKII projekts</t>
  </si>
  <si>
    <t>Draudzības iela posmā no Saules ielai līdz Podnieku ielai ar ietvi 0.35km</t>
  </si>
  <si>
    <t>Pārējā zeme</t>
  </si>
  <si>
    <t>Ēku, būvju un telpu būvdarbi</t>
  </si>
  <si>
    <r>
      <t xml:space="preserve">Carnikavas stadiona rekonstrukcijas ietvaros. Ūdensņemšanas vieta priekš sniega pūšanas (nebija paredzēts projektā) </t>
    </r>
    <r>
      <rPr>
        <i/>
        <sz val="8"/>
        <color rgb="FFFF0000"/>
        <rFont val="Arial"/>
        <family val="2"/>
        <charset val="186"/>
      </rPr>
      <t>Pārlikts no 0812 uz stadiona izmaksu nodaļu 09823</t>
    </r>
  </si>
  <si>
    <t>Carnikavas stadiona rekonstrukcija (prioritārie projekti - VK aizņēmums)</t>
  </si>
  <si>
    <t>9.8.</t>
  </si>
  <si>
    <t>Šobrīd budžetā ielikta tikai ERAF konta atlikuma summa, ja reāli ienāks un tērēs, tad grozījumos jāpapildina ieņēmumi un izdevumi</t>
  </si>
  <si>
    <t>Līguma Nr. NPRJ-2019/10179 "Let's do and grow for ourselves"</t>
  </si>
  <si>
    <t>Dotācija CKS teritorijas uzturēšanai</t>
  </si>
  <si>
    <t>Dotācija CKS ceļu uzturēšanai</t>
  </si>
  <si>
    <t>Teritorijas uzturēšana (Dome)</t>
  </si>
  <si>
    <t>GAUJAS SVĒTKI (Atsevišķa tāme). Prioritāte. Rīcības plānā 11.1.1.2.</t>
  </si>
  <si>
    <t>SIA "Ūdensnesējs Serviss" gāzes katla remontdarbi Pirmā iela 42 (līgums ar CKS no 03.02.2023.)</t>
  </si>
  <si>
    <t>EUR 2600+PVN no 0648/515 uz 0648/5250 Ķiršu ielas autoruzraudzība</t>
  </si>
  <si>
    <t>Konta atlikums, kas stāv pie CKS un parādīsies CKS pārskatā pie izmaksām EKK 2244</t>
  </si>
  <si>
    <t>Dabas resursu maksājumam</t>
  </si>
  <si>
    <t>EUR 600 uz EKK 2244, jo nebija iesummējusies logu mazgāšanai paredzētā summa</t>
  </si>
  <si>
    <t>EKK 1228 nepiesummējās EUR 2500, pārcelts no EKK 1119</t>
  </si>
  <si>
    <t>08412 - Dziesmu svētki 2023</t>
  </si>
  <si>
    <t>Garkalnes baznīca. Draudžu atbalstam piešķirti katrai pa EUR 1'500.</t>
  </si>
  <si>
    <t>Baltezera baznīca. Draudžu atbalstam piešķirti katrai pa EUR 1'500.</t>
  </si>
  <si>
    <t>Korekcijas (nebija iesummējies EKK 2250)</t>
  </si>
  <si>
    <t>kārtridži</t>
  </si>
  <si>
    <t>DI</t>
  </si>
  <si>
    <t>10.1.12.</t>
  </si>
  <si>
    <t>10.1.13.</t>
  </si>
  <si>
    <t>10.1.14.</t>
  </si>
  <si>
    <t xml:space="preserve">EUR 12,10*12=146 Ūdensnesēju serviss </t>
  </si>
  <si>
    <t>Tehniskā uzturēšana -03.2025.. SIA Civinity (visas inženierkomunikācijas). EUR 1'660+PVN=2'008,60/mēn; EUR 6'611+PVN=7'999,31 remontu summa gadā.</t>
  </si>
  <si>
    <t>EUR 234 no EKK 2390 uz EKK 2243 videonovērošanas sistēmas barošanas bloka aizsargierīces iegādei</t>
  </si>
  <si>
    <t>EUR 7'000 no apkures izmaksām (EKK 2221) uz EKK 5239 boilera uzstādīšanai, SIA "Namsaimnieks" nenodrošina silto ūdeni ārpus apkures sezonai.</t>
  </si>
  <si>
    <t>EUR 10'864 SIA "Ādažu Namsaimnieks" dividendes, novirzīt caur 0950 izdevumi vidussk.apkures sist.pāreja uz atjaunoj.energoresursiem, Domes lēmums Nr.215.</t>
  </si>
  <si>
    <t>EUR 1041 no EKK 2247 uz EKK 2243 (videonovērošanas kameru un atmiņas karšu iegāde)</t>
  </si>
  <si>
    <t>EUR 623 no EKK 2247 uz EKK 5238 (interaktīvā ekrāna iegādei)</t>
  </si>
  <si>
    <t>EUR 1089 no EKK 1119 ekonomijas uz vakanci uz EKK 2239 Sabiedrības viedokļa aptauja par novada simboliku.</t>
  </si>
  <si>
    <t>2) EUR 5033 Gaujas-Baltezera projekta realizācijai (Lēmums #82)</t>
  </si>
  <si>
    <t>EUR 344 no EKK 5238 uz EKK 5239 (digitālā māc. līdz. iegādei)</t>
  </si>
  <si>
    <t>EUR 1500 no EKK 2241 (kosm. remonti) uz EKK 2243 (ūdenssūkņu iegāde baseinam)</t>
  </si>
  <si>
    <t>EUR 500 no EKK 2239 (hokeja turnīrs) uz EKK 2243 (ūdenssūkņu iegāde baseinam)</t>
  </si>
  <si>
    <t>Precizēts MD apjoms
EUR 52'289 ( EKK 1119 EUR 42'342; EKK 1210 EUR 9'947)</t>
  </si>
  <si>
    <t>EUR 2'420 no ekonomijas EKK 2247 uz EKK 5238 2 uzlādes ratu ar 32 ierīču uzlādes pieslēgumu (kopā nodrošinot 64 datoru uzlādi un pārvietošanu) iegādi</t>
  </si>
  <si>
    <t>EUR 500 no ekonomijas uz vakanci mobilā telefona iegādei Alisei Timermanei Legzdiņai</t>
  </si>
  <si>
    <t>Precizēta summa pēc līguma noslēgšanas</t>
  </si>
  <si>
    <t>EUR 300 no EKK 1111 uz EKK 1119 (EKK korekcija)</t>
  </si>
  <si>
    <t>Apmetņu izgatavošana korim Saknes EUR 890 no EKK 2312 uz EKK 5240</t>
  </si>
  <si>
    <t>EUR 240 no EKK 2261 uz EKK 2224 (atkritumu izvešana)</t>
  </si>
  <si>
    <t>EUR 33 no EKK 2233 uz EKK 2322 (degvielas kompensācijai)</t>
  </si>
  <si>
    <t>EUR 98 no EKK 1228 uz EKK 2247 (apdrošināšana - polise)</t>
  </si>
  <si>
    <t>EUR 221 no EKK 2247 uz EKK 2234 (apdrošināšana - polise)</t>
  </si>
  <si>
    <t>EUR 500 no EKK 2239 uz EKK 5239 florbola bortu iegādei</t>
  </si>
  <si>
    <t>14. pants. (1) Noteikt, ka prognozētie iedzīvotāju ienākuma nodokļa
ieņēmumi pašvaldību budžetos ir 1 768 346 883 euro.
(2) Šā panta pirmajā daļā minēto iedzīvotāju ienākuma nodokļa prognozēto ieņēmumu procentuālais sadalījums pa ceturkšņiem tiek noteikts šādā apmērā: I ceturksnī — 24 procenti, II ceturksnī — 24 procenti, III ceturksnī — 26 procenti, IV ceturksnī — 26 procenti.</t>
  </si>
  <si>
    <t>https://www.vestnesis.lv/op/2023/57A.1</t>
  </si>
  <si>
    <t>EUR 6014 no EKK 2250 uz EKK 5120 (Bāriņtiesas modulis klasificējams kā pamatlīdzeklis)</t>
  </si>
  <si>
    <t xml:space="preserve">0940.2 - Līdzfinansējums privātajiem PII izglīt.funkc.nodrošināšanai </t>
  </si>
  <si>
    <t xml:space="preserve">0940.3 - Līdzfinansējums privātajām skolām izglīt.funkc.nodrošināšanai  </t>
  </si>
  <si>
    <t>Saskaņā ar 22.03.2023. lēmumu #115 par pārcelšanos uz Garo ielu EUR 7000 no EKK 1119 uz EKK 2350.</t>
  </si>
  <si>
    <t>Saskaņā ar 22.03.2023. lēmumu #115 par pārcelšanos uz Garo ielu EUR 1000 no EKK 1119 uz EKK 2233.</t>
  </si>
  <si>
    <t>Saskaņā ar 22.03.2023. lēmumu #115 par pārcelšanos uz Garo ielu EUR 3000 no EKK 1119 uz EKK 5238.</t>
  </si>
  <si>
    <t>Saskaņā ar 22.03.2023. lēmumu #115 par pārcelšanos uz Garo ielu EUR 24000 no EKK 1119 uz EKK 5239.</t>
  </si>
  <si>
    <t>EUR 316 no EKK 2312 uz EKK 5239 digitālo klavieru iegādei</t>
  </si>
  <si>
    <t>6.5.1.</t>
  </si>
  <si>
    <t>6.5.2.</t>
  </si>
  <si>
    <t>6.5.3.</t>
  </si>
  <si>
    <t>6.5.4.</t>
  </si>
  <si>
    <t>6.5.5.</t>
  </si>
  <si>
    <t>6.5.5.1</t>
  </si>
  <si>
    <t>6.5.5.2.</t>
  </si>
  <si>
    <t>6.5.5.3.</t>
  </si>
  <si>
    <t>6.5.6.</t>
  </si>
  <si>
    <t>6.5.7.</t>
  </si>
  <si>
    <t>6.5.8.</t>
  </si>
  <si>
    <t>6.5.9.</t>
  </si>
  <si>
    <t>6.5.10.</t>
  </si>
  <si>
    <t>6.5.11.</t>
  </si>
  <si>
    <t>6.5.12.</t>
  </si>
  <si>
    <t>6.5.13.</t>
  </si>
  <si>
    <t>Jāatmaksā neiztērētais Valsts izglītības attīstības aģentūrai. KA 31.12.2022.</t>
  </si>
  <si>
    <t>Basketbola vairoga nomaiņa</t>
  </si>
  <si>
    <t>EUR 15'000 no EKK 2122 uz EKK 2121 (EKK korekcija)</t>
  </si>
  <si>
    <t>EUR 30'000 no EKK 2122 uz EKK 2239 (EKK korekcija)</t>
  </si>
  <si>
    <t>Precizēta projekta NP</t>
  </si>
  <si>
    <t>Precizēta summa balstoties uz faktisko izpildi</t>
  </si>
  <si>
    <t>EUR 1089 no EKK1119 uz EKK2239 Iedzīvotāju aptauja manabalss.lv par atbalstu Gaujas-Baltezera kanāla projektam</t>
  </si>
  <si>
    <t>EUR 200 no EKK5238 uz EKK2250 licence datoram</t>
  </si>
  <si>
    <t>EUR1200 no EKK2239 uz EKK2250 AUTO CAD programma telpiskajam plānotājam</t>
  </si>
  <si>
    <t>Ugunsdrošības un apziņošanas sistēmas ierīkošana Ādažu vidusskolas korpusā -2023.gadā gala maksājums EUR 43000 (nebija iekļauts budžeta plānā)</t>
  </si>
  <si>
    <t>Ādažu vidusskolas ēkas B korpusa un savienojuma daļas starp korpusiem (C un B) fasādes atjaunošana - pašvaldības līdzfinansējuma daļa (aizņemšanās nosacījumi paredz 10% līdzfin.)</t>
  </si>
  <si>
    <t>EUR 2545 no EKK2312 uz EKK5239 (Cilvēku skaitītāja sensors un metāla šūpoles.)</t>
  </si>
  <si>
    <t xml:space="preserve">Komunālās tehnikas iegāde - plānots līzings, EKK korekcija EUR54 930 no EKK5231 uz EKK2262 </t>
  </si>
  <si>
    <t>EUR2000 no 0150/EKK1119 uz 0902/EKK2312 balva par energotaupības rezultātiem</t>
  </si>
  <si>
    <t>EUR39 no EKK1228 uz EKK2234 (Veselības apdrošināšana)</t>
  </si>
  <si>
    <t>99EUR no EKK2239 uz EKK2263 (Zemes noma)</t>
  </si>
  <si>
    <t>EUR 300 no EKK 2239 uz EKK 2519 nodevas</t>
  </si>
  <si>
    <t>Kondicioniera iegāde un uzstādīšana dežūrtēlpā - EUR 894 no2241 uz EKK5239</t>
  </si>
  <si>
    <t>EUR3500 no EKK2222 uz EKK2221</t>
  </si>
  <si>
    <t>EUR3500 no EKK2223 uz EKK2221</t>
  </si>
  <si>
    <t>EUR200 no EKK2239 uz EKK2390 (Ziedi)</t>
  </si>
  <si>
    <t>EUR50 no EKK2312 uz EKK2233 (preču piegāde)</t>
  </si>
  <si>
    <t>EUR300 no EKK5120 uz EKK2250 (Licenču iegāde)</t>
  </si>
  <si>
    <t>EUR374 no EKK5238 uz EKK2250 (Licenču iegāde)</t>
  </si>
  <si>
    <t xml:space="preserve">0130 - Administratīvā komisija </t>
  </si>
  <si>
    <t>Finansējuma korekcija</t>
  </si>
  <si>
    <t>EUR 2550 no EKK 5239 uz EKK 2312 (jauniegūto telpu aprīkošanai)</t>
  </si>
  <si>
    <t>Atlikušo daļu finansējuma mēbeļu iegādei – EUR 500 apmērā no konta atlikuma</t>
  </si>
  <si>
    <r>
      <t xml:space="preserve">PII un skolas realizācijai, zemes pirkšana. </t>
    </r>
    <r>
      <rPr>
        <b/>
        <i/>
        <sz val="8"/>
        <color theme="1"/>
        <rFont val="Arial"/>
        <family val="2"/>
        <charset val="186"/>
      </rPr>
      <t>Saskaņā ar līgumu EUR 218'400</t>
    </r>
  </si>
  <si>
    <t>EUR 1070 no EKK 2233 uz EKK 5240 - boilera iegādei un uzstādīšanai</t>
  </si>
  <si>
    <t xml:space="preserve">ĀVS </t>
  </si>
  <si>
    <t>Disku golfa laukuma izveide Carnikavā, Zibeņu trasē. (Līgums 26873.14 EUR)</t>
  </si>
  <si>
    <t>Saskaņā ar CFLA 15.05.2023. lēmumu EUR 14'094,36 ERAF un EUR 900 pašvaldības</t>
  </si>
  <si>
    <t>Topogrāfiskā plāna izstrādi Ādažos Podnieku ielā 18 un Krastupes ielā 22 un pieguļošajā teritorijā</t>
  </si>
  <si>
    <t>EKK korekcija (algu ekonomija novirzīta uz KA, atbalstīto zemsvītras investīciju finansēšanai.)</t>
  </si>
  <si>
    <t>Arhitektu plenērs izglītības kvartālam Carnikavā</t>
  </si>
  <si>
    <t>Noslēdzies iepirkums par kopsummu EUR 16'298. EUR 1'298 novirzīt no projekta Militārais mantojums (0630.2/2239) uz Ģimenes ārsta prakses izveide (0633.5/5240).</t>
  </si>
  <si>
    <t>EUR 20'000 papildus atobusu īrei Dziesmu un deju svētkos</t>
  </si>
  <si>
    <t>Papildus jāuzstāda 4 videonovērošanas kameras ASC. Šie izdevumi jāliek no EKK 2312 uz EKK 5239 (EKK korekcija)</t>
  </si>
  <si>
    <t>Līdzsvara dēlis atbalsta komandai</t>
  </si>
  <si>
    <t>0930.2 - Jaunatnes nodaļa</t>
  </si>
  <si>
    <t>Jauniešu iniciatīvu projekti, tāme Nr. 8 (8x500EUR=4000EUR)</t>
  </si>
  <si>
    <t>Civilās aizsardzības plāna izstrādei EUR 15'000 (Līgums EUR 11'253 ar PVN)</t>
  </si>
  <si>
    <t xml:space="preserve">EUR 1359 no EKK 5239 uz EKK 5218 (EKK korekcija). Futbola laukuma laistīšanas sistēmas atjaunošana. </t>
  </si>
  <si>
    <t>Baseina sūkņu iegādei EUR 5314,93 (EUR 3315 no EKK 2243 (remonti); EUR 1'500 no EKK 2241 (aerobikas un cīņu zāles remonts); EUR 500 no EKK 2239 (hokeja turnīrs nenotika)</t>
  </si>
  <si>
    <t>Baseina sūkņu iegādei EUR 5314,93 no EKK 2243 (remonti)uz EKK 5239 (EKK korekcija)</t>
  </si>
  <si>
    <t>EUR 27 no EKK 2390 uz EKK 2233 (EKK korekcija)</t>
  </si>
  <si>
    <t>EUR 12000 no EKK 2223 uz EKK 2221 (EKK korekcija)</t>
  </si>
  <si>
    <t>EUR 208 no EKK 5120 uz EKK 2250 (1 gada licence zem EKK 2250)</t>
  </si>
  <si>
    <t>Eur 150 no EKK 5120 uz EKK 2250 (EKK korekcija)</t>
  </si>
  <si>
    <t>EUR 150 no EKK 2239 uz EKK 2311 (kārtridži)</t>
  </si>
  <si>
    <t>EUR 32 OVP no EKK 2247 uz EKK 2234</t>
  </si>
  <si>
    <t>EUR 75 no EKK 5120 uz EKK 2250 licenču iegāde</t>
  </si>
  <si>
    <t>EUR 400 no EKK 2312 uz EKK 2390 - Deju svētku krekliņi (meitenēm un puišiem)(koptēla veidošana deju-dziesmu svētkiem)</t>
  </si>
  <si>
    <t>EUR 105 no EKK 2370 uz EKK 2311 (EKK korekcija)</t>
  </si>
  <si>
    <t>EUR 25 no EKK 2239 uz EKK 2341 (EKK korekcija)</t>
  </si>
  <si>
    <t>Darba ar jaunatni aktivitāšu plāna izdevumi,
tāmes Nr. 5, 6, 7, 9 (No EKK2239 EUR 4538 sadalīt EUR 613 EKK2311, EUR 2822 EKK2239, EUR 883 EKK2390, EUR 220 EKK2350)</t>
  </si>
  <si>
    <t>EUR 2'000 no EKK 6423 uz EKK 1223 darbinieku mācību nomaksai</t>
  </si>
  <si>
    <t>EUR 875 no EKK 2239 (apmācības) uz EKK 1223 mācību kompensācija</t>
  </si>
  <si>
    <t>08412</t>
  </si>
  <si>
    <t>EUR 6'600 no EKK 3261 uz EKK 3263 (līdzfinansējuma saņēmējs - biedrība)</t>
  </si>
  <si>
    <t>EUR 7000 no 0643/2223 uz 0648/2223 - Mežgarciema elektrība (EKK korekcija)</t>
  </si>
  <si>
    <t>EUR 17'977 no CKS dotācijas 0645/7230 uz 0643/2223 maksa par elektrību Gaujas 33A</t>
  </si>
  <si>
    <t>EUR 202 no CKS uzturēšana (0645/7230 uz 0648/2232) - Bior analīzes</t>
  </si>
  <si>
    <t>Izdevumi par profesionālās darbības paklpojumiem (auditoru, tulku pakalp., izdevumi par iestāžu pasūtītajiem pētījumiem)</t>
  </si>
  <si>
    <t>Rasiņu iela EUR 32'000 no 0645/7230 uz 0649/5250, jo realizē no Domes konta</t>
  </si>
  <si>
    <t>Saskaņā ar 05.04.23. lēmumu #129 Gaujas svētku ieņēmumus EUR 17'000 apmērā novirzīt uz izdevumu segšanu.</t>
  </si>
  <si>
    <t>EUR 560 no EKK 5239 uz EKK 2350. Izdevumi par materiālu ĀKC telpu logu aptumšošanai tika plānoti EKK 5239, bet apmaksāti no EKK 2350.</t>
  </si>
  <si>
    <t>EUR 9 000 no ĀNKC vadītājas vietnieces S.Rozes algas ietaupījuma uz EKK 2239 Gaujas svētku cilvēkresursu u.c. izdevumu apmaksai</t>
  </si>
  <si>
    <t>Saskaņā ar lēmumu, novirzīt EUR 1'630 no 0630.2 Pārrobežu EST-LAT projekts "Militārais mantojums uz 0630.1/3263 Sabiedrība ar dvēseli projektu realizācijai</t>
  </si>
  <si>
    <t>EUR 1000 pārcelšanās transportam no EKK 2350 uz EKK 2233</t>
  </si>
  <si>
    <t xml:space="preserve">Mērķdotācija 2023.gadam EUR 41'084 (EUR 2'054 uz EKK 2370; EUR 39'030 uz EKK 5233). </t>
  </si>
  <si>
    <t>EUR 38'292 no EKK 2370 KA, līdzekļu atmaksa uz EKK 7245</t>
  </si>
  <si>
    <t>Mērķdotācija 2023.gadam EUR 1'240 (EKK 2370).</t>
  </si>
  <si>
    <t>Mērķdotācija 2023.gadam 10'652 (EKK 2370 EUR 7'456 EKK 5233 EUR 3'196)</t>
  </si>
  <si>
    <t>MD 2023.gadam EUR 4'493 māc. līdz.iegāde</t>
  </si>
  <si>
    <t>MD 2023.gadam EUR 1'870 māc. līdz.iegāde</t>
  </si>
  <si>
    <t>EUR 1190 no EKK 2370 uz EKK 5239 Minhenes funkcionālās diagnostikas ierīce</t>
  </si>
  <si>
    <t>EUR 998 no EKK 1119 ekonomijas uz vakanci uz EKK 2239 lielformāta ekrāna īre hokeja pārraidīšanai Gaujas svētkos</t>
  </si>
  <si>
    <t>EUR 254 no EKK 2312 uz EKK 5239 foto piederumi</t>
  </si>
  <si>
    <t>EUR 2'350 no EKK 2243 uz EKK 2312. Sakarā ar to, ka 1.09. uzsāk desmit 1.klases, nepieciešams paplašināt ģērbtuvju vietu skaitu.</t>
  </si>
  <si>
    <t>EUR 10'000 no EKK 5239 uz EKK 2312 (EKK korekcija - mēbeles plānā ieliktas pie pamatlīdzekļiem, bet grāmatojot klasificējas kā inventārs)</t>
  </si>
  <si>
    <t>EUR 500 no EKK 2239 uz EKK 2250 (EKK korekcija)</t>
  </si>
  <si>
    <t>EUR 303 no EKK 2239 uz EKK 2210 (Jāņa sētas karte)</t>
  </si>
  <si>
    <t>Projekta ietvaros iegādāti datori - EUR 3812 no EKK 5240 uz EKK 5238 (EKK korekcija)</t>
  </si>
  <si>
    <t>EUR 125 no EKK 2239 uz EKK 5238 foto kamerai</t>
  </si>
  <si>
    <t>EUR 2000 no EKK 2239 uz EKK 2390 (EKK korekcija)</t>
  </si>
  <si>
    <t>Dvieļu salvešu turētāji - EUR 2'407 no EKK 2312 uz EKK 2350 (EKK korekcija)</t>
  </si>
  <si>
    <t>Projekta ietvaros veikts telpu kosmētiskais remonts - EUR 13'770 no EKK 5240 uz EKK 2241 (EKK korekcija)</t>
  </si>
  <si>
    <t>Biedrība "Gaujas ilgtspējīgas attīstības biedrība" biedru nauda no EKK 2241 uz EKK 2239</t>
  </si>
  <si>
    <t>1. Vispārējie valdības dienesti</t>
  </si>
  <si>
    <t>2. Sabiedriskā kārtība un drošība (bāze)</t>
  </si>
  <si>
    <t>3. Sabiedriskās attiecības, laikraksts</t>
  </si>
  <si>
    <t>kliņģeri</t>
  </si>
  <si>
    <t>Līdzfinansējums skolēnu dalībai konkursos</t>
  </si>
  <si>
    <t>Papildus finansējums pakomāta iegādei</t>
  </si>
  <si>
    <t>izglītības lietu speciāliste</t>
  </si>
  <si>
    <t>mūžizglītība</t>
  </si>
  <si>
    <t>bērnu brīvā laika organizators</t>
  </si>
  <si>
    <t>Saskaņā ar domes 24.05.2023. lēmumu Nr. 196 pārcelt finansējumu vakancei "Bērnu brīvā laika organizators" no soc. Dienesta budžeta uz Izglītības un jaunatnes nodaļu</t>
  </si>
  <si>
    <t>Izglītības un jaunatnes nodaļa</t>
  </si>
  <si>
    <t>Lai kompensētu aizņēmumu likmju pieaugumu.</t>
  </si>
  <si>
    <t>Iepirkums  Ādažu novada teritorijas plānojuma transporta  plānam. SIA "Grupa93" EUR 41'900+PVN=50'699</t>
  </si>
  <si>
    <t>EUR 27'000 no Ķiršu ielas būvniecības plānotās summas Krastupes ielas projektēšanai.</t>
  </si>
  <si>
    <t>EUR 8'000 no Draudzības ielas būvniecības plānotās summas Krastupes ielas projektēšanai.</t>
  </si>
  <si>
    <t>EUR 50'000 no Dadzīšu ielas projektēšanas plānotās summas Krastupes ielas projektēšanai.</t>
  </si>
  <si>
    <t>Life CoHabit projekts noslēdzies - 1) EUR 18'000 no atlikuma uz TEP “Atjaunojamo energoresursu izmantošana Ādažu novadā” (EUCF) projektu priekšfinansējumam. (0632.5)</t>
  </si>
  <si>
    <t>Saskaņā ar līdzfinansējuma vērtēšanas komisijas ierosinājumu palielināt finanšu apjomu par EUR 20'000 daudzdzīvokļu māju siltināšanas līdzfinansējumam. (10'000 EKK 3261; 10'000 EKK 3263)</t>
  </si>
  <si>
    <t>EUR 1000 no projekta konta atlikuma (projekts noslēdzies) uz zemas cenas īres mājokļu būvniecībai paredzētās teritorijas novērtēšanai (EKK 0630 (2239))</t>
  </si>
  <si>
    <t>Papildus ģimenes ārsta prakses projekta realizācijas prasība - informatīvās plāksnes izgatavošana no attīstības daļas budžeta. (EUR 73 no 0630 uz 0633.5)</t>
  </si>
  <si>
    <t>CKS grozījumi, kur pārceļam EUR 3700 uz pamatskolas budžetu, lai samaksātu virsstundas ēkas dežurantam, kas veidojas aokalpojot telpu nomniekus.</t>
  </si>
  <si>
    <t>Atsakoties no IP telefonu pakalpojumu, mobilo telefonu iegādei EUR 417 no EKK 2312 (jaunu karogu un baneru izgatavošana) un EUR 800 no EKK 5239 (rezerves nojumju un sienu iegāde 3x3 teltīm)</t>
  </si>
  <si>
    <t>EUR 300 no EKK 2350 uz EKK 2247 (apdrošināšanas polisēm)</t>
  </si>
  <si>
    <t>EUR 2100 no EKK 2350 uz EKK 5238 (divu datoru iegādei)</t>
  </si>
  <si>
    <t>Aprīkojuma iepirkumi sadalās pa EKK 2312; EKK 5239. Pārvietot EUR 484 no EKK 5240 uz EKK 2312</t>
  </si>
  <si>
    <t>Aprīkojuma iepirkumi sadalās pa EKK 2312; EKK 5239. Pārvietot EUR 479 no EKK 5240 uz EKK 2312</t>
  </si>
  <si>
    <t>Palielinoties izglītojamo skaitam, nepieciešami papildus 4 mobilie ēdamgaldi un 12 krēsli (EUR 4000 no EKK 2350 uz EKK 5239 un EUR 4229 no EKK 5238 uz EKK 5239)</t>
  </si>
  <si>
    <t>Palielinoties izglītojamo skaitam, nepieciešami papildus solus un pakaramos garderobēm (EUR 500 no EKK 2322 uz EKK 5239 un EUR 1750 no EKK 2223 uz EKK 5239)</t>
  </si>
  <si>
    <t>EUR 1467 no EKK 2239 (ekonomija apbalvošanai) uz EKK 2312 telefonu iegādēm</t>
  </si>
  <si>
    <t>EUR 500 no EKK 1227 uz EKK 2247 (apdrošināšanas iepirkumam)</t>
  </si>
  <si>
    <t>EUR 1500 no EKK 2239 (ekonomija apbalvošanai) uz EKK 2247 (apdrošināšanas iepirkumam)</t>
  </si>
  <si>
    <t>Projekta ietvaros iegādāti datori - EUR 2736 no EKK 5240 uz EKK 5238 (EKK korekcija)</t>
  </si>
  <si>
    <t>EUR 200 no EKK 2311 uz EKK 2312 (EKK korekcija)</t>
  </si>
  <si>
    <t>EUR 899 Dekori no EKK 2312 uz EKK 5239</t>
  </si>
  <si>
    <t>EUR1259 Piekrastes apsaimniekošanas projekts (āra tualetes) no EKK 5240 uz EKK 5239</t>
  </si>
  <si>
    <t>EUR 200 no EKK 1147 uz EKK 2247 (apdrošināšanas izdevumiem)</t>
  </si>
  <si>
    <t>EUR 1505 no EKK 2250 (jaunas tīmekļvietnes abonēšana jāmaksā tikai 2024.gadā) uz EKK 2312 mobilo telefonu iegādei</t>
  </si>
  <si>
    <t>EUR 60 no EKK 2239 uz EKK 5239 (velo statīvu izgatavošanai)</t>
  </si>
  <si>
    <t xml:space="preserve">Noslēdzies jaun iepirkums baseina apkopei, trūkstošos EUR 1500 no EKK 2241 (pandusa margu remonts) un EUR 313 no EKK 2241 (kosmētiskie remonti) uz EKK 2243 </t>
  </si>
  <si>
    <t>EUR 560 no EKK 1119 uz EKK 2112 (komandējums uz Briseli).</t>
  </si>
  <si>
    <t>EUR 539 no EKK 2312 uz EKK 2243 (baseina uzturēšanai (līguma summas pieaugums))</t>
  </si>
  <si>
    <t>EUR 3000 no EKK 1148 uz EKK 1221 (atvaļinājumi)</t>
  </si>
  <si>
    <t>EUR 548 no 0930.2/EKK 5238 uz 0930/EKK 5238 datoru iegādei</t>
  </si>
  <si>
    <t>EUR 2026 no EKK 2239 (ekonomija apbalvošanai) uz EKK 5238 datoru iegādēm</t>
  </si>
  <si>
    <t>EUR 200 no EKK 1119 uz EKK 1150 (EKK korekcija)</t>
  </si>
  <si>
    <t>EUR 195 no EKK 1119 uz EKK 2121 (komandējuma dienas nauda)</t>
  </si>
  <si>
    <t>EUR 47 no EKK 2350 uz EKK 2341 (medicīnas iegādei)</t>
  </si>
  <si>
    <t>0633.6</t>
  </si>
  <si>
    <t>EUR 3'970 no EKK 3263 uz EKK 3261 (EKK korekcija atkarībā no iesniedzēja statusa)</t>
  </si>
  <si>
    <t>500 EUR no EKK 2239 uz EKK 2519</t>
  </si>
  <si>
    <t>EUR 500 no EKK 2239 uz EKK 2519 nodevas</t>
  </si>
  <si>
    <t>Grupu galdu sānu virsmu atjaunošana. EUR 1'365 no EKK 2350 uz EKK 2239. Šo atpakaļ no EKK 2239 uz EKK 2350.</t>
  </si>
  <si>
    <t>EUR 92 no EKK 2239 uz EKK 2363 (EKK korekcija)</t>
  </si>
  <si>
    <t>EUR 74 no EKK 2239 uz EKK 2250 (EKK korekcija)</t>
  </si>
  <si>
    <t>EUR 33 no EKK 2239 uz EKK 2250 (EKK korekcija)</t>
  </si>
  <si>
    <t>EUR  2000 no EKK 2512 uz EKK 2247 (apdrošināšana)</t>
  </si>
  <si>
    <t>EUR  2100 no EKK 2312 uz EKK 2247 (apdrošināšana)</t>
  </si>
  <si>
    <t>EUR  300 no EKK 2312 uz EKK 2370 (mācību materiāli)</t>
  </si>
  <si>
    <t>EUR 900 no EKK 2341 uz EKK 2370 (mācību līdzekļi)</t>
  </si>
  <si>
    <t>EUR 111 no EKK 2362 uz EKK 2363 (EKK korekcija)</t>
  </si>
  <si>
    <t>EUR 10000 no EKK 6419 uz EKK 1119 (darnbinieki nodrošina pakalpojumu)</t>
  </si>
  <si>
    <t>EUR 4000 no EKK 1119 uz EKK 1147 (EKK precizējums)</t>
  </si>
  <si>
    <t>EUR 2000 no EKK 6419 uz EKK 1147 (darnbinieki nodrošina pakalpojumu)</t>
  </si>
  <si>
    <t>EUR 3000 no EKK 6412 uz EKK 6411 (EKK korekcija)</t>
  </si>
  <si>
    <t>EUR 120 no EKK 2311 uz EKK 2322 (degvielai)</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</si>
  <si>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</si>
  <si>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</si>
  <si>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</si>
  <si>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</si>
  <si>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</si>
  <si>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</si>
  <si>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</si>
  <si>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2024.gada plāns EUR</t>
  </si>
  <si>
    <t>2024.gada plāns/ detaļas</t>
  </si>
  <si>
    <t>Ādažos jaunas sēžu zāles ierīkošana; Skaņas aparatūra, video aparatūra. Jaunie MK noteikumi par domes sēžu ierakstiem! (Vai skatītāju zāles datu tīkla ierīkošana). 2023. NAV ATBALSTĪTS</t>
  </si>
  <si>
    <t>NĪ īpašnieku informēšana (pa pastu) par adrešu maiņu (22.06.2022. lēmums Nr. 291 “Par adrešu sakārtošanu Carnikavas pagastā”, paredzēti EUR 500). 26.oktobra domes sēdē lemts, ka katram nekustamā īpašuma īpašniekam tiks nosūtītas 2 vēstules iepriekš plānotās 1 vietā.</t>
  </si>
  <si>
    <t>(atalgojumam - 8211 euro; VPVKAC uzturēšanai - 700*12*0,15=1'260 euro)</t>
  </si>
  <si>
    <t>Apdrošināšanas kompensācijas EKK 1227</t>
  </si>
  <si>
    <t>Grāmatvedība 15*7.95+PVN*12m=1731.51, 7.95+3.30+PVN*12m=163.35</t>
  </si>
  <si>
    <t>Latvijas pasts - vēstuļu izsūtīšana (elektroniski nenosūtītie NĪN paziņojumi, atkārtoti aprēķini pēc deklarēto īpaš. un personu izmaiņām, brīdinājumi, izpildrīkojumi, cita inf.par īpašumiem, tiesiskajiem valdītājiem un lietotājiem, atb.uz jautājumiem) 3250*1.71=5557.50, vairākas lapas 250*2=500, ārzemes 300*5=1500</t>
  </si>
  <si>
    <t xml:space="preserve">Grāmatvedība. </t>
  </si>
  <si>
    <t xml:space="preserve">Skaidras naudas maksājumu pieņemšana par Ādažu novada domes  izrakstītiem rēķiniem Maxima 0,50 euru x 140 iemaksas gadā </t>
  </si>
  <si>
    <t>Swedbank bank-link mēneša maksa (datu tiešsaistes nodrošināšana epakalpojumi un POS). 12 mēn.*(25+35+0,36). Līgums ir noslēgts ar Swedbank</t>
  </si>
  <si>
    <t>SEB banka un Swedbanka - 12 mēn.*10 katrai Pārējās komisijas maksas EUR 500/gadā katrai bankai</t>
  </si>
  <si>
    <t>Grāmatvedības darbinieki  17*100 = 1700 euro</t>
  </si>
  <si>
    <t>Linda P.</t>
  </si>
  <si>
    <t>Grāmatvedība (pie izlietnes traukiem)</t>
  </si>
  <si>
    <t>TSC TE210 termoprinteris 203dpi ar iebūvētu LAN moduli (uzlīmēm pamatlīdzekļiem un inventāram) https://www.amro.lv/produkti/uzlimju-printeri/galda-uzlimju-printeri/tsc-te200-serijas-uzlimju-printeri/</t>
  </si>
  <si>
    <t>Grāmatvedība (esošais piesaistīts pie viena datora un ja darbinieks ir prombūtnē vai attālināti nav iespējams neko izprintēt)</t>
  </si>
  <si>
    <t>Linda P. (Karīnai)</t>
  </si>
  <si>
    <t>Par NIN Tiesu izpildītājiem Valsts nodeva 400*3=1200</t>
  </si>
  <si>
    <t>Portatīvais dators Grāmatvedības nodaļai stacionārais jānomaina</t>
  </si>
  <si>
    <t>Grāmatvedība D.Pundiņai</t>
  </si>
  <si>
    <t xml:space="preserve">Printeris un skeneris grāmatvedībā Carnikavas pag. NIN inspektorei un Gaujas 33A grāmatvedībai (https://birojatehnika.lv/M2040dn) </t>
  </si>
  <si>
    <t xml:space="preserve">Grāmatvedība (nepieciešams printeris/skeneris no abām pusēm un vairākas lapas uzreiz, dažādu pirmdokumentu skenēšana sūtīšana revidentiem, starp iestādēm, tiesu izpildītājiem) </t>
  </si>
  <si>
    <t>Kompensācija par auto amortizāciju - Izpilddirektors + vietnieks ~EUR 57*2*12</t>
  </si>
  <si>
    <t>AS Unifiedpost 12/2024 līgums uz 2 gadiem, max summa 12 mēnešos - EUR 15'000*1,21=18'150 (NĪN paziņojumu sūtīšana personām, kurām nav oficiālā e-pasta adrese, vai nav uzrakstīts iesniegums par e-adresi uz kuru sūtīt)</t>
  </si>
  <si>
    <t>4.maija svētkos piemaksa 15*31</t>
  </si>
  <si>
    <t>Obligāta prasība, 405*31, pamatojoties uz cenu pieaugums med.pakalpojumiem</t>
  </si>
  <si>
    <t>150*5 darb. Pamatojoties uz koplīgumu</t>
  </si>
  <si>
    <t>Pamatojoties uz līgumu par jauna t/l iegādi</t>
  </si>
  <si>
    <r>
      <t xml:space="preserve">Auto GPS sakari. GPS frekvenču īre. (5gabxEUR10x12mēn). </t>
    </r>
    <r>
      <rPr>
        <i/>
        <sz val="8"/>
        <color theme="3"/>
        <rFont val="Arial"/>
        <family val="2"/>
        <charset val="186"/>
      </rPr>
      <t>Līgums ar SIA "Intelligent System" 01.07.2023 uz 2 gadiem.Nr.JUR2023-06/687</t>
    </r>
  </si>
  <si>
    <t>Mobilo telefonu sarunu kompensācijas priekšniekam, vietniekam EUR 15; galvenajam un 4 gab vecākiem inspektoriem inspektoriem, 2 dež. daļā un 2. gab ekipāžām pa 10.00EUR</t>
  </si>
  <si>
    <t>Saistībā ar pāreju tikai uz mob.telefoniem</t>
  </si>
  <si>
    <t>Ā14.1.1.8. Sadarbība sabiedriskās drošības jomā</t>
  </si>
  <si>
    <t>Pasta izdevumi EUR 190*12mēn</t>
  </si>
  <si>
    <t>Cenu pieaugums sūtījumiem</t>
  </si>
  <si>
    <t>Līgums par optiskā kabeļa apkalpošanu (EUR 130/mēn)</t>
  </si>
  <si>
    <t>Nepieciešams saskaņot ar PA Kumunālservisu</t>
  </si>
  <si>
    <t>Atbilstoši fakt. Izmaksām</t>
  </si>
  <si>
    <t xml:space="preserve">Vidēji EUR 60*12 mēnesī. </t>
  </si>
  <si>
    <t>Izdevumi par elektroenerģiju 450*12, Depo 2 un Kadagas video.</t>
  </si>
  <si>
    <t>Grāmatvedība ņemts pēc faktiskās izpildes 15.06.2023.</t>
  </si>
  <si>
    <t>Grāmatvedība iekļautas Swedbankas apkalpošanas</t>
  </si>
  <si>
    <t>Atkritumu izvešana. SIA "Eco Baltia vide"40*12 mēn.</t>
  </si>
  <si>
    <t xml:space="preserve">Elektronisko svaru verificēšana 48,00EUR </t>
  </si>
  <si>
    <t xml:space="preserve">Mērlentes verificēšana </t>
  </si>
  <si>
    <t>Venden 50EUR/mēn.</t>
  </si>
  <si>
    <t>Papildus iegādāts 1 gab alkometrs</t>
  </si>
  <si>
    <t>Par abiem iecirkņiem</t>
  </si>
  <si>
    <t>Līgumam ar Biedrību „Juglas Dzīvnieku aizsardzības grupa”, Mežvairogi, Dzīvnieku glābšanas dienests</t>
  </si>
  <si>
    <t xml:space="preserve">Par bezpalīdzības stāvoklī nonākušu personu patversmes pakalpojumiem 20 EUR personu </t>
  </si>
  <si>
    <t>Valsts SIA Rīgas psihiatrijas un narkoloģijas centrs. Medicīniskās pārbaudes.</t>
  </si>
  <si>
    <t xml:space="preserve">Cenu pieaugums, faktiskais izlietojums </t>
  </si>
  <si>
    <t>PA CKS saskaņot?</t>
  </si>
  <si>
    <t xml:space="preserve">Kvadracikla uzturēšana. </t>
  </si>
  <si>
    <t>Laivu periodiskā apkope</t>
  </si>
  <si>
    <t>Ar rokām</t>
  </si>
  <si>
    <t xml:space="preserve">Automātiskā </t>
  </si>
  <si>
    <t xml:space="preserve">Depo- lietas mašīnas apkopei </t>
  </si>
  <si>
    <t>Video novērošanas sistēmas uzturēšanas izdevumi. Līgums ar SIA „Belam Rīga”. EUR 250 +PVN *12/mēn</t>
  </si>
  <si>
    <t xml:space="preserve">Printeru, kopētāju remonts </t>
  </si>
  <si>
    <t>Pēc IT nodaļas norādījumiem</t>
  </si>
  <si>
    <t>Ugunsdzēsības aparātu 2 gab*100 iegāde, apkope .</t>
  </si>
  <si>
    <t>Apsardze un apsardzes signalizāciju sistēmu apkalpošana, AS "G4S" līgumu,  EUR 72,94 (ar PVN)/ mēnesī. Vienošanās Nr. JUR 2022-10/1159 līdz 31.03.2024</t>
  </si>
  <si>
    <t>Pēc FN Serviss norādījuma</t>
  </si>
  <si>
    <t>Saskaņot ar PA Komunālservisu ?!</t>
  </si>
  <si>
    <t xml:space="preserve">NORVIKO SIA paklāju noma un maiņa </t>
  </si>
  <si>
    <t xml:space="preserve">SIA Profilakse </t>
  </si>
  <si>
    <t xml:space="preserve">Cenu pieaugums </t>
  </si>
  <si>
    <t>(pārcelts vienā arī 533.00 no EKK5120)</t>
  </si>
  <si>
    <t>Speciāli aprīkotas policijas automašīnu iegāde (atbilstoši opertīvā transporta statusam) Operatīvais līzings ~ EUR 4210 - pirmā iemaksa un mēneša maksājums ~ EUR 635</t>
  </si>
  <si>
    <t>Sasakaņā ar investīcijas plānu Ā16.1.1.3 un Līgumu Nr.JUR2023-06/694</t>
  </si>
  <si>
    <t xml:space="preserve">Apliecības. </t>
  </si>
  <si>
    <t xml:space="preserve"> monitora iegādei </t>
  </si>
  <si>
    <t>Pie  nosacījuma, ja tiks iegādāts jauns t/l</t>
  </si>
  <si>
    <t>Pirmās palīdzības aptieciņas iegādei</t>
  </si>
  <si>
    <t>Gāzes baloniņi EUR 20*15=300, maks lukturītim 25,00*5=125,00EUR; , uzkabes jostas pa35.00* 5gab = 175.00. telesk. Steks 5*50.00=250,  Rezerve EUR 54</t>
  </si>
  <si>
    <t>1. polo krekls ar īsām rokām; -32.00*60
2. polo krekls ar garām rokām; 32.00 *30
3. termoveļa; 45.00*1
4. rudens jaka (vēlams Helikon-Tex Gunfighter Shark skin  Jacket  - 99.00*2
5. lietišķs kostīms (sievietēm); 90.00*3
6. vasaras apavi (Magnum vai ekvivalents); 90.00*20
7. ziemas zābaki (Magnum vai ekvivalents); 100.00*3
8. termozeķes; 7.00*30
9 vasaras sporta apavi 85.00*30
10. šivroni; 5.00*60
11. uzpleči; 7.00*120
12. uzvārda (personalizētā numura) uzšuve; 3.00*60
14. vasaras bikses (vēlams Helikon-Tex Outdoor Tactical Pants  - 70. 00*25
15. vasaras cepures 15.00*30
16. ziemas cepure. 7.00*30
17.T-krekls ar apdruku 15.00*30 
18. apkales -šalles7*30, 
19. taktiskie cimdi 29.00*25, 
20.ziemas jaka 190.00*2</t>
  </si>
  <si>
    <t>Reprezentācijas materiāli  atbilstoši Ā12.3.2: Organizēt preventīvus pasākumus par drošību un policijas darbu</t>
  </si>
  <si>
    <t>Atbisltoši faktiskajai izpildei 2023 g.</t>
  </si>
  <si>
    <t>Sodu piedziņas nodošana tiesu izpildītājam, valsts nodeva 3,00EUR* 80 gadā.</t>
  </si>
  <si>
    <t>Mobilie telefoni  darbiniekiem</t>
  </si>
  <si>
    <t xml:space="preserve">Video novērošanas iekārtu SERVERIS </t>
  </si>
  <si>
    <t>Ātruma mērišanas iekārta</t>
  </si>
  <si>
    <t>Speciāli aprīkotas policijas automašīnu iegāde (atbilstoši opertīvā transporta statusam) 60 000,-</t>
  </si>
  <si>
    <t>Saskaņā ar investīcijas plānu Ā16.1.1.3.1. un izmaiņām normat.aktos</t>
  </si>
  <si>
    <t>LMT ~ 50 EUR/ mēn internets planšetdatoram  un 2 operat transp.</t>
  </si>
  <si>
    <t>Alkometra verificēšana 60,00EUR * 3; remonts EUR 200. veirificēšana nepieciešama divas reizes gadā</t>
  </si>
  <si>
    <t>Stacionārie datori ar monitori 1200*2 gab bez PVN</t>
  </si>
  <si>
    <t>Piedalīšanās publiskās apspriedēs.</t>
  </si>
  <si>
    <t>Ēku datu deklarācijas, būvniecībā noteiktā termiņa kontrole paaugstinātā NI noteikšanai</t>
  </si>
  <si>
    <t>Pēc koplīguma- briļļu vai apdrošināšanas polises iegādei EUR 200*9 darb.</t>
  </si>
  <si>
    <t>Jāprecizē pie M.Lazdiņa</t>
  </si>
  <si>
    <t>Mobilās sarunas</t>
  </si>
  <si>
    <t xml:space="preserve">Medicīniskās potes 40x9=360. </t>
  </si>
  <si>
    <t>Venden - ūdens.</t>
  </si>
  <si>
    <t>Maksājumi Valsts zemes dienestam par Ēku datu reģistrāciju  (EUR30*50 ēkas gadā=EUR1500)</t>
  </si>
  <si>
    <t>Kompensācija attālināta darba veikšana (11.85EUR x 9 speciālisti x 12mēneši)</t>
  </si>
  <si>
    <t>Cik darbin. sertifikātu uzturēšana?</t>
  </si>
  <si>
    <t>AutoCAD abonēšana - licence (2gab.)</t>
  </si>
  <si>
    <t xml:space="preserve">Darba apģērba iegāde (lietus mēteļi, aizsargķiveres)7*100 Eur </t>
  </si>
  <si>
    <t>3</t>
  </si>
  <si>
    <t>4</t>
  </si>
  <si>
    <t>5</t>
  </si>
  <si>
    <t>6</t>
  </si>
  <si>
    <t>7</t>
  </si>
  <si>
    <t>bibliotēku nakts- 700</t>
  </si>
  <si>
    <t>lekcijas - 400</t>
  </si>
  <si>
    <t>EUR 32 komandējums pa Latviju</t>
  </si>
  <si>
    <t>Koplīguma dāvana darbiniekiem EUR 15*3</t>
  </si>
  <si>
    <t xml:space="preserve">Komandējums pa Latviju EUR100 </t>
  </si>
  <si>
    <t>Darbinieku apdrošināšana (200*3 darb.)</t>
  </si>
  <si>
    <t>reprezentatīvie izdevumi</t>
  </si>
  <si>
    <t>Bibliomāta noformēšana (mākslinieces pakalpojumi)</t>
  </si>
  <si>
    <t>.</t>
  </si>
  <si>
    <t>I.cet. 24%, II.cet.24%. III.cet.26%, IV.cet. 26%</t>
  </si>
  <si>
    <t>Jaunatnes nodaļa (bāze)</t>
  </si>
  <si>
    <t>Izglītības un jaunatnes nodaļa (bāze)</t>
  </si>
  <si>
    <t>7.14.</t>
  </si>
  <si>
    <t>Tāme Nr.1. Skolēnu vasaras nodarbinātība</t>
  </si>
  <si>
    <t>Jauniešu dalība Starptautiskās jaunatnes dienas festivālā Līvānu novadā 12.08.2024., tāme Nr. 2 (Kopā:  EUR947 sadalīt EUR 847  EKK2233 un EUR 100 EKK2239)</t>
  </si>
  <si>
    <t>Tāme Nr.3 Jauniešu dalība Starptautiskās jaunatnes dienas festivālā Līvānu novadā 12.08.2024.</t>
  </si>
  <si>
    <t>Darba ar jaunatni aktivitāšu plāna izdevumi,
tāmes Nr. 5, 6 (Kopā: EUR 4466 sadalīti EUR 528 EKK2311, EUR 610 EKK 2314, EUR 3328 EKK2239; Kopā: EUR 474 sadalīti EUR 435 EKK2314 un EUR39 EKK 2239)</t>
  </si>
  <si>
    <t>Jauniešu dalība Starptautiskās jaunatnes dienas festivālā Līvānu novadā 12.08.2024., tāme Nr. 2 (Kopā:  EUR947 sadalīti EUR 847  EKK2233 un EUR 100 EKK2239)</t>
  </si>
  <si>
    <t>Jauniešu Domes izveide un atpazīstamības veicināšana, tāme Nr. 4 (Kopā:EUR 593 sadalīti EUR 500 EKK 2314 un EUR 93 EKK2239)</t>
  </si>
  <si>
    <t>Brīvprātīgā darba veicēju godināšanas un jauniešu gada balvas pasākums, tāme Nr.10 (Kopā:  EUR 677  sadalīti EUR 317  EKK2314 un EUR 360 EKK2239)</t>
  </si>
  <si>
    <t>Tāme Nr.5.Aktivitāšu plāns 2024.gadam; Tāme NR.6 Prezentmateriāli un balvas (ar jauniešu atpazīstamības logotipu)</t>
  </si>
  <si>
    <t>Tāme Nr.4 Jauniešu Domes izveide un atpazīštamības veicināšana</t>
  </si>
  <si>
    <t>Tāme Nr.10 Brīvprātīgā darba uzskaites sistēmas izveide, veicināšana un brīvprātīgā darba veicēju godināšanas un jauniešu gada balvas pasākums</t>
  </si>
  <si>
    <t>Tāme Nr.8. Iniciatīvu projekti</t>
  </si>
  <si>
    <t>Tāme Nr.2 Materiāltehniskās bāzes nodrošinājums</t>
  </si>
  <si>
    <t>Materiāltehniskās bāzes nodrošinājums Tāme Nr. 2 ( EUR 3894 sadalīti EUR 1420 EKK 2312; EUR 374 EKK2314; EUR 2100 EKK 5238)</t>
  </si>
  <si>
    <t>Tāme Nr.1. Skolēnu vasaras nodarbinātība ! Izmaksas pieaugums sakarā ar valstī min mēnešalgas paaugstināšanu +  10  nodarbinātie ar NVA un 10 pašvaldības</t>
  </si>
  <si>
    <t xml:space="preserve">
Darba ar jaunatni aktivitāšu plāna izdevumi,
tāme Nr. 5 (Kopā: EUR 4466 sadalīti EUR 528 EKK2311, EUR 610 EKK 2314, EUR 3328 EKK2239)</t>
  </si>
  <si>
    <t>Tāme Nr.5.Aktivitāšu plāns 2024.gadam</t>
  </si>
  <si>
    <t>0940.1 - Pašvaldību savstarpējie norēķini</t>
  </si>
  <si>
    <t xml:space="preserve">Stāvvietas, Mobilly. </t>
  </si>
  <si>
    <t>Autobuss Isuzu Novo OCTA + KASKO</t>
  </si>
  <si>
    <t>Priekšsēdētāja degviela (200l*1.7EUR*12 = 4080)</t>
  </si>
  <si>
    <t>1 mēn. maksa rezervei, EURIBOR pieaugumam</t>
  </si>
  <si>
    <t>Operatīvais līzings - Frontālais iekrāvējs CASE,  Citadele factoring, JUR 2020-11/875, (1437*13=18681)</t>
  </si>
  <si>
    <t>Līzings VOLVO V60, Citadele Factoring, JUR 2020-01/2  (515*13=5980)</t>
  </si>
  <si>
    <t>Līzings mikroautobuss Toyota Proace, "Pilna servisa līzings", JUR 2021-04/288, (705*13=9165)</t>
  </si>
  <si>
    <t>Līzings 2 komplekti pļaujmašīnas Kubota + stikla kabīne un lāpsta , Citadele Leasing, JUR 2023/10-1174,1175,1176, 1177 (620+240=860*2*13=22360)</t>
  </si>
  <si>
    <t>Operatīvais līzings - skolēnu autobuss Isuzu Novo, Citadele leasing, JUR 2023-07/763 (2060*13=26780)</t>
  </si>
  <si>
    <r>
      <t xml:space="preserve">Grāmatas "No šūpuļa līdz zeltam. Latvijas dzimtsarakstu sistēmai 100" iegādei </t>
    </r>
    <r>
      <rPr>
        <i/>
        <sz val="8"/>
        <color rgb="FFFF0000"/>
        <rFont val="Arial"/>
        <family val="2"/>
        <charset val="186"/>
      </rPr>
      <t>(2 gab. bibliotekām un 2 gab. DZN)</t>
    </r>
  </si>
  <si>
    <t>Drukātie materiāli - vizītkartes un kartiņas ar laulības datumu un tālruni (A6 formāts)</t>
  </si>
  <si>
    <t>Mobilā telefona pakalpojumu izmaksas (9.62*12=115EUR)</t>
  </si>
  <si>
    <r>
      <t xml:space="preserve"> </t>
    </r>
    <r>
      <rPr>
        <i/>
        <sz val="8"/>
        <rFont val="Arial"/>
        <family val="2"/>
        <charset val="186"/>
      </rPr>
      <t>Transporta pakalpojumi dārgāki</t>
    </r>
  </si>
  <si>
    <t xml:space="preserve">Bibliotekāru kvalifikācijas celšanas kursi LNB </t>
  </si>
  <si>
    <t xml:space="preserve">Tematiskiem  pasākumiem, 
tikšanās ar grāmatu autoriem u.c.,radošo darbnīcu organizēšana dažādām bibliotēkas lietotāju grupām
</t>
  </si>
  <si>
    <t>Darbinieku apdrošināšana (200*4 darb.)</t>
  </si>
  <si>
    <t>Papīrs kļuvis dārgāks</t>
  </si>
  <si>
    <t>Papīrs printeriem</t>
  </si>
  <si>
    <t>Plaukts periodikas izvietošanai</t>
  </si>
  <si>
    <t>„Balvas žūrijas čaklākajiem lasītājiem” 200EUR, noslēguma pasākumam 100EUR</t>
  </si>
  <si>
    <t xml:space="preserve">Reprezentācijas piederumi izdevumi -250,- EUR (grāmatzīmes, maisiņi ar apdruku “Ādažu bibliotēka”, bukleti u.c. </t>
  </si>
  <si>
    <t>B-kas apmeklētāji ir ļoti apmierināti par piedāvāto periodikas piedāvājumu  (4 laikrakstu un 54 žurnālu nosaukumi) Periodika tiek izsniegta arī lasīšanai uz mājām.</t>
  </si>
  <si>
    <r>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r>
    <r>
      <rPr>
        <b/>
        <i/>
        <sz val="8"/>
        <color rgb="FFC00000"/>
        <rFont val="Arial"/>
        <family val="2"/>
        <charset val="186"/>
      </rPr>
      <t/>
    </r>
  </si>
  <si>
    <t>Datora nomaiņa darbiniekiem</t>
  </si>
  <si>
    <t>BIBLIOMĀTS grāmatu saņemšanas/ nodošanas iekārta</t>
  </si>
  <si>
    <t>Briļļu iegāde vai veselības polises iegāde, pēc koplīguma - EUR 200*4</t>
  </si>
  <si>
    <t>Mobilie sakari EUR (12EUR*4darb.*12mēn.)</t>
  </si>
  <si>
    <t>2023.gada līmenī.</t>
  </si>
  <si>
    <t xml:space="preserve">    Normatīvajos aktos noteiktie veselības un fiziskās sagatavotības pārbaudes</t>
  </si>
  <si>
    <t>Kārtridžu uzpilde: 2 kopētāji x 6 toneri = 500</t>
  </si>
  <si>
    <t>Līgums izbeigts</t>
  </si>
  <si>
    <t>Kursi un semināri (80*4darb.)</t>
  </si>
  <si>
    <t>Nav informācijas par šiem izdevumiem.</t>
  </si>
  <si>
    <t>Iepirkums: zemes robežu kadastrālā uzmērīšana (Ādažu pag. 6 NĪ, Carnikavas pag. 5 NĪ, kopā EUR 6437). Zemes vienību apvienošana: Ūbeļu 18 un 18A apvienošana (26.10.2023. domes lēmums Nr.xx, PII būvniecībai, EUR 500) un Elīzes 1 un 3 un Lindas 1 apvienošana (23.08.2023. domes lēmums Nr.335, zemas īres mājokļu būvniecībai, EUR 850)</t>
  </si>
  <si>
    <t>Pielikums</t>
  </si>
  <si>
    <t>Zemes ierīcības projektu izstrāde un izdevumu apmaksa ZIP izstrādei : (Carnikavas pag. - Ziemeļu iela 23A un 25A, Lilastē; Ādažu pag. - Kanāla iela 77 (23.03.2022. lēmums Nr. 154) 80440140288 (EUR 3000 x2 = EUR 6000)</t>
  </si>
  <si>
    <t>Precizējam informāciju, vai šīs ielas ir iekļautas Aģentūras sagatavotajā deklarācijā, uz kuras pamata inženierbūves tiks reģistrētas VZD kadastrā. Ja ielas iekļautas deklarācijā, tās nebūs jāuzmēra un līdzekļi tam nebūs jāparedz.</t>
  </si>
  <si>
    <t>Plānota būvju/inženierbūvju Ādažu pag. uzmērīšana un ierakstīšana zemesgrāmatā: Graustu nojaukšana NĪ Ādažu pag. (Trenči, Mežs pie Jaunbērziņu mājām, sūkņu stacija Kanāla ielā 77, kopā EUR 1500). Šķiroto atkritumu laukuma NĪ "Kadagas attīrīšanas ietaises" un ēku neatbilstošu lietošanas veidu sakārtošana (paskaidrojuma rakstu izgatavošanas pakalpojuma cenu aptauja, objektu statusa aktualizācija valsts reģistros – EUR 900).</t>
  </si>
  <si>
    <t>Meža inventarizācijas plāni 2023.gadā uzmērītajiem īpašumiem = EUR 200</t>
  </si>
  <si>
    <t>Zemes noma no Rīgas pašvaldības NĪ "Baltauši" Alderu iela 33</t>
  </si>
  <si>
    <t>Biroja tehnika (telefona, printera iegāde...)</t>
  </si>
  <si>
    <t>Kancelejas nodevas un valsts nodevas</t>
  </si>
  <si>
    <t>Licence ArcGIS visiem nodaļas darbiniekiem</t>
  </si>
  <si>
    <t>• “Bērnu žūrijas“ dalībnieku ekskursija – A. Brigaderes muzeju  “Sprīdīši”
• LNB “Skaļās lasīšanas” konkursa dalībnieku aizvešana uz Salaspili un Rīgu LNB – finālsacensībām 
• Preču piegāde</t>
  </si>
  <si>
    <t>Venden SIA 75.00 EUR, (pasūtījums 2 pudeles 7,35 euro)</t>
  </si>
  <si>
    <t>Telpu paklāju noma un maiņa 
SIA “NORVIKO” Līgums Nr. JUR 2023-05/542
Summā iekļauti kopā 2 skeiperi un 3 paklāji (papildus 1skeipers un 1 paklājs Gaujas iela 27B 1 stāvā )
Rokas dez.doz. noma no AS “Elis tekstila serviss” Līgums Nr.JUR 2023-05/501 (1,80 EUR mēnesī)</t>
  </si>
  <si>
    <t>Venden statīva noma EUR 3,35*12mēn</t>
  </si>
  <si>
    <t>Kafijas aparāta noma no
EMERALD, Sadarbības līgums Nr.11(JUR 2023-03/281)</t>
  </si>
  <si>
    <t>Kārtridžu - toneru iegāde (Līgums Jur
2020-05/400)</t>
  </si>
  <si>
    <t xml:space="preserve">kancelejas preces(Līgums Nr. JUR 2023-05/523, piegādātāja līguma Nr. C07705), </t>
  </si>
  <si>
    <t>Bibliotēkas apkalpošanas lete 1. stāvā</t>
  </si>
  <si>
    <t>Čeku printeri-Epson TM -T88V (284.-) 1 stāvā</t>
  </si>
  <si>
    <t>Saimniecības preces DEPO 350,-EUR (Līgums Nr.Jur 2023-03/264)</t>
  </si>
  <si>
    <r>
      <t>Žalūzijas 1 stāvā 7 logiem</t>
    </r>
    <r>
      <rPr>
        <b/>
        <sz val="11"/>
        <color theme="1"/>
        <rFont val="Times New Roman"/>
        <family val="1"/>
        <charset val="186"/>
      </rPr>
      <t/>
    </r>
  </si>
  <si>
    <t>Ziedi SIA “Funeral Sevice Latvia” 100,-EUR (Līgums Nr. Jur 2023-02/218)</t>
  </si>
  <si>
    <t>SIA”Konditoreja SARECĒNS” 100,-EUR)  Nr .Jur 2023-02/231</t>
  </si>
  <si>
    <t xml:space="preserve">vizuālais telpas un plauktu noformējums </t>
  </si>
  <si>
    <t xml:space="preserve">Ļoti aktuāla problēma patreizējai situācijai !!!  Tas atrisinātu lasītāju parādnieku problēmu jo var nodot paņemtos un saņemt iespieddarbus jebkurā laikā ( 24/7), 
 (2022. gada budžetā tika novirzīti līdzekļi bibliotēkas  telpu 1 stāvā paplašināšanai un mēbeļu iegādei)  
Ādažu b-kas investīciju plāna pamatojums 2023.-2027. g. 
</t>
  </si>
  <si>
    <t>Piemaksa par UA</t>
  </si>
  <si>
    <t>7452 (4 darbinieki 10%) piemaksa par UA (izņemot sekretārei). Nāk no valsts budžeta</t>
  </si>
  <si>
    <r>
      <t>Briļļu iegāde vai polise, pēc koplīgum</t>
    </r>
    <r>
      <rPr>
        <i/>
        <sz val="8"/>
        <color theme="1"/>
        <rFont val="Arial"/>
        <family val="2"/>
      </rPr>
      <t>a: 200EUR*5 darb. + 400(2 brilles)</t>
    </r>
  </si>
  <si>
    <t>Samazinājums par 500, bet pie supervīzijas palielinu par 310, jo dārgākas.</t>
  </si>
  <si>
    <t>5 mobilie telefoni. EUR 7,95+PVN=9,62</t>
  </si>
  <si>
    <t>Supervīzijas 200*3; 750 par kursiem (5 darbinieki -150 EUR katram)</t>
  </si>
  <si>
    <t>Komandējumiem samazinājums par 500, bet pie supervīzijām un kursiem palielinu par 310, jo kļūst dārgāk.</t>
  </si>
  <si>
    <t>Izdevumu kompensācija attālināti strādājot. ~ EUR 5*5 (~ 9 mēn)</t>
  </si>
  <si>
    <t>EUR 100 no rezerves, kas aiziet uz cenu pieaugumu, apliecinājumu reģistra iegāde</t>
  </si>
  <si>
    <t>1 mobilais tālrunis</t>
  </si>
  <si>
    <t>Lēmums nr.194 no 24.05.2023.</t>
  </si>
  <si>
    <t>Īre 2.stāvs EUR914,2+PVN=1106,18*12mēneši=EUR13274</t>
  </si>
  <si>
    <t>Komunālie 2.stāvs, 261,2m²*1,75=457,1+PVN=553,09/mēnesī</t>
  </si>
  <si>
    <t>Komunālie 1.stāvs, Elektrība, ūdens un kanalizācija 61.5+PVN=73.8*12=885.6 plus apkure 6 mēn. 924+PVN=1118.04*6=6708.24</t>
  </si>
  <si>
    <t>Līgums ar SIA "RIAS" (JUR 2015-04/358)</t>
  </si>
  <si>
    <t>Īre 1.stāvs  EUR1088,9+PVN=1317.57*12=EUR15811</t>
  </si>
  <si>
    <t>Lēmums nr.194 no 24.05.2023.(SIA RIAS Vienošanās Nr. JUR 2023-06/667)</t>
  </si>
  <si>
    <t>Kompensācija par auto amortizāciju (Rozītis, Krūms) EUR 2*10*11m</t>
  </si>
  <si>
    <t>LMT, 2 numuri 17x12=204</t>
  </si>
  <si>
    <t>10% klāt</t>
  </si>
  <si>
    <t>Saskaņā ar noslēgto līgumu JUR 2023-07/836</t>
  </si>
  <si>
    <t xml:space="preserve">Venden, (Viena pudele 3,45*24*11). 2 iekārtas, 24 pudeles katrai mēnesī </t>
  </si>
  <si>
    <t>Saskaņā ar pielikumu</t>
  </si>
  <si>
    <t>Norises laiks</t>
  </si>
  <si>
    <t>13.-14.janvāris</t>
  </si>
  <si>
    <t>Janvāris</t>
  </si>
  <si>
    <t>6., 13., 20., 27.marts un 3.aprīlis</t>
  </si>
  <si>
    <t>augusts</t>
  </si>
  <si>
    <t xml:space="preserve">Vējupes festivāls "PAVASARIS 2024" </t>
  </si>
  <si>
    <t>maijs</t>
  </si>
  <si>
    <t>25.05.2024.</t>
  </si>
  <si>
    <t>jūlijs</t>
  </si>
  <si>
    <t>Jūlijs</t>
  </si>
  <si>
    <t>15.jūnijs</t>
  </si>
  <si>
    <t xml:space="preserve">Ādažu komandu sporta festivāls "IEDOD PIESPĒLI" </t>
  </si>
  <si>
    <t>17.augusts</t>
  </si>
  <si>
    <t xml:space="preserve">Carnikavas rudens riteņbrauciens </t>
  </si>
  <si>
    <t>oktobris</t>
  </si>
  <si>
    <t>Disku golfa sacensības (3 lielās sacensības + 8 iknedēļas sacensības</t>
  </si>
  <si>
    <t>jūnijs - septembris</t>
  </si>
  <si>
    <t>septembris- oktobris</t>
  </si>
  <si>
    <t>23.septembris</t>
  </si>
  <si>
    <t>Vieglatlētikas sacensības</t>
  </si>
  <si>
    <t>Augusts</t>
  </si>
  <si>
    <t>Ādažu novada sporta pasākumi</t>
  </si>
  <si>
    <t>Saskaņā ar federāciju izcenojumiem par dalības maksām</t>
  </si>
  <si>
    <t>pāriet uz CKS</t>
  </si>
  <si>
    <t>pāriet uz CKS (izņemot biroja tehniku)</t>
  </si>
  <si>
    <t>Tā kā arī ēkas pāries CKS, apdrošināsāna jāliek CKS budžetā</t>
  </si>
  <si>
    <t>Darbinieku apdrošināšana 200*11 darb.</t>
  </si>
  <si>
    <t xml:space="preserve">Peldēšanas inventārs. </t>
  </si>
  <si>
    <t>Pludmales volejbola līnijas (3 kompl.)</t>
  </si>
  <si>
    <t>Inventārs Sporta komandu nodrošināšanai (basketbola tīkliņi, bumbas)</t>
  </si>
  <si>
    <t>Ar jauno novada identitates izstrādāšanu, nepieciešams izgatavot banerus ar novada logo.Pie sporta centar ieejas nepieciešams izveidot uzrakstu.</t>
  </si>
  <si>
    <t>Jaunu karogu un baneru izgatavošana</t>
  </si>
  <si>
    <t>Carnikavas trenažieru zāles inventāar atjaunošana</t>
  </si>
  <si>
    <t>Sporta iventāra iegāde/sacensību rīkošanai/ 3 basketbola bumbas, 3 strītbola bumbas, 3 pludmales volejbola bumbas.</t>
  </si>
  <si>
    <t>Papildus jāuzstāda 2 videonovērošanas kameras futbola laukumam</t>
  </si>
  <si>
    <t xml:space="preserve">Degviela Naumovs (CKS), Krūms, Rozītis (SPN)+ 30% sadārdzinājums </t>
  </si>
  <si>
    <t>Dalība sporta sacensībās</t>
  </si>
  <si>
    <t>Sporta sacensību organizēšana</t>
  </si>
  <si>
    <t>Sporta organizāciju nodoršināšana</t>
  </si>
  <si>
    <t>PAVISAM KOPĀ IZMAKSAI</t>
  </si>
  <si>
    <t>Pielikums Subsīdija sportam</t>
  </si>
  <si>
    <t>Valsts un pašvaldību budžeta dotācija biedrībām un nodibinājumiem  [EKK 3263]</t>
  </si>
  <si>
    <t>Esošais dators jau ir nolietojies, baterija tur max 1 stundu. Esošo datoru pārņēmu lietošanā jau no iepriekšējā SPN vadītāja.</t>
  </si>
  <si>
    <t>Portatīvais dators nodaļas vadītājam</t>
  </si>
  <si>
    <t>Papildus apgaismojuma stabs ar prožektoru futbola laukumam.</t>
  </si>
  <si>
    <t xml:space="preserve">Rezerves nojumu un sienu iegāde teltīm 3x3. </t>
  </si>
  <si>
    <t>Futbola vārti 3x2m (2gb), vasarā priekš Podnieku futbola laukum, ziemā Ādažu sporta centra telpās</t>
  </si>
  <si>
    <t>Carnikavas skeitparks</t>
  </si>
  <si>
    <t>Saskaņā ar 2023.gada 6.septembra domes lēmumu NR.340</t>
  </si>
  <si>
    <t>Saskaņā ar 2023.gada 28.septembra domes lēmumu NR.385</t>
  </si>
  <si>
    <t xml:space="preserve">EUR 111260 no Sporta daļas uz CKS </t>
  </si>
  <si>
    <t xml:space="preserve">MD </t>
  </si>
  <si>
    <t>6 apaļas jubilejas*EUR 300</t>
  </si>
  <si>
    <t>14 darbinieki*200 EUR brilles</t>
  </si>
  <si>
    <t>Latvijas Mobilais Telefons (17 x 9.62 EUR)</t>
  </si>
  <si>
    <t>Saskaņā ar aprēķiniem pēc trīs gadu statistikas datiem. Komunālservisa speciālisti.</t>
  </si>
  <si>
    <t>Polise nesedz.</t>
  </si>
  <si>
    <t>Izdevumi veselības pārbaudei u27 veidlapa.</t>
  </si>
  <si>
    <t>OVP darbiniekiem x 15 darbiniekiem</t>
  </si>
  <si>
    <t>Sakarā ar apkures sadārdzinājumu, grīdas seguma maiņa pārcelta uz nākamo gadu.</t>
  </si>
  <si>
    <t>Ugunsdzēsības aparātu ikgadējā apkope un krānu pārbaude</t>
  </si>
  <si>
    <t>Darbinieku apdrošināšana (200EUR*57darb.)</t>
  </si>
  <si>
    <t xml:space="preserve">1 gada licence </t>
  </si>
  <si>
    <t>Mājaslapas domeina abonements</t>
  </si>
  <si>
    <t>Kārtridži lielajam printerim</t>
  </si>
  <si>
    <t>Datorpeles (5 gb.), telefonu stikliņi grupu telefoniem (14 gb.)</t>
  </si>
  <si>
    <t>Bērnu gultas x 5 (4 vietīgas)</t>
  </si>
  <si>
    <t>Grupas galdi 15 gb + 2 galda virsmas</t>
  </si>
  <si>
    <t>Bērnu krēsliņi 20 gb.</t>
  </si>
  <si>
    <t>Krēsli 6 gb. darbiniekiem</t>
  </si>
  <si>
    <t>Mikroviļņu krāsns 1 gb.</t>
  </si>
  <si>
    <t>Tējkannas 3 gab.</t>
  </si>
  <si>
    <t>Gludeklis un gludināmais dēlis</t>
  </si>
  <si>
    <t>Dokumentu smalcinātājs</t>
  </si>
  <si>
    <t>Mobīlie krēsli skolotājām</t>
  </si>
  <si>
    <t>Āra pārvietojamie pakaramie 2. gb.</t>
  </si>
  <si>
    <t>Rezerve (gadījumos, ja tiek bojātas mēbelītes un varam iegādāties jaunas)</t>
  </si>
  <si>
    <t>2390</t>
  </si>
  <si>
    <t>Breloki ieejas durvīm (no EKK 2312 uz EKK2390)</t>
  </si>
  <si>
    <t>2022. gadā mainīja aizskarus Mārītēm un Pūcītēm.</t>
  </si>
  <si>
    <t xml:space="preserve">Aptumšojošās žalūzijas jaunajā korpusā grupām (Lapsēni, Pelēni) </t>
  </si>
  <si>
    <t>Bīdāmās durvis žāvējamo skapju telpām (8 durvis)</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</si>
  <si>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</si>
  <si>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</si>
  <si>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</si>
  <si>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Taurenīšu, Lapsēnu, Skudriņu, Vāverēnu grupu laukumiņa</t>
  </si>
  <si>
    <t>Nepieciešama laukumiņa seguma maiņa (no smilts uz lietu gumiju), un rotaļiekārtu maiņa, jo iepriekšējās ir kalpojušas no 2010.gada un ir nolietojušās)</t>
  </si>
  <si>
    <t>Rotaļiekārtu  un seguma maiņa Ežu, Zaķēnu, Pelēnu un Gliemežu grupu laikumā</t>
  </si>
  <si>
    <t>Portatīvais dators x2, tajā skaitā programmatūra</t>
  </si>
  <si>
    <t>divās grupās ir jāmaina datori</t>
  </si>
  <si>
    <t>Apgaismes tehnika aktu zālei</t>
  </si>
  <si>
    <t>Kompensācija par auto amortizāciju Naumovs EUR 10*11m</t>
  </si>
  <si>
    <t>LMT, 1 numurs 17x12=204</t>
  </si>
  <si>
    <t>Hidroizolācijas atjaunošana pārplūdes rezervuārā</t>
  </si>
  <si>
    <t>Basketbola laukuma grīdas atjaunošana (slīpēšana, lakošana, 7 sporta laukumu marķēšana + logo)</t>
  </si>
  <si>
    <t>Lietus novadīšanas kanalizācijas remonts</t>
  </si>
  <si>
    <t xml:space="preserve">Āra basketbola grozu konstrukciju (metāla savienojuma vietas) papildus nostiprināšana 4gab. </t>
  </si>
  <si>
    <t>Skatitāju ieejas pakāpienu un platformas remonts</t>
  </si>
  <si>
    <t xml:space="preserve">26.07.2023.-31.07.2024 SIA SIA "SPA Servisa Centrs"  par peldbaseina sagatavošanu sezonai (1Xgadā) EUR 330*1,21*1,05=419. </t>
  </si>
  <si>
    <t xml:space="preserve">26.07.2023.-31.07.2024. SIA SIA "SPA Servisa Centrs" apkalpošana 2xmēn (2 reizes/mēn*EUR 150*1,21=121*20reizes=EUR3630). </t>
  </si>
  <si>
    <t>Elektriski augstumā regulējams galds</t>
  </si>
  <si>
    <r>
      <t xml:space="preserve">2023. gadā 8 studējošo pedagogu </t>
    </r>
    <r>
      <rPr>
        <b/>
        <i/>
        <sz val="8"/>
        <color rgb="FFFF0000"/>
        <rFont val="Arial"/>
        <family val="2"/>
        <charset val="186"/>
      </rPr>
      <t>50%</t>
    </r>
    <r>
      <rPr>
        <i/>
        <sz val="8"/>
        <rFont val="Arial"/>
        <family val="2"/>
        <charset val="186"/>
      </rPr>
      <t xml:space="preserve"> mācību maksas kompensācija gadā EUR775x6=</t>
    </r>
    <r>
      <rPr>
        <b/>
        <i/>
        <sz val="8"/>
        <rFont val="Arial"/>
        <family val="2"/>
        <charset val="186"/>
      </rPr>
      <t>EUR 4650</t>
    </r>
  </si>
  <si>
    <t>Darba devēja pabalsti un kompensācijas, no kā neaprēķina ienākuma nodokli, valsts sociālās apdrošināšanas obligātās iemaksas (t.sk.bēru pabalsti)</t>
  </si>
  <si>
    <t xml:space="preserve">Optisko briļļu kompensācija </t>
  </si>
  <si>
    <r>
      <t>SIA „Tet”  optiskā internata nodrošinājuma izmaksas Siguļi PII "Piejūra" EUR170*12*20%=</t>
    </r>
    <r>
      <rPr>
        <b/>
        <i/>
        <sz val="8"/>
        <rFont val="Arial"/>
        <family val="2"/>
        <charset val="186"/>
      </rPr>
      <t>EUR 2448</t>
    </r>
  </si>
  <si>
    <r>
      <t>SIA "LMT" mobilo sakaru 11 grupu un 3 administrācijas darba mobilajām ierīcēm, kas paredzētas darbinieku un izglītojamo vecāku saziņai, lai netiktu izmantotas darbinieku personigās mobilās ierīces darba pienākumu veikšanai un darbinieku personīgo kontaktu neizpaušanai. EUR 154.14 mēn*12*10% =</t>
    </r>
    <r>
      <rPr>
        <b/>
        <i/>
        <sz val="8"/>
        <rFont val="Arial"/>
        <family val="2"/>
        <charset val="186"/>
      </rPr>
      <t>EUR 1512</t>
    </r>
  </si>
  <si>
    <r>
      <t xml:space="preserve"> SIA "Edukas Latvia" pakalpojuma Līgums JUR 2021-08/631, ELIIS sistēmas izmantošana 11 grupās mācību procesa plānošanai, pedagogu sadarbībai un atgriezeniskās saites vecākiem par sasniedzamajiem mācību rezultātiem nodošanai. Izmaksas mēnesī ir  EUR 92.92x12mēn + 20%=</t>
    </r>
    <r>
      <rPr>
        <b/>
        <i/>
        <sz val="8"/>
        <rFont val="Arial"/>
        <family val="2"/>
        <charset val="186"/>
      </rPr>
      <t>EUR 1338</t>
    </r>
  </si>
  <si>
    <r>
      <t>PA "Carnikavas komunālserviss"  EUR 605*12=</t>
    </r>
    <r>
      <rPr>
        <b/>
        <i/>
        <sz val="8"/>
        <rFont val="Arial"/>
        <family val="2"/>
        <charset val="186"/>
      </rPr>
      <t xml:space="preserve"> 7260 (</t>
    </r>
    <r>
      <rPr>
        <i/>
        <sz val="8"/>
        <rFont val="Arial"/>
        <family val="2"/>
        <charset val="186"/>
      </rPr>
      <t>aprēķinus veica PA "Carnikavas komunālserviss" D. Pundiņa).</t>
    </r>
  </si>
  <si>
    <r>
      <t xml:space="preserve"> 6 vecāko grupu 114 izglītojamo (5-6 gadīgie)  </t>
    </r>
    <r>
      <rPr>
        <b/>
        <i/>
        <sz val="8"/>
        <rFont val="Arial"/>
        <family val="2"/>
        <charset val="186"/>
      </rPr>
      <t>atbilstoši pirmsskolas mācību programmai</t>
    </r>
    <r>
      <rPr>
        <i/>
        <sz val="8"/>
        <rFont val="Arial"/>
        <family val="2"/>
        <charset val="186"/>
      </rPr>
      <t xml:space="preserve"> ekskursijas  Sociālo zinību apguves jomā uz  ZOO (Rīga, Sigulda,u.c tuvākie), Poligonu "Getliņi", Latvijas Nacionālo bibliotēku, Ādažu sākumskolu, Carnikavas pamatskolu, Carnikavas novadpētniecības centru. Mācību ekskursiju izmaksas, t.sk. transports un mācību nodarbību cena  ~EUR300x6=</t>
    </r>
    <r>
      <rPr>
        <b/>
        <i/>
        <sz val="8"/>
        <rFont val="Arial"/>
        <family val="2"/>
        <charset val="186"/>
      </rPr>
      <t>EUR 1800</t>
    </r>
  </si>
  <si>
    <t>Darbinieku pieredzes apmaiņas un izglītojoši saliedējošs  pasākums Kuldīgā (atbilstoši SPII Koplīguma 2.9 punktam) SIA "Leks auto"</t>
  </si>
  <si>
    <r>
      <t>Pirmās palīdzības izglītības programmas praktiskā apguve 28 izglītības iestādes (17 pedagogiem un 15 tehniskajiem darbiniekiem) (plānotais organizators FN serviss) 25xEUR 35=</t>
    </r>
    <r>
      <rPr>
        <b/>
        <i/>
        <sz val="8"/>
        <rFont val="Arial"/>
        <family val="2"/>
        <charset val="186"/>
      </rPr>
      <t>EUR 875</t>
    </r>
  </si>
  <si>
    <r>
      <t>51 darbinieka profesionālās pilnveides kursi un semināri  51xEU</t>
    </r>
    <r>
      <rPr>
        <i/>
        <sz val="8"/>
        <color theme="1"/>
        <rFont val="Arial"/>
        <family val="2"/>
        <charset val="186"/>
      </rPr>
      <t>R 50</t>
    </r>
    <r>
      <rPr>
        <i/>
        <sz val="8"/>
        <rFont val="Arial"/>
        <family val="2"/>
        <charset val="186"/>
      </rPr>
      <t>=</t>
    </r>
    <r>
      <rPr>
        <b/>
        <i/>
        <sz val="8"/>
        <rFont val="Arial"/>
        <family val="2"/>
        <charset val="186"/>
      </rPr>
      <t>EUR 2550.00</t>
    </r>
    <r>
      <rPr>
        <i/>
        <sz val="8"/>
        <rFont val="Arial"/>
        <family val="2"/>
        <charset val="186"/>
      </rPr>
      <t xml:space="preserve"> </t>
    </r>
  </si>
  <si>
    <t>Mācību pakalpojumi no EKK2239 uz EKK2235</t>
  </si>
  <si>
    <r>
      <t>Veļas mazgāšanas pakalpojums (gultas veļa, segas, spilveni)-SIA GREEN LINE SERVICES Vidēji  mēn. EUR 330,00x12 mēn.=</t>
    </r>
    <r>
      <rPr>
        <b/>
        <i/>
        <sz val="8"/>
        <rFont val="Arial"/>
        <family val="2"/>
        <charset val="186"/>
      </rPr>
      <t>EUR 3960 gadā</t>
    </r>
  </si>
  <si>
    <t xml:space="preserve">Pamatojums- pamatojoties uz veikto ūdens analīžu rezultātiem, ēkā ienākošais ūdens arī novārītā veidā nav izmantojams dzeršanai. EUR 12.30x11 gr. X12 mēn.=EUR 1624.00 gadā. </t>
  </si>
  <si>
    <r>
      <t xml:space="preserve">E-žurnālu komplekts 12 mēn.:Pirmsskolā,a"un  "Metodiskie materiāli pirmsskolām" . Gada abonaments </t>
    </r>
    <r>
      <rPr>
        <b/>
        <i/>
        <sz val="8"/>
        <rFont val="Arial"/>
        <family val="2"/>
        <charset val="186"/>
      </rPr>
      <t>EUR 128.00</t>
    </r>
  </si>
  <si>
    <r>
      <t>SIA "Ortega" kopētāja/printera Xerox Workcentre 7830i kārtridžu maiņa, apkalpošana, maksa par kopijām atbilstoši kopiju skaitam mēnesī: MB-EUR 0.015, KR-EUR 0.06. Iekārtu izmanto visi izglītības iestādes darbinieki administratīvā un mācību procesa nodrošinājumam. Vidējās izmaksas EUR 105.00 mēnesī. EUR 160x12 mēn.=</t>
    </r>
    <r>
      <rPr>
        <b/>
        <i/>
        <sz val="8"/>
        <rFont val="Arial"/>
        <family val="2"/>
        <charset val="186"/>
      </rPr>
      <t>EUR 1920.00</t>
    </r>
  </si>
  <si>
    <r>
      <t>Ortega - toneru nomaiņa HP LaserJet Pro MFP M130a vadītājas un vadītājas vietnieces kabinetu printeriem EUR 70.00x3=</t>
    </r>
    <r>
      <rPr>
        <b/>
        <i/>
        <sz val="8"/>
        <rFont val="Arial"/>
        <family val="2"/>
        <charset val="186"/>
      </rPr>
      <t>EUR 210.00</t>
    </r>
  </si>
  <si>
    <t>Printeru un laminatoru remonts</t>
  </si>
  <si>
    <t xml:space="preserve">Baltia Insurance SE Latvijas ēku apdrošināšanas Līgums Nr. 380 123673, spēkā 26.08.2022. Maksājums ir daļa no Carnikavas pagasta ēku kopējās apdrošināšanas polises vērtības) </t>
  </si>
  <si>
    <r>
      <rPr>
        <i/>
        <sz val="8"/>
        <rFont val="Arial"/>
        <family val="2"/>
        <charset val="186"/>
      </rPr>
      <t>Darbinieku apdrošināšana 51*200</t>
    </r>
    <r>
      <rPr>
        <b/>
        <i/>
        <sz val="8"/>
        <rFont val="Arial"/>
        <family val="2"/>
        <charset val="186"/>
      </rPr>
      <t>=EUR 10200</t>
    </r>
  </si>
  <si>
    <t>licenču iegāde</t>
  </si>
  <si>
    <t>Papīrs - e-iepirkums, 10 pakas gadā pa 5 iepak. ~ EUR 3.85x5x10=EUR 194.00</t>
  </si>
  <si>
    <t xml:space="preserve">Mūzikas instrumenti mūzikas kabinetam (Dziedošā bļoda (Singing Bowl) Sela SE-262 - EUR 130.00 un Džamba Latin Percussion EUR 55.00 </t>
  </si>
  <si>
    <t>Cauruļu Metalofons EUR 105 un Boomwhackers komplekts BW-Set04 EUR 115 (muzikasveikals.lv)</t>
  </si>
  <si>
    <t>Šūpoles Ligzda (~120cm) rotaļlaukumi.lv</t>
  </si>
  <si>
    <t>Taburete Flexi ēdamžalei (35cm) 10 gab.x42.00=420.00</t>
  </si>
  <si>
    <t>20 Krēsli "Colores" Vanadziņu grupas 5-6 gadīgajiem bērniem (H35cm) (SIA "Bolderāja Serviss"). 20*EUR 89=EUR 1780</t>
  </si>
  <si>
    <t>20 galda kājas ar maināmu augstumu EUR 23=EUR460</t>
  </si>
  <si>
    <r>
      <t>6 taisnstūra formas galdu Lucy 3 (regulējams  augstums) iegāde (SIA "Bolderāja Serviss"). EUR 78*6=</t>
    </r>
    <r>
      <rPr>
        <b/>
        <i/>
        <sz val="8"/>
        <rFont val="Arial"/>
        <family val="2"/>
        <charset val="186"/>
      </rPr>
      <t>EUR 468.00</t>
    </r>
  </si>
  <si>
    <r>
      <t xml:space="preserve">Nojume/Telts "Zvaigzne" (MINI 10 PVC FR), 10 x 10m x 4,4mH, 1 stabs, 8 ieejas, nosedzošā platība 15 m², ar sienām 71 m², 24 – 32 apmeklētājiem. </t>
    </r>
    <r>
      <rPr>
        <b/>
        <sz val="8"/>
        <rFont val="Arial"/>
        <family val="2"/>
        <charset val="186"/>
      </rPr>
      <t>EUR 1954,15.</t>
    </r>
    <r>
      <rPr>
        <sz val="8"/>
        <rFont val="Arial"/>
        <family val="2"/>
        <charset val="186"/>
      </rPr>
      <t xml:space="preserve"> Lētākais peidāvājums no "Siguldas tents" SIA   </t>
    </r>
  </si>
  <si>
    <t>Nojumes uzstādīšana vismaz daļēji nodrošinās 3 iztrūkstošās segtas āra vides (grupas nojumes) neesamību. Pēc apstiprinājuma saņemšanas jāveido kopējs iepirkums ar ĀVS</t>
  </si>
  <si>
    <r>
      <t xml:space="preserve">"Ādažu aptieka" - medicīniskajam kabinetam </t>
    </r>
    <r>
      <rPr>
        <b/>
        <i/>
        <sz val="8"/>
        <rFont val="Arial"/>
        <family val="2"/>
        <charset val="186"/>
      </rPr>
      <t>EUR 240.00</t>
    </r>
  </si>
  <si>
    <r>
      <t>Saimniecības preces 11 grupas telpu un āra rotaļlaukumu un vides uzturēšanai kārtībā (Depo) (slotas,šaufeles,lāpstas, lupatiņas, švammes, atkritumu maisi, u.c.) EUR 200x11 grupas=</t>
    </r>
    <r>
      <rPr>
        <b/>
        <i/>
        <sz val="8"/>
        <rFont val="Arial"/>
        <family val="2"/>
        <charset val="186"/>
      </rPr>
      <t>EUR 2200</t>
    </r>
    <r>
      <rPr>
        <i/>
        <sz val="8"/>
        <rFont val="Arial"/>
        <family val="2"/>
        <charset val="186"/>
      </rPr>
      <t xml:space="preserve">. </t>
    </r>
  </si>
  <si>
    <r>
      <t xml:space="preserve"> Dezinfekcijas līdzekļi 11 grupu telpām un atbalsta personāla, smilšu un sajūtas telpām, mūzikas un sporta jomas kabinetiem. EUR 8x66=</t>
    </r>
    <r>
      <rPr>
        <b/>
        <i/>
        <sz val="8"/>
        <rFont val="Arial"/>
        <family val="2"/>
        <charset val="186"/>
      </rPr>
      <t>EUR 528.</t>
    </r>
  </si>
  <si>
    <t>Dekorēšanas priekšmeti pasākumiem (sveces, drapērijas, u.c). EUR 300</t>
  </si>
  <si>
    <r>
      <t>Mācību līdzekļu un materiālu organizatori (plastmasas kastes,dekoratīvie kašpo, vāzes, paplātes,u.c. 11. grupām EUR 90x11=</t>
    </r>
    <r>
      <rPr>
        <b/>
        <i/>
        <sz val="8"/>
        <rFont val="Arial"/>
        <family val="2"/>
        <charset val="186"/>
      </rPr>
      <t>EUR 990.00</t>
    </r>
  </si>
  <si>
    <t xml:space="preserve">Laminētas grīdas uzlīmes kāpnēm,mācību vides nodrošināšanai:   Cipari (1-25) RUR 105, Alfabēts EUR 115. Kopā 2x 220=EUR 440  </t>
  </si>
  <si>
    <t>Rezerve EUR 100.00</t>
  </si>
  <si>
    <r>
      <t>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2.70 mēnesī x210 izglītojamajiem 11  grupās:  EUR 650 x11 mēn=</t>
    </r>
    <r>
      <rPr>
        <b/>
        <i/>
        <sz val="8"/>
        <rFont val="Arial"/>
        <family val="2"/>
        <charset val="186"/>
      </rPr>
      <t>EUR 7150</t>
    </r>
  </si>
  <si>
    <r>
      <t xml:space="preserve">Mācību materiāli/ izejmateriāli jomu pedagogiem  (mūzika, sports) un atbalsta personālam (logopēgs, spec.ped., psigologs), mūzikas un sporta pedagogiem EUR 90.00x7= </t>
    </r>
    <r>
      <rPr>
        <b/>
        <i/>
        <sz val="8"/>
        <rFont val="Arial"/>
        <family val="2"/>
        <charset val="186"/>
      </rPr>
      <t>EUR 630</t>
    </r>
  </si>
  <si>
    <t>Nosaka Izglītības likuma 17.panta 3.daļas 23.punkts.</t>
  </si>
  <si>
    <r>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300.00x11 grupām=</t>
    </r>
    <r>
      <rPr>
        <b/>
        <i/>
        <sz val="8"/>
        <rFont val="Arial"/>
        <family val="2"/>
        <charset val="186"/>
      </rPr>
      <t xml:space="preserve"> EUR 3300</t>
    </r>
  </si>
  <si>
    <r>
      <t xml:space="preserve">Mācību līdzekļi un materiāli jomu pedagogiem un atbalsta personālam (logopēds, spec.ped., psigologs,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t>
    </r>
    <r>
      <rPr>
        <b/>
        <i/>
        <sz val="8"/>
        <rFont val="Arial"/>
        <family val="2"/>
        <charset val="186"/>
      </rPr>
      <t>EUR 1400</t>
    </r>
  </si>
  <si>
    <r>
      <t>Silikona smiltis smilšu lampām grupās un atbalsta personālam individuālajam darbam ar bērniem ar MG un MT  EUR 7.40x2 gab.x11=</t>
    </r>
    <r>
      <rPr>
        <b/>
        <i/>
        <sz val="8"/>
        <rFont val="Arial"/>
        <family val="2"/>
        <charset val="186"/>
      </rPr>
      <t>EUR 165</t>
    </r>
  </si>
  <si>
    <r>
      <t xml:space="preserve">Didaktiskie izpētes materiāli atbalsta personālam) 4x200 </t>
    </r>
    <r>
      <rPr>
        <b/>
        <i/>
        <sz val="8"/>
        <rFont val="Arial"/>
        <family val="2"/>
        <charset val="186"/>
      </rPr>
      <t>EUR 800</t>
    </r>
  </si>
  <si>
    <t>MD mācību līdzekļiem 2024.gadam EUR 1867</t>
  </si>
  <si>
    <t>Nosaka Izglītības likuma 59.panta 21.punkts un 60.panta 31.punkts</t>
  </si>
  <si>
    <r>
      <t xml:space="preserve">Dekoratīvio augu stādi, sēklas, sīpoli, sīpolpuķu sīpoli (dekoratīvajiem traukiem un dobēm) teritorijas apzaļumošanai </t>
    </r>
    <r>
      <rPr>
        <b/>
        <i/>
        <sz val="8"/>
        <rFont val="Arial"/>
        <family val="2"/>
        <charset val="186"/>
      </rPr>
      <t>EUR 210</t>
    </r>
  </si>
  <si>
    <t>Vides iekārtošanas materiāli (t.sk. āra un iekštelpu dekoratīvie puķu trauki, bilžu rāmji gaiteņu sienu noformējumam) EUR 240.00</t>
  </si>
  <si>
    <r>
      <t xml:space="preserve">Svētku kliņģeri: izlaidums, gadskārtu svētki, ECO skolas  pieredzes semināri, u.c. </t>
    </r>
    <r>
      <rPr>
        <b/>
        <i/>
        <sz val="8"/>
        <rFont val="Arial"/>
        <family val="2"/>
        <charset val="186"/>
      </rPr>
      <t xml:space="preserve">EUR 200.00. </t>
    </r>
    <r>
      <rPr>
        <i/>
        <sz val="8"/>
        <rFont val="Arial"/>
        <family val="2"/>
        <charset val="186"/>
      </rPr>
      <t xml:space="preserve">SiA Sarecēns </t>
    </r>
  </si>
  <si>
    <r>
      <t>2024. gada Izlaidumamam: 58 bērniem un 12 darbiniekiem piemiņas grāmatas/albūmi EUR 7.00x70=</t>
    </r>
    <r>
      <rPr>
        <b/>
        <i/>
        <sz val="8"/>
        <rFont val="Arial"/>
        <family val="2"/>
        <charset val="186"/>
      </rPr>
      <t>EUR 490</t>
    </r>
  </si>
  <si>
    <r>
      <t>Pasākums ģimenēm veselīga dzīvesveida popularizēšnai:Vecāku, vecvecāku dienu ietvaros sporta spēles maija beigās - 200 gab. šokolādes medaļas: EUR 2x210=</t>
    </r>
    <r>
      <rPr>
        <b/>
        <i/>
        <sz val="8"/>
        <rFont val="Arial"/>
        <family val="2"/>
        <charset val="186"/>
      </rPr>
      <t>EUR 420.00</t>
    </r>
  </si>
  <si>
    <r>
      <t>Sociālās un pilsoniskās mācību jomas īstenošanai: Latvijas valsts karogs mastam (200x100 cm) 3xEUR45=</t>
    </r>
    <r>
      <rPr>
        <b/>
        <i/>
        <sz val="8"/>
        <rFont val="Arial"/>
        <family val="2"/>
        <charset val="186"/>
      </rPr>
      <t>EUR 135.00</t>
    </r>
  </si>
  <si>
    <r>
      <t xml:space="preserve">Brīvdabas mācību vides izveide: kokmateriāls un polikarbonāts 2 āra klašu nojumēm (~2.5*x2.5mx2.5m)  </t>
    </r>
    <r>
      <rPr>
        <b/>
        <i/>
        <sz val="8"/>
        <rFont val="Arial"/>
        <family val="2"/>
        <charset val="186"/>
      </rPr>
      <t>EUR 920</t>
    </r>
  </si>
  <si>
    <r>
      <t xml:space="preserve">Reprezentācijas materiāli </t>
    </r>
    <r>
      <rPr>
        <b/>
        <i/>
        <sz val="8"/>
        <rFont val="Arial"/>
        <family val="2"/>
        <charset val="186"/>
      </rPr>
      <t>EUR200</t>
    </r>
  </si>
  <si>
    <t>Pirmsskolas skolotāja metodisko līdzekļu komplekts SOMA.LV 12 mēnešiem 4 grupām EUR 105*4=420</t>
  </si>
  <si>
    <t>Ekoskolas e-vides un programmas abonēšana 12 mēnešiem</t>
  </si>
  <si>
    <t>No EKK5120 uz EKK2370</t>
  </si>
  <si>
    <t>Laminātors GBC Fusion 3000L A4, A3 mācību materiālu izgatavošanai. 2 gab x185 =EUR 370</t>
  </si>
  <si>
    <t>Logu mazgāšanas ierīce ECOVACS WINBOT W1 PRO LOGU MAZGĀTĀJS  2. un 3. stāva augsto logu iekšējo un ārējo stiklu, t.sk. jumta logu, drošai un regulārai mazgāšanai.</t>
  </si>
  <si>
    <r>
      <t>Putekļu sūcējs/slota Xiaomi G9 Plus (uzlādējama) tīrīšanai uz mīkstām un cietām virsmām, galvenokārt, 11 grupām garderobju paklāju ikdienas uzkopšanai EUR  210x11=</t>
    </r>
    <r>
      <rPr>
        <b/>
        <i/>
        <sz val="8"/>
        <rFont val="Arial"/>
        <family val="2"/>
        <charset val="186"/>
      </rPr>
      <t>EUR 2310</t>
    </r>
  </si>
  <si>
    <t>No EKK5238 uz EKK2312</t>
  </si>
  <si>
    <t>No EKK5239 uz EKK2312</t>
  </si>
  <si>
    <t>No EKK2390 uz EKK2314</t>
  </si>
  <si>
    <t>2024.g. darbiniekiem gada beigas naudas balvām  27 000  EUR+ 12 darbinieki naudas balvas 300,00 EUR nostrādāja 15.gadi Kadagas PII "Mežavēji" 3 600,00 EUR=30 600,00 EUR</t>
  </si>
  <si>
    <t>LMT, EUR 135*12. = 1 620,00 eur; 2022.g. iepirkam 9.grupām dienesta  mob.tel., Darba laikā skolotājas varēja sazināties ar vecākiem. +dežurantiem. 2023.g. iepirkam  +vadītajai, + vietniecei,+ atbalsta komandai, + med.māsai=Kopā: 14 sakaru pak. LMT.</t>
  </si>
  <si>
    <t>SIA "EKO Baltia vide"EUR 181X13=2 353 EUR</t>
  </si>
  <si>
    <t>stādiem, krūmiem(dārznieka pakalpojumi)</t>
  </si>
  <si>
    <t>Sanitārās grāmatiņas. Obligāta prasība skolotājiem un tehniskiem darbiniekiem EUR 30/45 pers *30 =1350 EUR</t>
  </si>
  <si>
    <t xml:space="preserve">2024.g.-Obligātā veselības pārbaude uz vietas  - 10 cilvēkiem 60,00 Eur*10=600,00 EUR. </t>
  </si>
  <si>
    <t>Elektr. Žurnāls PII skolotājiem "Pirmsskolas izglītiba" 60 eur.+ metodiskie materiāli 69 eur. + ikmēneša izdevums par aktuālām normatīvo aktu izmaiņām izglītībā 42 eur. Kopā= 171,00 EUR</t>
  </si>
  <si>
    <t>Barboleta apmācības logopēdiem, psihologiem+dēlis (pēc apmācībām speciālisti sanem līdzsvara platformu, tiesības strādāt ar šo metodi).</t>
  </si>
  <si>
    <t>Vakara vadītājs PII "Mežavēji" 15.g.jūbileju</t>
  </si>
  <si>
    <r>
      <rPr>
        <b/>
        <i/>
        <sz val="8"/>
        <color theme="4" tint="-0.499984740745262"/>
        <rFont val="Arial"/>
        <family val="2"/>
        <charset val="186"/>
      </rPr>
      <t>SIA "SPA Servisa centrs"</t>
    </r>
    <r>
      <rPr>
        <i/>
        <sz val="8"/>
        <color indexed="18"/>
        <rFont val="Arial"/>
        <family val="2"/>
        <charset val="186"/>
      </rPr>
      <t xml:space="preserve"> -  Kadagas PII summa  1095,80 + PVN</t>
    </r>
    <r>
      <rPr>
        <b/>
        <i/>
        <sz val="8"/>
        <color rgb="FF002060"/>
        <rFont val="Arial"/>
        <family val="2"/>
        <charset val="186"/>
      </rPr>
      <t xml:space="preserve"> Ķimija. </t>
    </r>
    <r>
      <rPr>
        <i/>
        <sz val="8"/>
        <color theme="1"/>
        <rFont val="Arial"/>
        <family val="2"/>
        <charset val="186"/>
      </rPr>
      <t>Līguma Nr. JUR 2023-07/842</t>
    </r>
  </si>
  <si>
    <t>Bīstamu koku zāģēšana</t>
  </si>
  <si>
    <t>Pirmajā un otrajā stāvā daudzās telpās it īpaši sanitārajos mezglos sienās ir izveidojušās plaisas. Ēkas fasādes daļa pa perimetru ir bojāts sienu apmetums un krāsojums, nodrupuši pandusi. Mitruma ietekme un intensīvas lietošanas rezultātā bojāts grīdas segums. Uz ēkas fasādes ir izveidojusies plaisa. Bojātas trepes un flīžu segums. Korozijas pazīmes metāla kolonnām.</t>
  </si>
  <si>
    <t>sastādīts defektu akts 12.09.2023. Arnis Puķe un Sandra Ģederte no P/A "Carnikavas komunālservisa'' ieteica ielikt budžetā uz šiem remondarbiem, tādu summu.</t>
  </si>
  <si>
    <r>
      <rPr>
        <b/>
        <i/>
        <sz val="8"/>
        <color rgb="FF003366"/>
        <rFont val="Arial"/>
        <family val="2"/>
        <charset val="186"/>
      </rPr>
      <t xml:space="preserve">SIA "SPA Servisa centrs"  </t>
    </r>
    <r>
      <rPr>
        <i/>
        <sz val="8"/>
        <color rgb="FF003366"/>
        <rFont val="Arial"/>
        <family val="2"/>
        <charset val="186"/>
      </rPr>
      <t>Peldbaseina servisa pkalpošana un remonts EUR 2150,00 +PVN. Līguma Nr.JUR 2023-07/842</t>
    </r>
  </si>
  <si>
    <r>
      <rPr>
        <b/>
        <i/>
        <sz val="8"/>
        <color theme="4" tint="-0.249977111117893"/>
        <rFont val="Arial"/>
        <family val="2"/>
        <charset val="186"/>
      </rPr>
      <t xml:space="preserve">SIA "BIOR" </t>
    </r>
    <r>
      <rPr>
        <i/>
        <sz val="8"/>
        <rFont val="Arial"/>
        <family val="2"/>
        <charset val="186"/>
      </rPr>
      <t>- reizi mēnesī taisa analīzes. Sp.c, KPII un ĀPII. EUR 62,56*10=625,00 eur+2 reizes gadā 73,00*2=146.00 eur ūdens izmekl. Uz parazitar.oliņu</t>
    </r>
  </si>
  <si>
    <t>Lapu putejam, trimeram remontiem</t>
  </si>
  <si>
    <t xml:space="preserve">Virtuves tehnikas  Vitrum uzturēšana un remonts </t>
  </si>
  <si>
    <r>
      <t>SIA</t>
    </r>
    <r>
      <rPr>
        <i/>
        <sz val="8"/>
        <color rgb="FF0070C0"/>
        <rFont val="Arial"/>
        <family val="2"/>
        <charset val="186"/>
      </rPr>
      <t xml:space="preserve"> </t>
    </r>
    <r>
      <rPr>
        <b/>
        <i/>
        <sz val="8"/>
        <color rgb="FF0070C0"/>
        <rFont val="Arial"/>
        <family val="2"/>
        <charset val="186"/>
      </rPr>
      <t>"</t>
    </r>
    <r>
      <rPr>
        <b/>
        <i/>
        <sz val="8"/>
        <color rgb="FF002060"/>
        <rFont val="Arial"/>
        <family val="2"/>
        <charset val="186"/>
      </rPr>
      <t>Kone Lifti Latvija"</t>
    </r>
    <r>
      <rPr>
        <i/>
        <sz val="8"/>
        <color rgb="FF0070C0"/>
        <rFont val="Arial"/>
        <family val="2"/>
        <charset val="186"/>
      </rPr>
      <t xml:space="preserve"> </t>
    </r>
    <r>
      <rPr>
        <i/>
        <sz val="8"/>
        <rFont val="Arial"/>
        <family val="2"/>
        <charset val="186"/>
      </rPr>
      <t xml:space="preserve">liftu apkalpošana. Plānojas pārbaude 4 reizes gadā (marts, jūnijs, sept, dec)- EUR 90,75 par reizi. EUR 363. Līgums NR. JUR 2023-07/780. Līgums uz 5 gadiem.+ rezerve lifta remontam 500,00 EUR </t>
    </r>
  </si>
  <si>
    <r>
      <rPr>
        <b/>
        <i/>
        <sz val="8"/>
        <color theme="4" tint="-0.499984740745262"/>
        <rFont val="Arial"/>
        <family val="2"/>
        <charset val="186"/>
      </rPr>
      <t>Norviko/</t>
    </r>
    <r>
      <rPr>
        <i/>
        <sz val="8"/>
        <rFont val="Arial"/>
        <family val="2"/>
        <charset val="186"/>
      </rPr>
      <t>paklāju maiņa 63,00 EUR*12 men.=756,00 EUR</t>
    </r>
  </si>
  <si>
    <t xml:space="preserve">Logu tīrīšana (pacēlāja iznomāšana) un linoleja tīrīšanu </t>
  </si>
  <si>
    <r>
      <t>Elektrosaimniecības apkalpošana.</t>
    </r>
    <r>
      <rPr>
        <b/>
        <i/>
        <sz val="8"/>
        <color rgb="FF002060"/>
        <rFont val="Arial"/>
        <family val="2"/>
        <charset val="186"/>
      </rPr>
      <t xml:space="preserve"> SIA Leģenda Gold </t>
    </r>
    <r>
      <rPr>
        <i/>
        <sz val="8"/>
        <color indexed="56"/>
        <rFont val="Arial"/>
        <family val="2"/>
        <charset val="186"/>
      </rPr>
      <t xml:space="preserve"> jauns piedavajums- EUR 108,90 ar PVN*13.men.= 1415,70. Līgums  JUR 2022-11/1194</t>
    </r>
  </si>
  <si>
    <t xml:space="preserve">Sniega tīrīšana no jumta. </t>
  </si>
  <si>
    <t>Ēku apdrošināšana, Balcia Insurance SE 410,00 eur + Veselības apdrosīnāšana darbiniekiem AAS Balta 91,00 eur. Kopā: 501,00 eur</t>
  </si>
  <si>
    <t xml:space="preserve">Veselibas apdrošināšana 200x45=9 000,00 EUR; vai brilles un izziņa darbam. </t>
  </si>
  <si>
    <r>
      <t>SIA "</t>
    </r>
    <r>
      <rPr>
        <i/>
        <sz val="8"/>
        <color theme="4" tint="-0.249977111117893"/>
        <rFont val="Arial"/>
        <family val="2"/>
        <charset val="186"/>
      </rPr>
      <t>Ūdensnesējs Serviss</t>
    </r>
    <r>
      <rPr>
        <i/>
        <sz val="8"/>
        <rFont val="Arial"/>
        <family val="2"/>
        <charset val="186"/>
      </rPr>
      <t>" siltummezgla un gāzes katlu mājas apkalpošana, papildus darbiem-neparedzētiem gadījumiem.Līguma summa KPII EUR  2366,12 +PVN. Līgums JUR 2023-01/61</t>
    </r>
  </si>
  <si>
    <r>
      <t xml:space="preserve">SIA </t>
    </r>
    <r>
      <rPr>
        <i/>
        <sz val="8"/>
        <color rgb="FF0070C0"/>
        <rFont val="Arial"/>
        <family val="2"/>
        <charset val="186"/>
      </rPr>
      <t>"Moduls Engineerig"Līgum</t>
    </r>
    <r>
      <rPr>
        <i/>
        <sz val="8"/>
        <rFont val="Arial"/>
        <family val="2"/>
        <charset val="186"/>
      </rPr>
      <t>uz 12 men. ventilācijas sistēma. Kopējā līguma summa 1877,00 eur +PVN Līgums JUR 2023-09/1065</t>
    </r>
  </si>
  <si>
    <t xml:space="preserve"> Licenču iegāde</t>
  </si>
  <si>
    <t>Mēbeles (biroja krēsli darbiniekiem 3.gab. *190,00 EUR=570,00 EUR)</t>
  </si>
  <si>
    <t xml:space="preserve">Saimniecības mantas (kastes, vazes, trauki-katrai grupai). </t>
  </si>
  <si>
    <t xml:space="preserve">Mūzikas instrumenti </t>
  </si>
  <si>
    <t>9 grupām spēles (galda, didaktiskas 9*EUR 400= 3 600 +400 psihologam, logopedam, spec.pedagogam)=4 000,00 EUR</t>
  </si>
  <si>
    <t>Gultas veļas 24 komplekti -265,00 EUR+dvieļi 96 gabali 249,00 EUR+auklītēm priekšauti 10.gab. 80,00 EUR Kopā: 594,00 EUR</t>
  </si>
  <si>
    <r>
      <t>Plaukts ar kastēm (3 un 4. grupai).</t>
    </r>
    <r>
      <rPr>
        <b/>
        <i/>
        <sz val="8"/>
        <color rgb="FFC00000"/>
        <rFont val="Arial"/>
        <family val="2"/>
        <charset val="186"/>
      </rPr>
      <t xml:space="preserve"> </t>
    </r>
  </si>
  <si>
    <t>Planšete BASIK instruments psihologam 1 gab.-600,00 EUR;</t>
  </si>
  <si>
    <t>Saimniecības preces no EIS</t>
  </si>
  <si>
    <t>Dekorešanai pasākumiem (sveces., lentes)</t>
  </si>
  <si>
    <t>Smiltis, melnzeme,  zāles sēšani EUR 1000</t>
  </si>
  <si>
    <t xml:space="preserve">Krekliņi ar apdruku darbiniekam 1gab.*15,00 EUR.*51 darbinieks=765,00 EUR. </t>
  </si>
  <si>
    <t>Āra koka solu virsmas izgatavošana 4.gab.*165,00 eur=660 EUR</t>
  </si>
  <si>
    <t xml:space="preserve"> kancelejas precēm EUR 650.00 x9 grupām= EUR 5 850,00</t>
  </si>
  <si>
    <t>Ziedi un to izstrādājumi  JUR 2023-02/218 uz 12.men Kadagai-EUR 350,00 eur</t>
  </si>
  <si>
    <t>Konditoreja Saracēns. Līgums JUR 2023-02/231 EUR 500,00 EUR. + Tortes pāsūtijums uz Kadagas PII "Mežavēji" 15.gadu jubileju ciemiņiem 150,00 EUR+ 9grupām bērniem kliņģeri 20,00 eur 1,5 kg.*9grupām= 180,00 eur=830,00 EUR</t>
  </si>
  <si>
    <t>Izlaidumam 50 bērniem lineāli, personalizeti  par 4,5 EUR=200,00 EUR</t>
  </si>
  <si>
    <t xml:space="preserve">Speciālas programmas licencei </t>
  </si>
  <si>
    <t xml:space="preserve">1.dators-8.grupai 1 000,00 EUR   </t>
  </si>
  <si>
    <t>Rezerve (printera iegadei)</t>
  </si>
  <si>
    <t>Sniega tīrīšanas iekārta</t>
  </si>
  <si>
    <t>Rotaļu laukuma aprikojums 5.gr.</t>
  </si>
  <si>
    <t>No EKK2312</t>
  </si>
  <si>
    <t>Mīkstais inventārs</t>
  </si>
  <si>
    <t xml:space="preserve">    Mīkstais inventārs</t>
  </si>
  <si>
    <t>Izdevumi par precēm iestādes sabiedrisko aktivitāšu īstenošanai</t>
  </si>
  <si>
    <t>No EKK2390</t>
  </si>
  <si>
    <t xml:space="preserve">Dvieļi, gultas veļas komplekti, lacitēs, darbinieku apģērbs (priekšauti, cepures) </t>
  </si>
  <si>
    <t>CV Online utml. (1 sludinajums 250EUR)</t>
  </si>
  <si>
    <t>Darbinieku kompetences pilnveidošanas pasākumi ~ 2xgadā.</t>
  </si>
  <si>
    <t>PSN darba krēsli 2 gab.Krēsls ORLANDO HB 2x270</t>
  </si>
  <si>
    <t>Venden SIA (Ādažu un Carnikavas VPVKAC). Ūdens un papīra glāzes</t>
  </si>
  <si>
    <t>KAC (VPVKAC dotācija tiek pilnībā izlietota ITČ atalgojumam un netiks izmantota VPVKAC uzturēšanai, tāpēc pašvaldības līdzfinansējums nav nepieciešams)</t>
  </si>
  <si>
    <t xml:space="preserve">DVS "Namejs" uzturēšanas licence </t>
  </si>
  <si>
    <t>DVS "Namejs" izmitināšana</t>
  </si>
  <si>
    <t xml:space="preserve">DVS "Namejs" papildu lietotāju licences (5 gab. x 30 euro) </t>
  </si>
  <si>
    <t xml:space="preserve">Bukletu stends Carnikavas VPVKAC - https://www.ajprodukti.lv/recepcija-atputas-telpa/uzglabasanai/bukletu-stendi/pie-sienas-stiprinami-bukletu-stendi/stends-brosuram-6652-6650 </t>
  </si>
  <si>
    <t>Projektors priekšsēdētājas kabinetā - https://silelis.com/lv/produktas/projektorius-silelis-p-5-2/</t>
  </si>
  <si>
    <t>ADN</t>
  </si>
  <si>
    <t>Darba jubilejas pēc koplīguma (1 darbinieks)</t>
  </si>
  <si>
    <t>darba jubilejas 1*300</t>
  </si>
  <si>
    <t>Saskaņā ar koplīgumu 2024. gadā EUR 200 brillēm/apdrošināšanai =&gt;85*200</t>
  </si>
  <si>
    <t xml:space="preserve">Dienas nauda komandējumiem, sakarā ar Erasmus+ programmu un Vīnes braucienu pavasarī (5 pedagogi x 10 dienas x 50Eur dienas nauda) </t>
  </si>
  <si>
    <t>Cenas par transportu ļoti pieaugušas! 2023. gada budžetā nepacēlām izdevumus, tāpēc jāceļ obligāti šogad</t>
  </si>
  <si>
    <t>nometne Rojā (40 vietas)</t>
  </si>
  <si>
    <t>nometne Cēsīs (50 vietas)</t>
  </si>
  <si>
    <t xml:space="preserve">konkurss Alojā (2 reizes X 40 vietas) </t>
  </si>
  <si>
    <t>konkursi un noklausīšanās Rīgā (5 reizes X 20 vietas)</t>
  </si>
  <si>
    <t>koncerts Ogrē (40 vietas)</t>
  </si>
  <si>
    <t>Ja mūs beidzot nepārceļ, tad šos izdevumus nevajadzēs! :)</t>
  </si>
  <si>
    <t>OVP 2024. -  personas 39*40EUR / visi neņem apdrošināšanas, tāpēc nepieciešama summa OVP</t>
  </si>
  <si>
    <t>2024.gadā 85 darbiniekiem (EUR 25.00)</t>
  </si>
  <si>
    <t>+ 10 % ņemot vērā cenu pieaugumus naktsmītnēm un ēdināšanas pakalpojumiem</t>
  </si>
  <si>
    <t>Deju nodaļas audzeķņiem ļoti pieaugušas dalības maksas. Agrāk bija no grupas 20-50Eur. Jau 2023. gadā summas bija par personu no 10-20Eur, kas milzīgi palielina samaksu par vienu konkursu deju nodaļai. Konkursi un cenas 2023. gadā Tukums Cup - 300Eur dalība, Lithuania Cup International - 600Eur, Dance Fest riga - 400Eur, The Best show Riga - 400Eur, Crystal Cup Smiltene - 300Eur</t>
  </si>
  <si>
    <t>Žūrijas darba un citas izmaksas pieaugušas</t>
  </si>
  <si>
    <t>Šogad šis būs konkurss, līdz ar to būs dalības maksa par mūsu rīkoto konkursu un visas izmaksas tiks atgrieztas.</t>
  </si>
  <si>
    <t>Kursu cenas augušas, jānodrošina katram pedagogam 36h profesionālās pilnveides kursu apjomu</t>
  </si>
  <si>
    <t>Materiāli tehniskā baze palielinās, līdz ar to instrumentu uzturēšanās izmaksas</t>
  </si>
  <si>
    <t>Sadalīts EUR2000 brillēm(EKK1228), EUR15000 veselības apdrošināšana (EKK2247)</t>
  </si>
  <si>
    <t>Tīmekļa vietnes servera noma. Tehnoloģiju Studija SIA, 2024. gadā novecos Joomla 3.0 versija, nepieciešama datu migrācija uz 5.0 versiju</t>
  </si>
  <si>
    <t>Adobe CC paka (1 gabx490 EUR/gadā;  Adobe Illustrator (8gabx210 EUR/gadā) + Photoshop CC (8gabx210 EUR/gadā)  licences, mācība priekšmeta datordizains nodrošināšanai +10% cenu pieaugums</t>
  </si>
  <si>
    <t>Nepieciešams jaunajā līgumā pieaugums ņemot vērā divu mācību punktu nodrošinājumu</t>
  </si>
  <si>
    <t>Nepieciešams pieaugums ņemot vērā divu mācību punktu nodrošinājumu</t>
  </si>
  <si>
    <t>Pārcelts no EKK2312</t>
  </si>
  <si>
    <t>2023. gadā neizdevās turpināt dēļ Carnikavas mācību punkta izveides. Izstāžu eksponēšanas sistēmas turpināšana.</t>
  </si>
  <si>
    <t>Tērpu iegāde bērnu Dziesmusvētkiem 2024.gadā</t>
  </si>
  <si>
    <t>2023. gadā netika realizēts, jo ievācāmies Garā ielā 20. 2024. - Krēsli vestibila vides uzlabošana, labiekārtošana, papildināšana (krēsli, galdi)</t>
  </si>
  <si>
    <t>Krēsli vestibila vides uzlabošana, labiekārtošana, papildināšana (krēsli, galdi)</t>
  </si>
  <si>
    <t>Ar esošo apratūru nevaram nodrošināt ārā un cita veida koncertus, konkursus, festivālus. Plānojas divas aktīvās tumbas ar piederumiem.</t>
  </si>
  <si>
    <t>Mēbeļu un aprīkojuma iegāde</t>
  </si>
  <si>
    <t>Mēbeļu un aprīkojuma iegāde - 2024.gadā Garā iela 20 plānots un domes sēdē runāts par telpu sadalījumu un izveidot vairāk kabinetu, lai varētu nodrošināt vienlīdzīgu izglītības programmmu piedāvājumu Ādažos un Carnikavā. Carnikavā ir par 9 izglītības programmām mazāk kā Ādažos. Tai skaitā dejas nodaļas klases izveide - plaukti, skapji, deju grīda, spoguļi.</t>
  </si>
  <si>
    <t xml:space="preserve">Palielināti limiti 2x un pievienoti 2 jauni darbinieki </t>
  </si>
  <si>
    <t>Nespēju ar iepriekšējo summu nodrošināt aptieciņas minimumu</t>
  </si>
  <si>
    <t>2023.gadā līguma summu iztērējām 6 mēnešos, nepieciešams līgumā pieaugums</t>
  </si>
  <si>
    <t>Kurši, Depo.</t>
  </si>
  <si>
    <t>Ir divi mācību punkti, bet pagaidām vēl turamies ar esošo summu. Nepalielinam, jo akūti nepieciešama jauna datortehnika</t>
  </si>
  <si>
    <t>Šo var samazināt, bet obligāti jāatstāj ņemot vērā 2024.gadā plānotās izmaiņas Garā ielā telpu sadalīšanai.</t>
  </si>
  <si>
    <t>960</t>
  </si>
  <si>
    <t>Uzturēšanās izmaksās, kuras Carnikavas komunālserviss norādijis par apsaimiekošanu. Mēnesī aptuveni 2200 Eur x 12mēneši</t>
  </si>
  <si>
    <t>CKS apsaimniekošanas EUR2200*12mēn.</t>
  </si>
  <si>
    <t>Palicis nedaudz dārgāk un vēl nav zināms 2024. gada piegādātājs</t>
  </si>
  <si>
    <t>speciālie mācību līdzekļi</t>
  </si>
  <si>
    <t xml:space="preserve"> Kurši, Depo. </t>
  </si>
  <si>
    <t>Ziedi (2023.g. līgumā 800 EUR šobrīd līguma atlikums ~ 258,34 EUR).</t>
  </si>
  <si>
    <t>Konditoreja (2023.g. līgumā EUR 400, šobrīd līguma atlikums  ~ 2,49 EUR).</t>
  </si>
  <si>
    <t>Dāvanas absolventiem (78 absolventi 2023./2024.m.g.)</t>
  </si>
  <si>
    <t>Absolventu pieaugums, ņemot vērā divus mācību punktus.</t>
  </si>
  <si>
    <t>Visas skolas video un foto kameras novecojušas. Vairs nevarm nodrošināt skolas pasākumu atspoguļošanu. Nepieciešama kvalitatīva foto/video kamera ar objektīvu skolas pasākumu foto un video veidošanai, izpētot cenu piedāvājumus par šo naudiņu var iegādāties aprīkojumu, kas kalpos un nodrošinās kvalitāti 5+ gadus. Tāpēc izdevīgāk pirkt vienu un ilgtermiņā kvalitatīvu aparātu.</t>
  </si>
  <si>
    <t>Foto/video kamera ar objektīvu</t>
  </si>
  <si>
    <t>ĀNMS ir 85 darbinieki un 83 datori. No kuriem seši šobrīd ir norakstāmi. Mākslu skolā ir novecojusi datortehnika un ir nepieciešama tās atjaunošana, jo uzlabot principā esošo datortehniku nevar. 2022. gadā veicām 35 datoru uzlabošu, kas pēc IT nodaļas speciālistu teiktā nodrošinās šo datoru darbību aptuveni 2 gadus. Jau saskaramies, ka kāds no šiem datoriem atsakās strādāt. Ņemot vērā tehnoloģiju straujo attīstību, esošajiem datoriem, kuri ir vecāki par 2018.gadu (tie ir 27 datori) nav iespējams veikt operētājsistēmu un programmatūras atjaunināšanu uz jaunākajām versijām, lai nodrošinātu optimālu darbību un drošību, kā arī ir grūti pieejamas rezerves daļas vai neadekvāti dārgas remonta izmaksas. Šī iemesla dēļ obligāti nepieciešams pakāpeniski atjaunot datortehniku uzlabojot to ar modernām, mācību procesam un drošībai atbilstošu tehniku</t>
  </si>
  <si>
    <t>Novecojušās datortehnikas pakāpeniska nomaiņa pret jaunu</t>
  </si>
  <si>
    <t>2023. - Mēbeles Carnikavas mācību punktm</t>
  </si>
  <si>
    <t>2023. - Mēbeles Ādažu mācību punktam</t>
  </si>
  <si>
    <t>Nolietoto mēbeļu nomaiņa</t>
  </si>
  <si>
    <t>Šos 2000 Eur pārcēlu uz datortehniku, jo tā ir bēdīgā stāvoklī!</t>
  </si>
  <si>
    <t xml:space="preserve">4gb Klavieres - jāturpina paipildināt. Šobrīd situācija ir uzlabojusies, bet iespejams ir vērts izsvērt iespēju pirkt nevis 1gab jaunas, bet pa to pašu summu 4gab restaurētas (šobrīd joprojām LV tirgū ir šāda veida piedāvājums). </t>
  </si>
  <si>
    <t>Akustiskās klavieres. (4gb.)</t>
  </si>
  <si>
    <t>2gb Flautas</t>
  </si>
  <si>
    <t>3 kokles folkloras stundas nodrošināšanai</t>
  </si>
  <si>
    <t>Kastītes LP1210 Granite Block Set</t>
  </si>
  <si>
    <t>Bungu klases statīvi, šķīvju u.c. Thomann iepirkums</t>
  </si>
  <si>
    <t>Soprāna saksofons</t>
  </si>
  <si>
    <t>Zvaniņi Yamaha YG-250 D Glockenspiel</t>
  </si>
  <si>
    <t>EKK2312?</t>
  </si>
  <si>
    <t>4000 EUR pārcēlu uz datortehniku, jo tā ir bēdīgā stāvoklī!</t>
  </si>
  <si>
    <t>Koplīguma dāvana darbiniekiem (likuma ietvaros) EUR 15*30</t>
  </si>
  <si>
    <t>Pārcelts no EKK2390</t>
  </si>
  <si>
    <t xml:space="preserve">Pēc koplīguma - EUR 200 -8 pamatdarbiniekiem un  EUR 100-22 darbiniekiem briļļu iegādei vai apdrošināšanai </t>
  </si>
  <si>
    <t>Palielinājums atbilstoši koplīgumam</t>
  </si>
  <si>
    <t>Darbinieku apdrošināšana (EUR200*8)</t>
  </si>
  <si>
    <t>2 tālr. (kasē un kopējais)</t>
  </si>
  <si>
    <t xml:space="preserve">Transporta cenas ir pieaugušas </t>
  </si>
  <si>
    <t xml:space="preserve">Visu pasākumu ( īpaši brīvdabas) izmaksas palielinājušās attiecīgi pret inflācijas koeficentu. </t>
  </si>
  <si>
    <t>Prioritāte! Pēc 2023. gada reālās izdevumu tāmes (pielikumā)</t>
  </si>
  <si>
    <r>
      <t xml:space="preserve">NOVADA SVĒTKU- Gaujas svētki, Nēģu svētki- izdevumu tāmes paraugs vienam svētku pasākumam. </t>
    </r>
    <r>
      <rPr>
        <sz val="11"/>
        <color theme="1"/>
        <rFont val="Calibri (Body)"/>
      </rPr>
      <t>(ap 20 000 apmeklētāju, ap 2000 dalībnieku)</t>
    </r>
  </si>
  <si>
    <t>Reālie izdevumi 2023.gadā, 2024.gadā jārēķinās ar cenu pieaugumu</t>
  </si>
  <si>
    <t xml:space="preserve">Piezīmes </t>
  </si>
  <si>
    <t>atbalstītāji</t>
  </si>
  <si>
    <t>MĀKSLINIECISKĀS PROGRAMMAS C skatuve 19.00-03.30</t>
  </si>
  <si>
    <t>Mākslinieki, programmas</t>
  </si>
  <si>
    <t xml:space="preserve">Gaujas svētku vakara programmas pārraudzība ( producents, režisors, skatuves administrators, programmas sagatavošana,mūzikas aranžijas, mēģinājumu nodrošināšana) </t>
  </si>
  <si>
    <t>Mazās skatuves darbības nodrošināšana, programmas sagatavošana un realizācija</t>
  </si>
  <si>
    <t>Kultūras centra mākslinieciskās programmas dažādās norises vietās</t>
  </si>
  <si>
    <t>?</t>
  </si>
  <si>
    <t>5 radošās vietas ar programmu BĒRNIEM un dekorācijām, 
koncerts ar lielajām lellēm, bērnu programmas vadīšana, burbuļi, tēli svētku teritorijā)</t>
  </si>
  <si>
    <t>BUNGU SAMITS/ viesmākslinieki</t>
  </si>
  <si>
    <t>Programmu vadītājs 11.00-19.00</t>
  </si>
  <si>
    <t>Programmu vadītājs un centrālas skatuves DJ11.00-19.00</t>
  </si>
  <si>
    <t>Programmu vadītājs  19.00-03.00</t>
  </si>
  <si>
    <t xml:space="preserve">Programmu vadītājs 19.00-03.00
</t>
  </si>
  <si>
    <t>Aizskatuves/ teritorijas administratori (5 cilvēki)</t>
  </si>
  <si>
    <t>Info telts darbības nodrošināšana</t>
  </si>
  <si>
    <t>Kultūras centrs, CNC, brīvprātīgie</t>
  </si>
  <si>
    <t>Visu norišu nodrošinājums tehnika un personāls 10 personas</t>
  </si>
  <si>
    <t>Brīvprātīgie palīgi, Kultūras centrs</t>
  </si>
  <si>
    <t>Tehniskās koncepcijas izstrāde</t>
  </si>
  <si>
    <t xml:space="preserve">Kultūras centrs </t>
  </si>
  <si>
    <t>Pilns tehniskais nodrošinājums Centrālā skatuve (SKATUVES, KONSTRUKCIJAS, GAISMAS, iekārtu konstrukcijas, uzbūve, uzraudzība, apkalpošana, demontāža,transports, tehniskais personāls 30 ),  atsevišķa konstrukcija ieejai svētku teritorijā/ pēc specifikācijas</t>
  </si>
  <si>
    <t xml:space="preserve">Pilns tehniskais nodrošinājums Centrālā skatuve SKAŅA (montāža, uzraudzība, apkalpošana, demontāža, transports, personāls )/ pēc specifikācijas </t>
  </si>
  <si>
    <t>LED diožu videoekrāni, uzbūve, tehniskā  apkalpošana, komutācija līdz PTS, personāls,  transports/ pēc specifikācijas</t>
  </si>
  <si>
    <t>PTS (pārvietojamā televīzijas stacija) personāls 5 operatori, tehniskais direktors/režisors, asistents, ,  videotranslācijai 3 operatori, režisors, interneta tiešraide, ieraksta pēcapstrāde/ nodošana, komutāciju sistēmas, uzraudzība/ pēc specifikācijas</t>
  </si>
  <si>
    <t>2. SKATUVE,</t>
  </si>
  <si>
    <t xml:space="preserve">2.skatuve SKAŅA/ Līgo laukums, aplī gājiena laikā </t>
  </si>
  <si>
    <t>Skatuves specefektu aprīkojuma nodrošināšana</t>
  </si>
  <si>
    <t xml:space="preserve">Svētku filmēšana </t>
  </si>
  <si>
    <t>Svētku norises korespodenti /foto</t>
  </si>
  <si>
    <t>Sadaļes un aprīkojuma noma elektroenerģijas nodrošināšanai</t>
  </si>
  <si>
    <t>Ģeneratoru apkalpošana, elktroenerģijas padeve, apkalpošana, uzraudzība</t>
  </si>
  <si>
    <t>CK</t>
  </si>
  <si>
    <t>Komunālserviss, Kultūras centrs</t>
  </si>
  <si>
    <t>Komunālserviss</t>
  </si>
  <si>
    <t>Pārvietojamo tualetešu (32 gb.kabīnes, 9 izlietnes)noma un 
apkalpošana</t>
  </si>
  <si>
    <t xml:space="preserve">Teritorijas labiekārtošana </t>
  </si>
  <si>
    <r>
      <t xml:space="preserve">Centrālās skatuves aizskatuves </t>
    </r>
    <r>
      <rPr>
        <i/>
        <sz val="11"/>
        <rFont val="Calibri"/>
        <family val="2"/>
        <scheme val="minor"/>
      </rPr>
      <t>green room</t>
    </r>
    <r>
      <rPr>
        <sz val="11"/>
        <rFont val="Calibri"/>
        <family val="2"/>
        <charset val="186"/>
        <scheme val="minor"/>
      </rPr>
      <t xml:space="preserve"> telts 10x15
montāža, demontāža, noma</t>
    </r>
  </si>
  <si>
    <t>Daļēji sponsori</t>
  </si>
  <si>
    <t xml:space="preserve">Aizskatuves zonas aprīkojums un uzbūve/ teltis </t>
  </si>
  <si>
    <t>Sponsori</t>
  </si>
  <si>
    <t xml:space="preserve">Sabiedriskais transports apbraucamā ceļa posms, nobrauktie papildus kilometri </t>
  </si>
  <si>
    <t>Ieelūgumi  druka</t>
  </si>
  <si>
    <t xml:space="preserve">Reklāmas stabs 1gb. </t>
  </si>
  <si>
    <t>Reklāmas videomateriāla , dažādu parametru videorekl. izgatavošana</t>
  </si>
  <si>
    <t>Skatuves videomateriāla sagatavošana izmantošanai uz scenogrāfijas ekrāna</t>
  </si>
  <si>
    <t xml:space="preserve">VISUAL MEDIA videoreklāmas translēšana āra ekrānos Rīgā </t>
  </si>
  <si>
    <t>Kultūras centrs, SAN</t>
  </si>
  <si>
    <t>Auduma aproces 500gab.</t>
  </si>
  <si>
    <t>Kakla lentas 300gab.</t>
  </si>
  <si>
    <t>Viesu, mākslinieku (aizskatuves) ēdināšanas pakalpojumi apt. 700 personas</t>
  </si>
  <si>
    <t>Ūdens (visās zonās)</t>
  </si>
  <si>
    <t>Cienasts un ēdināšanas pakalpojumi aizskatuves dalībniekiem (kopā 900 personas)</t>
  </si>
  <si>
    <t>Personāla ēdināšana 200 pers.(brīvprātīgie, zemessargi, valsts policijas darbinieki, saimniecības darbinieki U.C. )</t>
  </si>
  <si>
    <t>Reprezentācijas materiāli (suvenīri)/100gb.(materiāls+apdruka)</t>
  </si>
  <si>
    <t>Reprezentācijas mat. krekli(+apdruka) organizācijas, brīvprātīgajiem, apkalpojošam personālam</t>
  </si>
  <si>
    <t>Reprezentācijas mat. (+apdruka) dalībniekiem</t>
  </si>
  <si>
    <t>Skūteru noma 3 gb.</t>
  </si>
  <si>
    <t>Sporta nodaļa</t>
  </si>
  <si>
    <t>Uzņēmēji</t>
  </si>
  <si>
    <t>NBS</t>
  </si>
  <si>
    <t>A,B,B1 sabiedriskās ēdināšanas vietu sagatavošana</t>
  </si>
  <si>
    <t>Amatnieku tirgus organizēšana</t>
  </si>
  <si>
    <t>Komersants</t>
  </si>
  <si>
    <t xml:space="preserve">Finansējums plānots ĀKC budžeta sadaļā 0841.1 -Gaujas svētki Ādažos, CTN budzēta sadaļā 0841.2- Nēģu svētki Carnikavā </t>
  </si>
  <si>
    <t xml:space="preserve">No Gaujas svētku ieņēmumiem- īsterm. zemes nomas, tirdzniecības nodevām un A, B zonas izsoles ieņēmumiem </t>
  </si>
  <si>
    <t>ap 17000</t>
  </si>
  <si>
    <t>No sponsoru piesaistes</t>
  </si>
  <si>
    <t>No ĀNKC budžeta eknomijas</t>
  </si>
  <si>
    <t>Visu iesaistīto iestāžu un struktūrivienību izdevumi papildus darba apmaksai iekļauti attiecīgās struktūras budžetā.</t>
  </si>
  <si>
    <t>Cenas pieaugums visās jomās</t>
  </si>
  <si>
    <t>Lieldienu sarīkojumi (31.03.)</t>
  </si>
  <si>
    <t>Latvijas Neatkarības atjaunošanas diena "Baltā galdauta svētki" (04.05.)</t>
  </si>
  <si>
    <t>LĪGO svētki Ādažos (23.06.)</t>
  </si>
  <si>
    <t>Kino/ koncerts Līgo laukumā vai Gaujas parkā</t>
  </si>
  <si>
    <t xml:space="preserve">Latvijas Valsts svētku sarīkojumi (programmas, svinīgais sarīkojums Kultūras centrā 17.11.) </t>
  </si>
  <si>
    <t>Ādažu Ziemassvētku egles iedegšana (01.12.)</t>
  </si>
  <si>
    <t>Var diskutēt. Lai būtu līdzvērtīgi Carnikavas pagastam vasaras sezonā. Taču ĀKC plašu pasākumu klāstu nodrošina no septembra līdz maijam kultūras centra telpās, atbilstoši infrastruktūrai.</t>
  </si>
  <si>
    <t>TAD SPRIGULĪTIS 55 gadu jubileja, VDK SPRIGULIS 15 gadu jubilejas pasākums ar goda viesu piedalīšanos</t>
  </si>
  <si>
    <t>Teātra dienas pasākums. Amatierteātris KONTAKTS</t>
  </si>
  <si>
    <t>SDK DĒKA 10 gadu jubileja</t>
  </si>
  <si>
    <t>VDK SĀNSOLĪTIS koncerts</t>
  </si>
  <si>
    <t xml:space="preserve">Senioru vokālo ansanbļu pasākums " Dziesmu putenis" </t>
  </si>
  <si>
    <t>G.Freidenfelda Vīru ansablis koncerts</t>
  </si>
  <si>
    <t>Projektu līdzfinansējums iedzīvotājiem</t>
  </si>
  <si>
    <t>Tradīciju kopa ĀBOLS dalība starptautiskā masku festivālā(ēdināšana)</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</si>
  <si>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</si>
  <si>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</si>
  <si>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!!!Prioritāte. Obligāti saistībā ar drošību! Pamatojums- 14 gadu laikā nav veikta kapitāla apkope. Pēc drošības normatīviem skatuves kulišu, telferu un motoru vadības sistēmas apkope jāveic reizi gadā. Tikai lokāla apkope. </t>
  </si>
  <si>
    <t>ĀKC + Informācijas centra Venden ierīca</t>
  </si>
  <si>
    <t>Kora mapes personalizētas (50 gab)</t>
  </si>
  <si>
    <t>Radio mikrofoni. (3gab.,cena eur 1500 gab.) Sennheiser ew 100 G4-945-S-E radiomikrofonu komplekts</t>
  </si>
  <si>
    <t>Vecie mikrofoni nolietojušies, neslēdzas iekšā, ārā, sprakšķ, lietošanā jau  5-7 gadi un vairāk. Regulārā lietošanā pasākumos tiek izmantoti apt. 15 mic. Pa daļai nepieciešams nomainīt</t>
  </si>
  <si>
    <t>MĒBELES (4 biroja krēsli, galdi u.c.)</t>
  </si>
  <si>
    <t>Nolietoto nomaiņai</t>
  </si>
  <si>
    <t>SDK SPRIGULIS  (12 vīru vestes)</t>
  </si>
  <si>
    <t>VPDK SPRIGULIS Ādažu novada tautas tērpu detaļu izgatavošana (14 vīru vestes, 8 sievu blūzes)</t>
  </si>
  <si>
    <t>TAD SPRIGULĪTIS Vidzemes novada meiteņu un puišu tērpi - pabeigt komplektu (4 puišu vestes, 4 puišu bikses, 4 meitu ņieburi, 6 meitu brunči, 8 meitu vainagi)</t>
  </si>
  <si>
    <t xml:space="preserve">Kora JUMIS 25 vīru krekli </t>
  </si>
  <si>
    <t>SDK DĒKA tautas tērpu šūšana (8 vīru jakas, 8 sieviešu brunči, 1 mētelis), tika šūšana, jo aufums ir iegādāts</t>
  </si>
  <si>
    <t>VDK SĀNSOLĪTIS tautas tērpu izgatavošana Latgales (12 vīru vestes)</t>
  </si>
  <si>
    <t>Tērpu komplekta izgatavošana ir uzsākta, kā arī ir pieaudzis dalībnieku skaits un audzis mākslinieciskais līmenis, kolektīvam 55 jubilejas gads</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</si>
  <si>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</si>
  <si>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</si>
  <si>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 Prioritāte. Pamatojums pielikumā</t>
  </si>
  <si>
    <t>ĀKC skatuves gaismu sistēmu nomaiņa uz energoefektīvu aprīkojumu</t>
  </si>
  <si>
    <t>Skatuves gaismu sistēmas  prožektoru nomaiņa pa gadiem elektroenerģijas patēriņa samazināšanai</t>
  </si>
  <si>
    <t>Pamatojoties uz esošo skatuves gaismu instalācijas iekārtu energopatēriņa jaudas aprēķinu, iekārtu nolietojumu un kopējo valsts publisko iestāžu energoefektivitātes kursu, iekārtas nespēj veikt tām paradzētās funkcijas pilnā apjomā un nodrošināt ilgtspējīgu 
un drošu pasākumu tehnisko nodrošinājumu. Konkrētajām iekārtām ir problemātiskas iespējas (atsvišķos gadījumos pilnībā nav iespēju iegādāties, jo vairs netiek ražotas) iegādāties remonta komponentes (kvēlspuldzes) atsaucoties uz ģeopolitisko situāciju pasaulē un pieaugošajām cenām, vispārējai tehnisko komponentu pieejamību un piegādes termiņiem. Iekārtu veiktspēja un jaudas patēriņš nav pielīdzināms jaunu un mūsdienīgu profesionālu gaismas iekārtu tehniskajam sniegumam un nozarē augošajām tehniskajām prasībām. Gaismas iekārtu strukturēta nomaiņa kalpotu kā inovācija nākotnes pasākumu efektīvai un drošai norisei.</t>
  </si>
  <si>
    <t>Elektroenerģijas patēriņa aprēķins</t>
  </si>
  <si>
    <t>Kw</t>
  </si>
  <si>
    <t>Patēriņs vienā pasākumā</t>
  </si>
  <si>
    <t>Patēriņš vienā nedēļā kWh</t>
  </si>
  <si>
    <t>Patēriņš sezonā kWh</t>
  </si>
  <si>
    <t>Izmaksas sezonā 
(septembris līdz maijs 2022.)</t>
  </si>
  <si>
    <t>Jauda šobrīd</t>
  </si>
  <si>
    <t>Jauda mainot</t>
  </si>
  <si>
    <t>Ekonomija par patērēto elektroenerģiju</t>
  </si>
  <si>
    <t>Ādažu Kultūras centra skatītāju zāles skatuves gaismas prožektoru uzskaite</t>
  </si>
  <si>
    <t>Iekārta</t>
  </si>
  <si>
    <t>Skaits</t>
  </si>
  <si>
    <t>Iekārtas jauda (KW)</t>
  </si>
  <si>
    <t>Zona</t>
  </si>
  <si>
    <t>Prožektors Spot Light Combi 25ZW (12*-25*)</t>
  </si>
  <si>
    <t>Prožektors Spot Light Combi 25 Fresnel</t>
  </si>
  <si>
    <t>Prožektors PAR 64 (CP61)</t>
  </si>
  <si>
    <t xml:space="preserve">Profilprožektors Spot Light Combi 12ZW </t>
  </si>
  <si>
    <t>B/D</t>
  </si>
  <si>
    <t>Prožektors Spot Light Combi 12 Fresnel</t>
  </si>
  <si>
    <t>B</t>
  </si>
  <si>
    <t>Skatuves gaismu sistēmas  prožektoru zonējums</t>
  </si>
  <si>
    <t>LED (ekonomisko) gaismu iekārtu uzskaite un izmaksas pa gadiem</t>
  </si>
  <si>
    <t>Foto</t>
  </si>
  <si>
    <t>Iekārtas jauda (W)</t>
  </si>
  <si>
    <t>Nomaiņas gads</t>
  </si>
  <si>
    <t>Plānots budžetā</t>
  </si>
  <si>
    <t>Prožektors LED Fresnel</t>
  </si>
  <si>
    <t>Prožektors LED WASH</t>
  </si>
  <si>
    <t>Prožektors Spot</t>
  </si>
  <si>
    <t>E</t>
  </si>
  <si>
    <t>Prožektors LED Profile</t>
  </si>
  <si>
    <t>D/ D1</t>
  </si>
  <si>
    <t>Prožektors LED Frenel</t>
  </si>
  <si>
    <t>B/D/ D1</t>
  </si>
  <si>
    <t>Sagatavoja Ralfs Freimanis</t>
  </si>
  <si>
    <t>ralfs.freimanis@adazikultura.lv</t>
  </si>
  <si>
    <t xml:space="preserve">Carnikaviešu kalendārs - kopienas atbalsts </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</si>
  <si>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</si>
  <si>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</si>
  <si>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</si>
  <si>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Nēģu Svētku pasākumu nodrošināšana CNC teritorijā</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</si>
  <si>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</si>
  <si>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</si>
  <si>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</si>
  <si>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</si>
  <si>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</si>
  <si>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</si>
  <si>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</si>
  <si>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</si>
  <si>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</si>
  <si>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VKKF līdzfinansējums jaunās ekspozīcijas izveidē (plānots iesniegt 2024. gada ziemā).</t>
  </si>
  <si>
    <t xml:space="preserve">Vraka nojumes remonts  </t>
  </si>
  <si>
    <t>Elis paklāju nomai</t>
  </si>
  <si>
    <t>Darbinieku apdrošināšana (5*200)</t>
  </si>
  <si>
    <t>Melnzeme teritorijas labiekārtošanai (1500 EUR), koka skaidu mulča teritorijas (atpūtas zona) labiekārtošanai - 2000 EUR.</t>
  </si>
  <si>
    <t xml:space="preserve">Laivu darvošana un impregnēšana </t>
  </si>
  <si>
    <t>Venden statīva nomai</t>
  </si>
  <si>
    <t>Kancelejas un biroja preces ikdienai un pasākumiem</t>
  </si>
  <si>
    <t xml:space="preserve">Kārtridžu cenas </t>
  </si>
  <si>
    <t>Izstāžu atjaunošana ĀMVG (planšetes, vitrīnas, interaktīvie risinājumi).</t>
  </si>
  <si>
    <t>Ledusskapis (kāzu un pasākumu nodrošināšanai)</t>
  </si>
  <si>
    <t>Trauku mazgāšanas mašīna (vienlaicīgi jāmazgā līdz pat 50 trauku komplektiem).</t>
  </si>
  <si>
    <t>Ekspazīcijas atjaunošana Carnikavas Novadpētniecības centrā (podests, nojume)</t>
  </si>
  <si>
    <t>Degvielas kompensācijai</t>
  </si>
  <si>
    <t xml:space="preserve"> Muzejs -  citi ar kārtējā remontu un iestāžu uzturēšanas nepieciešamie materiāli.</t>
  </si>
  <si>
    <t>Koka detaļu atjaunošana, nomaņa (mēbeles).</t>
  </si>
  <si>
    <t xml:space="preserve">Koka konteinera (āra glābāšanas sistēmas) apšūšana, materiāli (koks) </t>
  </si>
  <si>
    <t>Blusu kroga jumta remonts</t>
  </si>
  <si>
    <t>Blusu kroga mēbeļu atjaunošana</t>
  </si>
  <si>
    <t xml:space="preserve">C5.1.3.11. Carnikavas Novadpētniecības centra teritorijas labiekārtošana </t>
  </si>
  <si>
    <t>C5.1.3.5. Kultūras un amatniecības centra (“amatu mājas”) izveide</t>
  </si>
  <si>
    <t>Laistīšanas sistēmas, jo komunālservisam nav iespējas nodrošināt laistīšanu sausma periodā</t>
  </si>
  <si>
    <t xml:space="preserve">Konditorijas preces </t>
  </si>
  <si>
    <t>Laminācijas lapas afišām u.c. materiāliem pasākumu nodrošināšanai</t>
  </si>
  <si>
    <t xml:space="preserve">Mazgāšanas līdzekļi </t>
  </si>
  <si>
    <t>ķīmiskās tīrītavas pakalpojumi</t>
  </si>
  <si>
    <t>Sveces 11. un 18. novembra pasākumiem</t>
  </si>
  <si>
    <t>Teritorias labiekārtošanai nepieciešamās preces</t>
  </si>
  <si>
    <t>Uzlīmes, darba drošības materiāli</t>
  </si>
  <si>
    <t>Ziemassvētku egles un rotājumi nojumei un iekštelpām, svētku dekorācijas</t>
  </si>
  <si>
    <t>Projektors klēts ēkas telpai ekspozīcijas paplašināšanai (projektors ir nepieciešams izstāžu un pasākumu nodrošināšanai).</t>
  </si>
  <si>
    <t>C11.3.3.1. Iegūto rezultātu prezentēšana, veidojot ekspozīcijas un tematiskās izstādes muzejiskajās iestādēs, vadot ekskursijas un organizējot pasākumus, kā arī veidojot dažāda rakstura publikācijas</t>
  </si>
  <si>
    <t xml:space="preserve">Metāla konteineris materiālu un invenrāra glābāšanai (ar krājuma telpu katastrofāli nepietiek vietas, krājuma vienību skaits ar katru gadu aug) </t>
  </si>
  <si>
    <t xml:space="preserve">Zvejas kutera nojumes būve </t>
  </si>
  <si>
    <t xml:space="preserve">Atpūtas vietas labiekārtošana (līdzīgi kā atpūtas ielā, lai cilvēki neizmanto atpūtai nojumi, viens koka nojumes cena ir 2000) </t>
  </si>
  <si>
    <t>U4.3.2: Attīstīt tūrismu Ādažu novadā. C4.3.2.4. Tūrisma infrastruktūras attīstība</t>
  </si>
  <si>
    <t>0841.4 -Tūrisms</t>
  </si>
  <si>
    <t xml:space="preserve">Autoratlīdzības līgumi pasāumu vadītājiem (lektori, gidi, kam nav iespējas izrakstīt rēķinu) </t>
  </si>
  <si>
    <t>Koplīguma dāvana darbiniekiem (likuma ietvaros) EUR 15*2</t>
  </si>
  <si>
    <t xml:space="preserve">Briļļu kompensācija, OVP </t>
  </si>
  <si>
    <t xml:space="preserve"> Pasta, telefona un citi sakaru pakalpojumi</t>
  </si>
  <si>
    <t xml:space="preserve">Tūrisma pasākumi (info dienas, izglītošanas pasākumi utt.) 12 pasākumi gadā, ieskaitot eksursijas, pārgājienus urr. Viena pasākuma izmaksa 300  EUR). </t>
  </si>
  <si>
    <t>Līdzfinansējums VTA/PTA dalībai ārvalstu tūrisma izstādēs (4 pasākumi, viena pasākuma izmaksas - 600,00 EUR)</t>
  </si>
  <si>
    <t>Mājas Kafejnīcu dienas</t>
  </si>
  <si>
    <t xml:space="preserve">Tūrisma aktivitātes Nēģu Svētkos </t>
  </si>
  <si>
    <t xml:space="preserve">Tūrisma aktivitātes Gaujas Svētkos </t>
  </si>
  <si>
    <t xml:space="preserve">Ekspertu pakalpojumi (pētījumi, datu iegāde, stratēģiskā plānošana u.c.). Tūrisma attīstības dokumentu izstrādē, tūrisma pētījumu veikšana (tūrisma stratēģijas ieviešanas posmā).  </t>
  </si>
  <si>
    <t xml:space="preserve"> Satura tulkošana (vietne un drukātie materiāli)</t>
  </si>
  <si>
    <t xml:space="preserve">Dalība pasākumos </t>
  </si>
  <si>
    <t>Maketēšanas pakalpojumi</t>
  </si>
  <si>
    <t>Teritorijas un tūrisma maršrūtu labiekārtošana</t>
  </si>
  <si>
    <t>Tūrisma taku mulčēšana</t>
  </si>
  <si>
    <t>U4.3.2: Attīstīt tūrismu Ādažu novadā. C4.3.2.4. Tūrisma infrastruktūras attīstība. C8.3.2.2. Informatīvu stendu izvietošana dabas parkā “Piejūra”</t>
  </si>
  <si>
    <t xml:space="preserve">"Latvijas Zaļo ceļu asociācija" - aktivitātes, līdzfinansējums </t>
  </si>
  <si>
    <t>Vidzemes Tūrisma asociācija - biedru nauda</t>
  </si>
  <si>
    <t>Biedru nauda Pierīgas tūrisma asociācijā</t>
  </si>
  <si>
    <t>U4.3.1: Stiprināt Ādažu novada tēlu un atpazīstamību</t>
  </si>
  <si>
    <t>Bukleti, brošūras un drukātie materiāli (velo kartes, tematiskie bukleti, pasākumu bukleti utt.)</t>
  </si>
  <si>
    <t>Kartogrāfisko materiālu iegāde tūrisma maršrutu izstrādei</t>
  </si>
  <si>
    <t>Projekta Rīgas Plānošanas reģiona īstenotajā INTERREG VI-A Igaunijas-Latvijas 2021.-2027 programmas projektā "Pārgājienu taku pieejamība" pašvaldības līdzfinansējums.</t>
  </si>
  <si>
    <t>Tūrisma uzņēmēju pasākuma nodrošināšana (2 x gadā), viena pašakuma izmaksas 600 - 1200 EUR.</t>
  </si>
  <si>
    <t xml:space="preserve">Venden ūdens </t>
  </si>
  <si>
    <t>Maksāšanas sistēmas ieviešana (karšu terminālis)</t>
  </si>
  <si>
    <t xml:space="preserve">Ikgadējais remonts (ko nesedz komunālservisa budžets) </t>
  </si>
  <si>
    <t>Vides informācijas stendu satura atjaunošana Ādažu pilsētas un Ādažu pagasta teritorijā, pārņemot no ĀPN</t>
  </si>
  <si>
    <t>Bankas karšu termināla noma un apkalpošana</t>
  </si>
  <si>
    <t>Darbinieku apdrošināšana (EUR200*2)</t>
  </si>
  <si>
    <t xml:space="preserve">Iekārtu noma tūrisma pasākumu nodrošinašanai </t>
  </si>
  <si>
    <t xml:space="preserve">Kancelejas un biroja preces ikdienas darba un pasākumu nodrošināšanai (krāsu kārtridži, papīrs u.c.). </t>
  </si>
  <si>
    <t xml:space="preserve">Bukletu turētāji, glabāšanas sistēmas </t>
  </si>
  <si>
    <t xml:space="preserve">Inventārs pasākumu nodrošināšanai </t>
  </si>
  <si>
    <t xml:space="preserve">Degvielas kompensācija </t>
  </si>
  <si>
    <t>Mēbeļu un iekārtu remonts</t>
  </si>
  <si>
    <t xml:space="preserve"> Saimniecības preces </t>
  </si>
  <si>
    <t xml:space="preserve">Darbību un pasākumu nodrošināšanas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</si>
  <si>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</si>
  <si>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</si>
  <si>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</si>
  <si>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</si>
  <si>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</si>
  <si>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</si>
  <si>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Obligātā veselības pārbaude (35 EUR x 26 darbinieki)</t>
  </si>
  <si>
    <t>Zvejnieksvētku zaļumballe</t>
  </si>
  <si>
    <t>Amatierteātra Nagla pirmizrāde</t>
  </si>
  <si>
    <t>VPDK Arnika -Tautas deju festivāls "Jādejo, lai būtu prieks"</t>
  </si>
  <si>
    <t>TLMS Auseklītis un Sidarbota izstāde</t>
  </si>
  <si>
    <t>JDK Abi divi -Ādažu novada bērnu deju kolektīvu skate</t>
  </si>
  <si>
    <t>Kora Undīne - Koru kari</t>
  </si>
  <si>
    <t>Dāmu deju kopas "Gaujmalietes"  20 gadu jubilejas pasākums</t>
  </si>
  <si>
    <t>BDK Dālderītis koncerts pirms skates</t>
  </si>
  <si>
    <t>BDK Dālderītis Latvijai 105 koncertuzvedums</t>
  </si>
  <si>
    <t>BDK Dālderītis nometne</t>
  </si>
  <si>
    <t>Jūras zaķi - CD ieraksts</t>
  </si>
  <si>
    <t>Tēlotājmākslas studijas SIDRABOTA  - gruntēšanas meistarklase</t>
  </si>
  <si>
    <t>Izdevumi par licencēm AKKA, Laipa, kino</t>
  </si>
  <si>
    <t xml:space="preserve">Tautas nama Lielās zāles grīdas seguma remonts </t>
  </si>
  <si>
    <t>Prioritāte, jo esošais parketa segums ir kritiskā stāvoklī. Tam nepieciešama atjaunošana - slīpešana, pulēšana, eļļošana, kā arī skatuves podestu pakāpienu atjaunošana</t>
  </si>
  <si>
    <t>Tautas  nama inventāra, mēbeļu, dekorāciju, biroja tehnikas uzturēšana un remonts</t>
  </si>
  <si>
    <t xml:space="preserve">Jaunas skaņu tehnikas  iegāde kultūras pasākumu nodrošināšanai. </t>
  </si>
  <si>
    <t>Prioritāte, jo esošā skaņas tehnika vairs nevar nodrošināt kvalitatīvu pasākumu apskanošanu, jo tā ir nolietojusies gan morāli, gan fiziski, ņemot vērā, ka iegādāta 2010.gadā. Tā tikusi aizdota arī citu iestāžu pasākumu nodrošināšanai, piemēram abu bērnudārzu, pamatskolas, Kalngales biedrības pasākumu rīkošanai.</t>
  </si>
  <si>
    <t xml:space="preserve">Divu datoru,monitoru, programmatūras iegāde 1920 EUR x2 tautas nama darbinieku darba vietu nodrošināšanai. </t>
  </si>
  <si>
    <t>VPDK Arnika -vīru Vidzemes tautas tērpu komplekts</t>
  </si>
  <si>
    <t>Vidzemes pusmēteļi  12 gab (245 EUR x 12 gab)</t>
  </si>
  <si>
    <t>Vīriešu bikses  12 gab (75 EUR x 12 gab)</t>
  </si>
  <si>
    <t>Sieviešu kora Undīne koncerttērpu papildināšana jaunajiem dalībniekiem 5 linu kleitas</t>
  </si>
  <si>
    <t>JDK Abi divi jauna koncertuzveduma Zaļumballe tērpi</t>
  </si>
  <si>
    <t>Sieviešu šņorzābaki  16 gab</t>
  </si>
  <si>
    <t>Kostīmkleitu brunči 16 gab</t>
  </si>
  <si>
    <t>Puišu nāģenes 16 gab</t>
  </si>
  <si>
    <t>Izglītojamo palielinājums par 46 %</t>
  </si>
  <si>
    <t>Izglītojamo palielinājums no 317 uz 463</t>
  </si>
  <si>
    <t xml:space="preserve">Domes līdzfinansējums, 463 skolēni
</t>
  </si>
  <si>
    <r>
      <t xml:space="preserve">Skolēnu nogādāšana izglītības iestādē. </t>
    </r>
    <r>
      <rPr>
        <i/>
        <sz val="8"/>
        <color rgb="FFFF0000"/>
        <rFont val="Arial"/>
        <family val="2"/>
        <charset val="186"/>
      </rPr>
      <t>Vidusskolēni EUR 20*3*9mēneši=540; pamatskolēni EUR 40*35*9mēneši=12600.00</t>
    </r>
  </si>
  <si>
    <t xml:space="preserve">Domes līdzfinansējums,
52 PII (1,6-4 g.v. - 25, 5-7 g.v. - 27)
</t>
  </si>
  <si>
    <t>Bērnu palielinājums no 43 uz 52</t>
  </si>
  <si>
    <t xml:space="preserve">Izglītojamo skaita palielinājums no 173 uz 185 un pieaug valsts finansējums no </t>
  </si>
  <si>
    <t>185 skolēni, 9 mēneši, līdzfinansējums dienā EUR 1,545</t>
  </si>
  <si>
    <t>Nezinu, kā šo pozīciju precizēt! 1. -4. klase, ja pareizi saprotu, tā ir pašvaldības daļa par ēdināšanu - tik pat cik no valsts. Aprēķins ir 9 mēnešiem.</t>
  </si>
  <si>
    <t>Aprēkināts 12 mēnešiem, ņemts vērā ka 4 menešiem 2023.g./2024. I sem. - 12031 euro (pēc rīkojuma)</t>
  </si>
  <si>
    <t>2023.gada 28. septembris Domes lēmums Nr. 380  ĀNP/1-2-3/23/380</t>
  </si>
  <si>
    <t>Metodisko jomu koordinatoru atalgojums. Tāme nr.1( EUR 150/mēnesī, 1 darbinieki, 10 mēnešiem)</t>
  </si>
  <si>
    <t>Bērnu uzņemšanas komisijas atalgojums. Tāme Nr.2 (EUR 19,- /h, 1 sēde =1h, 7 darbinieki, 20 sēdes gadā)</t>
  </si>
  <si>
    <t>Tāme Nr.1. MJK atalgojums</t>
  </si>
  <si>
    <t>Aktivitātes nosaukums</t>
  </si>
  <si>
    <t>Daudzums</t>
  </si>
  <si>
    <t>Vienības cena</t>
  </si>
  <si>
    <r>
      <t xml:space="preserve">Kopā, </t>
    </r>
    <r>
      <rPr>
        <i/>
        <sz val="11"/>
        <color theme="1"/>
        <rFont val="Calibri"/>
        <family val="2"/>
        <charset val="186"/>
        <scheme val="minor"/>
      </rPr>
      <t>euro</t>
    </r>
  </si>
  <si>
    <t>Pašvaldības darbinieks</t>
  </si>
  <si>
    <t>Uzņēmuma līgums - mācību jomu koordinātora pakalpojums</t>
  </si>
  <si>
    <t>Kopējās izmaksas:</t>
  </si>
  <si>
    <r>
      <rPr>
        <b/>
        <i/>
        <sz val="11"/>
        <color theme="1"/>
        <rFont val="Calibri"/>
        <family val="2"/>
        <scheme val="minor"/>
      </rPr>
      <t>Tāme Nr.2.</t>
    </r>
    <r>
      <rPr>
        <i/>
        <sz val="11"/>
        <color theme="1"/>
        <rFont val="Calibri"/>
        <family val="2"/>
        <charset val="186"/>
        <scheme val="minor"/>
      </rPr>
      <t xml:space="preserve"> Bērnu uzņemšanas komisijas atalgojums</t>
    </r>
  </si>
  <si>
    <t>Daudzums
(sēdes)</t>
  </si>
  <si>
    <t>Protokolētājs</t>
  </si>
  <si>
    <t>Bērnu uzņemšanas komisijas atalgojums (vecāku pārstāvim)
(EUR 19,- /h, 1 sēde =1h, 20 sēdes gadā)</t>
  </si>
  <si>
    <r>
      <rPr>
        <b/>
        <i/>
        <sz val="11"/>
        <color theme="1"/>
        <rFont val="Calibri"/>
        <family val="2"/>
        <scheme val="minor"/>
      </rPr>
      <t>Tāme Nr.3.</t>
    </r>
    <r>
      <rPr>
        <i/>
        <sz val="11"/>
        <color theme="1"/>
        <rFont val="Calibri"/>
        <family val="2"/>
        <charset val="186"/>
        <scheme val="minor"/>
      </rPr>
      <t xml:space="preserve"> Interešu izglītības programmu izvērtēšanas un mērķdotācijas sadales komisija</t>
    </r>
  </si>
  <si>
    <t>4 dalībnieki,
(EUR 19,- /h, 1 sēde =1h, 4 sēdes gadā)</t>
  </si>
  <si>
    <r>
      <rPr>
        <b/>
        <i/>
        <sz val="11"/>
        <color theme="1"/>
        <rFont val="Calibri"/>
        <family val="2"/>
        <scheme val="minor"/>
      </rPr>
      <t>Tāme Nr.4.</t>
    </r>
    <r>
      <rPr>
        <i/>
        <sz val="11"/>
        <color theme="1"/>
        <rFont val="Calibri"/>
        <family val="2"/>
        <charset val="186"/>
        <scheme val="minor"/>
      </rPr>
      <t xml:space="preserve"> Pedagoģiski medicīniskās komisija</t>
    </r>
  </si>
  <si>
    <t>Darbinieku skaits</t>
  </si>
  <si>
    <t>Pašvaldības darbinieks, 
(  / EUR 19,- /h, 1 sēde =7h, 5 darbinieki, 15 sēdes gadā. )</t>
  </si>
  <si>
    <t>Pašvaldības darbinieks -vadītājs (veido protokolu sistēmā, atbild uz zvaniem visu mēnesi, vēstulēm, organizē komisijas darbu)</t>
  </si>
  <si>
    <t>Uzņēmuma līgums - mācību jomu koordinātora pakalpojums, (  / EUR 19,- /h, 1 sēde =7h, 1 darbinieks, 15 sēdes gadā. )</t>
  </si>
  <si>
    <r>
      <t xml:space="preserve">Tāme Nr.5. MJK atalgojums </t>
    </r>
    <r>
      <rPr>
        <i/>
        <sz val="11"/>
        <color theme="1"/>
        <rFont val="Calibri"/>
        <family val="2"/>
        <charset val="186"/>
        <scheme val="minor"/>
      </rPr>
      <t>Prēmijas, naudas balvas un materiālā stimulēšana</t>
    </r>
  </si>
  <si>
    <t>Alga</t>
  </si>
  <si>
    <t xml:space="preserve"> jaunatnes darbinieks </t>
  </si>
  <si>
    <t xml:space="preserve"> jaunatnes mobilais darbinieks </t>
  </si>
  <si>
    <r>
      <t xml:space="preserve">Tāme Nr.6. </t>
    </r>
    <r>
      <rPr>
        <b/>
        <i/>
        <sz val="11"/>
        <color theme="1"/>
        <rFont val="Calibri"/>
        <family val="2"/>
        <charset val="186"/>
        <scheme val="minor"/>
      </rPr>
      <t>Transporta IJN  izdevumi</t>
    </r>
  </si>
  <si>
    <t>Amats</t>
  </si>
  <si>
    <t>Mēnesī, litri</t>
  </si>
  <si>
    <t>Gadā, litri</t>
  </si>
  <si>
    <t>Kopā, euro</t>
  </si>
  <si>
    <t>Nodaļas vadītājs</t>
  </si>
  <si>
    <t>Interešu izglītības koordinators vasaras mēnešos</t>
  </si>
  <si>
    <t>Interešu izglītības koordinators</t>
  </si>
  <si>
    <t>Izglītības speciālists</t>
  </si>
  <si>
    <t>Jaunatnes lietu speciālists</t>
  </si>
  <si>
    <t>Izglītības satura un kvalitātes speciālists</t>
  </si>
  <si>
    <t>Jaunatnes darbinieks (mobilais darbs)</t>
  </si>
  <si>
    <t>Jaunatnes darbinieks</t>
  </si>
  <si>
    <t>Izglītības administrēšanas speciālists</t>
  </si>
  <si>
    <t>Bērnu brīvā laika organizators</t>
  </si>
  <si>
    <t>Tāme Nr.7. Skolēnu godināšanas pasākuma izdevumi</t>
  </si>
  <si>
    <t>Pakapojumi</t>
  </si>
  <si>
    <t>Diplomi</t>
  </si>
  <si>
    <t>Fotogrāfs</t>
  </si>
  <si>
    <t>Vadītājs</t>
  </si>
  <si>
    <t>Mūzika</t>
  </si>
  <si>
    <t>Preces</t>
  </si>
  <si>
    <t>Ēdiens</t>
  </si>
  <si>
    <t>Trauki</t>
  </si>
  <si>
    <t>Tāme Nr.8. Printera toneri</t>
  </si>
  <si>
    <t>Printeru skaits</t>
  </si>
  <si>
    <t>Tāme Nr.9. Absolventu dāvanas</t>
  </si>
  <si>
    <t>Tāme Nr.10. Ziedi iglītības iestādēm svinīgos pasākumos</t>
  </si>
  <si>
    <t>Izglītības iestāde</t>
  </si>
  <si>
    <t>Pasākumu skaits kopā</t>
  </si>
  <si>
    <t>Izlaidums</t>
  </si>
  <si>
    <t>citi pasākumi</t>
  </si>
  <si>
    <t>Strautiņš</t>
  </si>
  <si>
    <t>Piejūra</t>
  </si>
  <si>
    <t>Riekstiņš</t>
  </si>
  <si>
    <t>Mežavēji</t>
  </si>
  <si>
    <t>CPS</t>
  </si>
  <si>
    <t xml:space="preserve">Mākslas skola </t>
  </si>
  <si>
    <t>Tāme Nr.11. Kliņģeri iglītības iestādēm svinīgos pasākumos</t>
  </si>
  <si>
    <t>Tāme Nr.12. Mūžizglītības pasākumi</t>
  </si>
  <si>
    <t>1 pasākums 4 mēnešos</t>
  </si>
  <si>
    <t>Tāme Nr.13. Pedagogu konference</t>
  </si>
  <si>
    <t>Banketa pakalpojumi</t>
  </si>
  <si>
    <t>Vienreizējie trauki</t>
  </si>
  <si>
    <t>Kafija un tēja</t>
  </si>
  <si>
    <t>Lektors, 
2 lektori, katrs 300 eiro</t>
  </si>
  <si>
    <t>Suvenīri/dāvanas</t>
  </si>
  <si>
    <r>
      <rPr>
        <b/>
        <sz val="9"/>
        <color theme="1"/>
        <rFont val="Arial"/>
        <family val="2"/>
        <charset val="186"/>
      </rPr>
      <t>Tāme Nr. 14</t>
    </r>
    <r>
      <rPr>
        <sz val="9"/>
        <color theme="1"/>
        <rFont val="Arial"/>
        <family val="2"/>
        <charset val="186"/>
      </rPr>
      <t xml:space="preserve"> Skolēnu apbalvošana par augstiem mācību sasniegumiem (balvu fonds), </t>
    </r>
  </si>
  <si>
    <t>Apbalvojamo skaits</t>
  </si>
  <si>
    <t>Izmaksātā summa EUR</t>
  </si>
  <si>
    <t xml:space="preserve">Skolēnu skaits </t>
  </si>
  <si>
    <t xml:space="preserve">Nodokļi, kurus samaksātu pašvaldība </t>
  </si>
  <si>
    <t>2023.gadā</t>
  </si>
  <si>
    <t>18 140</t>
  </si>
  <si>
    <t xml:space="preserve">2024.gadā </t>
  </si>
  <si>
    <t>Prognozēti 180+</t>
  </si>
  <si>
    <t>Prognozēti 23000</t>
  </si>
  <si>
    <t>~600 EUR (ņemot vērā pag. gada aprēķinus)</t>
  </si>
  <si>
    <r>
      <t>1.</t>
    </r>
    <r>
      <rPr>
        <sz val="7"/>
        <color theme="1"/>
        <rFont val="Times New Roman"/>
        <family val="1"/>
        <charset val="186"/>
      </rPr>
      <t xml:space="preserve">      </t>
    </r>
    <r>
      <rPr>
        <sz val="11"/>
        <color theme="1"/>
        <rFont val="Calibri"/>
        <family val="2"/>
        <charset val="186"/>
      </rPr>
      <t>Tiek apsvērta doma pievienot ĀBJSS naudas balvas ieguvējiem.</t>
    </r>
  </si>
  <si>
    <r>
      <t>2.</t>
    </r>
    <r>
      <rPr>
        <sz val="7"/>
        <color theme="1"/>
        <rFont val="Times New Roman"/>
        <family val="1"/>
        <charset val="186"/>
      </rPr>
      <t xml:space="preserve">      </t>
    </r>
    <r>
      <rPr>
        <sz val="11"/>
        <color theme="1"/>
        <rFont val="Calibri"/>
        <family val="2"/>
        <charset val="186"/>
      </rPr>
      <t>Pašvaldībai jānomaksā nodokļi, lai skolēns saņemtu summu, kas ir norādīta diplomā.</t>
    </r>
  </si>
  <si>
    <r>
      <t>3.</t>
    </r>
    <r>
      <rPr>
        <sz val="7"/>
        <color theme="1"/>
        <rFont val="Times New Roman"/>
        <family val="1"/>
        <charset val="186"/>
      </rPr>
      <t xml:space="preserve">      </t>
    </r>
    <r>
      <rPr>
        <sz val="11"/>
        <color theme="1"/>
        <rFont val="Calibri"/>
        <family val="2"/>
        <charset val="186"/>
      </rPr>
      <t>Tendence rāda, ka arvien vairāk skolēnu piedalās olimpiādēs, kā arī uzrāda labākas sekmes, kas dod iespēju piedalīties konkursos uz Rīgas ģimnāzijām.</t>
    </r>
  </si>
  <si>
    <r>
      <t>4.</t>
    </r>
    <r>
      <rPr>
        <sz val="7"/>
        <color theme="1"/>
        <rFont val="Times New Roman"/>
        <family val="1"/>
        <charset val="186"/>
      </rPr>
      <t xml:space="preserve">      </t>
    </r>
    <r>
      <rPr>
        <sz val="11"/>
        <color theme="1"/>
        <rFont val="Calibri"/>
        <family val="2"/>
        <charset val="186"/>
      </rPr>
      <t>Rezerve tiek paredzēta, ja mācību gada laikā skolēns ir piedalījies starptautiskā konkursā, un, lai varētu piedalīties tālākā posmā, nepieciešams apmaksāt transporta un dzīvošanas izdevumus.</t>
    </r>
  </si>
  <si>
    <r>
      <rPr>
        <b/>
        <sz val="9"/>
        <color theme="1"/>
        <rFont val="Arial"/>
        <family val="2"/>
        <charset val="186"/>
      </rPr>
      <t>Tāme Nr. 15</t>
    </r>
    <r>
      <rPr>
        <sz val="9"/>
        <color theme="1"/>
        <rFont val="Arial"/>
        <family val="2"/>
        <charset val="186"/>
      </rPr>
      <t xml:space="preserve"> Ādažu novada pašvaldības olimpiāžu nodrošināšanas izdevumi</t>
    </r>
  </si>
  <si>
    <t>Pakalpojums/Prece</t>
  </si>
  <si>
    <t>Pildspalvas</t>
  </si>
  <si>
    <t>Kliņģeris (Sarecēns)</t>
  </si>
  <si>
    <t xml:space="preserve">Kopā </t>
  </si>
  <si>
    <r>
      <rPr>
        <b/>
        <sz val="9"/>
        <color theme="1"/>
        <rFont val="Arial"/>
        <family val="2"/>
        <charset val="186"/>
      </rPr>
      <t>Tāme Nr.16</t>
    </r>
    <r>
      <rPr>
        <sz val="9"/>
        <color theme="1"/>
        <rFont val="Arial"/>
        <family val="2"/>
        <charset val="186"/>
      </rPr>
      <t xml:space="preserve"> Pasākumi digitālās kompetences pilnveidei </t>
    </r>
  </si>
  <si>
    <r>
      <rPr>
        <b/>
        <sz val="9"/>
        <color theme="1"/>
        <rFont val="Arial"/>
        <family val="2"/>
        <charset val="186"/>
      </rPr>
      <t>Tāme Nr.17</t>
    </r>
    <r>
      <rPr>
        <sz val="9"/>
        <color theme="1"/>
        <rFont val="Arial"/>
        <family val="2"/>
        <charset val="186"/>
      </rPr>
      <t xml:space="preserve"> Programma STOP 4-7 </t>
    </r>
  </si>
  <si>
    <t>2023. gada 28. septembrī Lēmums Nr. 381 Par multimodālās agrīnās intervences programmu STOP 4-7, 4. punkts</t>
  </si>
  <si>
    <t xml:space="preserve">Materiāltehniskais nodrošinājums </t>
  </si>
  <si>
    <t>Bērnu ēdināšana</t>
  </si>
  <si>
    <t>Par papildus finansējumu atalgojumam</t>
  </si>
  <si>
    <t>FK lēmums 18.10.?</t>
  </si>
  <si>
    <r>
      <rPr>
        <b/>
        <sz val="9"/>
        <color theme="1"/>
        <rFont val="Arial"/>
        <family val="2"/>
        <charset val="186"/>
      </rPr>
      <t>Tāme Nr.18</t>
    </r>
    <r>
      <rPr>
        <sz val="9"/>
        <color theme="1"/>
        <rFont val="Arial"/>
        <family val="2"/>
        <charset val="186"/>
      </rPr>
      <t xml:space="preserve"> Galdi un krēsli mūžizglītības telpai</t>
    </r>
  </si>
  <si>
    <t>Galds</t>
  </si>
  <si>
    <t>Krēsli</t>
  </si>
  <si>
    <r>
      <rPr>
        <b/>
        <sz val="9"/>
        <color theme="1"/>
        <rFont val="Arial"/>
        <family val="2"/>
        <charset val="186"/>
      </rPr>
      <t>Tāme Nr.19</t>
    </r>
    <r>
      <rPr>
        <sz val="9"/>
        <color theme="1"/>
        <rFont val="Arial"/>
        <family val="2"/>
        <charset val="186"/>
      </rPr>
      <t xml:space="preserve"> Nodrošinājums pedagoģiski medicīniskajai komisijai</t>
    </r>
  </si>
  <si>
    <t xml:space="preserve">Pakalpojuma vai preces nosaukums un preces specifikācija </t>
  </si>
  <si>
    <t>Vienības cena (EUR)</t>
  </si>
  <si>
    <t xml:space="preserve">Kopsumma </t>
  </si>
  <si>
    <t>Pirkuma vai pakalpojums nepieciešamības pamatojums, saite no veikala, mājas lapas</t>
  </si>
  <si>
    <t>Aktivitāšu kubs Slēdzenes</t>
  </si>
  <si>
    <t>https://berniem.lv/produkti/sensoras-attistibas-speles/aktivitasu-kubibidamas-rotallietas/1/3098/aktivitasu-kubs-sledzenes - gan ieinteresēšana, gan roku veiklība, gan krāsas, gan pārsteigums iekšpusē, gan skaitīšana, gan prievārdi (uz, aiz, iekšā, uc.)</t>
  </si>
  <si>
    <t xml:space="preserve">
Klasificējam krāsas un mācāmies skaitīt</t>
  </si>
  <si>
    <t>https://berniem.lv/produkti/attistosas-speles/matematiskas-speles/klasifikacija/1/2494/klasificejam-krasas-un-macamies-skaitit - uzmanība, skaitīšana, salīdzināšana, cipari, +, - darbības, krāsas, šķirošana</t>
  </si>
  <si>
    <t xml:space="preserve">
Ģeometriskas formas un lielumi II</t>
  </si>
  <si>
    <t>https://berniem.lv/produkti/attistosas-speles/matematiskas-speles/geometriskas-formas/1/1308/geometriskas-formas-un-lielumi-ii - forma, izmērs, krāsa, skaitīšana</t>
  </si>
  <si>
    <t>Skaitāmie kociņi ar ciparu kartiņām</t>
  </si>
  <si>
    <t>https://berniem.lv/produkti/attistosas-speles/matematiskas-speles/skaitisanas-materialsskaitikli/1/2510/skaitamie-kocini-ar--ciparu-kartinam - cipari, matemātiskās darbības +, -, skaitīšana, salīdzināšana</t>
  </si>
  <si>
    <t>Magnētiskie burti un cipari</t>
  </si>
  <si>
    <t>https://berniem.lv/produkti/sensoras-attistibas-speles/valodas-attistibastastu-kartinas/1/4223/magnetiskie-burti-un-cipari - interesantāk darboties, atsevišķi burti (gan tikai ģermāņu), cipari, vārdi, darbības</t>
  </si>
  <si>
    <t>Krāsojamie zīmuļi, Zīmuļi 50 krāsas Giotto Stilnovo</t>
  </si>
  <si>
    <t>https://www.janisroze.lv/lv/kancelejas-preces/rakstampiederumi/zimuli/krasainie-zimuli/zimuli-50-krasas-giotto-stilnovo.html</t>
  </si>
  <si>
    <t>Flomāsteri, Divpusēji flomāsteri Twin-tip Pen 3200, Staedtler</t>
  </si>
  <si>
    <t>https://www.e-upis.lv/lv/flomasteri/33117148-divpuseji-flomasteri-twin-tip-pen-3200-staedtler.html</t>
  </si>
  <si>
    <t>Zīmēšanas bloks, zīmēšanas papīra bloks A4 72lp., Grafix</t>
  </si>
  <si>
    <t xml:space="preserve">https://www.e-upis.lv/lv/a4/33120503-zimesanas-papira-bloks-a4-72lp-grafix-8715427075020.html </t>
  </si>
  <si>
    <t>Šķēres, Bērnu šķēres 13cm Gripy, Wedo</t>
  </si>
  <si>
    <t>https://www.e-upis.lv/lv/berniem/33120610-bernu-skeres-13cm-gripy-wedo-4003801858685.html?search_query=skeres&amp;results=46</t>
  </si>
  <si>
    <t xml:space="preserve">
Loto Šķirojam ģeometriskas formas</t>
  </si>
  <si>
    <t>https://berniem.lv/produkti/attistosas-speles/matematiskas-speles/klasifikacija/1/908/loto-skirojam-geometriskas-formas</t>
  </si>
  <si>
    <t>ABC Cube (N7) Ņikitina agrīnās mācību materiāls</t>
  </si>
  <si>
    <t>https://anete.lv/abc-wurfel-(n7)-nikitin-material-zur-fruhforderung-3746738</t>
  </si>
  <si>
    <t>Kosa kubs</t>
  </si>
  <si>
    <t>https://kokaspeles.lv/products/kosa-kubs/</t>
  </si>
  <si>
    <t>Skaitļu sastāvs</t>
  </si>
  <si>
    <t>https://kokaspeles.lv/products/skaitlu-sastavs/</t>
  </si>
  <si>
    <t>Sniegavīrs</t>
  </si>
  <si>
    <t>https://kokaspeles.lv/products/sniegavirs/</t>
  </si>
  <si>
    <t>Neatsienamais mezgls</t>
  </si>
  <si>
    <t>https://kokaspeles.lv/products/neatsienamais-mezgls/</t>
  </si>
  <si>
    <t>Vienreizlietojamās glāzes ūdens dzeršanai. 250ml, ø80mm, baltas, PAP/PE, vienslāņu, iepakojumā 100 gab.</t>
  </si>
  <si>
    <t>https://www.multipack.lv/shop/lv/vienreizejie-trauki/glazes/papira-glazes-250ml-oe80mm-baltas-vienslana-pap-pe-vienslanu-iepakojuma-100-gab-11908keu</t>
  </si>
  <si>
    <t>Papīra dvieļu turētājs</t>
  </si>
  <si>
    <t>https://papirs.lv/katalogs/turetaji-papira-dvieliem/papira-dvielu-turetajs-vialli-k1-z-salv-loksnes-balts-225x275x95cm</t>
  </si>
  <si>
    <t>Roku dvieļi loksnēs Z-veida</t>
  </si>
  <si>
    <t>https://papirs.lv/katalogs/papira-dvieli/roku-dvieli-loksnes-z-veida-sin-225x19cm-2-kartas-balts-150-gab-pacina</t>
  </si>
  <si>
    <t>Mido San Q šķidrs roku dezinfekcijas līdzeklis.</t>
  </si>
  <si>
    <t>https://medicinaspreces.lv/produkts/dezinfekcija-un-sterilizacija/dezinfekcija-un-sterilizacija-dezinfekcijas-lidzekli/dezinfekcijas-lidzekli-rokam-adai/mido-san-q-skidrs-roku-dezinfekcijas-lidzeklis/</t>
  </si>
  <si>
    <t>Incidin Oxy foam, 750 ml.</t>
  </si>
  <si>
    <t>https://medicinaspreces.lv/produkts/dezinfekcija-un-sterilizacija/dezinfekcija-un-sterilizacija-dezinfekcijas-lidzekli/dezinfekcijas-lidzekli-virsmam/incidin-oxy-foam-750-ml/</t>
  </si>
  <si>
    <t>Sejas maska ar ausu gumijām, 3 kārtas</t>
  </si>
  <si>
    <t>https://medicinaspreces.lv/produkts/mediciniskais-apgerbs-kirurgiska-vela-cimdi/mediciniskais-apgerbs-kirurgiska-vela-cimdi-specialais-medicinas-apgerbs/specialais-medicinas-apgerbs-maskas-un-respiratori/sejas-maska-ar-ausu-gumijam-3-kartas-neausta-materiala-nesterila-iepakojuma-50-maskas/</t>
  </si>
  <si>
    <t>Papīra smalcinātājs</t>
  </si>
  <si>
    <t>https://www.balticdata.lv/lv/biroja-tehnika/papira-smalcinataji</t>
  </si>
  <si>
    <t>KUGGIS kaste ar vāku, 32x32x32 cm, baltā krāsā</t>
  </si>
  <si>
    <t>https://www.ikea.lv/lv/products/gulamistaba/atverti-glabasanas-risinajumi-gulamistabai/kastes-un-grozi/kuggis-kaste-ar-vaku-balta-krasa-art-00526875</t>
  </si>
  <si>
    <t>Plaukts ar kastēm</t>
  </si>
  <si>
    <t>https://www.mebeles.lv/lv/bernudarziem/plaukti-ar-kastem-atvilktnem-gratnells-1/plaukts-ar-kastem-1x4-f2</t>
  </si>
  <si>
    <t>KLIPPAN divvietīgs dīvāns, Vissle pelēkā krāsā</t>
  </si>
  <si>
    <t>https://www.ikea.lv/lv/products/ikea-for-business/office/sofas/klippan-divvietigs-divans-peleka-krasa-spr-79010614</t>
  </si>
  <si>
    <t>Atpūtas dīvāns, pelēks-zaļš - kvadrātveida kājas</t>
  </si>
  <si>
    <t>https://www.mebeles.lv/lv/skolam/divani-2/atputas-divans-peleks-zals-kvadratveida-kajas-87421</t>
  </si>
  <si>
    <t>Bērnudārza galds Miki</t>
  </si>
  <si>
    <t>https://www.mebeles.lv/lv/bernudarziem/galdi/bernudarza-galds-miki-h-50cm</t>
  </si>
  <si>
    <t>LACK galdiņš, 55x55 cm, balti beicēta ozolkoka imitācija</t>
  </si>
  <si>
    <t>https://www.ikea.lv/lv/products/living-room/coffee-side-tables/coffee-side-tables/lack-galdins-art-70319028</t>
  </si>
  <si>
    <t>Bērnudārza krēsls Miki Nr.3</t>
  </si>
  <si>
    <t>https://www.mebeles.lv/lv/bernudarziem/kresli/bernudarza-kresls-miki-nr-3</t>
  </si>
  <si>
    <t>FLISAT bērnu taburete, 24x24x28 cm</t>
  </si>
  <si>
    <t>https://www.ikea.lv/lv/products/children-s-ikea/children-s-storage-study/children-s-small-furniture/flisat-bernu-taburete-art-40273593</t>
  </si>
  <si>
    <t>Paklājs ar spirāli 2 x 2 m</t>
  </si>
  <si>
    <t>https://www.mebeles.lv/lv/bernudarziem/paklaji/paklajs-ar-spirali-2-x-2-m-21008</t>
  </si>
  <si>
    <t>STOENSE paklājs ar īsām plūksnām, 133x195 cm, pelēkā krāsā</t>
  </si>
  <si>
    <t>https://www.ikea.lv/lv/products/bedroom/rugs/rugs/stoense-paklajs-ar-isam-pluksnam-peleka-krasa-art-40427005</t>
  </si>
  <si>
    <t>HUMLEMOTT pleds, 130x170 cm, krēmbaltā krāsā</t>
  </si>
  <si>
    <t>https://www.ikea.lv/lv/products/gulamistaba/gulamistabas-tekstils/dekorativas-segas-un-pledi/humlemott-pleds-krembalta-krasa-art-00549546</t>
  </si>
  <si>
    <t>BARNDRÖM spilvens ar kabatu, 32x8 cm, smilškrāsā</t>
  </si>
  <si>
    <r>
      <rPr>
        <b/>
        <sz val="10"/>
        <color theme="1"/>
        <rFont val="Arial"/>
        <family val="2"/>
        <charset val="186"/>
      </rPr>
      <t>Kopā</t>
    </r>
    <r>
      <rPr>
        <sz val="10"/>
        <color theme="1"/>
        <rFont val="Arial"/>
        <family val="2"/>
        <charset val="186"/>
      </rPr>
      <t xml:space="preserve"> </t>
    </r>
  </si>
  <si>
    <t>Tāme Nr.20  Komandējuma dienas nauda (transporta biļetes, viesnīca, dienas nauda) ārpus Latvijas</t>
  </si>
  <si>
    <t>Braucienu skaits</t>
  </si>
  <si>
    <t>Vienības cena, EUR</t>
  </si>
  <si>
    <t>Izglītības daļas darbinieki</t>
  </si>
  <si>
    <t>Jaunatnes darbinieku Dienas naudas kompensācija 1 braucienam</t>
  </si>
  <si>
    <t>Darbam ar jaunatni iesaistīto pieredzes apmaiņas braucieni uz ārzemēm</t>
  </si>
  <si>
    <t>Jaunatnes darbinieku Citas kompensācijas (transporta uz vietas esot, viesnīca)</t>
  </si>
  <si>
    <t>Tāme Nr.21  Komandējuma dienas nauda (transporta biļetes, viesnīca, dienas nauda) Latvija</t>
  </si>
  <si>
    <t>Dienu skaits</t>
  </si>
  <si>
    <t>Vienības cena EUR</t>
  </si>
  <si>
    <t>Kopā, EUR</t>
  </si>
  <si>
    <t>Jaunatnes darbinieku Dienas nauda braucienam uz Līvāniem (Jauniešu dienas festivāls)</t>
  </si>
  <si>
    <t>Jaunatnes darbinieku Citas kompensācijas  (viesnīca)</t>
  </si>
  <si>
    <t>Jaunatnes darbinieku Citi komandējumi</t>
  </si>
  <si>
    <t>Tāme Nr.22  Carnikavas bērnu brīvā laika centrs</t>
  </si>
  <si>
    <t>Nr</t>
  </si>
  <si>
    <t>Radošo darbnīcu materiāli</t>
  </si>
  <si>
    <t>Aktivitāte/atšifrējums</t>
  </si>
  <si>
    <t>Cena ( bez PVN)</t>
  </si>
  <si>
    <t>Summa( bez PVN)</t>
  </si>
  <si>
    <t>Modelēšanas masa 500g</t>
  </si>
  <si>
    <t>Gaismas objektu izgatavošanai</t>
  </si>
  <si>
    <t>Līme PVA D2, 1 kg</t>
  </si>
  <si>
    <t>Kartiņu, kolāžu, dekorāciju izgatavošanai</t>
  </si>
  <si>
    <t>Krāsaini kartoni (komplekti)</t>
  </si>
  <si>
    <t>Kartiņu, kolāžu, dekorāciju, masku izgatavošanai</t>
  </si>
  <si>
    <t>Krāsainas pildspalvas (komplekts)</t>
  </si>
  <si>
    <t>Kartiņu, kolāžu izgatavošanai</t>
  </si>
  <si>
    <t>Koka un plastmasas pērlītes (komplekti)</t>
  </si>
  <si>
    <t>Rotaslietu izgatavošanas darbnīcas</t>
  </si>
  <si>
    <t>Furnitūra un instrumenti (komplekti)</t>
  </si>
  <si>
    <t>Rotaslietu izgatavošanai</t>
  </si>
  <si>
    <t>Otas dažāda biezuma</t>
  </si>
  <si>
    <t>Krāsošanai un līmēšanai</t>
  </si>
  <si>
    <t>Zīmuļi (komplekti)</t>
  </si>
  <si>
    <t>Zīmēšanai un krāsošanai</t>
  </si>
  <si>
    <t>Papīrs gleznošanai (komplekti)</t>
  </si>
  <si>
    <t>Kolāžu, kartiņu izgatavošanai, zīmēšanai</t>
  </si>
  <si>
    <t>Dekoratīvie caurumotāji</t>
  </si>
  <si>
    <t>Kartiņu, dekoru izgatavošanai</t>
  </si>
  <si>
    <t>Šķēres un nazīši</t>
  </si>
  <si>
    <t>Kolāžu, kartiņu izgatavošanai</t>
  </si>
  <si>
    <t>Konfektes, cepumi (kg)</t>
  </si>
  <si>
    <t>Noslēguma pasākumu un turnīru cienasts -kopā 51</t>
  </si>
  <si>
    <t xml:space="preserve">Papīra dvieļi </t>
  </si>
  <si>
    <t>Materiālu un roku apkopšanai</t>
  </si>
  <si>
    <t>Dekoratīvās salvetes (iepak.)</t>
  </si>
  <si>
    <t>Dekupāžai uz krūzītēm</t>
  </si>
  <si>
    <t>Galda tenisa bumbiņas (kompl.)</t>
  </si>
  <si>
    <t>Turnīru nodrošināšanai</t>
  </si>
  <si>
    <t>Novusa kija</t>
  </si>
  <si>
    <t>Novusa kauliņi (komplekts)</t>
  </si>
  <si>
    <t>Karstās līmes pistole</t>
  </si>
  <si>
    <t>Svētku dekorāciju izgatavošanai</t>
  </si>
  <si>
    <t>Kartstās līmes pistoles stienīši (kompl.)</t>
  </si>
  <si>
    <t>Līmlenta</t>
  </si>
  <si>
    <t>Vitrāžas krāsas (kompl.)</t>
  </si>
  <si>
    <t>Pašplasticējoša krāsa stikla vitrāžu izgatavošanai</t>
  </si>
  <si>
    <t>Dekupāžas laka</t>
  </si>
  <si>
    <t>Trauku/glāžu dekupāžai</t>
  </si>
  <si>
    <t xml:space="preserve">Dekoratīvas lentītes </t>
  </si>
  <si>
    <t>Rotu un kartiņu izgatavošanai</t>
  </si>
  <si>
    <t>Papīra grieznis-giljotīna</t>
  </si>
  <si>
    <t>Kartiņu, dāvaniņu izgatavošanai</t>
  </si>
  <si>
    <t>Izsmidzināmas krāsas</t>
  </si>
  <si>
    <t>Dekoru krāsošanai</t>
  </si>
  <si>
    <t>Mirdzumiņi (kompl.)</t>
  </si>
  <si>
    <t>Dekoru, kartiņu noformēšanai</t>
  </si>
  <si>
    <t>Balvas turnīru (kopā 28) uzvarētājiem (84)</t>
  </si>
  <si>
    <t>Atslēgu piekariņi, atstarotāji, pildspalvas</t>
  </si>
  <si>
    <t>Kreppapīrs (bordo un balts)</t>
  </si>
  <si>
    <t>Telpu dizainēšana</t>
  </si>
  <si>
    <t>Kakao dzēriens (pulveris, 150gr.)</t>
  </si>
  <si>
    <t>Tēja (paciņas, 25 gb)</t>
  </si>
  <si>
    <t>Cukurs (kg)</t>
  </si>
  <si>
    <t xml:space="preserve">Uzglabāšanas kastes materiāliem </t>
  </si>
  <si>
    <t>Summa bez PVN</t>
  </si>
  <si>
    <t>PVN 21%</t>
  </si>
  <si>
    <t>Summa ar PVN</t>
  </si>
  <si>
    <t>Tāme Nr.23  Līdzfinansējums privātajām skolām izglīt.funkc.nodrošināšanai</t>
  </si>
  <si>
    <t>2023.g.</t>
  </si>
  <si>
    <t>Aprīlis</t>
  </si>
  <si>
    <t>Maijs</t>
  </si>
  <si>
    <t>Jūnījs</t>
  </si>
  <si>
    <t>Jūlījs</t>
  </si>
  <si>
    <t>Septembris</t>
  </si>
  <si>
    <t>Max</t>
  </si>
  <si>
    <t>2024. gadam</t>
  </si>
  <si>
    <t>! Izmaksas pieaugums sakarā ar valstī min mēnešalgas paaugstināšanu + par darbinieku palielinājums par 10 nod.ar NVA un 10 klāt pašvaldības</t>
  </si>
  <si>
    <t>Tāme Nr.24  Skolēnu vasaras nodarbinātība</t>
  </si>
  <si>
    <t>NVA 2024</t>
  </si>
  <si>
    <t>Nodarbināto algas</t>
  </si>
  <si>
    <t>Nodoklis</t>
  </si>
  <si>
    <t>Atbrīvošanas nodoklis</t>
  </si>
  <si>
    <t>Darba vadītāju alga</t>
  </si>
  <si>
    <t>Nodokls</t>
  </si>
  <si>
    <t xml:space="preserve">Kopējās izmaksas: </t>
  </si>
  <si>
    <t>NVA atbalsts:</t>
  </si>
  <si>
    <t xml:space="preserve">Pašvaldības izmaksas: </t>
  </si>
  <si>
    <t>Uz 1 jaunieti 2024:</t>
  </si>
  <si>
    <t>Uz 42 jauniešiem:</t>
  </si>
  <si>
    <t>! NVA dotē 50% darba algai + darba vadītāja algu</t>
  </si>
  <si>
    <t>Pašvaldības 2024</t>
  </si>
  <si>
    <t xml:space="preserve">Kopējās pašvaldības izmaksas: </t>
  </si>
  <si>
    <t>Uz 70 jauuniešiem:</t>
  </si>
  <si>
    <t xml:space="preserve">ALGAS: </t>
  </si>
  <si>
    <t>(Algas +Atbrīvošanas kompensācija) EKK 1119</t>
  </si>
  <si>
    <t xml:space="preserve">SOC.Nodoklis: </t>
  </si>
  <si>
    <t>(Nodarbināto algu + darba vadītāju algu soc.nodoklis) EKK 1210</t>
  </si>
  <si>
    <t>Soc. Nodokļu izmaksas</t>
  </si>
  <si>
    <t>EKK 1210</t>
  </si>
  <si>
    <t>Nva nodarbināto</t>
  </si>
  <si>
    <t>Pašvaldības nod.</t>
  </si>
  <si>
    <t>Darba vadītāji</t>
  </si>
  <si>
    <t>Nodoklis 23,35%</t>
  </si>
  <si>
    <t>Tāme Nr.25 Jauniešu dalība Starptautiskās jaunatnes dienas festivālā Līvānu novadā 12.08.2024.</t>
  </si>
  <si>
    <t>2024 EKK</t>
  </si>
  <si>
    <t>Autobuss: Carnikava - Līvāni - Carnikava (kopā 350km)</t>
  </si>
  <si>
    <t xml:space="preserve">Tansporta sadārdzinājums </t>
  </si>
  <si>
    <t xml:space="preserve">Ēdināšana </t>
  </si>
  <si>
    <t>!Festivāls norīt Jauniešu galvaspilsētā. 2024.gadā Līvānos. Sadārdzinājums - km attālums</t>
  </si>
  <si>
    <t>Tāme Nr.26 Aktivitāšu plāns 2024.gadam</t>
  </si>
  <si>
    <t>! Aktualizētas izmaksas, izņemta sejas apgleznošanas aktivitāte, Ziemassvētku aktivitāte samainīta uz sveču liešanu un pievienota projektu nakts aktivitāte</t>
  </si>
  <si>
    <t>Organizēts pasākums ar jauniešu elka (dziedātāja, influencera, grupas uzstāšanos)</t>
  </si>
  <si>
    <t>Pieaicinātie speciālist  (piemēram, lekciju/meistarklašu/aktivitāšu vadītāji u.c.)</t>
  </si>
  <si>
    <r>
      <t xml:space="preserve">Dažāda veida tikšanās (jauniešu dome,  ar paicinātajiem speciālistiem, novadniekiem, pašvaldības pārstāvjiem u.c.)* </t>
    </r>
    <r>
      <rPr>
        <i/>
        <sz val="10"/>
        <color theme="1"/>
        <rFont val="Calibri"/>
        <family val="2"/>
        <charset val="186"/>
        <scheme val="minor"/>
      </rPr>
      <t>Sīkāk skatīt Tāme Nr.5.1.</t>
    </r>
  </si>
  <si>
    <r>
      <t xml:space="preserve">Radošo aktivitāšu/ darbnīcu materiālais nodrošinājums (piemēram, kancelejas preces un citi izejmateriāli) </t>
    </r>
    <r>
      <rPr>
        <sz val="10"/>
        <color theme="1"/>
        <rFont val="Calibri"/>
        <family val="2"/>
        <charset val="186"/>
        <scheme val="minor"/>
      </rPr>
      <t xml:space="preserve">* Sīkāk skatīt Tāme Nr.5.2. </t>
    </r>
  </si>
  <si>
    <t xml:space="preserve">Tāme Nr.26.1.  Aktivitāšu plāns 2023.gadam. Kafijas, tējas, uzkodu nodrošināšanai (lekcijas, tikšanās, sarunu vakari u.c.) </t>
  </si>
  <si>
    <t>Produkts/ preces</t>
  </si>
  <si>
    <t xml:space="preserve">Dažāda veida tikšanās (jauniešu dome,  ar paicinātajiem speciālistiem, novadniekiem, pašvaldības pārstāvjiem u.c.) </t>
  </si>
  <si>
    <t>Tēja</t>
  </si>
  <si>
    <t>Kafija</t>
  </si>
  <si>
    <t>Piens</t>
  </si>
  <si>
    <t>Cukurs</t>
  </si>
  <si>
    <t>Salvetes (iepakojums)</t>
  </si>
  <si>
    <t>Maisāmie kociņi</t>
  </si>
  <si>
    <t xml:space="preserve">Cepumi </t>
  </si>
  <si>
    <t>Pīrādziņi/ cīsiņi mīklā</t>
  </si>
  <si>
    <t>Glāzes 200gab</t>
  </si>
  <si>
    <t>Tāme Nr.26.2.  Aktivitāšu plāns 2024.gadam. Radošo aktivitāšu/ darbnīcu materiālais nodrošinājums (piemēram, kancelejas preces , produkti un citas preces)</t>
  </si>
  <si>
    <t>Kanecelejas preces aktivitātēm (piemēram, projketu domnīca, karjeras diena, neformālās izglītības apmācības par CV veidošanu u.c.)</t>
  </si>
  <si>
    <t>Papīra bloks 60x85cm</t>
  </si>
  <si>
    <t>EKK 2311</t>
  </si>
  <si>
    <t>papīrs A4</t>
  </si>
  <si>
    <t>pildspalvas</t>
  </si>
  <si>
    <t>Līmlapiņas</t>
  </si>
  <si>
    <t>Krāsains kartons</t>
  </si>
  <si>
    <t>Marķieri</t>
  </si>
  <si>
    <t>Krāsainais papīrs</t>
  </si>
  <si>
    <t>Kulinārijas meistarklase (Picu vakars)</t>
  </si>
  <si>
    <t>Picas mīkla</t>
  </si>
  <si>
    <t>EKK 2314</t>
  </si>
  <si>
    <t>Rīvēts siers</t>
  </si>
  <si>
    <t>Marinēti gurķi</t>
  </si>
  <si>
    <t>Salami desa</t>
  </si>
  <si>
    <t>Šampinjoni</t>
  </si>
  <si>
    <t>Kečups</t>
  </si>
  <si>
    <t>Paprika</t>
  </si>
  <si>
    <t>Sīpoli</t>
  </si>
  <si>
    <t>Lieldienu meistarklase</t>
  </si>
  <si>
    <t>Olas 10 gab</t>
  </si>
  <si>
    <t>Sāls</t>
  </si>
  <si>
    <t>Majonēze</t>
  </si>
  <si>
    <t>Pārgājiens + vides sakopšanas talka</t>
  </si>
  <si>
    <t>Miskastes maisi</t>
  </si>
  <si>
    <t>Cimdi</t>
  </si>
  <si>
    <t>Zupa pēc pārgājiena</t>
  </si>
  <si>
    <t>Sienas zīmējuma tapšana</t>
  </si>
  <si>
    <t>Krāsu flakoniņi</t>
  </si>
  <si>
    <t xml:space="preserve">Krāsu flakoniņi </t>
  </si>
  <si>
    <t>Cepamdesas</t>
  </si>
  <si>
    <t>Hot Dog maizītes</t>
  </si>
  <si>
    <t>Latviešu filmu kino vakari 4x</t>
  </si>
  <si>
    <t>Saldais popkorns</t>
  </si>
  <si>
    <t>Sviesta popkorns</t>
  </si>
  <si>
    <t>Projektu nakts (hakatons)</t>
  </si>
  <si>
    <t>Ēdināšana</t>
  </si>
  <si>
    <t>Ziemassvētku sveču izgatavošana</t>
  </si>
  <si>
    <t>Vasks svecēm (~200ml 1 gab x100 gab)</t>
  </si>
  <si>
    <t>Daktis</t>
  </si>
  <si>
    <t>Kopējās izmaksas par aktivitātēm:</t>
  </si>
  <si>
    <t>Tāme Nr.27 Prezentmateriāli un balvas (ar jauniešu atpazīstamības logotipu)</t>
  </si>
  <si>
    <t>Krūzes ar  ar jauniešu atpazīstamības simbolu/logotipu</t>
  </si>
  <si>
    <t>2390/2314</t>
  </si>
  <si>
    <t>Konfektes/ šokolādear jauniešu domes simboliku</t>
  </si>
  <si>
    <t>Spēļu turnīru diplomu druka</t>
  </si>
  <si>
    <t>Tāme Nr.28 Jauniešu Domes izveide un atpazīstamības veicināšana</t>
  </si>
  <si>
    <t xml:space="preserve">Jauniešu Domes budžets aktivitāšu rīkošanai </t>
  </si>
  <si>
    <t>Kliņģeri  pieredzes apmaiņas braucienos (1x=2kg)</t>
  </si>
  <si>
    <t>Prezentmateriāli ar jauniēsu domes logotipu</t>
  </si>
  <si>
    <t>Tāme Nr.29. Brīvprātīgā darba uzskaites sistēmas izveide, veicināšana un brīvprātīgā darba veicēju godināšanas un jauniešu gada balvas pasākums</t>
  </si>
  <si>
    <t>Informatīvo materiālu izgatavošana</t>
  </si>
  <si>
    <t>Ziedi brīvprātīgo darba devējiem</t>
  </si>
  <si>
    <t xml:space="preserve">Ziedi </t>
  </si>
  <si>
    <t>Uzkodas (piemēram, groziņi)</t>
  </si>
  <si>
    <t>Ogas, citrons ūdenim</t>
  </si>
  <si>
    <t>Pasākuma vadītājs</t>
  </si>
  <si>
    <t>!Aktualizētas izmaksas</t>
  </si>
  <si>
    <t>Tāme Nr.30. Iniciatīvu projekti</t>
  </si>
  <si>
    <t xml:space="preserve">Jauniešu iniciatīvu projekti </t>
  </si>
  <si>
    <t>Tāme Nr.31 Materiāltehniskās bāzes nodrošinājums</t>
  </si>
  <si>
    <t>Pārvietojamie/ mobilie krēsli</t>
  </si>
  <si>
    <t>Telts (nojume)</t>
  </si>
  <si>
    <t>Saliekamie galdi</t>
  </si>
  <si>
    <t>Sēžammaisi</t>
  </si>
  <si>
    <t>Disku golfa disku komplekti</t>
  </si>
  <si>
    <t>Basketbola bumbas</t>
  </si>
  <si>
    <t>Volejbola bumbas</t>
  </si>
  <si>
    <t>Jauniešu karoga izveide</t>
  </si>
  <si>
    <t>2390/ 2314</t>
  </si>
  <si>
    <t>Krāsainais printeris</t>
  </si>
  <si>
    <t>Dators</t>
  </si>
  <si>
    <t>Tāme Nr.32 Bērnu un jauniešu radošās darbnīcas un nometnes</t>
  </si>
  <si>
    <t>Summa EUR</t>
  </si>
  <si>
    <t>Pamatojums</t>
  </si>
  <si>
    <t>Bērnu un jauniešu radošās darbnīcas un nometnes,</t>
  </si>
  <si>
    <t xml:space="preserve"> ĀNP/1-3-1-2/23/11 - Izglītības, kultūras, sporta un sociālā komitejas 06.09.2023. sēdes protokols. </t>
  </si>
  <si>
    <r>
      <t xml:space="preserve">Plānotas </t>
    </r>
    <r>
      <rPr>
        <b/>
        <sz val="12"/>
        <color theme="1"/>
        <rFont val="Times New Roman"/>
        <family val="1"/>
        <charset val="186"/>
      </rPr>
      <t>dienas nometnes</t>
    </r>
    <r>
      <rPr>
        <sz val="12"/>
        <color theme="1"/>
        <rFont val="Times New Roman"/>
        <family val="1"/>
        <charset val="186"/>
      </rPr>
      <t xml:space="preserve"> 2024.gadā </t>
    </r>
  </si>
  <si>
    <t>uz 400 bērniem ( ņemot vērā 2023.gada pieprasījumu)</t>
  </si>
  <si>
    <r>
      <t xml:space="preserve">Plānotas </t>
    </r>
    <r>
      <rPr>
        <b/>
        <sz val="12"/>
        <color theme="1"/>
        <rFont val="Times New Roman"/>
        <family val="1"/>
        <charset val="186"/>
      </rPr>
      <t>diennakts nometnes</t>
    </r>
    <r>
      <rPr>
        <sz val="12"/>
        <color theme="1"/>
        <rFont val="Times New Roman"/>
        <family val="1"/>
        <charset val="186"/>
      </rPr>
      <t xml:space="preserve"> 2024.gadā </t>
    </r>
  </si>
  <si>
    <t>uz 178 bērniem ( ņemot vērā 2023.gada pieprasījumu)</t>
  </si>
  <si>
    <t>Tāme Nr.33 Bērnu un jauniešu Dziesmu un deju svētku novada kolektīvu skates organizēšanai</t>
  </si>
  <si>
    <t>Pārcelt pie Carnikavas pamatskolas!</t>
  </si>
  <si>
    <t>Bērnu un jauniešu Dziesmu un deju svētku novada kolektīvu skates organizēšanai</t>
  </si>
  <si>
    <t>Sakarā ar gatavošanos XIII Vispārējiem skolu jaunatnes Dziesmu un deju svētkiem Ādažu novadam saviem deju kolektīviem jārīko obligātā repertuāra pārbaudes skates</t>
  </si>
  <si>
    <t>19.04.2024. Deju kolektīvu novadu skate. plkst 18.00 Carnikavas pamatskolas multizālē</t>
  </si>
  <si>
    <t>pasākuma laiks apm.2.st. + 2.st. sagatavošanās,-mēģinājums ar skaņu un gaismu = 4.st</t>
  </si>
  <si>
    <t xml:space="preserve">Telpu noma </t>
  </si>
  <si>
    <t>Ar pasākuma nodrošināšanu nepieciešamie cilvēku resursi</t>
  </si>
  <si>
    <t>Gaismotājs un skaņotājs Edgars Indrāns- vienojas ar Ādažu novada domi. Dežurants skolas foajē -papildus darba laiks- vienojas ar Carnikavas komunālserviss. Apkopējas pēc pasākuma- papildus darba laikam- vienojas ar Carnikavas komunālserviss.
(stundas likme par virsstrundām)</t>
  </si>
  <si>
    <t>Žūrijas komisijas pārstāvji (2.gab) līgums</t>
  </si>
  <si>
    <t>15 deju grupas (Ādažu novads) X 8,-eiro = 120,-eiro(bruto uz rokas) X 2.pārstāvji = 240,-eiro + PVN</t>
  </si>
  <si>
    <t xml:space="preserve">Prezentācijas izdevumi </t>
  </si>
  <si>
    <t>ziedi žūrijai un deju skolotājām, kafijas galds, diplomi</t>
  </si>
  <si>
    <t>Sadejošanās koncerts pirms deju skates 29. februāris</t>
  </si>
  <si>
    <t>(pasākuma laiks apm.2.st. + 2.st. sagatavošanās,-mēģinājums ar skaņu un gaismu = 4.st)</t>
  </si>
  <si>
    <t>Janvāris horeogrāfu pieaicināšana deju semināram</t>
  </si>
  <si>
    <t>lai novienādotu neprecizitātes dejas izpildījumā, saņemt ieteikumus no speciālista, dejas autora, dejas izpildījuma kvalitātes uzlabošanai Ādažu novada deju kolektīviem. (pasākuma laiks apm. 2.st. + 2.st.(divas dienas)</t>
  </si>
  <si>
    <t xml:space="preserve">Horeogrāfa līgumi </t>
  </si>
  <si>
    <t>Tāme Nr.34 Nometņu/nodarbinātības/interešu izglītības pulciņu reģistrācijas vadības sistēma</t>
  </si>
  <si>
    <t>Nometņu/nodarbinātības/interešu izglītības pulciņu reģistrācijas vadības sistēma</t>
  </si>
  <si>
    <t>Gatavas programmas nomas maksa gadā ( 50 eur x 12 mēn)</t>
  </si>
  <si>
    <t xml:space="preserve">Nepieciešama, lai interešu pulciņi skolā, nometnes, nodarbinātība varētu pareizi un ērti administrēt datus, kas sniegtu pārskatāmību. Pirmkārt atļautu pieteikties ar personas kodu tikai vienreiz, noteiktajos laikos. Esošo vajadzību nevar nodrošināt patreiz lietojamā google bezmaksas versija. </t>
  </si>
  <si>
    <r>
      <t xml:space="preserve">Tāme Nr.34 </t>
    </r>
    <r>
      <rPr>
        <i/>
        <sz val="9"/>
        <color theme="1"/>
        <rFont val="Arial"/>
        <family val="2"/>
        <charset val="186"/>
      </rPr>
      <t>Pārējās preces</t>
    </r>
  </si>
  <si>
    <t>Kafijas/ tējas termosi</t>
  </si>
  <si>
    <t>Citi izdevumi</t>
  </si>
  <si>
    <r>
      <rPr>
        <b/>
        <sz val="9"/>
        <color theme="1"/>
        <rFont val="Arial"/>
        <family val="2"/>
        <charset val="186"/>
      </rPr>
      <t xml:space="preserve">Tāme Nr.35 </t>
    </r>
    <r>
      <rPr>
        <sz val="9"/>
        <color theme="1"/>
        <rFont val="Arial"/>
        <family val="2"/>
        <charset val="186"/>
      </rPr>
      <t xml:space="preserve">IJN inventārs pārrunu telpai </t>
    </r>
  </si>
  <si>
    <t>Izlietne</t>
  </si>
  <si>
    <t>Izlietnes skapis</t>
  </si>
  <si>
    <t>Eisā ļoti dārgi 248 eiro, Depo izteikti lētāks.</t>
  </si>
  <si>
    <t>https://www.eis.gov.lv/EIS/Categories/CategoryList.aspx?CategoryId=27356</t>
  </si>
  <si>
    <t>Skapis virs izlietnes</t>
  </si>
  <si>
    <t>Bet nezinu līdz galam noteikumus</t>
  </si>
  <si>
    <t>Ledusskapis</t>
  </si>
  <si>
    <t>Mikroviļņu krāsns</t>
  </si>
  <si>
    <t>Tāme Nr.36. Skolēnu pārvadājumu kompensācijas izglītojamo nokļūšanai uz/ no mācību iestādēm</t>
  </si>
  <si>
    <t>Skolēnu pārvadājumu aprēķini</t>
  </si>
  <si>
    <t>Mēnesis</t>
  </si>
  <si>
    <t>Izmaksas 2023.gadā</t>
  </si>
  <si>
    <t>Izmakasas 2024.gads, ja pieaugums 0,1</t>
  </si>
  <si>
    <t>prognoze</t>
  </si>
  <si>
    <t>Aprēķins pēc mēnešiem</t>
  </si>
  <si>
    <t>Viena mēneša izmaksas</t>
  </si>
  <si>
    <t>Tāme Nr.37. Nodrošinājums MJK aktivitātēm</t>
  </si>
  <si>
    <t>Nr.</t>
    <phoneticPr fontId="11" type="noConversion"/>
  </si>
  <si>
    <t>MJK uzdevums</t>
  </si>
  <si>
    <t>Izmaksu pozīcijas nosaukums/mācību joma</t>
  </si>
  <si>
    <t xml:space="preserve">Skaidrojums </t>
  </si>
  <si>
    <t>Plānotā  summa, EUR</t>
  </si>
  <si>
    <t>Pirmsskola</t>
  </si>
  <si>
    <t>1.1.</t>
    <phoneticPr fontId="11" type="noConversion"/>
  </si>
  <si>
    <t>Organizēt priekšlikumu vai risinājumu sagatavošanu un ieviešanu specifisku mācību satura pilnveidošanai
Piedalīties pedagogu ar mācību jomas satura īstenošanu saistītu mācīšanās vajadzību apzināšanā un ar pedagogu profesionālo pilnveidi saistītu jautājumu plānošanā</t>
  </si>
  <si>
    <t xml:space="preserve">Vieslektora atalgojums </t>
  </si>
  <si>
    <t>Pedagogu profesionālā pilnveides semināri pirmsskolas pedagogiem (2x250,-eur)</t>
  </si>
  <si>
    <t>Sākumskola</t>
  </si>
  <si>
    <r>
      <t xml:space="preserve">Pedagogu profesionalā pilnveide, semināri sākumskolas pedagogiem </t>
    </r>
    <r>
      <rPr>
        <sz val="9"/>
        <rFont val="Arial Narrow"/>
        <family val="2"/>
        <charset val="186"/>
      </rPr>
      <t>(Rudens brīvlaikā`2024?)</t>
    </r>
  </si>
  <si>
    <t>organizēt un koordinēt sadarbību starp pašvaldības vispārējās izglītības iestāžu pedagogiem mācību satura vienotas pieejas plānošanā un īstenošanā</t>
  </si>
  <si>
    <t>Pieredzes apmaiņas brauciens 11.-15.03., uz kādu no Latvijas sākumskolām)</t>
  </si>
  <si>
    <t>2.3.</t>
  </si>
  <si>
    <t>Kancelejas preces, balvu fonds</t>
  </si>
  <si>
    <t>Olimpiāžu rīkošanai (Janvāris - Aprīlis)</t>
  </si>
  <si>
    <t>Tehnoloģijas (datorika, inženierzinības)</t>
  </si>
  <si>
    <t>Pieredzes apmaiņas brauciens (starpnovadu) 11.-15.03., kopā ar diziana un tehnoloģiju skolotājiem</t>
  </si>
  <si>
    <t xml:space="preserve">Pedagogu profesionālā pilnveides seminārs </t>
  </si>
  <si>
    <t>Tehnoloģijas (dizains un tehnoloģijas)</t>
  </si>
  <si>
    <t>Materiāli darbnīcām ( pērles, filcs, utt.)</t>
  </si>
  <si>
    <t>Radošās darbnīcas dizaina pedagogiem, jaunu tehniku apgūšana (dec.`2024)</t>
  </si>
  <si>
    <t xml:space="preserve">Pedagogu profesionālā pilnveide(apr.`2024), kursi par programmvadāmo darbagaldu izmantošanu mācību stundās </t>
  </si>
  <si>
    <t>Organizēt un koordinēt sadarbību starp pašvaldības vispārējās izglītības iestāžu pedagogiem mācību satura vienotas pieejas plānošanā un īstenošanā</t>
  </si>
  <si>
    <t>Pieredzes apmaiņas brauciens uz kādu no Latvijas skolām,11.-15.03.</t>
  </si>
  <si>
    <t>Kultūras izpratne un pašizpausme mākslā</t>
  </si>
  <si>
    <t>Pieredzes apmaiņas brauciens, tikšanās ar jomas pedagogiem citā skolā, digitālā muzeja apmeklējums, 11.-15.03.</t>
  </si>
  <si>
    <t>Pedagogu profesionālā pilnveides seminārs pedagogiem</t>
  </si>
  <si>
    <t>Ieejas biļetes muzejā</t>
  </si>
  <si>
    <t>Digitālais mākslas muzejs (12x 10, eur)</t>
  </si>
  <si>
    <t>Dabas zinātnes</t>
  </si>
  <si>
    <t>Novada dabas zinātņu olimpiāde 7.-8.klasēm (apr.`2024)</t>
  </si>
  <si>
    <t xml:space="preserve">Pieredzes apmaiņas brauciens uz ražotnēm, piemēram, AS Grindeks,  AS Olainfarm, AS Latvenergo, poligons Getliņi </t>
  </si>
  <si>
    <t>Svešvalodas  – angļu valoda</t>
  </si>
  <si>
    <t>Balvu fonds (saldumi, suvenīri)</t>
  </si>
  <si>
    <t>Angļu valodas olimpiādes, 1.posms</t>
  </si>
  <si>
    <t>Periodika/ gan papīrā, gan elektroniski)</t>
  </si>
  <si>
    <t>Jaunāko pētījumu, rakstu, grāmatu iegāde</t>
  </si>
  <si>
    <t>Aplikāciju/programmu abonēšana</t>
  </si>
  <si>
    <t>Stundu gatavošanai, darbam stundās</t>
  </si>
  <si>
    <t>Organizēt priekšlikumu vai risinājumu sagatavošanu un ieviešanu specifisku mācību satura pilnveidošanai</t>
  </si>
  <si>
    <t>Pedagogu profesionālā pilnveide seminārs pedagogiem</t>
  </si>
  <si>
    <t xml:space="preserve">Pieredzes apmaiņas brauciens, tikšanās ar cita novada jomas koordinatoriem </t>
  </si>
  <si>
    <t>Otrā svešvaloda</t>
  </si>
  <si>
    <t>Profesionālās pilnveides kursi pedagogiem</t>
  </si>
  <si>
    <t>Veselības un fiziskās aktivitātes jautājumos</t>
  </si>
  <si>
    <t>Profesionālās pilnveides kursi pedagogiem, platformas skolo.lv apmācības</t>
  </si>
  <si>
    <t>Materiāli darbnīcām, kancelejas preces</t>
  </si>
  <si>
    <t>Sporta skolotāju labās prakses pieredzes apmaiņas pasākums (materiāli radošām darbnīcām, kancelejas preces - papīrs diplomiem)</t>
  </si>
  <si>
    <t>Pieredzes apmaiņas brauciens (Valmiera vai Mārupe)</t>
  </si>
  <si>
    <t>Suvenīri, saldumi</t>
  </si>
  <si>
    <t>Tautas bumbas sacensības starp skolām, Kausi I , II , III vietai</t>
  </si>
  <si>
    <t>Sociālajos un pilsoniskajos jautājumos</t>
  </si>
  <si>
    <t>Olimpiādes, viktorīnas, konkursi</t>
  </si>
  <si>
    <t>Transporta pakalpojumi / braukšanas biļetes</t>
  </si>
  <si>
    <t>Sociālā akcija soc aprūpes centros/ pilsoniskās līdzdalības īstenošanai / daļēja ceļa izdevumu segšana</t>
  </si>
  <si>
    <t>Materiāli darbnīcām, kanceleja, saldumi</t>
  </si>
  <si>
    <t xml:space="preserve"> Materiālasis atbalsts skolēnu mācību uzņēmumu projektu īstenošanai</t>
  </si>
  <si>
    <t>10.4.</t>
  </si>
  <si>
    <t>  Sociālās un pilsoniskās jomas skolotāju mācību ekskursija, daļēja no ceļa vai biļešu izdevumu sēgšana</t>
  </si>
  <si>
    <t>Matemātika</t>
  </si>
  <si>
    <t>Ekskursija matemātikas olimpiāžu uzvarētājiem (50 bērni)</t>
  </si>
  <si>
    <t>Konkurss "Cipars vai skaitlis?" 7.-12.kl. (janv-apr`2024)</t>
  </si>
  <si>
    <t>11.3.</t>
  </si>
  <si>
    <t>Kursi matemātikas pedagogiem (okt.-dec.`2024?)</t>
  </si>
  <si>
    <t>11.4.</t>
  </si>
  <si>
    <t>Materiāli (kancelejas preces, dēļi, naglas) + transports+pakalpojumi</t>
  </si>
  <si>
    <t>Konkurss iedzīvotājiem - radi interesantāko matemātikas uzdevumu!</t>
  </si>
  <si>
    <t>Iekļaujošā izglītība</t>
  </si>
  <si>
    <t>Lektora atalgojums</t>
  </si>
  <si>
    <t>Izglītojoša nodarbība "Izprast diagnozi " (janv.`2024), Vasaras skola "Feju darbnīca "(jūn.`2024)</t>
  </si>
  <si>
    <t>Kancelejas preces, materiāli darbam</t>
  </si>
  <si>
    <t>Izdales materiāli, papīrs, zīmuļi, līmlapiņas.uc.</t>
  </si>
  <si>
    <t>Kafijas pauzes nodrošinājums</t>
  </si>
  <si>
    <t>Radošā darbnīca "Pavārgrāmata iekļaujošā izglītībā ", Vasaras skola "Feju darbnīca "</t>
  </si>
  <si>
    <t>Plašāka skolēna izglītības pieredze</t>
  </si>
  <si>
    <t>Pieredzes  apmaiņas izbraukuma semināri (Ķekavas vsk.u.c.)</t>
  </si>
  <si>
    <t>Materiāli, kancelejas preces</t>
  </si>
  <si>
    <t>Darbnīca augusta konferencē</t>
  </si>
  <si>
    <t>13.3.</t>
  </si>
  <si>
    <t>Teltis, nomas maksa tirdzn.vietai</t>
  </si>
  <si>
    <t>Skolēnu mācību uzņēmumu darbības vecināšana</t>
  </si>
  <si>
    <t>13.4.</t>
  </si>
  <si>
    <t xml:space="preserve">Profesionālās pilnveides seminārs </t>
  </si>
  <si>
    <t>13.5.</t>
  </si>
  <si>
    <t>Jauno talantu dziedāšanas konkurss “Zelta balss"</t>
  </si>
  <si>
    <t>Rīkojums ĀNP/1-6-1/23/43</t>
  </si>
  <si>
    <t>Interešu izglītības programmu izvērtēšanas un mērķdotācijas sadales komisijas atalgojums Tāme Nr.3 (EUR 19,- /h, 1 sēde =1h, 4 darbinieki, 4 sēdes gadā)</t>
  </si>
  <si>
    <t>ĀNP/1-5-2/23/19 - Interešu izglītības programmu izvērtēšanas un mērķdotācijas sadales komisijas nolikums, 7. punkts</t>
  </si>
  <si>
    <t xml:space="preserve">2023. gada 26. jūlija domes lēmums Nr. 262
Par Pedagoģiski medicīniskās komisijas apstiprināšanu </t>
  </si>
  <si>
    <t xml:space="preserve">Materiālā stimulēšana darbiniekiem Tāme Nr.5 </t>
  </si>
  <si>
    <t>Nepieciešamība, jo maijā/ jūnijā (eksāmeni un vairāki pasākumi) un septembris/augusts(konference, mērķdotācijas un sagatavošanās darbi). Darbs vakaros un brīvdienās. Katram darbiniekam piemaksa 3 reizes gadā 15 % + VSAOI</t>
  </si>
  <si>
    <t>Uzņēmuma līgums-mācību jomu koordinātora pakalpojums un Pedagoģiski medicīniskās komisijas pakalpojums
Tāme Nr.4 un Tāme Nr.1</t>
  </si>
  <si>
    <t xml:space="preserve">2023.gada 28. septembris Domes lēmums Nr. 380  ĀNP/1-2-3/23/380 un 2023. gada 26. jūlija domes lēmums Nr. 262
Par Pedagoģiski medicīniskās komisijas apstiprināšanu </t>
  </si>
  <si>
    <t>Koplīguma dāvana darbiniekiem (likuma ietvaros) EUR15*10darb.</t>
  </si>
  <si>
    <t>Darbinieku apdrošināšana EUR200*10</t>
  </si>
  <si>
    <t>Nav nepieciešams</t>
  </si>
  <si>
    <t>Pieredzes apmaiņas braucieni (transporta biļetes, viesnīca, dienas nauda). Tāme Nr. 21</t>
  </si>
  <si>
    <t>Palielinājums, jo palielinās darbinieku skaits</t>
  </si>
  <si>
    <t>Komandējuma dienas nauda (transporta biļetes, viesnīca, dienas nauda)Tāme Nr.20</t>
  </si>
  <si>
    <t>Ja būs Erasmus + projekti, tad būs jāmeklē papildus</t>
  </si>
  <si>
    <t>Telefona limits/ mēnesī EUR 10*10*12</t>
  </si>
  <si>
    <t>Pārnests uz kopējo degvielu</t>
  </si>
  <si>
    <t xml:space="preserve">degvielas apmaksa par darba pienākumu pildīšanu - nometņu kontrole, u.c. </t>
  </si>
  <si>
    <t>Skolēnu pārvadājumu kompensācijas izglītojamo nokļūšanai uz/ no mācību iestādēm Tāme Nr.36</t>
  </si>
  <si>
    <t>Obligātās veselības pārbaude</t>
  </si>
  <si>
    <t>Nepieciešams jaunajiem darbiniekiem</t>
  </si>
  <si>
    <t>Izdevumu kompensācija, strādājos attālināti (7 darbinieki, mēnesī katram 10 eiro)</t>
  </si>
  <si>
    <t>Nodaļas darbinieku profesionālās pilnveides kursi, semināri. EUR100 x 10 darbinieki.</t>
  </si>
  <si>
    <t>Ādažu novada izglītības ekosistēmas attīstības stratēģija 2023.-2027. gadam, 
6.1. Rīcības plāns / 4.Laba pārvaldība/ V - vadības profesionālā kapacitāte</t>
  </si>
  <si>
    <t>Ādažu novada pašvaldības olimpiāžu nodrošināšanas izdevumi (transports, laureātu apbalvošana), domes 28.09.2023. lēmums Nr.383,
tāme Nr.15</t>
  </si>
  <si>
    <t xml:space="preserve">2023. gada 28. septembrī Nr. 383 Par sadarbību mācību priekšmetu olimpiāžu organizēšanā ar Ropažu un Saulkrastu novadu pašvaldībām (ĀNP/1-2-3/23/383)
</t>
  </si>
  <si>
    <t>Uzraksti pie kabinetiem</t>
  </si>
  <si>
    <t>Finansējumu vēl precizējam pie komunālservisa</t>
  </si>
  <si>
    <t>Netiks realizēts</t>
  </si>
  <si>
    <t>Projekts "Kontakts"KA</t>
  </si>
  <si>
    <t>Bērnu un jauniešu radošās darbnīcas un nometnes, tāme Nr. 32</t>
  </si>
  <si>
    <t xml:space="preserve">ĀNP/1-3-1-2/23/11 - Izglītības, kultūras, sporta un sociālā komitejas 06.09.2023. sēdes protokols. </t>
  </si>
  <si>
    <t>Skolēnu apbalvošana par augstiem mācību sasniegumiem (apbalvošanas pasākums)
Tāme Nr.7 (Jāsadala EKK2239 - 570 euro, EKK2390 - 750 euro)</t>
  </si>
  <si>
    <t>Palielinās pakalpojumu izmaksas</t>
  </si>
  <si>
    <t>Novada pedagogu ikgadējā konference augustā
Tāme Nr. 13</t>
  </si>
  <si>
    <t>Šogad iztrūka finansējuma, rotājumiem, darbinieki nesa savus ziedus un traukus, arī pakalpojumi tika nodrošināti ar individuālo tehniku</t>
  </si>
  <si>
    <t>Pieaugušo un mūžizglītības kursi (novada iedzīvotājiem ar dalībnieku līdzfinansējumu) Tāme Nr.12</t>
  </si>
  <si>
    <t>Pasākumi digitālās kompetences pilnveidei Tāme Nr.16</t>
  </si>
  <si>
    <t>Programma STOP 4-7 Tāme Nr.17</t>
  </si>
  <si>
    <t>Nodrošinājums MJK aktivitātēm Tāme Nr.37</t>
  </si>
  <si>
    <t>2023. gada 13. septembrī Lēmums Nr. 343 “Par projekta “Digitālās plaisas mazināšana sociāli neaizsargātajām grupām un izglītības iestādēs” īstenošanu (protokols Nr. 23 § 3).</t>
  </si>
  <si>
    <t>Skatīs FK. 18.10.2023.</t>
  </si>
  <si>
    <t xml:space="preserve"> Toneru iegāde Tāme Nr.8</t>
  </si>
  <si>
    <t>Pagājušajā gadā bija koplietošans printeris (neparedzējam līdzekļus) un nebija printeris Garā iela 20, papildus kabinets otrā stāvā.</t>
  </si>
  <si>
    <t xml:space="preserve">Mobilā telefona iegādei </t>
  </si>
  <si>
    <t>Telefoni nepieciešami 5 darbiniekiem</t>
  </si>
  <si>
    <t>Galdi un krēsli telpai mūžizglītībai Tāme Nr.18</t>
  </si>
  <si>
    <t>IJN inventārs pārrunu telpai Tāme Nr.35</t>
  </si>
  <si>
    <t>3 darbinieku galdi, ar stāvgaldu funkciju un 3 jauni krēsli</t>
  </si>
  <si>
    <t>Degvielas kompensācija Tāme Nr.6</t>
  </si>
  <si>
    <t>Dāvanas absolventiem izlaidumā, tāme Nr. 9</t>
  </si>
  <si>
    <t>Ziedi iglītības iestādēm svinīgos pasākumos, tāme Nr. 10</t>
  </si>
  <si>
    <t>Kliņģeri izglītības iestādēm svinīgos pasākumos, tāme Nr. 11</t>
  </si>
  <si>
    <t>Palielinājums, jo palielinās izmaksas</t>
  </si>
  <si>
    <t>Ļoti iztrūka, jo daudz ņēmām no Sabiedriskajām attiecībām.</t>
  </si>
  <si>
    <t>Nodrošinājums pedagoģiski medicīniskajai komisijai Tāme Nr. 19</t>
  </si>
  <si>
    <t>Nodrošinājums Carnikavas bērnu brīvā laika centra aktivitātēm Tāme Nr.22</t>
  </si>
  <si>
    <t>24.05.2023.nolikums Nr.11 “Iniciatīvu projektu finansēšanas kārtība Ādažu novada pašvaldībā”. 
Nolikumā 8.punkts paredz līdzfinansējuma summas (apakšpunkts 8.2. izglītojamo projektiem – 3000 euro)</t>
  </si>
  <si>
    <t>Printeris, 2 gab.</t>
  </si>
  <si>
    <t>Uzskaites dimensija 0931, Lūdzu pārbaudīt!</t>
  </si>
  <si>
    <t>Uzskaites dimensija 0932, Lūdzu pārbaudīt!</t>
  </si>
  <si>
    <t>Uzskaites dimensija 0933, Lūdzu pārbaudīt!</t>
  </si>
  <si>
    <t>Beidzies!</t>
  </si>
  <si>
    <t xml:space="preserve">Bērnu skaita pieaugums 21 %, 2023. g. 1,5-4 g.v. 285, 5-6 g.v.120 (bez ĀBVS) </t>
  </si>
  <si>
    <t>Bērnu skaita pieagums  44 %, 2023.g. 45 bērni</t>
  </si>
  <si>
    <t>Projekts CFL "Bērnu pieskatīšanas pakalpojumu pirkšana" 
100 bērniem (uz jautājuma, cik un kā īstenosim)</t>
  </si>
  <si>
    <t>Skolēnu palielinājums no 500 līdz 570 (Ja ņem vērā, ka maijā ir bijis 19592 euro izmaksāts, kas ir bijis maksimālais mēnesis no aprīļa - septembrim un vasasras 2 mēnešos ir par 50 % mazāk, tad būtībā vajadzētu paredzēt 220000 euro, neņemot vērā pieaugumu kas var veidoties pēc skolēnu skaita. Tāme Nr.23, Šobrīd skaitlis iegūts proporcionāli palielinot pret skolēnu skaitu!</t>
  </si>
  <si>
    <t xml:space="preserve">Mūsu līdzmaksājums 25 %, Uz novembra IKSSK gatavošu informāciju https://likumi.lv/ta/id/346323 </t>
  </si>
  <si>
    <t>Līdzfinansējums auklēm</t>
  </si>
  <si>
    <t>Līdzfinansējums privātskolu skolēniem (90 eiro mēnesī -privātskola, 45 eiro- tālmācības skola)</t>
  </si>
  <si>
    <t>Informatīvā izdevuma druka, līgums ar SIA "Veiters Korporācija" līdz 01.03.2024., no 02.03.2024., cits informatīvā izdevuma modelis A3, 16.lpp. 1600 mēnesī +PVN = 1936, 1936x12 = 23 232</t>
  </si>
  <si>
    <t>Ietaupījums 15 939 (pārvirzīt jaunas mobilās aplikācijas nomai)</t>
  </si>
  <si>
    <t>Briļļu vai apdrošināšanas polises iegāde, pēc koplīguma. EUR 200*5=1000, kas zem EKK 2247</t>
  </si>
  <si>
    <t>Darbinieku apdrošināšana (200*5)</t>
  </si>
  <si>
    <t>Tūrisma lapas uzturēšana Ādažu novada tīmekļvietnē  - 15 eiro mēnesī + PVN.
 15x12=180eiro+PVN=217,8</t>
  </si>
  <si>
    <t xml:space="preserve">Preses monitorings (pilns komplekts ar sociāl.ziņām 160+PVN =193,6 eiro mēnesī = 2323,20 eiro gadā) </t>
  </si>
  <si>
    <t>Katra mēneša beigās IDR ziņojumā jāiekļauj domei informācija par publicitāti</t>
  </si>
  <si>
    <t>Gaujas svētku publicitātes materiāli u.c. Gaujas svētku mārketinga aktivitātes.</t>
  </si>
  <si>
    <t xml:space="preserve">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 Cita formāta informatīvais izdevums ir uz pusi lētāks, tā vietā - moderna mobilā aplikācija "Mana pilsēta". </t>
  </si>
  <si>
    <t>Šāda summa ietaupīta, izvēloties A3 avīzes formātu un plānāku papīru, ja neatbalsta šo, tad 5000 virzīt Mana balss.lv aptaujām, jo te iekļautas arī autorizētas aptaujas</t>
  </si>
  <si>
    <t>Vienotās tīmekļvietnes abonēšanas maksa. Jāmaksā Valsts kasē (Valsts kancelejas projekts).</t>
  </si>
  <si>
    <t>Ietaupījums, var novirzīt modernai mobilajai aplikācijai "Mana pilsēta".</t>
  </si>
  <si>
    <t>Papildu objektīvs TAMRON 35-150MM F/2-2.8 DI III VXD priekš Sony E-Mount A058S https://www.masterfoto.lv/lv/objektivi/17134-tamron-35150mm-f228-di-iii-vxd-prieks-sony-emount-a058s.html</t>
  </si>
  <si>
    <t>Papildu baterija un lādētājs SMALLRIG 3824 NP-FZ100 BATTERY &amp; CHARGER KIT 3824 https://www.masterfoto.lv/lv/kameru-akumulatori/18719-smallrig-3824-npfz100-battery-charger-kit-3824.html?search_query=38496%2C38497%2C43574%2C34551%2C42813%2C43727%2C43492%2C18719%2C42750&amp;results=9</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</si>
  <si>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</si>
  <si>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</si>
  <si>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 xml:space="preserve">Digitālais skārienjūtīgais ekrāns Ādažos ar montāžas darbiem, betonēšanu, programmatūru, 77 collu āra stenda - 12 700, programmatūras - 2490, interaktīvā klienta satura un Signo programmatūras savienošana (versijā ar
skārienjūtīgo virsmu) - 1140, montāža (betonēšana, kabeļi, darbs) - 4350 (piedāvājumse-pastā), </t>
  </si>
  <si>
    <t>100 L benzīna, braukājot fotografēt un filmēt, braukāt uz un no C. uz Ā. komitejām, domes sēdēm, 100L*1.75EUR = 175 EUR</t>
  </si>
  <si>
    <t>Tikšanās ar iedzīvotājiem reizi mēnesī (tēja un cepumi) - līdz 360 eiro</t>
  </si>
  <si>
    <t>No EKK5238</t>
  </si>
  <si>
    <t>Par ES un lielu būvniecības projekta sekmīgu realizēšanu 3 x 700 projektus paredzēts nodot 2023 (DI, plūdi, veselības projekti).</t>
  </si>
  <si>
    <t xml:space="preserve">Pēc koplīguma- briļļu vai apdrošināšanas polises iegādei </t>
  </si>
  <si>
    <t>Tehniskais projektu vadītājs (vakance) max EUR 19</t>
  </si>
  <si>
    <t>Rezerve (EUR 60 x 8 darbinieki) =480 eiro</t>
  </si>
  <si>
    <t>Braucieni uz Briseli, uz semināriem</t>
  </si>
  <si>
    <t>Projekta "LIFEBauhausingEurope" ietvaros</t>
  </si>
  <si>
    <t>CERV programmas projekts "YOUTth and democracy: empowering Europe's next generation"</t>
  </si>
  <si>
    <t>Magliano Alpi pašvaldības Itālijā CERV Town Twinning programmas projektsa ietvaros</t>
  </si>
  <si>
    <t>ĀNP 28.12.2022. lēmums Nr. 599</t>
  </si>
  <si>
    <t>ĀNP 22.02.2023. lēmums Nr. 47</t>
  </si>
  <si>
    <t>ĀNP 24.05.2023. lēmums Nr. 192</t>
  </si>
  <si>
    <t>Vietējais transports 6*30
Viesnīca 6*250  
Lidmašīna 6*400</t>
  </si>
  <si>
    <t>Ortega - kārtridžu maiņa (ņemta vērā informācija par jaunā printera patēriņu)</t>
  </si>
  <si>
    <t xml:space="preserve">Biedru nauda biedrībā "Gaujas Partnerība" </t>
  </si>
  <si>
    <t>ĀNP 24.11.2021. lēmums Nr. 219</t>
  </si>
  <si>
    <t>Jūras zemē būs jāmaksā 0,07 EUR no 1.janvārī deklarēto iedzīvotāju skaita Carnikavas pagastā. 
• Varētu pieņemt, ka uz 01.01.2023. to skaits varētu būt 11432
Līdz ar to, biedru naudas apmērs varētu būt EUR 800 (EUR 0,07 x 11432 cilvēki).</t>
  </si>
  <si>
    <t>ĀNP 28.09.2021. lēmums Nr.114</t>
  </si>
  <si>
    <t>CSDD audits Vējupes detālplānojumam (AK 09.02.2021.tika uzdots šos izdevums, kas pārcēlās uz 2023.gadu)</t>
  </si>
  <si>
    <t>Ziemassvētki 2023 (pārejošie līgumi), līgums par Ziemassvētku dekoru vizuālo risinājumu; līgums par Ziemassvētku dekoru eksponēšnu un nomu; līgums par Ziemassvētku eglēm</t>
  </si>
  <si>
    <t>Ivetas aprēķini</t>
  </si>
  <si>
    <t>Svētku dekorāciju pakalpojums (karogu noma, dekoru noma, Lieldienu olu pārkrāsošana, karoglentu izgatavošana u.c.) 2023.gadā</t>
  </si>
  <si>
    <t>plānot 2024. gadā</t>
  </si>
  <si>
    <t>jauni dekori Līgo laukuma vides dekoram - 24 oliņas H375 mm, vienas izmaksas 62 EUR</t>
  </si>
  <si>
    <t>Lieldienu olu atjaunošana</t>
  </si>
  <si>
    <t>skaits</t>
  </si>
  <si>
    <t>tīrīšana + vešana</t>
  </si>
  <si>
    <t>krāsošana</t>
  </si>
  <si>
    <t xml:space="preserve">esošo lielizmēra olu atjaunošana - notīrīt esošo krāsojumu un pārkrāsot jaunā veidolā </t>
  </si>
  <si>
    <t>L Carnikavas</t>
  </si>
  <si>
    <t>M Ādažu ar ākiem</t>
  </si>
  <si>
    <t>M Ādažu uz kājas</t>
  </si>
  <si>
    <t>M Ādažu puses</t>
  </si>
  <si>
    <t>S Ādažu podos</t>
  </si>
  <si>
    <t>mini</t>
  </si>
  <si>
    <t>Carnikavas egles dekoru noma un eksponēšana - piegulošās teritoroijas noformējums</t>
  </si>
  <si>
    <t>Paredzēt dalījumu pa kārtām, ko iespējams realizēt 5-10 gadu periodā.</t>
  </si>
  <si>
    <t>Skeitparka pie Ziedlejām? Aizstāt ar kādu rotaļu laukumu</t>
  </si>
  <si>
    <t>Skeitparku pārvieto uz citu vietu,izveidot bērnu rotaļu laukumu mazajiem bērniem, ir esoš nožogojums</t>
  </si>
  <si>
    <t>Veloapkopes stendi novadā</t>
  </si>
  <si>
    <t xml:space="preserve">Jaunu veloapkopes stendu uzstādīšana ciemos - piemēram Kadaga, Kalngale(23 gab - 2800,00 </t>
  </si>
  <si>
    <t>Atdalošajā joslā starp stāvvietu kabatu un velo joslu izvietot liela izmēra puķu podus ar liela izmēra augiem  lapu krūmiem, lai mašinas nestātos šķērsām un lai veidotu vizuālo norobežojumu bērniem ( plānoti Scanplast zemie podi, 1100 mm diametrs un 450 mm augstums, pamīšus ar LOTUS vidējiem,kopā nepieciešami 12 podi) 6 x440,00 = 2640 un 6x188=1128 Kopā 3768. pluss zeme, keramzits</t>
  </si>
  <si>
    <t>Trūkstošie elementi esošā trenažieru laukumā</t>
  </si>
  <si>
    <t>Sportisko aktivitāšu laukums Ādažos Pirmā iela 25</t>
  </si>
  <si>
    <t>Konkursi</t>
  </si>
  <si>
    <t>Sakopta vide</t>
  </si>
  <si>
    <t>balvu varianti - plāksnītes pie mājas, soliņi ar plāksnīti, ekskursija pa sakoptajiem latvijas novadiem vai pilsētām stādaudzētavām, sižets tv (mans zaļais dārzs), apraksts žurnālā (Deko, Mūsmājas, Dārzs)</t>
  </si>
  <si>
    <t>Ziemassvētku dekori</t>
  </si>
  <si>
    <t>balvu fonds</t>
  </si>
  <si>
    <t>2023: Floristu un maketātāju pakalpojumi (Jāņi, Lieldienas, Z-svetkti, Gaujas svētki. Vides elementi)</t>
  </si>
  <si>
    <t>2 jaunu veloapkopes stendu izveide Kadagā un Kalngalē</t>
  </si>
  <si>
    <t>Valsts vides dienestam par Krastupes ielas projektu - IVN izvērtēšanu valsts nodeva</t>
  </si>
  <si>
    <t>Iedzīvotāju aptauja manabalss.lv par izglītības iestāžu projektu attīstību Ādažos</t>
  </si>
  <si>
    <t>Izglītības iestādes būvniecībai paredzētās teritorijas novērtēšana</t>
  </si>
  <si>
    <t>Velo skaitītāja abonēšanas maksa 10 EUR/mēn.</t>
  </si>
  <si>
    <t>Dalības maksa konkursos (EUR 220 dalībai konkursā "Latvijas labākais tirgotājs": Mazie veikali, DUS, aptiekas - 85,00 EUR, Veikali, tirgi - 135 EUR)</t>
  </si>
  <si>
    <t>Lilastes nobrauktuves ZIP izstrādei - obligāti!</t>
  </si>
  <si>
    <t>Projekts "Flock of ideas" (konkursu orgaanizēšana jauniešiem)</t>
  </si>
  <si>
    <t>ĀNP 26.10.2023. lēmums</t>
  </si>
  <si>
    <t>Depo 2 500</t>
  </si>
  <si>
    <t>Degviela - Nodaļas vadītāja I.Pērkone, max EUR 60*2,0*12=1440</t>
  </si>
  <si>
    <t>Degviela - tehniskajam projeku vadītājam (vakance), max EUR 25*1,5*12=600</t>
  </si>
  <si>
    <t>Degviela tehniskajam projeku vadītāja I.Plikgalve, max EUR 40*2,0*12=960</t>
  </si>
  <si>
    <t>Degviela vecāka eksperte I.Grīviņa-Dilāne - max EUR 40*2,0*12=960</t>
  </si>
  <si>
    <t>Ainavas rotājumu remontu materiāli, rotājumu sastāvdaļas</t>
  </si>
  <si>
    <t>Reprezentācijas preces. Semināru rīkošana, piedalīšanās semināros, piedalīšanās konferencēs, sadarbība ar LV pašvaldībām.Svētku pasākumu organizēšana.(Sabiedrība ar Dvēseli Latvija + Konkursu noslēgumu pasākumi), mobilitātes diena.</t>
  </si>
  <si>
    <t>Konkurss: Par ziemassvētku dekorācijām īpašumos (balvas 250+150+100 +reprezentācija) RP 2023.gada konkursa apbalvošana - pārceļas.</t>
  </si>
  <si>
    <t>Konkurss "Sabiedrība ar dvēseli"</t>
  </si>
  <si>
    <t>MS Project programmas iegādei 7 darbiniekiem</t>
  </si>
  <si>
    <t>2024.gadā - portatīvais dators vakancei</t>
  </si>
  <si>
    <t>2024.gadā - telefons vakancei</t>
  </si>
  <si>
    <t>Dekori no DEPO</t>
  </si>
  <si>
    <t>Piekrastes apsaimniekošanas projekts (āra tualetes)</t>
  </si>
  <si>
    <t>Puķu podi Pirmā ielā pie bērnu dārza transporta organizēšanai</t>
  </si>
  <si>
    <t>Sportisko aktivitāšu laukums Ādažos Pirmā iela 25. Trūkstošo āra sporta laukuma aprīkojums - vingrošanas iekārta, āra trenažieris, vingrošanas iekārtas pārbaude</t>
  </si>
  <si>
    <t>Rotaļu un aktīvās atpūtas laukums Ziedlejās</t>
  </si>
  <si>
    <t>Digitāls info stends Ādažos</t>
  </si>
  <si>
    <t>Pastaigu taka gar Baltezera kanālu (kopējā projekta summa EUR 130'000)</t>
  </si>
  <si>
    <t>Jaunas PII izbūve Podniekos (2024: projektēšana EUR 230'000, būvniecība EUR 450'000)</t>
  </si>
  <si>
    <t>ANM pasākuma "Atbalsta pasākumi cilvēkiem ar invaliditāti mājokļu vides pieejamības nodrošināšanai" projekts</t>
  </si>
  <si>
    <t>Krastupes ielas projekts (2024: būvprojekta izstrāde EUR 85'000, būvprojekta ekspertīze EUR 20'000)</t>
  </si>
  <si>
    <t>Lursoft pakalpojuma abonešana</t>
  </si>
  <si>
    <t>"Sabiedrība ar dvēseli" (ĀNP 22.02.2023. nolikums Nr. 3 "Konkursa "Sabiedrība ar dvēseli 2023" nolikums"), EUR 40'000.</t>
  </si>
  <si>
    <t xml:space="preserve">Iniciatīvu atbalsta kopnkurss (ĀNP 24.05.2023. nolikums “Iniciatīvas projektu finansēšanas kārtība Ādažu novada pašvaldībā”), EUR 10'000. </t>
  </si>
  <si>
    <t>Konta atlikums no projekta "Militārais mantojums" pēc tulkošanas pakalpojuma apmaksas (SIA "POLYGLOT tulkojumi" līgums Nr. JUR 2023-09/1142, EUR 972,96)</t>
  </si>
  <si>
    <t>PROJEKTS NOSLĒDZIES!</t>
  </si>
  <si>
    <t>TEP izstrāde "Atjaunojamo energoresursu izmantošana Ādažu novadā (15.08.2022. Līgums Nr.2022-08/897 ar RTU). EUR 19'985,00 + PVN = 24'181,85</t>
  </si>
  <si>
    <t>Ādažu novada pašvaldības ēkas Pirmā iela 42A energoaudita pārskata izstrāde (13.04.2023. Līgums Nr. JUR 2023-04/394 ar SIA "SILTIE NAMI"), EUR 1'600,00 + PVN - 1'936,00</t>
  </si>
  <si>
    <t>Padziļināta tehniskā apsekošana un izstrādāti priekšlikumi būtiskāko defektu novēršanai un funkcionalitātes uzlabošanai ēku Pirmā ielā 42, Ādažos un Pirmā ielā 42A, Ādažos trim daļām: metāla angāram, savienojošajam gaitenim un administratīvajam korpusam  (02.10.2023. Līgums Nr. JUR 2023-09/1158 ar SIA "Projekts &amp; būve"), EUR 2'400,00 (nav PNV maksātājs, PVN nav jāmaksā)</t>
  </si>
  <si>
    <t>Tehniskā projekta izstrāde Gaujas 16, Gaujas 33A, Gaujas 30 un Pirmās ielas 42A ēku pieslēgšanai pie CSS (Uzdevumu veic SIA "Ādažu Namsaimnieks"), EUR 18'000,00</t>
  </si>
  <si>
    <t>Tehniskā projekta izstrāde vienotas CSS izveidei Carnikavā (Uzdevumu veic PA "Carnikavas komunālserviss"), EUR 18'000,00</t>
  </si>
  <si>
    <t>Citi izdevumi saistībā ar energoefektivitātes sekmēšanu Ādažu novadā</t>
  </si>
  <si>
    <t>Iztērēts mazāk nekā plānots! Pārceļās uz 2024.gadu.</t>
  </si>
  <si>
    <t>Būvprojekta izstrāde</t>
  </si>
  <si>
    <t>PROJEKTAM JĀBŪT PABEIGTAM 2023.GADĀ</t>
  </si>
  <si>
    <t>PROJEKTS NOSLĒGSIES 2023.GADĀ</t>
  </si>
  <si>
    <t>Būs konta atlikums!</t>
  </si>
  <si>
    <t>2024. gadā tiks slēgts jauns līgums</t>
  </si>
  <si>
    <t>Šim jātaisa jauna struktūra</t>
  </si>
  <si>
    <r>
      <rPr>
        <i/>
        <sz val="8"/>
        <color rgb="FFFF0000"/>
        <rFont val="Arial"/>
        <family val="2"/>
        <charset val="186"/>
      </rPr>
      <t>Šim jātaisa jauna struktūra</t>
    </r>
    <r>
      <rPr>
        <i/>
        <sz val="8"/>
        <rFont val="Arial"/>
        <family val="2"/>
        <charset val="186"/>
      </rPr>
      <t>; ĀNP 28.12.2022. lēmums Nr. 598</t>
    </r>
  </si>
  <si>
    <r>
      <rPr>
        <i/>
        <sz val="8"/>
        <color rgb="FFFF0000"/>
        <rFont val="Arial"/>
        <family val="2"/>
        <charset val="186"/>
      </rPr>
      <t>Šim jātaisa jauna struktūra</t>
    </r>
    <r>
      <rPr>
        <i/>
        <sz val="8"/>
        <rFont val="Arial"/>
        <family val="2"/>
        <charset val="186"/>
      </rPr>
      <t>; ĀNP 26.10.2023. lēmums</t>
    </r>
  </si>
  <si>
    <r>
      <rPr>
        <i/>
        <sz val="8"/>
        <color rgb="FFFF0000"/>
        <rFont val="Arial"/>
        <family val="2"/>
        <charset val="186"/>
      </rPr>
      <t>Šim jātaisa jauna struktūra</t>
    </r>
    <r>
      <rPr>
        <i/>
        <sz val="8"/>
        <rFont val="Arial"/>
        <family val="2"/>
        <charset val="186"/>
      </rPr>
      <t xml:space="preserve">; ĀNP 26.07.2023. lēmums Nr.291; </t>
    </r>
  </si>
  <si>
    <t>Šie projekti ir noslēgušies</t>
  </si>
  <si>
    <t>Pabalsti sakarā ar tuvinieka nāvi</t>
  </si>
  <si>
    <t>Darbam nepieciešamo briļļu kompensācija</t>
  </si>
  <si>
    <t>Pasta pakalpojumi - Skolēnu personu lietu un medicīnas dokumentu sūtīšana</t>
  </si>
  <si>
    <t>Internets - skolas darbības un mācību procesa nodrošināšanai</t>
  </si>
  <si>
    <t>Telefona pakalpojumi - 8 mobīlie tālruņi (3 vietnieki, medmāsa, lietvede, sociālais pedagogs, dežuranti, psihologs)</t>
  </si>
  <si>
    <t>Novada un starpnovadu olimpiāžu rīkošana</t>
  </si>
  <si>
    <t>Autobuss skolēnu nokļūšanai uz peldētapmācību Ādažu peldbaseinā</t>
  </si>
  <si>
    <t>Skolēnu vilciena mēnešbiļetes, lai nokļūtu uz skolu (01.01.-31.05.2024.)</t>
  </si>
  <si>
    <t>Skolēnu vilciena mēnešbiļetes, lai nokļūtu uz skolu (01.09.-31.12.2024.)</t>
  </si>
  <si>
    <t>Sabiedriskā autobusa biļetes, lai nokļūtu uz skolu (01.01.-31.05.2024.)</t>
  </si>
  <si>
    <t>Sabiedriskā autobusa biļetes, lai nokļūtu uz skolu un e-talonu iegāde jaunajiem skolēniem (01.09.-31.12.2024.)</t>
  </si>
  <si>
    <t>Iestādes darbinieku dalība kursos profesionālajai pilnveidei</t>
  </si>
  <si>
    <t>Ārpakalpojums izglītojamo un ģimeņu izglītošanai par aktuālām tēmām</t>
  </si>
  <si>
    <t>pārcelts no EKK 2239</t>
  </si>
  <si>
    <t>Skolas pasākumu fotogrāfēšana - 1. septembris, skolotāju diena, 11. un 17. novembris, Ziemassvētki, mātes un ģimenes diena, mācību gada noslēgums</t>
  </si>
  <si>
    <t>Veselības apdrošināšana (60 darb.x200)</t>
  </si>
  <si>
    <t>Saskaņā ar Izglītības iestāžu digitalizācijas projekta līgumu, jāveic piešķirto datoru Chromebook apdrošināšana</t>
  </si>
  <si>
    <t>E-KLASE pakalpojumi - Oficiālais skolas saziņas līdzeklis</t>
  </si>
  <si>
    <t>ALISE pakalpojumi - Bibliotēku informācijas sistēma</t>
  </si>
  <si>
    <t>www.carnikavasskola.lv lietošanas tiesības</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</si>
  <si>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</si>
  <si>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</si>
  <si>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</si>
  <si>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pārcelts no EKK 2210</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</si>
  <si>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</si>
  <si>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</si>
  <si>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</si>
  <si>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Palielinoties izglītojamo skaitam, nepieciešami papildus soli un pakaramie garderobēm</t>
  </si>
  <si>
    <t>Ēkas fasādes burtu VIDUS izgatavošana un montāža, lai būtu uzraksts Carnikavas vidusskola</t>
  </si>
  <si>
    <t>Basketbola konstrukciju pacelšanas mehānisma drošības sistēma (ķērājs) ar piegādi, montāžu un noregulēšanu</t>
  </si>
  <si>
    <t>Telpu noformēšanas materiāli - vāzes, stiprinājumi skolēnu darbu izstādēm, magnētiskās tāfeles</t>
  </si>
  <si>
    <t>Izdales un informatīvie materiāli par Carnikavas pamatskolu un Carnikavas vidusskolu</t>
  </si>
  <si>
    <t>Vidusskolas atklāšana / skolas 50 gadu jubileja, salidojums</t>
  </si>
  <si>
    <t>Delegāciju uzņemšana un pašvaldības organizēto pasākumu organizēšana</t>
  </si>
  <si>
    <t>Degviela transporta un saimniecības vajadzībām (piemēram, skolēnu nogādāšanai uz olimpiādēm, pieredzes apmaiņas braucieni uz citām skolām)</t>
  </si>
  <si>
    <t>skaitlis vēl nav zināms</t>
  </si>
  <si>
    <t>pārcelts no EKK 5233</t>
  </si>
  <si>
    <t>Digitālie mācību līdzekļi (www.soma.lv, www.uzdevumi.lv PROF licences)</t>
  </si>
  <si>
    <t>Mācību grāmatas (pamatskolai un vidusskolai)</t>
  </si>
  <si>
    <t>Mācību metodiskie materiāli (pamatskolai un vidusskolai)</t>
  </si>
  <si>
    <t>Datori (nolietoto un bojāto nomaiņai)</t>
  </si>
  <si>
    <t>Portatīvo datoru uzlādes rati</t>
  </si>
  <si>
    <t>Palīgierīces skolēniem ar mācīšanās grūtībām (disleksija, vājredzība)</t>
  </si>
  <si>
    <t>Interaktīvie ekrāni / tāfeles kabinetiem, kuros tās nav</t>
  </si>
  <si>
    <t>No EKK2210</t>
  </si>
  <si>
    <t>Federācija noteikusi oficiālu dalības maksu par jebkurām sacensībām - 20eiro, tādējādi rodas pieaugums par EUR 1200 (MK885)</t>
  </si>
  <si>
    <t>Katrai nodaļai pie iepriekšējā gada summas klāt nāk EUR 800 ( degvielas sadārdzinājums plus vēl viens brauciens )</t>
  </si>
  <si>
    <t xml:space="preserve">Transporta sadārdzinājums </t>
  </si>
  <si>
    <t>Papildus vienas sacensības un nozīmīšu iegāde par izpildītu sporta klasi</t>
  </si>
  <si>
    <t>Palielinās obligāto sacensību skaits, kā arī augušas dalības maksas (MK885)</t>
  </si>
  <si>
    <t>Divu komandu dalība LČ (MK885)</t>
  </si>
  <si>
    <t>Papildus vienas sacensības (MK885)</t>
  </si>
  <si>
    <t>Papildus Baltijas čempionāts (MK885)</t>
  </si>
  <si>
    <t>Papildus vecākās grupas rudens nometne</t>
  </si>
  <si>
    <t>Nepieciešamas telpas treniņu organizēšanai (par šo summu samazināta v/a telpu nomas izdevumi, jo abas nodaļas papildus īrēs zāli)</t>
  </si>
  <si>
    <t>Augušas dalības maksas (federācijas noteiktās)</t>
  </si>
  <si>
    <t xml:space="preserve">Klāt vēl viena grupa </t>
  </si>
  <si>
    <t>Lielajām grupām papildus starptautiskās sacensības (MK885)</t>
  </si>
  <si>
    <t>Papildus organizējam vietējās sacensības - ietaupam transporta pakalpojumus)</t>
  </si>
  <si>
    <t>Klāt starptautiskās sacensības (MK885)</t>
  </si>
  <si>
    <t xml:space="preserve">Klāt vēl 2 grupas </t>
  </si>
  <si>
    <t>Klāt vēl vienas sacensības</t>
  </si>
  <si>
    <t>(MK885)</t>
  </si>
  <si>
    <t xml:space="preserve"> 56 izglītojamie, kuriem ir 18 gadi un saskaņā ar MK 594 ir jānodrošina padziļinātā veselības pārbaude, kura vienam sportistam maksā EUR 74 </t>
  </si>
  <si>
    <t xml:space="preserve">Izglītojamo obligātās veselības pārbaudes. </t>
  </si>
  <si>
    <t>No EKK2239</t>
  </si>
  <si>
    <t>Jāuzpilda 2x gadā</t>
  </si>
  <si>
    <t>Darbinieku veselības apdrošināšana</t>
  </si>
  <si>
    <t>Žlūziju remonts</t>
  </si>
  <si>
    <t xml:space="preserve">Līgums ar SIA "Juva S" , "Saracēni" </t>
  </si>
  <si>
    <r>
      <rPr>
        <i/>
        <sz val="8"/>
        <color rgb="FF000000"/>
        <rFont val="Arial"/>
        <family val="2"/>
      </rPr>
      <t xml:space="preserve">Skolas solas saņemtais maksājums 2023./2024.g. 1 semestrim ir </t>
    </r>
    <r>
      <rPr>
        <i/>
        <sz val="8"/>
        <color rgb="FFFF0000"/>
        <rFont val="Arial"/>
        <family val="2"/>
      </rPr>
      <t>14484,76 euro</t>
    </r>
  </si>
  <si>
    <t>Pedagogu studiju maksas kompensēšana</t>
  </si>
  <si>
    <t>Potenciāli 1 students/darbinieks</t>
  </si>
  <si>
    <t xml:space="preserve">Medicīniski optisko redzes korekcijas līdz. (briļļu) iegāde </t>
  </si>
  <si>
    <t>Mk noteikumi Nr. 494 (obligātās veselības pārbaudes)    20 darbinieki x 25 EUR</t>
  </si>
  <si>
    <t>Veselības apdrošināšana (200.00 x 20)</t>
  </si>
  <si>
    <t xml:space="preserve">Kursi </t>
  </si>
  <si>
    <t>Rakstāmpapīrs, biroja preces, kancelejas piederumi</t>
  </si>
  <si>
    <r>
      <rPr>
        <i/>
        <sz val="8"/>
        <color rgb="FF000000"/>
        <rFont val="Arial"/>
        <family val="2"/>
      </rPr>
      <t>Higiēnas preces, mazgāšanas līdzekļi</t>
    </r>
    <r>
      <rPr>
        <b/>
        <i/>
        <sz val="8"/>
        <color rgb="FFC00000"/>
        <rFont val="Arial"/>
        <family val="2"/>
      </rPr>
      <t xml:space="preserve"> </t>
    </r>
  </si>
  <si>
    <t>Mācību līdzekļi un materiāli atbalsts</t>
  </si>
  <si>
    <t xml:space="preserve">Ziedi un to izstrādājumi, rezerve. </t>
  </si>
  <si>
    <t>Āra nojume, tents "Zvaigzne"</t>
  </si>
  <si>
    <t xml:space="preserve">Tika sabojāta vētras laikā </t>
  </si>
  <si>
    <t>Bērnu un jauniešu Dziesmu un deju svētku novada kolektīvu skates organizēšanai tāme Nr.33</t>
  </si>
  <si>
    <t>!Pārcelts no 0930 budžeta (L.Anspoka)!</t>
  </si>
  <si>
    <t>Erasmus+  projekta Nr. 2023-1-LV01-KA121-SCH-000130985</t>
  </si>
  <si>
    <t>Nordplus projekta Nr. NPJR-2023/10344 ““Career Choice to Change the World”</t>
  </si>
  <si>
    <t>09826</t>
  </si>
  <si>
    <t>09826 - Projekts "Nordplus Junior" Carnikava pamatskola</t>
  </si>
  <si>
    <t>Projekts Nordplus Junior</t>
  </si>
  <si>
    <t>Children of the Green world (A.Brinkmane)</t>
  </si>
  <si>
    <t xml:space="preserve"> “Personu mobilitātes mācību nolūkos” Skolu izglītības sektora aktivitātē KA121 23. gada projekts</t>
  </si>
  <si>
    <t>60.00*12 ( 6 pieslēgumi)</t>
  </si>
  <si>
    <t>Pieaugums sakarā ar interneta ātruma palielināšanu no 100 uz 300 Mb/s</t>
  </si>
  <si>
    <t>LMT ( 6 pieslēgumi)</t>
  </si>
  <si>
    <t xml:space="preserve">151 Tet SIA Sakaru pakalpojumi 10/19  </t>
  </si>
  <si>
    <t>Elektrība</t>
  </si>
  <si>
    <t>SIA "Eco Baltia vide", līgums Nr.D76351-00</t>
  </si>
  <si>
    <t>26,82 1m3 +PVN (4.4x26,82=118x52izvešanas =6136+PVN=7450)</t>
  </si>
  <si>
    <t>Skolēnu nogādāšana izglītības iestādē 1.-4.kl.</t>
  </si>
  <si>
    <t>Skolēnu ekskurijas</t>
  </si>
  <si>
    <t>Autobusu transporta pakalpojumi sporta sacensībām, konkursiem, deju skatēm, utt.</t>
  </si>
  <si>
    <t>Pieaugums, jo skatot mēnešu griezumā lielāka summa mēnesī (novembrī) 1995,80 eur</t>
  </si>
  <si>
    <t>38 klašu kompelkti x 300 eur</t>
  </si>
  <si>
    <t>Līgumā uz abām skolā 78000 uz diviem gadiem. 39000 gadā uz VSK un SS. Katram 19500 (11400+8100)</t>
  </si>
  <si>
    <t>Fasādes logu mazgāšana</t>
  </si>
  <si>
    <t>Ēkas pagaidu energoefektivitātes sertifikāta atjaunošana</t>
  </si>
  <si>
    <t>401,17eur(PVN iekļauts) x12=4815,- eur gadā</t>
  </si>
  <si>
    <t>1100,- eur apkalpošana + 250 eur neatkarīgais eksperts 1x gadā</t>
  </si>
  <si>
    <t>Lifta un pacēlāja apkope (1100 EUR apkalpošana + neatkar.eksp. pārbaude 250 EUR) "Kone lifti" JUR 2019-07/600 līdz 31.07.2024</t>
  </si>
  <si>
    <t>Ventilācijas sistēmas uzturēšana un apkalpošana (Moduls Engineering) JUR2023-09/1065, līdz 2024.09</t>
  </si>
  <si>
    <t>Ventilācijas sistēmas trubu pārbaudes (uz tīrību) audits,tīra1x5gados</t>
  </si>
  <si>
    <t>Trubas jātīra 1x5.gaods (ugunsdrošība). Pati tīrīšana izmaksā dārgi, tāpēc veic auditu, lai saprastu - cik daudz un vai vispār jātīra.</t>
  </si>
  <si>
    <t>NORVIKO paklāju noma JUR 2023-05/542, līdz 2025.g.1.aug.</t>
  </si>
  <si>
    <t>Iekšējo un ārējo elektrotīklu apkalpošana (EUR 181.50 mēn./līguma summa 2711.50). SIA "Leģenda Gold" JUR 2022-11/1194, līdz 2023.g.31.dec.</t>
  </si>
  <si>
    <t xml:space="preserve"> 2000+10%=2200</t>
  </si>
  <si>
    <t>Darbinieku veselības apdrošināšana (200 EUR *??? Darbinieki)</t>
  </si>
  <si>
    <t>Nav nekas ielikts</t>
  </si>
  <si>
    <t>SIA "Ūdensnesējs Serviss". Siltummezglu tehniskā apkope EUR 27+PVN/ mēnesī . JUR 2023-01/61, līdz 2024.g.2.febr.</t>
  </si>
  <si>
    <t>Apdrošināšana (Ēku)</t>
  </si>
  <si>
    <t>27+PVN=32,67x12mēn =392,04</t>
  </si>
  <si>
    <t xml:space="preserve">Skolas servera un datortīkla uzturēšnas izdevumi. </t>
  </si>
  <si>
    <t>Ūdens iekārtas statīva īre, SIA"Venden" (EUR 9,68 mēn.) Līgums Nr.0103970025.</t>
  </si>
  <si>
    <t>Taburetes ēdamzālei 55eur+pvn x 190.gab.</t>
  </si>
  <si>
    <t>Tāfeles cirkulis BB450, Linex (matemātika) 5 gab</t>
  </si>
  <si>
    <t>Komplekts pulksteņa iepazīšanai, Linex  (matemātika) 2 gab</t>
  </si>
  <si>
    <t>Izglītības komplekts reizināšanas tabulas apguvei (matemātika) 10 gab</t>
  </si>
  <si>
    <t>Caurules hromatiskais komplekts BOOMWHACKERS BW-CG (mūzika) 3 gab</t>
  </si>
  <si>
    <t>Laternas ( Ziemassvētki) (nofromējums) 5 gab</t>
  </si>
  <si>
    <t>Dokumentu kamera (dažādi)  2 gab</t>
  </si>
  <si>
    <t>Emociju termometrs (atbalsta komanda)</t>
  </si>
  <si>
    <t>Norobežojošā siena  (atbalsta komanda) 10 gab</t>
  </si>
  <si>
    <t>Skaņas slāpēšanas austiņas  (atbalsta komanda) 5 gab</t>
  </si>
  <si>
    <t>Vigvami  (atbalsta komanda) 10 gab</t>
  </si>
  <si>
    <t>TROFAST
plauktu kombinācija ar kastēm, 99x44x94 cm, baltā krāsā  (atbalsta komanda)</t>
  </si>
  <si>
    <t>Paklājs psihologa kabinetam  (atbalsta komanda)</t>
  </si>
  <si>
    <t xml:space="preserve">Degvielai un remontam - dārza tehnikai </t>
  </si>
  <si>
    <t>Maskas mediķiem, bērniem.</t>
  </si>
  <si>
    <t xml:space="preserve"> Ādažu vidusskolas sākumskolas 1.-4. klašu viena skolēna pusdienu ēdināšana: 926 x 1.15 x 22 x 8 (pašvaldības finansējums). </t>
  </si>
  <si>
    <t>Mācību materiāli sākumskolai (atbalsta komanda)</t>
  </si>
  <si>
    <t>Mācību materiāli sākumskolai (bibliotēka)</t>
  </si>
  <si>
    <t>Mācību materiāli sākumskolai (dizains un tehnoloģijas)</t>
  </si>
  <si>
    <t>Mācību materiāli sākumskolai (vizuālā māksla)</t>
  </si>
  <si>
    <t>Mācību materiāli sākumskolai (pārējie priekšmeti)</t>
  </si>
  <si>
    <t>Mācību materiāli sākumskolai (kopīgām vajadzībām)</t>
  </si>
  <si>
    <t>Konditorija</t>
  </si>
  <si>
    <t>daiļliteratūra literatūra</t>
  </si>
  <si>
    <t>Portatīvā tumba (āra un iekštelpu sporta aktivitāšu, un ne tikai, veikšanai)</t>
  </si>
  <si>
    <t>Interaktīvie ekrāni 65"  Esošajam displejam ir matricas bojājums, remonts izmaksā dargāk par jauna displeja iegādi, garantija beigusies. Interaktīvais ekrās mūzikas kabinetam.</t>
  </si>
  <si>
    <t>Dārza tehnikas iegādei  - (Raideris), zāles pļaušana, sniega tīrīšana.</t>
  </si>
  <si>
    <t>Saskaņots ar CKS</t>
  </si>
  <si>
    <t>JUR 2023-09/1045 (gadā 3000,00)+ 2 potenciālie darbinieki</t>
  </si>
  <si>
    <t>Veselības apdrošināšana 200,00 eur  * 210 (~ darbinieku skaits)</t>
  </si>
  <si>
    <t>70 *12 (7 pieslēgumi)</t>
  </si>
  <si>
    <t>LMT mobilo sakaru pakalpojumi</t>
  </si>
  <si>
    <t>Izglītības Sistēmas SIA , Skolvadības sistēmas"e-klase" nodrošināšana</t>
  </si>
  <si>
    <t>52,03 eur * 12</t>
  </si>
  <si>
    <t>LMT interneta sakaru pakalpojums</t>
  </si>
  <si>
    <t>478 eur *12 (internets (optika))</t>
  </si>
  <si>
    <t>2862 kubi x2.83 (ūdens/kanalizācija) +pvn +10% = 10780</t>
  </si>
  <si>
    <t>423Mw/h (5.gadu vidējais patēriņš) x  281 eur,- (prognoze) = 118863,- +10%=130749,-</t>
  </si>
  <si>
    <r>
      <rPr>
        <sz val="8"/>
        <color rgb="FF000000"/>
        <rFont val="Arial"/>
        <family val="2"/>
      </rPr>
      <t>SIA "Eco Baltia vide". Līgums</t>
    </r>
    <r>
      <rPr>
        <i/>
        <sz val="8"/>
        <color rgb="FF000000"/>
        <rFont val="Arial"/>
        <family val="2"/>
      </rPr>
      <t xml:space="preserve"> Nr.D76351-00</t>
    </r>
    <r>
      <rPr>
        <sz val="8"/>
        <color rgb="FF000000"/>
        <rFont val="Arial"/>
        <family val="2"/>
      </rPr>
      <t>. Augšot tarifs, plānots nodot dienasgaismas lampas. ~EUR 625/mēn</t>
    </r>
  </si>
  <si>
    <t>Skolēnu nogādāšana izglītības iestādē  5.-12.kl (+ 10.-12.kl.)</t>
  </si>
  <si>
    <t>3100,00 *10</t>
  </si>
  <si>
    <t>Neregulārie transporta pakalpojumi, ekskursijas</t>
  </si>
  <si>
    <t>Līgumā uz abām skolā 78000 uz diviem gadiem. 39000 gadā uz VSK un SS. Katram 19500</t>
  </si>
  <si>
    <t>E-talonu iegāde</t>
  </si>
  <si>
    <t>Obligātās pirmreizējās un periodiskās veselības pārbaudes</t>
  </si>
  <si>
    <t xml:space="preserve">Arodārsti </t>
  </si>
  <si>
    <t xml:space="preserve">Medicīniski optisko redzes korekcijas līdz. (briļļu) iegāde. </t>
  </si>
  <si>
    <t>MK noteikumi 447 (250 darbinieki * 25,00)</t>
  </si>
  <si>
    <t>Līdz  25 darbiniekiem izmanto briļļu kompensāciju 25*200,00</t>
  </si>
  <si>
    <t>SIA "PROFILAKSE" - deratizācija, 02-20.1/23/111.</t>
  </si>
  <si>
    <t>Dalības maksa programmā MOT</t>
  </si>
  <si>
    <t>Darbinieku profesionālā pilnveide, dalība konkursos</t>
  </si>
  <si>
    <t>Kafijas pauzes semināros</t>
  </si>
  <si>
    <t>Apliecības un atestāti  SIA Plūsma</t>
  </si>
  <si>
    <t xml:space="preserve">Bērnu, jauniešu un vecāku žurijas pasakuma noslēgums </t>
  </si>
  <si>
    <t>Skolas noformēšanai uz svētkiem</t>
  </si>
  <si>
    <t>Datorklases iekārtošana (skolēnu skaita palielinājums)</t>
  </si>
  <si>
    <t>Klases telpas iekārtošana datorikas apmācībai (datu tīkla, elektroapgādes ierīkošana).</t>
  </si>
  <si>
    <t>Ūdens drenāžas izbūve D korpusa pagrabstāvā.</t>
  </si>
  <si>
    <t>Divu āra apgaismes stabu nomaiņa, tai skaitā elektrisko kabeļu pārvilkšana. Viens C korpusa galā (rotaļu laukumā) un otrs virtuves piegādes zonā. Stipri sagāzušies.</t>
  </si>
  <si>
    <t>Zibens novedēja kontūra atjaunošana. ĀVS apkures ēkai</t>
  </si>
  <si>
    <t>Grīdas lamināta maiņa 117.kab un aizskatuve 3.st.</t>
  </si>
  <si>
    <t>Betona grīdas izlīdzināšana un linoleja ieklāšana (Telpa 21. un 22.darbmācība - 70.un 50.kv.m =110kv.m. 6eur/kv.m  izlīdzināšana +12eur/kv.m. linolejs + 4.8eur./kv.m linol. ieklāšana. =2500,- )</t>
  </si>
  <si>
    <t>Ir tāme. Stipra lietus laikā applūst pagrabstāvs, jāliek lielāka drenāža</t>
  </si>
  <si>
    <t>Ir tāme.</t>
  </si>
  <si>
    <t>Ir tāme</t>
  </si>
  <si>
    <t>117.kab. 86 kv/m + 27kv.m (aizsskatuve) =113kv.m x 7.35darbs/kv.m x 15eur/kv.m(lamināts) = 2525,55eur</t>
  </si>
  <si>
    <t>Telpa 21. un 22. 110kv.m - grīdas seguma atjaunošana (koka grīda pēc applūšanas pelē un pūst).</t>
  </si>
  <si>
    <r>
      <rPr>
        <sz val="8"/>
        <color rgb="FF000000"/>
        <rFont val="Arial"/>
        <family val="2"/>
      </rPr>
      <t xml:space="preserve">Apsardze un apsardzes signalizāciju sistēmu apkalpošana, SIA "G4S" EUR 145.40 (ar PVN)/ mēnesī. </t>
    </r>
    <r>
      <rPr>
        <i/>
        <sz val="8"/>
        <color rgb="FF000000"/>
        <rFont val="Arial"/>
        <family val="2"/>
      </rPr>
      <t>JUR 2022-10/1159,</t>
    </r>
    <r>
      <rPr>
        <sz val="8"/>
        <color rgb="FF000000"/>
        <rFont val="Arial"/>
        <family val="2"/>
      </rPr>
      <t xml:space="preserve"> līdz 31.03.2024</t>
    </r>
  </si>
  <si>
    <t>iekārtu rezerves daļām un remontiem</t>
  </si>
  <si>
    <t>neparedzētie izdevumi</t>
  </si>
  <si>
    <t>skolas perimetrs (āra teritorija), aktu zāle, aplis.</t>
  </si>
  <si>
    <t xml:space="preserve">Ugunsdzēsības aparātu skapīšu nomaiņa, drošības uzlīmes u.tml. </t>
  </si>
  <si>
    <t xml:space="preserve">Videonovērošans sistēmas apkalpošana, uzturēšana, jaunu kameru uzturēšana. </t>
  </si>
  <si>
    <t>Maināmo paklāju noma SIA "Norviko" līgums, JUR2023-05/542, līdz 2025.g.1.aug.</t>
  </si>
  <si>
    <r>
      <rPr>
        <sz val="8"/>
        <color rgb="FF000000"/>
        <rFont val="Arial"/>
        <family val="2"/>
      </rPr>
      <t xml:space="preserve">Elektrosistēmu uzturēšanai. Līgums par elektrotīklu apkalpošanu SIA "Leģenda Gold", </t>
    </r>
    <r>
      <rPr>
        <i/>
        <sz val="8"/>
        <color rgb="FF000000"/>
        <rFont val="Arial"/>
        <family val="2"/>
      </rPr>
      <t>JUR 2022-11/1194</t>
    </r>
    <r>
      <rPr>
        <sz val="8"/>
        <color rgb="FF000000"/>
        <rFont val="Arial"/>
        <family val="2"/>
      </rPr>
      <t>, līdz 2023.g. 31.dec.  EUR 900+PVN x12.</t>
    </r>
  </si>
  <si>
    <t>Ādažu vidusskolas ēkas tehniskā stāvokļa atzinums</t>
  </si>
  <si>
    <t>plus 10%</t>
  </si>
  <si>
    <t>Saskaņā ar Izglītības iestāžu digitalizācijas projekta līgumu, jāveic datortehnikas apdrošināšana.</t>
  </si>
  <si>
    <r>
      <rPr>
        <sz val="8"/>
        <color rgb="FF000000"/>
        <rFont val="Arial"/>
        <family val="2"/>
      </rPr>
      <t xml:space="preserve">Siltummezglu apkalpošana un remonts. SIA "Ūdensnesējs serviss" EUR 27*PVN*12=392,04 + neparedzēto darbu fonds 3925,62 +PVN=4750,- </t>
    </r>
    <r>
      <rPr>
        <i/>
        <sz val="8"/>
        <color rgb="FF000000"/>
        <rFont val="Arial"/>
        <family val="2"/>
      </rPr>
      <t>JUR 2023-01/61</t>
    </r>
    <r>
      <rPr>
        <sz val="8"/>
        <color rgb="FF000000"/>
        <rFont val="Arial"/>
        <family val="2"/>
      </rPr>
      <t>, līdz 2024.g.2.febr.</t>
    </r>
  </si>
  <si>
    <r>
      <rPr>
        <sz val="8"/>
        <color rgb="FF000000"/>
        <rFont val="Arial"/>
        <family val="2"/>
      </rPr>
      <t xml:space="preserve">Ventilācijas sistēmas apkalpošna - SIA "Moduls Enerineerin" - apkalpošana 1962.66 eur,- remontiem 2420,- eur </t>
    </r>
    <r>
      <rPr>
        <i/>
        <sz val="8"/>
        <color rgb="FF000000"/>
        <rFont val="Arial"/>
        <family val="2"/>
      </rPr>
      <t>JUR2023-09/1065</t>
    </r>
    <r>
      <rPr>
        <sz val="8"/>
        <color rgb="FF000000"/>
        <rFont val="Arial"/>
        <family val="2"/>
      </rPr>
      <t>, līdz 2024.09.</t>
    </r>
  </si>
  <si>
    <t xml:space="preserve">SIA "Ūdensnesējs Serviss" gāzes saimniecības apkakpošana 02.02.2020-01.02.2021. Līguma summa ĀVSK EUR 4'958,60+PVN=5'999,91. </t>
  </si>
  <si>
    <r>
      <rPr>
        <sz val="8"/>
        <color rgb="FF000000"/>
        <rFont val="Arial"/>
        <family val="2"/>
      </rPr>
      <t xml:space="preserve">„Mesh Energopārvaldība” Mesh BMS vadības sistēmas apkalpošanas nodrošināšana </t>
    </r>
    <r>
      <rPr>
        <i/>
        <sz val="8"/>
        <color rgb="FF000000"/>
        <rFont val="Arial"/>
        <family val="2"/>
      </rPr>
      <t>JUR 2023-02/161</t>
    </r>
  </si>
  <si>
    <t xml:space="preserve">Kristiskā stāvoklī !!! </t>
  </si>
  <si>
    <t>Skolas mājas lapas atjaunošana (dati jāmigrē uz jaunāku sistēmas versiju, dizaina uzlabošana, maiņa)</t>
  </si>
  <si>
    <t>ascTimetables stundu sarakstu veidošanas programma</t>
  </si>
  <si>
    <t>Komutators</t>
  </si>
  <si>
    <t xml:space="preserve">Darba apģērbs mediķiem </t>
  </si>
  <si>
    <t>Galdi un krēsli C korpusa 2. stāva klasēm 150 komplekti</t>
  </si>
  <si>
    <t>ģeometrisko figūru komplekts 15 gab (matemātika)</t>
  </si>
  <si>
    <t>Matu fēns 20 gab (peldēšana)</t>
  </si>
  <si>
    <t>micro:bit BBC sākuma komplekts (dizains un tehnoloģijas)</t>
  </si>
  <si>
    <t>Piederumu komplekts micro:bit mikrodatoram  (dizains un tehnoloģijas)</t>
  </si>
  <si>
    <t>Šujmašīna (Dizains un teh. meitenēm)</t>
  </si>
  <si>
    <t>Auss modelis (dabaszinātņu)</t>
  </si>
  <si>
    <t>Galvas smadzeņu modelis (dabaszinātņu)</t>
  </si>
  <si>
    <t>Modeļu komplekts Nr.1 (15 gab) (dabaszinātņu)</t>
  </si>
  <si>
    <t>Modeļu komplekts nr.2 (15 gab) (dabaszinātņu)</t>
  </si>
  <si>
    <t>Demonstrējumu komplekts ''Dabaszinību procesi''   (dabaszinātņu)</t>
  </si>
  <si>
    <t>Rokas cietmuguzāģis 24 gab (dizains un tehn zēni)</t>
  </si>
  <si>
    <t>Stacionārā urbjmašīna 2 gab (dizains un tehn zēni)</t>
  </si>
  <si>
    <t>Figūrzāģi 16 gab (dizains un tehn zēni)</t>
  </si>
  <si>
    <t>Virpošanas kaltu kompl. 2 gab (dizains un tehn zēni)</t>
  </si>
  <si>
    <t>Koka virpa 2 gab (dizains un tehn zēni)</t>
  </si>
  <si>
    <t>Kokgriezēju kaltiņi  16 kompl (dizains un tehn zēni)</t>
  </si>
  <si>
    <t>Laminēšanas aparāts A3 (administrācija)</t>
  </si>
  <si>
    <t>datu tīkla nodrošināšana</t>
  </si>
  <si>
    <t>240.00*150=36000.00. Ja pirmsskola atbrīvo 2 stāvu, var izveidot 5 mācību klases!</t>
  </si>
  <si>
    <t>Elektriskie roku žāvētāji (6.gab.) Pagrabstāvs, pirms ēdnīcas</t>
  </si>
  <si>
    <t xml:space="preserve">Elektriskais roku žāvētājs. 6.gab. (Viena izmaksas ap 350eur +PNV) Pagrabstāvs - pirms ēdnīcas </t>
  </si>
  <si>
    <t>Inventārs, darbiniekiem, palīgstrādniekiem un apkopējām</t>
  </si>
  <si>
    <t>Deju kolektīviem</t>
  </si>
  <si>
    <t>Tautiskās blūzes  meitenēm (Rūta)</t>
  </si>
  <si>
    <t>Tautiskie krekli puišiem (Rūta)</t>
  </si>
  <si>
    <t>Ziedu vainagi (Rūta)</t>
  </si>
  <si>
    <t>Ja nebūs C 2. stāvs mācību klases (ja paliks pirmsskola)</t>
  </si>
  <si>
    <t>1961 mw/h (5.gadu vidējais gāzes patēriņš) x 95 eur (prognoze) =186295,- +10%=204924,-</t>
  </si>
  <si>
    <t>Depo. Remontiņi un saimniecības preces</t>
  </si>
  <si>
    <t>Higiēnas preces, mazgāšanas līdzekļi.</t>
  </si>
  <si>
    <t xml:space="preserve">Medicīniskās sejas maskas un dezinfekcijas līdzekļi Veselības punktam. </t>
  </si>
  <si>
    <t>Žalūzijas + plēves.</t>
  </si>
  <si>
    <t>Instrumentu asināšana un remonts</t>
  </si>
  <si>
    <t>Zinātniskie kalulatori</t>
  </si>
  <si>
    <t>Mācību līdzekļi dabaszinātņu katedrai</t>
  </si>
  <si>
    <t>Instrumenti un sagataves dizains un tehnoloģijas zēni, inženierzinības</t>
  </si>
  <si>
    <t>Mācību līdzekļi sporta katedrai</t>
  </si>
  <si>
    <t>Mācību līdzekļi matemātikas katedrai</t>
  </si>
  <si>
    <t>Datorium pakalpojums (attālinātās mācības)</t>
  </si>
  <si>
    <t xml:space="preserve"> 4.00 par skolēnu gadā 2138*4=8552</t>
  </si>
  <si>
    <t>Ja nav datorikas pedagogs (700,00 * 9)</t>
  </si>
  <si>
    <t>Cienasti</t>
  </si>
  <si>
    <t>Žetoni absolventiem</t>
  </si>
  <si>
    <t xml:space="preserve">Interaktīvā displejs 75 collas matemātikas un angļu val. kabinetos </t>
  </si>
  <si>
    <t>Portatīvais dators darbam ar programmvadāmajām mašīnām (dizains un tehn zēni)</t>
  </si>
  <si>
    <t>Interaktīvā displejs 75 collas C korpusa 2. stāva kabinetos (bērnudārza pārbūve) 5*3000.00=15000.00 EUR</t>
  </si>
  <si>
    <t>Ja C korpusa 2. stāva pirmsskolā ierīko klases</t>
  </si>
  <si>
    <t>Informatīvais panelis 2 gab. 65 collas (sienas stiprinājums un grīdas stiprinājums</t>
  </si>
  <si>
    <t xml:space="preserve">Darba stacija (dators+monitors+programmatūra) (komplekts 1000 EUR) KOPĀ~6. </t>
  </si>
  <si>
    <t>Skolēnu skaita palielinājums, jauna datora klase</t>
  </si>
  <si>
    <t xml:space="preserve">IZM piegādāto ChromeBook (IZM projekts datori 7-9 kl. skolēniem) uzglabāšanas, uzlādes skapji 5 gb. (32 datori vienā skapī). </t>
  </si>
  <si>
    <t>Gaismas dimmeris prožektoreiem aktu zālē</t>
  </si>
  <si>
    <t>Kombinētais zāģis (dizains un tehn zēni)</t>
  </si>
  <si>
    <t>Lentzāģis (dizains un tehn zēni)</t>
  </si>
  <si>
    <t>Ādažu vidusskolas ēkas A korpusa, savienojuma daļas starp korpusiem (A un B), kā arī, vidusskolas centrālās daļas, tai skaitā torņa fasādes atjaunošana.</t>
  </si>
  <si>
    <t>Ādažu vidusskolas ēkas C korpusa otrā stāva tualešu pārbūve (bērnudārza pārbūve)</t>
  </si>
  <si>
    <t>Atlikušo četru ventilācijas iekārtu uzstādīšana Ādažu vidusskolas mācību klasēm, korpusu savienojuma daļās, kā arī, D korpusam. 1., 2. un 3. stāvs. (tai skaitā griestu un gaismekļu nomaiņa, gan klasēs, gan gaiteņos).</t>
  </si>
  <si>
    <t xml:space="preserve">Ugunsdrošība. Vizualizācijas programmas ierīkošana, ātrākai reaģēšanai un uzgunsdrošības trauksmi. (iekļauts viss - no programmēšanas līdz datortehnikai un apmācībām) </t>
  </si>
  <si>
    <t xml:space="preserve">B. korpusa siltināšana iezmaksāja ap 433000,- eur. 433000x2=866000,- </t>
  </si>
  <si>
    <t>B. korp. ventilācija izmaksāja 250000,-PVN t.s.(3.iekārtas) 1. iek 83333 x 4=340000+25%=425000,-</t>
  </si>
  <si>
    <t>Šo vajag obligāti.</t>
  </si>
  <si>
    <t>Skaļrunis ar mikrofonu (teātra pulciņiem, Baltgaile Vaira) 2.gab</t>
  </si>
  <si>
    <t xml:space="preserve">SIA LMT   EUR 9.70*1.21*12*22 Telefons, interneta pieslēgums lai apsekošanā izmantotu programmas </t>
  </si>
  <si>
    <t>Pasta izdevumi ~ EUR 230/mēnesī</t>
  </si>
  <si>
    <t>Deputāti IKSS komitejā nolēma , ka katram jubilāram apaļā jubilejā no 7o. Gadu vecuma nosūtāma apsveikuma kartiņa un iesniegums. Gadā 700 jubilāri+ SD negatīvo lēmumu nosūtīšana</t>
  </si>
  <si>
    <t>Sociālie dzīvokļi</t>
  </si>
  <si>
    <t>Kora SAKNES koncerts " Rainis. Brauns. Čaks. Mūžibas skartie" (koncerts Ādažos)</t>
  </si>
  <si>
    <t>Kora SAKNES jubilejas koncerts. Pavadošā mūziķu grupa</t>
  </si>
  <si>
    <t>Darbinieku apdrošināšana (200EUR*7darb.)</t>
  </si>
  <si>
    <t>Pēc koplīguma- briļļu vai apdrošināšanas polises iegādei</t>
  </si>
  <si>
    <t xml:space="preserve">VZD kadastra maksas </t>
  </si>
  <si>
    <t xml:space="preserve">Vizītkartes </t>
  </si>
  <si>
    <t>Nepieciešams 1 telefons</t>
  </si>
  <si>
    <r>
      <rPr>
        <i/>
        <sz val="8"/>
        <color rgb="FFFF0000"/>
        <rFont val="Arial"/>
        <family val="2"/>
        <charset val="186"/>
      </rPr>
      <t>Murziņa</t>
    </r>
    <r>
      <rPr>
        <i/>
        <sz val="8"/>
        <color rgb="FF7030A0"/>
        <rFont val="Arial"/>
        <family val="2"/>
        <charset val="186"/>
      </rPr>
      <t xml:space="preserve"> 80l*1,3*12</t>
    </r>
  </si>
  <si>
    <r>
      <rPr>
        <i/>
        <sz val="8"/>
        <color rgb="FFFF0000"/>
        <rFont val="Arial"/>
        <family val="2"/>
        <charset val="186"/>
      </rPr>
      <t>Švarce</t>
    </r>
    <r>
      <rPr>
        <i/>
        <sz val="8"/>
        <color rgb="FF7030A0"/>
        <rFont val="Arial"/>
        <family val="2"/>
        <charset val="186"/>
      </rPr>
      <t xml:space="preserve"> 100l*1,3*12</t>
    </r>
  </si>
  <si>
    <r>
      <rPr>
        <i/>
        <sz val="8"/>
        <color rgb="FFFF0000"/>
        <rFont val="Arial"/>
        <family val="2"/>
        <charset val="186"/>
      </rPr>
      <t>Randa</t>
    </r>
    <r>
      <rPr>
        <i/>
        <sz val="8"/>
        <color rgb="FF7030A0"/>
        <rFont val="Arial"/>
        <family val="2"/>
        <charset val="186"/>
      </rPr>
      <t xml:space="preserve">  80*1,3*12</t>
    </r>
  </si>
  <si>
    <t>biroja galds ar pacelšanas mehānismu + 1 biroja krēsls (jāmaina)</t>
  </si>
  <si>
    <t>Ortega - toneru uzpilde</t>
  </si>
  <si>
    <t>No EKK5238 - pēc faktiskās izpildes</t>
  </si>
  <si>
    <t xml:space="preserve">Kursi, semināri 24h EUR 105*22. Likuma noteiktas - 24h kursi un 10 supervīzijas 21*33*10 </t>
  </si>
  <si>
    <t xml:space="preserve">Aprūpes plānošanas sistēmas APSis, kas ievērojami paātrinās klientu izvērtēšanas procesu un datu saglabāšanu sistēmā.435,6*12 </t>
  </si>
  <si>
    <t xml:space="preserve">Remonts SD telpās Garā ielā 20, kabineta sadalīšana, starpsienas izveidošana </t>
  </si>
  <si>
    <t>Ugunsdzēšamo aparātu iegāde un apkope Ādadži 200 EUR  Carnikava 200 EUR</t>
  </si>
  <si>
    <t>Apsardze un apsardzes signalizāciju sistēmu apkalpošana,,, AS G4S Latvia'' EUR 40.97 (ar PVN)/ mēnesī. Rezerves fonds neparedzētajiem darbiem 500 EUR</t>
  </si>
  <si>
    <t>Šis turpmāk zem EKK 2264</t>
  </si>
  <si>
    <t>AS Norviko. Paklāju un dvieļu maiņa. EUR 16.25/mēn. Rezerve EUR 200*3</t>
  </si>
  <si>
    <t>Līgums par elektrotīklu pakalpošanu SIA Leģenda Gold EUR 48,40 (ar PVN)*12=580,80 + remontiem EUR 200.</t>
  </si>
  <si>
    <r>
      <t xml:space="preserve">Apdrošināšanu, ko pērk dome zem EKK 2247, šo daļu no šejienes atņēmu. </t>
    </r>
    <r>
      <rPr>
        <i/>
        <sz val="8"/>
        <color rgb="FF7030A0"/>
        <rFont val="Arial"/>
        <family val="2"/>
        <charset val="186"/>
      </rPr>
      <t>EUR 2000 uz EKK 2247</t>
    </r>
  </si>
  <si>
    <t>Briļļu iegāde,apdrošināšana pēc koplīguma - EUR 200*21</t>
  </si>
  <si>
    <t xml:space="preserve">SIA "Ādažu slimnīca" Telpu īre (2019-04/271) no 01.04.2019. EUR 5*197,1kvm+PVN. 1079.32*12  EUR 12951.84) </t>
  </si>
  <si>
    <t>Komunālie zem komun. EKK</t>
  </si>
  <si>
    <t>PSIA "Ādažu slimnīca" par telpām soc. Dienestam</t>
  </si>
  <si>
    <t xml:space="preserve">Kancelejas preces. Ādaži 700 EUR, Carnikava 700 EUR </t>
  </si>
  <si>
    <t xml:space="preserve">Papīrs Ādaži 400 EUR, Carnikava 400 EUR </t>
  </si>
  <si>
    <t>Visās pozīcijās milzīga rezerve, salīdzinot ar faktisko izpildi.</t>
  </si>
  <si>
    <t>Samazināts</t>
  </si>
  <si>
    <t>Papīrgriezējs 2 gb</t>
  </si>
  <si>
    <t>Tējkanna EUR 85 Ādaži, Tējkanna Carnikava 85 EUR</t>
  </si>
  <si>
    <t>Apaļais galds Carnikava</t>
  </si>
  <si>
    <t>Metāla dokumentu skapis</t>
  </si>
  <si>
    <t>Vad.pieļaujamais limits 50 l/mēnesī =&gt; ~EUR 78*12 ;2 vietnieki pieļaujamais limits 30 l/mēnesī  ~EUR 94*12</t>
  </si>
  <si>
    <t>Neparedzēti izdevumi</t>
  </si>
  <si>
    <t>Šis zem EKK 2314</t>
  </si>
  <si>
    <t>Reprezentācijas materiāli , jauno specializēto darnīcu atklāšana, SD 30 gadu jubileja 9.jūnijā</t>
  </si>
  <si>
    <t>Ādažu novada domes 2023. gada 24. maija ,,Iniciatīvas projektu finansēšanas kārtība Ādažu novada pašvaldībā'' EUR 15'000.</t>
  </si>
  <si>
    <t>Printeris</t>
  </si>
  <si>
    <t>Mēbeles</t>
  </si>
  <si>
    <t>Nāk ar čekiem, šāda summa ir plānota, balstoties uz 2023.gada faktu un, ņemot vērā prognozi. 2024.gadā Maznodrošināto līmenis pirmajai personai mājsaimniecībā nepārsniedz 549 euro un pārējām personām 384 euro.</t>
  </si>
  <si>
    <t>Pabalsts patstāvīgas dzīves uzsākšanai 376 euro, personām ar invaliditāti kopš bērnības 411 euro.   Pabalsts ikmēneša izdevumiem bārenim - mācību iestādes audzēknim  150 euro mēnesī, personām ar invaliditāti  kopš bērnības 206 euro mēnesī.  Vienreizējs pabalsts sadzīves priekšmetu un mīkstā inventāra iegādei  1050 euro, katru mēnesi Mājokļa pabalsts.</t>
  </si>
  <si>
    <t xml:space="preserve"> SN Par pašvaldības pabalstiem aizbildņiem un audžuģimenēm Pabalsts viena bērna uzturam audžuģimenē mēnesī ir – 465 euro, Pabalsts viena bērna uzturam pie aizbildņa mēnesī ir – 210 euro</t>
  </si>
  <si>
    <t>Transporta izdevumu kompensācijas augstskolu studentiem, profesionālās izglītības mācību iestāžu izglītojamiem un skolēniem, kā arī nodarbinātības pasākumos iesaistītajiem.</t>
  </si>
  <si>
    <t xml:space="preserve"> SN Par atbalstu aprūpes vai kopšanas nodrošināšanai. Maksājam trūcīgajiem,maznodrošinātajiem invalīdiem un bērniem invalīdiem par aprūpi un kopšanu. Četri aprūpes līmeņi: 1) 53 EUR 2) 107 EUR 3)160 EUR 4)214 EUR . </t>
  </si>
  <si>
    <t>Pabalsti veselības aprūpei naturā (slimnīcu rēķini)</t>
  </si>
  <si>
    <t xml:space="preserve">SN Zupas virtuve </t>
  </si>
  <si>
    <t xml:space="preserve">No pašvaldības - bāriņtiesas lēmumu izpildīšana, vardarbība ģimenē utml. Viena bērna izņemšana 50 EUR dienā. </t>
  </si>
  <si>
    <t>1 bērns ievietots ilgstošas rehabilitācijas iestādē</t>
  </si>
  <si>
    <t>Uzbrauktuves ierīkošanai rezerve (ja paprasa)</t>
  </si>
  <si>
    <t>Dzīvokļa pabalsts pēc MK 809. noteikumiem jāsedz izdevumi atbilstoši izmaksām (dzīvokļa pabalstu maksājam tikai natūrā, izņemot gadījumus, kad rēķins apmaksāts no personīgajiem līdzekļiem)</t>
  </si>
  <si>
    <t>30% atmaksa no LM 30'000</t>
  </si>
  <si>
    <t xml:space="preserve"> SN Par aprūpes mājās pakalpojumu pieaugušajiem</t>
  </si>
  <si>
    <t xml:space="preserve">SN Par aprūpes mājās pakalpojumu bērniem invalīdiem (prognozēti papildus 90 000 EUR) </t>
  </si>
  <si>
    <t>Pansionāti. Jāatstāj rezerve , jo  pansionātos jāievieto bieži 2024.visiem ievērojams cenas  paaugstinājums sakarā ar izmaksu sadārdzinašanos .</t>
  </si>
  <si>
    <t>Rehabilitācijas pakalpojumi bērniem ar invaliditāti, ped med komisiju pēc SN 50% 107 EUR mēnesī, psihologs, ja neizmanto SD nodrošināto psihologu</t>
  </si>
  <si>
    <t>Rūpju bērns 27.42 EUR dienā, Mālpils 32.19 EUR dienā Pielikums Nr 1</t>
  </si>
  <si>
    <t>Draudze " Zilais krusts" īslaicīgas nakts patversmes vai Sarkanais Krusts šobrīd ir līgums par 2 klientiem Pielikums Nr 1</t>
  </si>
  <si>
    <t>Psihologa paklpojumi.  2024.gadā var paaugstināties pakalpojuma maksa</t>
  </si>
  <si>
    <t>Represētie - brauciens uz Ikšķili uz represēto salidojumu, pasākumi utml. 800 EUR Ādaži, 800 EUR Carnikava</t>
  </si>
  <si>
    <t>Rezerve maznodrošinātajiem</t>
  </si>
  <si>
    <t xml:space="preserve"> SN Par pabalstu apbedīšanai 100EUR, ja nav no VSSA -500 EUR</t>
  </si>
  <si>
    <t>Bērnu dzimšanas pabalsti saskaņā ar Domes SN,EUR 200 par bērnu, ja abi vecāki deklarēti, EUR 100, ja viens. Plānots ~uz 170 bērniem.</t>
  </si>
  <si>
    <t>SN Par pabalstiem bez materiālās situācijas izvērtēšanas(pabalsts bērniem invalīdiem un bērniem ar celiakiju 50 EUR) Planots palielināt uz 100</t>
  </si>
  <si>
    <t>SN Pensionāru sveikšana apaļās jubilejās (kliņģeris, puķes, kartiņa). 2024.gadā ~ 620 cilvēki*20=12400 EUR 1*300 100gadnieks 620 *Kartiņa + pasta izdevumi=1674</t>
  </si>
  <si>
    <t>Pabalsts bērniem invalīdiem un ar ped.med kom. par pakalpojumiem (logopēds , montesori 107 EUR mēnesī )</t>
  </si>
  <si>
    <t>Ziemassvētku pabalsts natūrā 25 EUR ,400 personas *25=10000</t>
  </si>
  <si>
    <t>Ziemassvētku paciņa bērniem natūrā 6 EUR ,200 personas</t>
  </si>
  <si>
    <t>Pabalsts transporta pakalpojumu izmantošanai līdz 150/plānots 300 EUR gadā personām ar pārvietošanās grūtībām</t>
  </si>
  <si>
    <t>SN Par pabalstu aizgādņiem 30 EUR apmērā</t>
  </si>
  <si>
    <t xml:space="preserve"> SN (prognozēti papildus 8 000 EUR) Par braukšanas maksas atvieglojumiem sabiedriskajā transportā 10 braucieni/mēnesī Ādažu teritorijā. </t>
  </si>
  <si>
    <t xml:space="preserve">Daudzbērnu ģimenes pabalsts EUR 50,00 apmērā bērniem no 7-24 g.v.  </t>
  </si>
  <si>
    <t>Pabalsts par ēdināšanu 5.-9. klase1697 bērni 9 mēneši gadā</t>
  </si>
  <si>
    <t xml:space="preserve">Garantētā minimālā ienākuma pabalsti naudā Jauni MK noteikumi 2023 gadā GMI paaugstinājās no 109 uz 125 EUR </t>
  </si>
  <si>
    <t>2023.gada beigās beidzās iespēja saņemt DI rehabilitācijas pakalpojumus, kurus saņēma 100 bērni ar invaliditāti. 100*107*12=128 000</t>
  </si>
  <si>
    <t>Cenu pieaugums par pansionātu pakalpojumiem</t>
  </si>
  <si>
    <t>Pusdienu komplekts 4,00 EUR  15 DAC klienti un 5 spec darbnīcās</t>
  </si>
  <si>
    <t>Transporta līdzekļa nolietojums mēnesī 31,60</t>
  </si>
  <si>
    <t>Līgums Nr.Līgums nr. 1022179828, LMT pieslēgums 5 tālruņiem  klāt vēl (3 pieslēgumi darbnīcās), preses 6 izdevumi</t>
  </si>
  <si>
    <t>Aprēķins pēc patērētā iepriekšējā gadā</t>
  </si>
  <si>
    <t>Apēķins pēc patēriņa</t>
  </si>
  <si>
    <t>Mainītā siltā ūdens padeves pieslēgšnas kārtība (boilers)</t>
  </si>
  <si>
    <t>D76351-00 (JUR 2019-07/580)</t>
  </si>
  <si>
    <t>Divas ekskursijas gadā DAC klientiem</t>
  </si>
  <si>
    <t>Divas ekskursijas gadā DAC klientiem (nepieciešams lielākas ietilpības autobuss)</t>
  </si>
  <si>
    <t>Termināla nomas līlgums Nr. 2964/004</t>
  </si>
  <si>
    <t>Venden EUR 15,05/mēn</t>
  </si>
  <si>
    <t>Preses abonēšana</t>
  </si>
  <si>
    <t>Apmācības, meistarklases</t>
  </si>
  <si>
    <t>Kārtridžu uzpildīšana</t>
  </si>
  <si>
    <t>Silto smilšu apkopšanas līgums 290 EUR</t>
  </si>
  <si>
    <t>AS G4S apsardzes pakalpojumi (EUR 97,78/mēn), remontu rezerve EUR 300</t>
  </si>
  <si>
    <t xml:space="preserve">Remontu rezerve </t>
  </si>
  <si>
    <t>Līgums Nr.JUR 2023-09/1065</t>
  </si>
  <si>
    <t>Līgums Nr.JUR 2023-08/933</t>
  </si>
  <si>
    <t>Līgums Nr.JUR 2023-05/542</t>
  </si>
  <si>
    <t>ELIS iekārtu apkalpošanas līgums</t>
  </si>
  <si>
    <t>Paklāju noma uz EKK 2264</t>
  </si>
  <si>
    <t>Norviko, paklāju noma EUR 34,36/mēn</t>
  </si>
  <si>
    <t>Venden (27,83/mēn)</t>
  </si>
  <si>
    <t>Dezinfekcijas līdzekļi telpām, virsmām, rokām, tabletes trauku masīnai, švammes, lupatas, sāls un skalojamie līdzekļi, vienreiz lietojame cimdi, atkaļķošanas līdzekļi, 3 stacionārie kondicionieri (3x450 eiro) attiecināms arī uz darbnīcām</t>
  </si>
  <si>
    <t xml:space="preserve">Krāsainais printeris un kārtridži 4 printeriem </t>
  </si>
  <si>
    <t>EUR 381.15 (28.10.2023-27.10.2024)</t>
  </si>
  <si>
    <t>EUR 511.83 (28.10.2023-27.10.2024)</t>
  </si>
  <si>
    <t>EUR 2869.08 (28.10.2023-27.10.2024)</t>
  </si>
  <si>
    <t>EUR 386.6 (28.10.2023-27.10.2024)</t>
  </si>
  <si>
    <t>EUR 842.01 (28.10.2023-27.10.2024)</t>
  </si>
  <si>
    <t>Koplīguma dāvana darbiniekiem (likuma ietvaros) EUR 15*50</t>
  </si>
  <si>
    <r>
      <t xml:space="preserve">Briļļu  vai apdrošināšanas polišu iegāde, pēc koplīguma -EUR 200*50=10'000.( </t>
    </r>
    <r>
      <rPr>
        <i/>
        <sz val="8"/>
        <color rgb="FF7030A0"/>
        <rFont val="Arial"/>
        <family val="2"/>
        <charset val="186"/>
      </rPr>
      <t>EUR 1000 EKK 1227 (apdrošināšanas kompensācijas); EUR 5'000 EKK 1247 (darbinieku apdrošināšana)</t>
    </r>
  </si>
  <si>
    <t>Vizītkartes.</t>
  </si>
  <si>
    <t>Dzs; ADN</t>
  </si>
  <si>
    <t>LMT</t>
  </si>
  <si>
    <t>Jubilejas 5x300 =4500 EUR (darba gadi)</t>
  </si>
  <si>
    <t>Grāmatvedība. Pēc iepirkuma.</t>
  </si>
  <si>
    <t>LMT 15.87*12m</t>
  </si>
  <si>
    <t>Personas datu aizsardzības speciālista pakalpojumi</t>
  </si>
  <si>
    <t>Balstoties uz MK noteikumiem - rezerve OVP</t>
  </si>
  <si>
    <t>SIA "Transporta telemātikas sistēmas" terminālu apkope (MPOS) abiem VPVKAC</t>
  </si>
  <si>
    <t>Pašvaldību savienība - procentuāli (0,13%) daļa no vērtētajiem ieņēmumiem (NĪN+IIN). - pēc prognozes cipariem - 37'752'925*0.13%</t>
  </si>
  <si>
    <t>Auto mazgāšana SIA "KDV"un SIA "Auto rings"</t>
  </si>
  <si>
    <t>Tehnikas apkopes</t>
  </si>
  <si>
    <t>Elis paklāji Carnikavas administrācijas paklāji</t>
  </si>
  <si>
    <t>Zemes noma "Ķulleni", Meikšāne Rasma par zemes nomu, u.c.</t>
  </si>
  <si>
    <t>Venden SIA.~ EUR 35/mēn. (KAC+sekret+grāmatv.)</t>
  </si>
  <si>
    <t>Te mazāk un EKK 2239 (pie azpildes) vairāk</t>
  </si>
  <si>
    <t>Metāla stūra plaukts grāmatvedībai  Gaujas 33A https://online.depo.lv/product/153963</t>
  </si>
  <si>
    <t xml:space="preserve">Speciālā literatūra, ~ EUR 250 (civilprocess utml). </t>
  </si>
  <si>
    <t xml:space="preserve">Uzkodas </t>
  </si>
  <si>
    <t>6% palielinājums. Vadībai lielāks pieaugums, lai sasniegtu minimumu.</t>
  </si>
  <si>
    <t>6% algas palielinājums</t>
  </si>
  <si>
    <t>Civilās aizsardzības plāna izstrāde 2023.gadā.</t>
  </si>
  <si>
    <t>NORVIKO SIA paklāju noma un maiņa</t>
  </si>
  <si>
    <t xml:space="preserve"> (no 2023.gada beigām zem EKK 2264)</t>
  </si>
  <si>
    <r>
      <t xml:space="preserve">Saskaņā ar investīcijas plānu Ā16.1.1.3.1.) </t>
    </r>
    <r>
      <rPr>
        <i/>
        <sz val="8"/>
        <rFont val="Arial"/>
        <family val="2"/>
        <charset val="186"/>
      </rPr>
      <t xml:space="preserve">2023.gada noslēgtajā līgumā par transportlīdzekļa nomu tā piegādes termiņš ir deviņi mēneši no līguma noslēgšanas brīža. Līdz šim laikam transportlīdzeklis vēl nav piegādāts. Esošajiem transportlīdzekļiem Subaru Forester 2024.gadā būs jau desmit gadi kā tiek izmantots ĀNPP, un tā tehniskais stāvoklis ir tuvu kritiskajam. Transportlīdzeklis Nissan NV300 tiek izmantots 24/7 jau sešu gadu garumā (ĀNPP, tā dzinēja tehniskais stāvoklis ir vēl sliktāks. Abiem transportlīdzekļiem ir tādas tehniskas problēmas, ka jebkurā laikā tie var kļūt neizmantojami ilgākā laika periodā.  </t>
    </r>
  </si>
  <si>
    <t>Daļa no tīkla diska masīva klasificējas kā inventārs, tāpēc EIR 1'331 no EKK 5238 uz EKK 2312</t>
  </si>
  <si>
    <t>Dokumentu smalcinātāja iegāde</t>
  </si>
  <si>
    <t>EUR 141 no EKK 5238 uz EKK 2243 (videokameras nepārtrauktās barošanas avota iegāde (iepriekšējais nodega))</t>
  </si>
  <si>
    <t>EUR 2000 no EKK 5238 uz EKK 2239 - klaiņojošo dzīvnieku aprūoes nodrošināšanai.</t>
  </si>
  <si>
    <t>EUR 1000 no EKK 2390 uz EKK 2239 - klaiņojošo dzīvnieku aprūoes nodrošināšanai.</t>
  </si>
  <si>
    <t>EUR 5000 no EKK 5120 uz EKK 2350 (pārejot uz mobilajiem telefoniem papildus izmaksas).</t>
  </si>
  <si>
    <t>EUR 1000 no EKK 2350 uz EKK 2311 (kārtridžu iegāde</t>
  </si>
  <si>
    <t>Nemateriālo ieguldījumu izveidošana - datorprogramma nometņu/nodarbinātības reģistrācijas sistēma Tāme Nr.34</t>
  </si>
  <si>
    <t>Pārējās preces tāme Nr. 38</t>
  </si>
  <si>
    <t>Tet internets: Stacijas iela 5 - 640eur ar PVN/mēn.; Garā iela 20 - 158eur ar PVN/mēn.</t>
  </si>
  <si>
    <t>Nākamgad VoIP noslēdz!</t>
  </si>
  <si>
    <t>Gaujas iela 33A ; Internets Lattelecom 423,50eur ar PVN / mēn.</t>
  </si>
  <si>
    <t>Elektro drošība B kategorija, Drona lidošanas tiesības.</t>
  </si>
  <si>
    <t>Lūdzu pārnest uz 2024.gada budžetu!</t>
  </si>
  <si>
    <t>Microsoft Office 365 mākoņa pakalpojuma abonēšana (200 lic.) -16262,40eur ar PVN</t>
  </si>
  <si>
    <t>Papildus programmatūras licences (PDF Architect Pro; Canva for Team; Apple Final Cut Pro; Resolume Arena; Virtual DJ; Sound Track; DaVinci Resolve 18)</t>
  </si>
  <si>
    <r>
      <t xml:space="preserve">OSS Networks SIA Telefona centrāles apkalpošana, JUR 2018-06/440 </t>
    </r>
    <r>
      <rPr>
        <b/>
        <i/>
        <sz val="8"/>
        <color rgb="FFFF0000"/>
        <rFont val="Arial"/>
        <family val="2"/>
        <charset val="186"/>
      </rPr>
      <t>-Neparedzam nākamajam gadam!</t>
    </r>
  </si>
  <si>
    <t>NINO datu sinhronizācija ar VDEĀVK 3500eur bez PVN</t>
  </si>
  <si>
    <t>ZZ Dats - Gvedis papildinājums, EIS pirkums š.g. septembrī, 3388.00eur ar PVN -apmaksa 31.janvāris 2024.g.</t>
  </si>
  <si>
    <r>
      <t xml:space="preserve">Tīkla vadi un optikas SFP moduļi, Tīkla aktīvā aparatūra MikroTik (CN + AN). Cietie diski darbstacijām un serveriem, kā arī citas rezerves daļas. Flash atmiņas datu pārvietošanai iestādēm, Optiskie kompaktdiski (CD; DVD). U.t.t. </t>
    </r>
    <r>
      <rPr>
        <i/>
        <sz val="8"/>
        <color rgb="FFFF0000"/>
        <rFont val="Arial"/>
        <family val="2"/>
        <charset val="186"/>
      </rPr>
      <t>+baterijas visām struktūrvienībām, mobilo tel. aizsargstikli, vāciņi un lādētāji.</t>
    </r>
  </si>
  <si>
    <t>2023.gadā samazināts mobilo telefonu iegādei</t>
  </si>
  <si>
    <t>EUR 999 no EKK 1119 (vakance aprīlis) uz EKK 2390 (ievērojami pieaudzis vizīšu skaits - reprezentācijas materiāli)</t>
  </si>
  <si>
    <t>EUR 2999 no EKK 1119 (vakance jūnijs, jūlijs) uz EKK 2390 (ievērojami pieaudzis vizīšu skaits - reprezentācijas materiāli)</t>
  </si>
  <si>
    <t>EUR 93 no EKK 1119 uz EKK 2312 (krēsla iegādei)</t>
  </si>
  <si>
    <t>200 zem EKK 1228</t>
  </si>
  <si>
    <t>Likvidēta viena vakance</t>
  </si>
  <si>
    <t>1-am darbiniekam palielinājums virs 6%, lai sasniegtu minimumu.</t>
  </si>
  <si>
    <t>EUR 290 no EKK 2311 uz EKK 2312 (inventāra atjaunošana pēc applūšanas)</t>
  </si>
  <si>
    <t>Samazināts par 500, jo izpilde 04.11. EUR 21</t>
  </si>
  <si>
    <t>1 speciālists 20L* 1.9*12</t>
  </si>
  <si>
    <t>2023. nav iegādāts</t>
  </si>
  <si>
    <t>Šī summa atņemta no tā, kas zem EKK 1228, jo tur visiem EUR 200</t>
  </si>
  <si>
    <t>Šis zem EKK 5218</t>
  </si>
  <si>
    <t>EUR 125 no EKK 2239 uz EKK 2210 (telefona sarunu apmaksa)</t>
  </si>
  <si>
    <t>Pasākumi un ārtelpas izdaiļošana saistībā ar LV 20 gades dalību ES</t>
  </si>
  <si>
    <t>Monitors, galds</t>
  </si>
  <si>
    <t>No ekonomijas - uz EKK 2312 galda un monitora iegādei</t>
  </si>
  <si>
    <t>Te liela rezerve</t>
  </si>
  <si>
    <t>Podnieku zemes iegāde EUR 232'064 no Attīstības daļas budžeta 0630/EKK 5217 uz Nekustamo īpašumu nodaļu 0670/EKK 5214</t>
  </si>
  <si>
    <t>EUR 1'200 no EKK 2239 uz EKK 5239 (Koka elementu sauļošanās sols)</t>
  </si>
  <si>
    <t>Pārskaitīt EUR 8'445 CKS (no 0630/5240 uz 0645/7230) piekrastes projekta realizēšana</t>
  </si>
  <si>
    <t>EUR 220 no EKK 2243 uz EKK 2247 apdrošināšana dārgāka kā plānots</t>
  </si>
  <si>
    <t>EUR 10'040 no 0645/7230 uz 0643/2244 ēkas uzturēšanas izmaksas, kas attiecināms uz CKS</t>
  </si>
  <si>
    <t>Intelligent Systems SIA IS TD  iekārtu uzturēšana</t>
  </si>
  <si>
    <t>Rezerve, jo CKS 2x ielikta KC grīdas atjaunošana 2023.</t>
  </si>
  <si>
    <t>0632.6 AID Eiropas Bauhaus pieejas piemērošana sabiedrisko ēku pārveidošanai</t>
  </si>
  <si>
    <t>komandējumi projekta ietvaros</t>
  </si>
  <si>
    <t>Projekta ietvaros</t>
  </si>
  <si>
    <t>Metu konkurss</t>
  </si>
  <si>
    <t>Būvekspertīze</t>
  </si>
  <si>
    <t>Būvprojekta izstrāde (Attekas iela 41)</t>
  </si>
  <si>
    <r>
      <rPr>
        <i/>
        <sz val="8"/>
        <color rgb="FFFF0000"/>
        <rFont val="Arial"/>
        <family val="2"/>
        <charset val="186"/>
      </rPr>
      <t>Ielikts nodaļā 0632.6</t>
    </r>
    <r>
      <rPr>
        <i/>
        <sz val="8"/>
        <rFont val="Arial"/>
        <family val="2"/>
        <charset val="186"/>
      </rPr>
      <t xml:space="preserve"> - ĀNP 27.07.2022. lēmums Nr. 422</t>
    </r>
  </si>
  <si>
    <t xml:space="preserve"> LAD, Jūras Zeme “Atbalstīt ciemu un apkaimju publiskās infrastruktūras attīstību”</t>
  </si>
  <si>
    <t>EUR 12'942 priekšfinansējums, atgūsim EUR 10'128</t>
  </si>
  <si>
    <t>Brisele 6 naktis - vairāki braucieni</t>
  </si>
  <si>
    <r>
      <t>Šeit domājams, ka liela rezerve.</t>
    </r>
    <r>
      <rPr>
        <i/>
        <sz val="8"/>
        <rFont val="Arial"/>
        <family val="2"/>
        <charset val="186"/>
      </rPr>
      <t xml:space="preserve"> Samazināts</t>
    </r>
  </si>
  <si>
    <r>
      <rPr>
        <b/>
        <i/>
        <sz val="8"/>
        <rFont val="Arial"/>
        <family val="2"/>
        <charset val="186"/>
      </rPr>
      <t xml:space="preserve">Life CoHabit projekts noslēdzies </t>
    </r>
    <r>
      <rPr>
        <i/>
        <sz val="8"/>
        <rFont val="Arial"/>
        <family val="2"/>
        <charset val="186"/>
      </rPr>
      <t>- 1) EUR 18'000 no atlikuma uz TEP “Atjaunojamo energoresursu izmantošana Ādažu novadā” (EUCF) projektu priekšfinansējumam. (0632.5) Lēmums 164</t>
    </r>
  </si>
  <si>
    <t xml:space="preserve">Telefona sarunu kompensācija (7,95 EUR x 1,21 x 9 darbinieki x 12 mēneši) </t>
  </si>
  <si>
    <t>Papildus darbinieki.</t>
  </si>
  <si>
    <t>Darbinieku apdrošināšana (9*200)</t>
  </si>
  <si>
    <t>EUR 210 no EKK 2321 uz EKK 2243 (EKK korekcija)</t>
  </si>
  <si>
    <t>EUR 8'577 no 0645/7230 uz 0648/2243 siltummezglu apsaimniekošanas izmaksas, kas attiecināms uz CKS</t>
  </si>
  <si>
    <t>Palielinājums</t>
  </si>
  <si>
    <t>EUR 589 no EKK 2321 uz EKK 2247 (EKK korekcija)</t>
  </si>
  <si>
    <t>EUR 1204 no EKK 2321 uz EKK 2242 (EKK korekcija)</t>
  </si>
  <si>
    <t>EUR 7000 no EKK 2321 uz EKK 2512 (EKK korekcija)</t>
  </si>
  <si>
    <t>EUR 2'000 no EKK 2515 uz EKK 2512 (PVN)</t>
  </si>
  <si>
    <t>Skārienjūtīgais telefons Grāmatvedībai 9*300=2700</t>
  </si>
  <si>
    <t>Darba stāžs - 2 darbiniekiem naudas balvas</t>
  </si>
  <si>
    <t>Koplīguma dāvana darbiniekiem (likuma ietvaros) EUR 15*7</t>
  </si>
  <si>
    <t xml:space="preserve">Mobilai telefons LMT EUR 9.62/mēnesī </t>
  </si>
  <si>
    <t>2023. izpilde 0, samazināts</t>
  </si>
  <si>
    <t>Vai bija šādas izmaksas 2023.? Tikai AutoCad</t>
  </si>
  <si>
    <t>Reāli nav tik daudz vajadzīgs</t>
  </si>
  <si>
    <t>Zeme zem būvēm</t>
  </si>
  <si>
    <t>Siltumtrases nomaiņa Jūras iela 10</t>
  </si>
  <si>
    <t xml:space="preserve"> (Samazinājums -62%: apkure - 1'806'103 EUR; elektrība - 65'000 EUR)</t>
  </si>
  <si>
    <t xml:space="preserve"> (Samazinājums -53%: elektrība - 36'483 EUR)</t>
  </si>
  <si>
    <t>Pazemes ūdeņu atradnes pase "Carnikava"</t>
  </si>
  <si>
    <t xml:space="preserve"> (Samazinājums -51%: elektrība - 72'911 EUR; iekārtu remonts - 24'000 EUR)</t>
  </si>
  <si>
    <t xml:space="preserve"> (Samazinājums: apkure; elektrība; iekārtu remonts)</t>
  </si>
  <si>
    <t>EUR 20'000 - Siltumtrases nomaiņa Jūras iela 10
EUR 35'000 - Pazemes ūdeņu atradnes pase "Carnikava"</t>
  </si>
  <si>
    <t>8</t>
  </si>
  <si>
    <t>9</t>
  </si>
  <si>
    <t>11</t>
  </si>
  <si>
    <t>Anna AVOTIŅA stāžs 20gadi(01.02.2004)</t>
  </si>
  <si>
    <t>Anita SELECKA stāžs 30gadi(15.08.1994)</t>
  </si>
  <si>
    <t>Vera BLŪZMANE stāžs 20gadi(23.08.2004)</t>
  </si>
  <si>
    <t>Daina BORODUŠKA stāžs 30gadi(12.09.1994)</t>
  </si>
  <si>
    <t>Veselibas apdrošināšana (kompensācija). Vidēji 3 darbinieki/ gadā briļļu kompensācoja</t>
  </si>
  <si>
    <t>Veselibas apdrošināšana, ko kompensē (Vid 7 cilvēki/ gadā*200)</t>
  </si>
  <si>
    <t>LMT  EUR 30*12</t>
  </si>
  <si>
    <t>No 01.08.2019. SIA "Eco Baltia vide" JUR 2019-07/580~līdz 2025 g. (550 EUR/mēn.x12=6600 EUR pēc 2021.gada fakta)</t>
  </si>
  <si>
    <t>Ir samazinājušās izmaksas</t>
  </si>
  <si>
    <t>Obligātā veselības pārbaude(ik pēc 3gadiem atkārtoti)2023.g.44 darb*20eur=880eur</t>
  </si>
  <si>
    <t>2023.g.44 darb*20eur=880eur pēc fakta, arī nākamgad 44 darbiniekiem vajag OVP</t>
  </si>
  <si>
    <t>kopējo summu nrēķināju, nezinu, kuras sadaļas ies prom uzCKS</t>
  </si>
  <si>
    <t>, skatījos pēc izpildes VAI CKS?</t>
  </si>
  <si>
    <t>ir samazinājušās pakalpojuma izmaksas.</t>
  </si>
  <si>
    <t>no šī EKK nebija maksājumu Ortegai ??</t>
  </si>
  <si>
    <t>Līgums ar SIA „GREEN LINE SERVICE” LĪDZ 2024.GADA APRĪLIM veļas mazgāšana</t>
  </si>
  <si>
    <t>Paklāju tīrīšana grupiņās CKS</t>
  </si>
  <si>
    <t>CENU SADĀRDZINĀJUMS</t>
  </si>
  <si>
    <t>Apkārtnes koku un krūmu sakopšana CKS</t>
  </si>
  <si>
    <t>nepieciešams ārborista pakalpojums</t>
  </si>
  <si>
    <t>pēc līguma</t>
  </si>
  <si>
    <t>SIA "PROFILAKSE" 80x12=960 EUR gadā CKS</t>
  </si>
  <si>
    <t>SIA "SPA Servisa centrs" CKS</t>
  </si>
  <si>
    <t>darba apģērbs 2 strādnieki, 1 uzkopšanas darba organizators, CKS</t>
  </si>
  <si>
    <t>Vēsturisko ieejas 2 vārtu, 4 vārtiņu maiņa un 6 stabu remontsCKS</t>
  </si>
  <si>
    <t>Saimniecības vārtu maiņa</t>
  </si>
  <si>
    <t>vecie pie Skolas ielas sabojājušies, automātika nestrādā</t>
  </si>
  <si>
    <t>Terases balsta sienas remonts (pie 14. grupas)CKS</t>
  </si>
  <si>
    <t>netika veikts, jo nav skaidrs, kā veikt</t>
  </si>
  <si>
    <t>jādomā globāls risinājums, renovācija</t>
  </si>
  <si>
    <t>neparedzētiem remontdarbiem CKS</t>
  </si>
  <si>
    <t>pakalpojumu sadārzdinājums</t>
  </si>
  <si>
    <t>darbi tika veikti</t>
  </si>
  <si>
    <t>netika veikti, jo neatrada izpildītāju. Nākotnē darbi jāplāno kompleksi, pie renovācijas</t>
  </si>
  <si>
    <t>Garāžas jumta remonts, CKS</t>
  </si>
  <si>
    <t>multihalles 1 sienas apdare ar skaņu izolējošu materiālu( 65kv.m), CKS</t>
  </si>
  <si>
    <t>sadārdzinājums</t>
  </si>
  <si>
    <t>Kopētāju, printeru apkope remonts,  4 kopētāji+printeri.+ 17grupiņās</t>
  </si>
  <si>
    <t>SIA "SPA Servisa centrs"  , JUR 2023-07/842,baseina apkope/remonts- (EUR 5209,07 gadā)??CKS??</t>
  </si>
  <si>
    <t>remontiem paredzēta lielāka summa</t>
  </si>
  <si>
    <t>SIA "BIOR" - reizi mēnesī taisa analīzes. JUR 2022-02/199 Līdz 2024.G.24.02.( EUR 68,61x8+95,76x2=740,40 EUR). CKS?</t>
  </si>
  <si>
    <t>Ugunsdzēsības aparātu apkope SIA BUS Latvia UD   ??CKS?</t>
  </si>
  <si>
    <t>SIA FN SERVISS ūdens lūsmas mērīšana CKS?</t>
  </si>
  <si>
    <t>pēc izpildes</t>
  </si>
  <si>
    <t>Apsardze un apsardzes signalizāciju sistēmu apkalpošana, SIA "G4S" EUR 130eurx12=1560eur, jāparedz tehniķa vizīte apm300 eur (ar PVN)/ mēnesī.CKS?</t>
  </si>
  <si>
    <r>
      <t>AS "NORVIKO" maināmie paklāji</t>
    </r>
    <r>
      <rPr>
        <i/>
        <sz val="8"/>
        <color rgb="FFFF0000"/>
        <rFont val="Arial"/>
        <family val="2"/>
        <charset val="186"/>
      </rPr>
      <t xml:space="preserve"> </t>
    </r>
    <r>
      <rPr>
        <i/>
        <sz val="8"/>
        <rFont val="Arial"/>
        <family val="2"/>
        <charset val="186"/>
      </rPr>
      <t>JUR 2023-05/542 LĪDZ 2025.G.MAIJAM</t>
    </r>
  </si>
  <si>
    <t>rozetes, slēdži, daudzās vietās jāmaina, jāuzstāda no jauna. Nepieciešams vairāk līdzekļu</t>
  </si>
  <si>
    <t>tika veikti 2023.gadā</t>
  </si>
  <si>
    <t>automātisko kodu durvju apkalpošana(471 EUR), mehānisma remonts2 durvīm(355EUR)</t>
  </si>
  <si>
    <t>Pēc fakta. Mehānismi regulāri jāieļlo un jāparedz, ka kāds saplīsīs</t>
  </si>
  <si>
    <t>Grīdu vaskošana koridoros un 7 grupu garderobēs , kopā apt.576kv m</t>
  </si>
  <si>
    <t xml:space="preserve">iepriekš nebija paredzēti līdzekļi grupu vaskošanai, bet tas ir vajadzīgs, lai nodrošinātu ilgāku kalpošanu. </t>
  </si>
  <si>
    <t>parketa slīpēšana, lakošana 5 grupās un mazajā zālēun multihallē, kopā apt 618kvm</t>
  </si>
  <si>
    <t>nav nepieciešams veikt katru gadu</t>
  </si>
  <si>
    <t>Ēku apdrošināšana, balstoties uz 2023.gada cenu.</t>
  </si>
  <si>
    <t>Darbinieku apdrošināšana. (83-7)*EUR 200</t>
  </si>
  <si>
    <t>vairs nebūs fiksētais telefons</t>
  </si>
  <si>
    <t>jādarkompleksi, šobrīd nav jēgas</t>
  </si>
  <si>
    <t>ventilātors tvaika nosūcējam virtuvē(nolietojies)</t>
  </si>
  <si>
    <t>2023. gadā tik pabeigts</t>
  </si>
  <si>
    <t>pēc fakta vajag paredzēt vairāk jo jāmaina automātika katlam</t>
  </si>
  <si>
    <r>
      <t>SIA "Modulis Engineering" JUR 2023-09/1065 ventilācijas sistēmu  apkope:</t>
    </r>
    <r>
      <rPr>
        <i/>
        <sz val="8"/>
        <color rgb="FFFF0000"/>
        <rFont val="Arial"/>
        <family val="2"/>
        <charset val="186"/>
      </rPr>
      <t>413 EUR</t>
    </r>
    <r>
      <rPr>
        <i/>
        <sz val="8"/>
        <rFont val="Arial"/>
        <family val="2"/>
      </rPr>
      <t xml:space="preserve">  (bez PVN)līdz 2024.gada sept.</t>
    </r>
  </si>
  <si>
    <t>netika veikts, jo neatrada izpild, palieliām summu</t>
  </si>
  <si>
    <t>tiks izdarīts2023</t>
  </si>
  <si>
    <t>Ja netiks īstenots līdz gada beigām, tad vajadzēs šos līdzekļus</t>
  </si>
  <si>
    <t>Zemesgabala nomas līgums ar Ausmu Beķeri 256,12x12=3073,44 (2015.g.), 2016. g. EUR 400; 2021. - EUR 459,80 CKS???</t>
  </si>
  <si>
    <r>
      <t>SIA "Norviko"</t>
    </r>
    <r>
      <rPr>
        <sz val="8"/>
        <rFont val="Arial"/>
        <family val="2"/>
        <charset val="186"/>
      </rPr>
      <t>"</t>
    </r>
    <r>
      <rPr>
        <i/>
        <sz val="8"/>
        <rFont val="Arial"/>
        <family val="2"/>
        <charset val="186"/>
      </rPr>
      <t xml:space="preserve"> - apm.45 * 11, (roku dezinfektors, putu ziepes, gaisa atsv. - noma +preces)</t>
    </r>
  </si>
  <si>
    <t>sadārdzinājums pēc fakta</t>
  </si>
  <si>
    <t>17grupas*350(inventāra atjaunošana) invent. nodroš. =17 grupas*350+5%cenu pieaugums</t>
  </si>
  <si>
    <t xml:space="preserve"> Sienas skapis mazajā zālē krēslu un inventāra glabāšanai</t>
  </si>
  <si>
    <t>Zviedru siena multihallē, sporta aktivitātēm</t>
  </si>
  <si>
    <t>Rotaļlietu plaukti un mēbeles grupu labiekārtošanai (6., 9.,2.,3.gr)</t>
  </si>
  <si>
    <t xml:space="preserve">katru gadu plānojam nomainīt mēbeles grupās, jo daudzviet tās ir nolietojušās vai neatbilst standartiem. </t>
  </si>
  <si>
    <t>Skolotāju rakstāmgaldi, biroja krēsli (trīs grupās)</t>
  </si>
  <si>
    <t>Gultiņas 48X185 EUR (7. gr.)</t>
  </si>
  <si>
    <t>Nesakrīt aprēķins</t>
  </si>
  <si>
    <t>Apskaņošanas iekārta- tumbas un pults</t>
  </si>
  <si>
    <t>nolietojies inventārs, nekvalitatīva skaņa</t>
  </si>
  <si>
    <t xml:space="preserve">SIA"DEPO DIY" JUR 2020-03/293 līdz 04.03.2021 dažādas preces grupu vajadzībām  (17gr.×120eur). </t>
  </si>
  <si>
    <t>sadalīts ar CKS</t>
  </si>
  <si>
    <t>e-iepirkums saimniecības preces.352eur*17gr=5984.(baseins+ dez līdzekļi)135eur*11=1485</t>
  </si>
  <si>
    <t>vai šo uz CKS?</t>
  </si>
  <si>
    <t>Smilšu atjaunošana smilškastēs 17 gr.+5%cenu pieaugumsCKS???</t>
  </si>
  <si>
    <t>sadārdzinājums-</t>
  </si>
  <si>
    <t>nožogojums jaunākā vecuma bērnu grupās</t>
  </si>
  <si>
    <t>bērnu drošības jautājums</t>
  </si>
  <si>
    <t>šeit ir sadārdzinājums, jo tika izlīdzināts ar citām PII, rēķinot izmaksas uz 1 izglītojamo</t>
  </si>
  <si>
    <t xml:space="preserve"> SIA "Zvaigzne ABC"  - 67 EUR' grāmatām*17 grupas</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</si>
  <si>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2.70 mēnesī x210 izglītojamajiem 17  grupās:  EUR 650 x11 mēn=EUR 11050</t>
  </si>
  <si>
    <t>Nesakrīt aprēķins (650*11=7150)</t>
  </si>
  <si>
    <r>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300.00x17 grupām=</t>
    </r>
    <r>
      <rPr>
        <b/>
        <i/>
        <sz val="8"/>
        <rFont val="Arial"/>
        <family val="2"/>
        <charset val="186"/>
      </rPr>
      <t xml:space="preserve"> EUR 3300</t>
    </r>
  </si>
  <si>
    <t>pēc fakta JĀPRECIZĒ</t>
  </si>
  <si>
    <t>visi pasākumi netika realizēti</t>
  </si>
  <si>
    <t xml:space="preserve"> SIA "Vita market" JUR 2017-04/412 cienastiņu, pārtikas preču iegādei  EUR 300+5%cenu pieaugums</t>
  </si>
  <si>
    <t>preču sadārdzinājums</t>
  </si>
  <si>
    <t>krāsainais printeris atbalsta personālam, 3 printeri grupās</t>
  </si>
  <si>
    <t>portatīvie datori metodiķim, sporta skolotājam</t>
  </si>
  <si>
    <t>sniega pūtējs, CKS</t>
  </si>
  <si>
    <t>raiders ar uzkabēm(sniega pūtējs, slota, lāpsta), CKS</t>
  </si>
  <si>
    <t>lai atvieglotu sētnieka darbu ziemā</t>
  </si>
  <si>
    <t xml:space="preserve">ja šo pozīciju ņem, tad sniega pūtēju nevajag. </t>
  </si>
  <si>
    <t>CKS?</t>
  </si>
  <si>
    <t>ĀNP KA uz 31.12.2023</t>
  </si>
  <si>
    <t>no tiem, iezīmētiem mērķiem:</t>
  </si>
  <si>
    <t>1) ĀNP KA uz 31.12.2023</t>
  </si>
  <si>
    <t>2) CKS KA uz 31.12.2023</t>
  </si>
  <si>
    <t>Brīvais konta atlikums uz 31.12.2023</t>
  </si>
  <si>
    <t>Brīvais KA uz 31.12.2023</t>
  </si>
  <si>
    <t>KA uz 31.12.2024.</t>
  </si>
  <si>
    <t>APN</t>
  </si>
  <si>
    <t>Ikgadējs projekts</t>
  </si>
  <si>
    <t>Pastaigu taka gar Baltezera kanālu</t>
  </si>
  <si>
    <t>Pēc projekta realizācijas 2025.gadā saņems EUR10 128 no LAD finansējuma.</t>
  </si>
  <si>
    <t>0632.6</t>
  </si>
  <si>
    <t>LIFE NewBauhaus projekts</t>
  </si>
  <si>
    <t>ĀNP 28.12.2022. lēmums Nr. 598</t>
  </si>
  <si>
    <t>Krastupes ielas projekts</t>
  </si>
  <si>
    <t xml:space="preserve">ĀNP 26.07.2023. lēmums Nr.291; </t>
  </si>
  <si>
    <t>Jābūt pabeigtam 2023, bet drošībai pagaidām atstāšu vietu:)</t>
  </si>
  <si>
    <t xml:space="preserve">Būs jauns projekts </t>
  </si>
  <si>
    <t>Pakalpojumu infrastruktūras attīstība deinstitucionalizācijas plānu īstenošanai Ādažu novadā, 9.3.1.1/19/I/016 "Specializētās darbnīcas"</t>
  </si>
  <si>
    <t>Pakalpojumu infrastruktūras attīstība deinstitucionalizācijas plānu īstenošanai Ādažu novadā, 9.3.1.1/19/I/016 Pakalpojumi</t>
  </si>
  <si>
    <t>Konta atlikums, kas jāatskaita atpakaļ?</t>
  </si>
  <si>
    <t>Projekts noslēdzies?</t>
  </si>
  <si>
    <t>Carnikava pamatskola Projekts "Nordplus Junior"</t>
  </si>
  <si>
    <t>Speciāli aprīkotas policijas automašīnu iegāde (atbilstoši opertīvā transporta statusam)</t>
  </si>
  <si>
    <t>2023.gada noslēgtajā līgumā par transportlīdzekļa nomu tā piegādes termiņš ir deviņi mēneši no līguma noslēgšanas brīža. Līdz šim laikam transportlīdzeklis vēl nav piegādāts. Esošajiem transportlīdzekļiem Subaru Forester 2024.gadā būs jau desmit gadi kā tiek izmantots ĀNPP, un tā tehniskais stāvoklis ir tuvu kritiskajam. Transportlīdzeklis Nissan NV300 tiek izmantots 24/7 jau sešu gadu garumā ĀNPP, tā dzinēja tehniskais stāvoklis ir vēl sliktāks. Abiem transportlīdzekļiem ir tādas tehniskas problēmas, ka jebkurā laikā tie var kļūt neizmantojami ilgākā laika periodā.  </t>
  </si>
  <si>
    <t>Pielikums: 0812_Sporta pasākumi_komandas</t>
  </si>
  <si>
    <t>Pielikums: 0812_Subsīdija sportam</t>
  </si>
  <si>
    <t xml:space="preserve">Skolēnu apbalvošana par augstiem mācību sasniegumiem (apbalvošanas pasākums)
Tāme Nr.7 </t>
  </si>
  <si>
    <t>0930.2</t>
  </si>
  <si>
    <t>Jaunatnes nodaļa</t>
  </si>
  <si>
    <t>Skolēnu vasaras nodarbinātība - darba samaksa, tāme Nr. 1</t>
  </si>
  <si>
    <t>TN "Ozolaine"</t>
  </si>
  <si>
    <t>O.Vācieša literārā prēmija dzejā: prēmiju fonds (EUR1500) + apbalvošanas pasākums (EUR4000)</t>
  </si>
  <si>
    <t>!!! Prioritāte. Pamatojums pielikumā. Ekonomija par patērēto elektroenerģiju gada laikā būtu EUR10 000!</t>
  </si>
  <si>
    <t>VPDK Arnika - vīru Vidzemes tautas tērpu komplekts - Vidzemes pusmēteļi  12 gab (245 EUR x 12 gab)</t>
  </si>
  <si>
    <t>VPDK Arnika - vīru Vidzemes tautas tērpu komplekts - Vīriešu bikses  12 gab (75 EUR x 12 gab)</t>
  </si>
  <si>
    <t>JDK Abi divi jauna koncertuzveduma Zaļumballe tērpi - Sieviešu šņorzābaki  16 gab</t>
  </si>
  <si>
    <t>JDK Abi divi jauna koncertuzveduma Zaļumballe tērpi - Kostīmkleitu brunči 16 gab</t>
  </si>
  <si>
    <t>JDK Abi divi jauna koncertuzveduma Zaļumballe tērpi - Puišu nāģenes 16 gab</t>
  </si>
  <si>
    <t>Interneta tīkla sakārtošana</t>
  </si>
  <si>
    <t>Multihalles 1 sienas apdare ar skaņu izolējošu materiālu( 65kv.m), CKS</t>
  </si>
  <si>
    <t>Sniega pūtējs, CKS</t>
  </si>
  <si>
    <t>Lai atvieglotu sētnieka darbu ziemā</t>
  </si>
  <si>
    <t xml:space="preserve">Ja izvēlas šo pozīciju, tad sniega pūtēju nevajag. </t>
  </si>
  <si>
    <t xml:space="preserve">ĀVS sākumskola                                                                                                                                                      </t>
  </si>
  <si>
    <t>Interaktīvie ekrāni 65"  Esošajam displejam ir matricas bojājums, remonts izmaksā dargāk par jauna displeja iegādi, garantija beigusies. Interaktīvais ekrāns mūzikas kabinetam.</t>
  </si>
  <si>
    <t>Interaktīvie ekrāni / tāfeles kabinetiem, kuros tās nav.</t>
  </si>
  <si>
    <t>1. Uzsāktie projekti</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</si>
  <si>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</si>
  <si>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</si>
  <si>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</si>
  <si>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</si>
  <si>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</si>
  <si>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</si>
  <si>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24.05.2023. lēmums Nr.193</t>
  </si>
  <si>
    <t>Jurists (darbs ar parādniekiem); sezonas strādnieki; virpotājs; aizvietotājapkopējas; aizvietotāj ēku sargs</t>
  </si>
  <si>
    <t>Izdevumi par ūdeni un kanalizāciju (Gaujas iela 33A, Pirmā iela 42A, Gaujas iela 16,Stacijas iela 5, Stacijas iela 7, Garā iela 20, Jūras iela 4)</t>
  </si>
  <si>
    <t>Cena 150 EUR/MWh (2024.);  222/1kwh (2023.)</t>
  </si>
  <si>
    <t>Izdevumi par elektroenerģiju apsaimniekošanā nodotajās ēkās (Stacijas 5, Stacijas 7, Blusas, Garā iela 20, Jūras iela 4, sabiedriskās tualetes Carnikavā, Remontu angārs Jomas 5, Smilšu ielas stadions, C un B kapsētas, gaujas 33a, Gaujas 16,Pirmā 42, atpūtas taka dabas parkā Laivu )</t>
  </si>
  <si>
    <t>Bērnu laukumu ikgadējā pārbaude, pēcpārbaudes risku izvērtēšana (21)</t>
  </si>
  <si>
    <t>Ekspertu pakalpojumi (EKII projektam)</t>
  </si>
  <si>
    <t>Tāmēšanas pakalpojumi</t>
  </si>
  <si>
    <t>Energosertifikācija - Garā 20, Carnikava</t>
  </si>
  <si>
    <t>OVP (nav paredzēts iekļaut veselības apdrošināšanas kartē)</t>
  </si>
  <si>
    <t>Transporta aplīmēšana ar jauno novada logo</t>
  </si>
  <si>
    <t>Kulturas centra Gaujas iela 33A Zāles grīdas eļļošana</t>
  </si>
  <si>
    <t>Gaujas 33 koncertzāles sienu remonts un krāsošana</t>
  </si>
  <si>
    <t>Gaujas 33 Piekaramo griestu nomaiņa gaitenī pie rampas un aizskatuves tualetēs</t>
  </si>
  <si>
    <t>Gaujas 33 Griestu remonts un krāsošana hallē pie stikla sienas</t>
  </si>
  <si>
    <t>Gaujas  iela 33A ēkas kreisā spārna  jumta remonts virs Kultūras centra foajē</t>
  </si>
  <si>
    <t>Pirmā  iela 42 1.stāva telpu remonts</t>
  </si>
  <si>
    <t>Reģipša sienas un durvju ailes izbūe ar durvju uzst.Soc. dienesta kab. Garā 20</t>
  </si>
  <si>
    <t>Bērnu laukuma gumijotā klājuma remonts Līgo laukumā</t>
  </si>
  <si>
    <t>Apkures katlu tehniskā apkalpošana (Jūras iela 1A, Jūras iela 4, Garā iela 20, Cīruļu iela 10) SIA Mesako Līg. Nr. 02-20.1/22/57 Summa gadā ar PVN 21%</t>
  </si>
  <si>
    <t xml:space="preserve">Rezerve apkures katlu un siltumapgādes sitēmas avārijas remonts (Jūras iela 1A, Jūras iela 4, Garā iela 20,  Cīruļu iela 10, Kalngale) SIA Mesako Līg. Nr. 02-20.1/22/57 </t>
  </si>
  <si>
    <t>Gaujas iela 16 Apkures katla automātikas nonaiņa</t>
  </si>
  <si>
    <t>UGD signalizācijas sistēmas rekonstrukcija Gaujas 16</t>
  </si>
  <si>
    <t>Gaujas 33 Koncertzāles akustisko paneļu tehniskā stāvokļa izpēte un remonts</t>
  </si>
  <si>
    <t>Kafijas aparāta remonts</t>
  </si>
  <si>
    <t>Pašvaldības policija  Depo iela 2 ''Adaži - Ēkas uzkopšanas pakalpojuma Līgums Baltcleaner OU</t>
  </si>
  <si>
    <t>Logu mazgāšana no ārpuses un iekšpuses  Gaujas 16, Stacijas 5, Stacijas 7, Kultūras centrs Ozolaine, Garā 20, Pirmā 42A</t>
  </si>
  <si>
    <t>Elektrotīklu apkalpošana un remonts Carnikavas pagasts</t>
  </si>
  <si>
    <t>Polderu aizsargdambja bojājumu novēršana</t>
  </si>
  <si>
    <t>Darbaspēka izmaksu sadārdzinājums ( logu mazgāšana , grīdu vaskošana, mēbeļu ķīmiskā tīrīšana) uzkopšanas materiālu sadārdzinājums</t>
  </si>
  <si>
    <t>Tualešu skaits palielinās par 3 carnikavas pagastā (`23.g.-23 gb, `24.g.-27 gb) + vienreizējie pasākumi un Podnieku pludmale</t>
  </si>
  <si>
    <t>Cīruļu ielas 14 liepu kvalitatīva vainagošana (vainaga samazināšana par 20%) un kokiem veselīgāka sakopšana paveicama ar apmācītu arboristu palīdzību</t>
  </si>
  <si>
    <t>Kārklu stacijas sūkņu vadības programmatūras apkalpošana (paredzama summa 15 EUR/mēn bez PVN)</t>
  </si>
  <si>
    <t>HOP rēķinu modulis</t>
  </si>
  <si>
    <t>CANva Pro versijas abonēšanas maksa</t>
  </si>
  <si>
    <t>Video novērošanas kameras dalīti vākto atkritumu punktu pārkāpēju noteikšanai (8 gab)</t>
  </si>
  <si>
    <t>Cirkulācijas sūknis un boileris (Jomas iela 5, Carnikava)</t>
  </si>
  <si>
    <t>Biroja galdi, skapji, atvilkņu bloki, krēsli , krēlu paliktņi</t>
  </si>
  <si>
    <t>Instrumenti namdariem( akum. Skrūvgriezis, akum zobenzāģis, motorzāģis, 4 Makita akumulātori, Zemes urbis ar centrbēdzes sajūgu,urbji D80,D100, D125, D150)</t>
  </si>
  <si>
    <t>Veļas mašīna ( grīdas mopu mazgāšanai Stacijas 5 un Stacijas 7, Gaujas 16)</t>
  </si>
  <si>
    <t>Jomas elā 5 metāla darbgaldi</t>
  </si>
  <si>
    <t>Jomas elā 5 metāla garderobes skapji</t>
  </si>
  <si>
    <t>Jomas elā 5 virtuves mēbeles</t>
  </si>
  <si>
    <t>Mobilie telefoni 4 gb</t>
  </si>
  <si>
    <t>Sāls-smilts konteineri (300 l - 5 gb)</t>
  </si>
  <si>
    <t>Akumulatoru lapu pūtējs</t>
  </si>
  <si>
    <t>Pakāpeniski nomainīsim visas plastmasas pret metāla (tādas kā Ādažos)</t>
  </si>
  <si>
    <t>Viens lapu pūtējs ir no 2015.gada (Carnikavas kapos)</t>
  </si>
  <si>
    <t>Instrumentu k-ts,2gab.traktortehnikai,gaisa instruments-2gab</t>
  </si>
  <si>
    <t>Veco un bojāto nomaiņa, kā arī izvietošanai no jauna bīstamajās vietās atkalas laikā</t>
  </si>
  <si>
    <t>Efektīvākai darbu veikšanai, īpaši agrās rīta stundās</t>
  </si>
  <si>
    <t>Lielās talkas izdevumi</t>
  </si>
  <si>
    <t>Granulas Jomas 5</t>
  </si>
  <si>
    <t>Mazās dārza tehnikas (trimeri, pļaujmašīnas, raideri, komunālās tehnikas traktors ), kvadraciklu nodrošināšanai+ Baltezera kapi Līgums NR.02-20.1/23/88 ar VIADA Baltija AS</t>
  </si>
  <si>
    <t>Līgums NR.02-20.1/23/88 ar VIADA Baltija AS</t>
  </si>
  <si>
    <t>Apkures radiatori, cauruļvadi, termoregulātori, termogalvas Jomas ielas 5, Carnikava</t>
  </si>
  <si>
    <t>Materiāli (atkritumu maisi, atkritumu urnas, salvetes,saimniecības un higēnas instrumentu, ziemcietes, krūmi, vasaras ziedu stādi, lāpstas)</t>
  </si>
  <si>
    <t xml:space="preserve">Materiāli Rotaļu laukumu remontam un uzturēšanai. </t>
  </si>
  <si>
    <t xml:space="preserve">Materiāli Stacijas 5 kabinetu kosmētiskajam remontam </t>
  </si>
  <si>
    <t>Materiāli Gaujas 33A kabinetu kosmētiskajam remontam</t>
  </si>
  <si>
    <t>Novada infrastruktūras objektu remontam</t>
  </si>
  <si>
    <t>Gaujas iela 16 ēkas tehniskās uzturēšanas materiāli</t>
  </si>
  <si>
    <t>Pirmā iela 42 ēkas tehniskās uzturēšanas materiāli</t>
  </si>
  <si>
    <t>Stacijas iela 7 2.stāva telpu remonta materiāli (virtuves telpu izbūve un administratīvās komisijas telpas pārbūve)</t>
  </si>
  <si>
    <t>Depo iela 2, Ādaži, Pašvaldības policija tehniskās uzturēšanas materiāli</t>
  </si>
  <si>
    <t>Gaujas iela 13/15, Ādažu Soc. dienests tehniskās uzturēšanas materiāli</t>
  </si>
  <si>
    <t>Gaujas 33A Pašvaldības ēka tehniskās uzturēšanas materiāli</t>
  </si>
  <si>
    <t>Gaujas iela 10a,Ādaži, Ligo laukuma publiskā tualete tehniskās uzturēšanas materiāli</t>
  </si>
  <si>
    <t>Attekas iela 39, Ādaži, Ādažu nov. dienas aprūpes un rehabilitācijas centrs Ūdensroze Tehnoskā apkalpošana</t>
  </si>
  <si>
    <t>Ugunsdrošo durvju un ventkanāla izbūve Gaujas 16 katlu telpā.</t>
  </si>
  <si>
    <t>Stacijas tualetes telpu remonts(grīdu flīzēšana, griestu,sienu apdare)</t>
  </si>
  <si>
    <t>Reģipša sienas un durvju ailes izbūe ar durvju uzst.Izglītības nod.Stacijas 5</t>
  </si>
  <si>
    <t>Materiāli ceļa ierīkošanai jaunajos Kapos (Baltezera kapi)</t>
  </si>
  <si>
    <t>Zālāja sēkla 2000+ Minerālmēsli 1000 + laistīšanas uzgaļi 400</t>
  </si>
  <si>
    <t>.Akts Nr.4692 MKN Nr.238, a.p 85.3</t>
  </si>
  <si>
    <t>Soliņi (3 gb) Ādažos</t>
  </si>
  <si>
    <t>Stendi peldvietās (3 gb)</t>
  </si>
  <si>
    <t>Vides aizsardzības un reģionālās attīstības ministrijas sūtīto vēstuli Nr. 1-14/4903</t>
  </si>
  <si>
    <t>Akumulatora tipa putekļu sūcējs, bezvadu( 2 gab.)</t>
  </si>
  <si>
    <t xml:space="preserve"> 2 guļbaļķu galdi/soli ar jumtu Sidrabsaliņā, Gaujā</t>
  </si>
  <si>
    <t>Garā iela 20 kondicionieru uzstādīšana serveru telpā</t>
  </si>
  <si>
    <t>Telpu kombinētā uzkopšanas iekārta Garā iela 20</t>
  </si>
  <si>
    <t>Konteiners darbiniekiem Jomas iela 5</t>
  </si>
  <si>
    <t>Granulu apkures katls Jomas iela 5</t>
  </si>
  <si>
    <t>Zāles pļāvējs (Kalngalē )</t>
  </si>
  <si>
    <t>Lapu pūtējs lielais</t>
  </si>
  <si>
    <t>Akumulatoru pļaujmašīna ar akumulatoru un lādējamo ierīci</t>
  </si>
  <si>
    <t>Veļas mašīna un Žāvētājs darbiniekiem Pirmā iela 42</t>
  </si>
  <si>
    <t>Zāles smalcinātājs KIOTI.</t>
  </si>
  <si>
    <t>3-fāzu,karstā ūdens mazgātājs visam transportam</t>
  </si>
  <si>
    <t>Koplietošanas telpas -gaiteņi un klases, lielie kabineti</t>
  </si>
  <si>
    <t>Mūsu rīcībā ir 2014. un 2015. gadā iegādāti krūmgrieži, kuru fiziskais darba mūžs jau sen beidzies</t>
  </si>
  <si>
    <t>un Viens mazais motorzāģis (no 2015) un Benzīna motorzāģis ar garo sliedi Ādažos (kopā 3 gb)</t>
  </si>
  <si>
    <t>Esošais nolietots</t>
  </si>
  <si>
    <t>Lielo šūpoļu izgatavošana Lazdu ielā 11, Garkalnē</t>
  </si>
  <si>
    <t>Koku stādi (parastā liepa; parastā zirgkastaņa, āra vai sīklapu bērzs)</t>
  </si>
  <si>
    <t xml:space="preserve">Dubultā virsma </t>
  </si>
  <si>
    <t>Depo iela 0,185km, Ādaži</t>
  </si>
  <si>
    <t>Piparu ceļš 0.57km, Garkalne</t>
  </si>
  <si>
    <t>Ūbeļu ielā divkārtas virsmas apstrāde 0,92km, Kalngale</t>
  </si>
  <si>
    <t>Bērzu iela 0.29km, Ādaži</t>
  </si>
  <si>
    <t>Āpšu ielas 0.4km divkāršā virsmas apstrāde, Garciems</t>
  </si>
  <si>
    <t>Ežu ielas 0.15km divkāršā virsmas apstrāde, Garciems</t>
  </si>
  <si>
    <t>Pļavu iela 0.46km, Ādaži</t>
  </si>
  <si>
    <t>Lilastes ielas virsmas apstrāde posmā no dz. stacijas līdz Ziemeļu ielas</t>
  </si>
  <si>
    <t>Seguma atjaunošana - asfaltbetons</t>
  </si>
  <si>
    <t>Kalngales ietves seguma atjaunošana ietvei pie P1</t>
  </si>
  <si>
    <r>
      <t xml:space="preserve">Viršu ielas/atzars uz Sproģu ielu asfaltbetona seguma atjaunošana posmā no Dzērveņu ielas līdz Serģu iela (980 m) </t>
    </r>
    <r>
      <rPr>
        <b/>
        <i/>
        <sz val="8"/>
        <rFont val="Arial"/>
        <family val="2"/>
        <charset val="186"/>
      </rPr>
      <t>(ir būvprojekts)</t>
    </r>
  </si>
  <si>
    <r>
      <t xml:space="preserve">Dzirnupes ielas tilta pārbūve </t>
    </r>
    <r>
      <rPr>
        <b/>
        <i/>
        <sz val="8"/>
        <color rgb="FF000000"/>
        <rFont val="Arial"/>
        <family val="2"/>
        <charset val="186"/>
      </rPr>
      <t>jāprojektē</t>
    </r>
  </si>
  <si>
    <r>
      <t xml:space="preserve">Liepu aleja </t>
    </r>
    <r>
      <rPr>
        <b/>
        <i/>
        <sz val="8"/>
        <color rgb="FF000000"/>
        <rFont val="Arial"/>
        <family val="2"/>
        <charset val="186"/>
      </rPr>
      <t>(ir būvprojekts)</t>
    </r>
  </si>
  <si>
    <t>Gaujas iela 1,3km posmā no Kadagas tilta līdz Dadzīšu ielai</t>
  </si>
  <si>
    <r>
      <t xml:space="preserve">Ķiršu ielas pārbūve 0.17km </t>
    </r>
    <r>
      <rPr>
        <b/>
        <i/>
        <sz val="8"/>
        <color rgb="FF000000"/>
        <rFont val="Arial"/>
        <family val="2"/>
        <charset val="186"/>
      </rPr>
      <t>(ir būvprojekts)</t>
    </r>
  </si>
  <si>
    <r>
      <t xml:space="preserve">Krastupes ielas 0,75km pārbūve </t>
    </r>
    <r>
      <rPr>
        <b/>
        <i/>
        <sz val="8"/>
        <color rgb="FF000000"/>
        <rFont val="Arial"/>
        <family val="2"/>
        <charset val="186"/>
      </rPr>
      <t>jāprojektē</t>
    </r>
  </si>
  <si>
    <r>
      <t xml:space="preserve">Gājēju tuneļa zem dzlezceļa sliedēm Stacijas un Rožu ielas savienošanai izbūve </t>
    </r>
    <r>
      <rPr>
        <b/>
        <i/>
        <sz val="8"/>
        <rFont val="Arial"/>
        <family val="2"/>
        <charset val="186"/>
      </rPr>
      <t>(ir būvprojekts)</t>
    </r>
  </si>
  <si>
    <t>Stāvlaukuma izbūve Garā iela</t>
  </si>
  <si>
    <t>Kanāla iela posmā no Kanāla tiltam līdz Pērles ielai 0.35km</t>
  </si>
  <si>
    <r>
      <t xml:space="preserve">Pirmās ielas  II kārta ietve (0,2km) + stāvvietas +brauktuve 0,05km </t>
    </r>
    <r>
      <rPr>
        <b/>
        <i/>
        <sz val="8"/>
        <rFont val="Arial"/>
        <family val="2"/>
        <charset val="186"/>
      </rPr>
      <t>(ir būvprojekts)</t>
    </r>
  </si>
  <si>
    <r>
      <t xml:space="preserve">Pirmās ielas III kārta ietve 0.12km + brauktuve 0.13km (līdz Ziedu ielai) </t>
    </r>
    <r>
      <rPr>
        <b/>
        <i/>
        <sz val="8"/>
        <rFont val="Arial"/>
        <family val="2"/>
        <charset val="186"/>
      </rPr>
      <t>(ir būvprojekts)</t>
    </r>
  </si>
  <si>
    <t>Ārputnu ielas (daļēji pašu spēkiem) grants ceļa izbūve 0.45km</t>
  </si>
  <si>
    <r>
      <t xml:space="preserve">Mežaparka ceļs I kārta no A1 līdz Mežaparka ceļam 1,1km </t>
    </r>
    <r>
      <rPr>
        <b/>
        <i/>
        <sz val="8"/>
        <rFont val="Arial"/>
        <family val="2"/>
        <charset val="186"/>
      </rPr>
      <t>(ir būvprojekts)</t>
    </r>
  </si>
  <si>
    <r>
      <t xml:space="preserve">Mežaparka ceļs II kārta no A1 līdz Mežaparka ceļam 2,1km </t>
    </r>
    <r>
      <rPr>
        <b/>
        <i/>
        <sz val="8"/>
        <rFont val="Arial"/>
        <family val="2"/>
        <charset val="186"/>
      </rPr>
      <t>(ir būvprojekts)</t>
    </r>
  </si>
  <si>
    <r>
      <t xml:space="preserve">Ķiršu ielas II Lietus kanalizācijas atvade uz Vējupi </t>
    </r>
    <r>
      <rPr>
        <b/>
        <i/>
        <sz val="8"/>
        <rFont val="Arial"/>
        <family val="2"/>
        <charset val="186"/>
      </rPr>
      <t>(ir būvprojekts)</t>
    </r>
  </si>
  <si>
    <t xml:space="preserve">AM finansējums </t>
  </si>
  <si>
    <t>Satiksmes organizācija</t>
  </si>
  <si>
    <t>Satiksmes organizācijas uzlabošana (paskaidrojuma raksti, gājēju pārejas un to apgaismojums (Austrumu iela, Kadaga; Podnieku iela, Ādaži) utt.</t>
  </si>
  <si>
    <t>Autobusa pieturas paviljona uzstādīšana Siguļos pie A1</t>
  </si>
  <si>
    <t>Lietus kanalizācija</t>
  </si>
  <si>
    <t>Tirgus laukuma lietus kanalizācijas izbūve Ādažos</t>
  </si>
  <si>
    <t>Lietus kanalizācijas izbūve (paskaidrojuma raksti (Mežciema iela, Garciems; Cīruļu iela, Kalngale; Ķīvīšu iela, Kalngale; Stūrīšu iela, Ādaži utt.)</t>
  </si>
  <si>
    <t>Līdzfinansējums iedzīvotāju ielām/ceļiem</t>
  </si>
  <si>
    <t>Mežmalas iela 0.22km, Alderi</t>
  </si>
  <si>
    <t>Vēju iela 0,55km, Ādaži</t>
  </si>
  <si>
    <t>Dzirnupes ielas tilta projekts, Carnikava</t>
  </si>
  <si>
    <t>Vanagu iela 0.6km projektēšana (ar ietvi)</t>
  </si>
  <si>
    <t>Veco koka un metāla stabu maiņa Ādažu pag (Vējupes ielā – 3 gab, Kadagas ciemā – 12 gab. Garkalnes ciems – 12 gab, Ziedu iela – 4 gab, Parka iela – 4 gab)</t>
  </si>
  <si>
    <t>Rīgas gatves stabu un kabeļu maiņa (Metāla stabu nomaiņa – 3 gabIelu apgaismojuma kabeļlīnijas nomaiņa posmā no Draudzības ielas apļa līdz Gaujas ielas aplim. )</t>
  </si>
  <si>
    <t>Rūpnieku iela Carnikava 370m</t>
  </si>
  <si>
    <t>EKI</t>
  </si>
  <si>
    <t>nodot Sarmītei</t>
  </si>
  <si>
    <t xml:space="preserve">Ēkas Gaujas iela 16 pieslēgšana centrālizētajai apkures sistēmai </t>
  </si>
  <si>
    <t xml:space="preserve">Bērnu rotaļu atrakcijas Līgo laukuma Ādažos </t>
  </si>
  <si>
    <t>Bērnu rotaļu atrakcijas Carnikavas parkā</t>
  </si>
  <si>
    <t>Bērnu rotaļu atrakcijas Cīruļu ielā 8, Kalngalē</t>
  </si>
  <si>
    <t xml:space="preserve">BOMFORD 10m.izlices grāvju pļaujmašīna (pirmā iemaksa 14000 EUR, kopējā summa 82200 EUR) </t>
  </si>
  <si>
    <t>Stapriņu grāvja pārbūve (garums 5,822km)</t>
  </si>
  <si>
    <t>Mangaļu SS pārbūve</t>
  </si>
  <si>
    <t xml:space="preserve">Summā ir iekļauta  projektēšana, būvniecība, būvuzraudzība un autoruzraudzība. Esošā Mangaļu SS atrodas tehniski sliktā stāvoklī. Š.g. tika veikta avārijas sūkņa remonts, kas ir tikai pagaidu risinājums. Ilgi šī SS neidzīvos. </t>
  </si>
  <si>
    <t>Iepriekš izcirstā meža celmu izvākšana. Celmu un grunts utilizācija.</t>
  </si>
  <si>
    <t>Caurteku pārbūves Ādažu novadā</t>
  </si>
  <si>
    <t>Caurteku un drenāžu cauruļu skalošanas pakalpojumi</t>
  </si>
  <si>
    <t xml:space="preserve">Kā mēs redzam šajā gadā bija nepieciešams skalot gan drenāžas kolektorus Gredzenu ielā Ādažu pagastā, gan caurtekas Kalngalē un Gaujā Carnikavas pagastā. (skalošana izmaksā 1h- 121 eur.) Aprēķināju aptuveni summu uz 20h. </t>
  </si>
  <si>
    <t>Lokālu bebru aizsprostu likvidēšana un grāvju tīrīšanas pakalpojumi</t>
  </si>
  <si>
    <t>Šogad bija nepieciešams ņemt ārpakalpojumu, lai likvidētu 4 bebru aizsprostus uz Mežgarciema, Carnikavas pagasts, Ādažu novads, pašvaldības nozīmes koplietošanas novadgrāvja ar meliorācijas kad. Nr. 412322:16 pik. 06/00,
2.vieta - Carnikavas pagasts, Ādažu pagasts ceļš Garciems-Vilkukalni, koplietošanas novadgrāvis ar meliorācijas kadastra Nr. 412322:35 krustojumā ar susinātājgrāvi ar meliorācijas kadastra Nr. 412322:87,
3. un 4. vieta – Carnikava, Carnikavas pagasts, Ādažu novads, pašvaldības nozīmes koplietošanas novadgrāvis ar meliorācijas kad. Nr. 52112:1 pik.26/00 un 29/00 (Laveru poldera aizsargdambis D-1. Kā ar atsevišķu grāvju tīrīšanas darbi ir nepieciešami. Jo ar CKS pieejamo tehniku nevarēja to izdarīt.</t>
  </si>
  <si>
    <t>VW LT 46 hidromanipulatora kapitālais remonts</t>
  </si>
  <si>
    <t>Hidromanipuladota nolietojums</t>
  </si>
  <si>
    <t>Tiltu uzturēšana (18 gab.), atbilstoši tiltu inspekcijas tāmēm</t>
  </si>
  <si>
    <t xml:space="preserve">Minerālmateriāli </t>
  </si>
  <si>
    <t>2023.gadā samazināts algu fonds gada sākumā uz neaizpildīto vakanci</t>
  </si>
  <si>
    <t>Pieskaitīts pie CKS teritorijas kopšanas bāzes.</t>
  </si>
  <si>
    <t>Balstoties un 2023.gada faktisko izpildi.</t>
  </si>
  <si>
    <t>Nodokļa  palielinājumu veido Saistošajos noteikumos Nr.37/2021 noteiktās likmes:
1.ja nav deklarēta persona ēkā  - 1.5%;
2.ja deklarēta cita persona - 0.4%;</t>
  </si>
  <si>
    <t>Šo menedžē Laila, tad tas pie pārvaldes</t>
  </si>
  <si>
    <r>
      <t xml:space="preserve">ZZ Dats ar IT jomas attīstībai vismaz 10% apmērā 87 600,00 EUR (t.sk. PVN) - </t>
    </r>
    <r>
      <rPr>
        <sz val="9"/>
        <color rgb="FFFF0000"/>
        <rFont val="Arial"/>
        <family val="2"/>
        <charset val="186"/>
      </rPr>
      <t>pieliku tos 10% pie uzturēšanas summas.</t>
    </r>
  </si>
  <si>
    <t>NĪ valst kadastra info sit datu saņemšana.</t>
  </si>
  <si>
    <t>+25'000 ZZ Dats uzturēšana un uzlabojumi</t>
  </si>
  <si>
    <t xml:space="preserve">2023.gadā lielākā summa par mēnesi EUR 125. Uz šo brīdi iztērēti 2281 EUR </t>
  </si>
  <si>
    <r>
      <t>Šo vajadzētu caur apdrošināšanas polisi!</t>
    </r>
    <r>
      <rPr>
        <i/>
        <sz val="8"/>
        <rFont val="Arial"/>
        <family val="2"/>
        <charset val="186"/>
      </rPr>
      <t xml:space="preserve"> Jaunā apdrošināšanas polise to nesedz</t>
    </r>
  </si>
  <si>
    <r>
      <t xml:space="preserve">Atpakaļ no LM 3232. </t>
    </r>
    <r>
      <rPr>
        <i/>
        <sz val="8"/>
        <color rgb="FFFF0000"/>
        <rFont val="Arial"/>
        <family val="2"/>
        <charset val="186"/>
      </rPr>
      <t>2023.gadā ieņēmumos par supervīzijām EUR 20'900. Kāpēc 2024.gadā tik maz?</t>
    </r>
    <r>
      <rPr>
        <i/>
        <sz val="8"/>
        <rFont val="Arial"/>
        <family val="2"/>
        <charset val="186"/>
      </rPr>
      <t xml:space="preserve"> Šis zem EKK 2235! Man programmā redzams atpakaļ 2756 EUR un ir nedaudz mainījušie kompensēšanas noteikumi</t>
    </r>
  </si>
  <si>
    <r>
      <t>Neatradu, ka šis darīts 2023.gadā??</t>
    </r>
    <r>
      <rPr>
        <i/>
        <sz val="8"/>
        <rFont val="Arial"/>
        <family val="2"/>
        <charset val="186"/>
      </rPr>
      <t xml:space="preserve"> Šogad netika darīts, bet pacēlājiem apkopi reizēm vajag, C ir divi pacēlāji</t>
    </r>
  </si>
  <si>
    <r>
      <t xml:space="preserve">Kas šeit plānots?? </t>
    </r>
    <r>
      <rPr>
        <i/>
        <sz val="8"/>
        <rFont val="Arial"/>
        <family val="2"/>
        <charset val="186"/>
      </rPr>
      <t xml:space="preserve">2 pasākumi, muzikālais un telpu noformējums, kāds neliels cienasts un suvenīri </t>
    </r>
  </si>
  <si>
    <r>
      <t xml:space="preserve">Kādas te mēbeles plānotas? Kam?? </t>
    </r>
    <r>
      <rPr>
        <i/>
        <sz val="8"/>
        <rFont val="Arial"/>
        <family val="2"/>
        <charset val="186"/>
      </rPr>
      <t>SD Ādažu pusē trīs rakstāmgaldi, ja būs nepieciešams pārorganizēt kabinetus, lai manā lielajā kabinetā ieliktu trīs darba vietas, jo man ir vecais iebūvētais galds, kurš  aizņem daudz vietas,  bet var šo pozīciju pārcelt uz 1012</t>
    </r>
    <r>
      <rPr>
        <i/>
        <sz val="8"/>
        <color rgb="FFFF0000"/>
        <rFont val="Arial"/>
        <family val="2"/>
        <charset val="186"/>
      </rPr>
      <t>. Pārcelts uz 1012!</t>
    </r>
  </si>
  <si>
    <t>Kādas te mēbeles plānotas? Kam?? SD Ādažu pusē trīs rakstāmgaldi, ja būs nepieciešams pārorganizēt kabinetus, lai manā lielajā kabinetā ieliktu trīs darba vietas, jo man ir vecais iebūvētais galds, kurš  aizņem daudz vietas,  bet var šo pozīciju pārcelt uz 1012. Pārcelts uz 1012!</t>
  </si>
  <si>
    <r>
      <t>Kāpēc šeit plānojas 2x lielāka summa?</t>
    </r>
    <r>
      <rPr>
        <i/>
        <sz val="8"/>
        <rFont val="Arial"/>
        <family val="2"/>
        <charset val="186"/>
      </rPr>
      <t xml:space="preserve"> No š.g. 1.jūlija pabalsts neparedzamos krīzes gadījumos paaugstināts no 100 uz  300 EUR , ļoti grūti prognozējams pabalsts </t>
    </r>
  </si>
  <si>
    <r>
      <t xml:space="preserve">Kas šeit tiek plānots? Skat. Definīciju 1u rindu augstāk šim EKK. </t>
    </r>
    <r>
      <rPr>
        <i/>
        <sz val="8"/>
        <rFont val="Arial"/>
        <family val="2"/>
        <charset val="186"/>
      </rPr>
      <t>Te gāja Carnikavai skolēnu biļešu apmaksa - ņemam ārā</t>
    </r>
  </si>
  <si>
    <r>
      <t xml:space="preserve">Kāpēc tāds pieaugums??  </t>
    </r>
    <r>
      <rPr>
        <i/>
        <sz val="8"/>
        <rFont val="Arial"/>
        <family val="2"/>
        <charset val="186"/>
      </rPr>
      <t>Līgums ar Biedrību „Latvijas Samariešu apvienība” par aprūpes mājās pakalpojumu (turpmāk – pakalpojums) sniegšanu ir noslēgts 15.02.2022. un no parakstīšanas brīža tas ir spēkā 24 mēnešus. Salīdzinoši ar citām pašvaldībām izcenojums par pakalpojumu Ādažu novada pašvaldībai ir viens no zemākajiem.</t>
    </r>
    <r>
      <rPr>
        <i/>
        <sz val="8"/>
        <color rgb="FFFF0000"/>
        <rFont val="Arial"/>
        <family val="2"/>
        <charset val="186"/>
      </rPr>
      <t xml:space="preserve"> Ņemot vērā augstāk minēto un cenu kāpuma tendenci, var prognozēt, ka izsludinot jaunu iepirkuma procedūru, ir sagaidāms ievērojams aprūpes pakalpojuma sadārdzinājums.</t>
    </r>
  </si>
  <si>
    <r>
      <t xml:space="preserve">Kāpēc šeit tāds pieaugums?? </t>
    </r>
    <r>
      <rPr>
        <i/>
        <sz val="8"/>
        <rFont val="Arial"/>
        <family val="2"/>
        <charset val="186"/>
      </rPr>
      <t>Skat. 1. pielikumu 3 tabulu ,DAC Personām ar GRT pakalpojumu izmaksas 2024, atpakaļ  no LM  7085 EUR</t>
    </r>
  </si>
  <si>
    <t>Psihologam pieliku klāt 7000 EUR , vari izņemt 107000 no šīs sadaļas, jo ir EKK  6423, varbūt pietiks</t>
  </si>
  <si>
    <r>
      <t>Kāpēc tāds cipars? 2023.gadā 6 izmaksas.</t>
    </r>
    <r>
      <rPr>
        <i/>
        <sz val="8"/>
        <rFont val="Arial"/>
        <family val="2"/>
        <charset val="186"/>
      </rPr>
      <t xml:space="preserve"> Programmā SOPA redzams, ka 2023.gadā izmaksāti 13 500 EUR, laikam paskatījies tikai tos, kuriem izmaksāts 500EUR</t>
    </r>
  </si>
  <si>
    <r>
      <t>Kāpēc tāds pieaugums??</t>
    </r>
    <r>
      <rPr>
        <i/>
        <sz val="8"/>
        <rFont val="Arial"/>
        <family val="2"/>
        <charset val="186"/>
      </rPr>
      <t xml:space="preserve"> Plānoti SN grozījumi, palielinot uz 300 EUR gadā, jo pakalpojumam par guļošu klientu transportēšanu ļoti pieaugusi cena, pakalpojums nepieciešams samērā bieži, pārvedot noslimnīcas uz mājām vai pansionātu</t>
    </r>
  </si>
  <si>
    <r>
      <t xml:space="preserve">Kāpēc šeit plānots tāds pieaugums? </t>
    </r>
    <r>
      <rPr>
        <i/>
        <sz val="8"/>
        <rFont val="Arial"/>
        <family val="2"/>
        <charset val="186"/>
      </rPr>
      <t>Oktobra mēnesī maksājām 281 bērnam 50*281*12=168600</t>
    </r>
  </si>
  <si>
    <r>
      <t xml:space="preserve">Vai 2023.gadā šis bija tikai no septembra? </t>
    </r>
    <r>
      <rPr>
        <i/>
        <sz val="8"/>
        <rFont val="Arial"/>
        <family val="2"/>
        <charset val="186"/>
      </rPr>
      <t>Aprēķināts par 9 mēnešiem par 1600 bērniem, par kuriem iedeva datus izglītības nodaļa, novembra mēnesī pabalstu saņēma 928 skolēni, bet katru mēnesi viņi nāk klāt. Domājam, ka daudzi skolēni, kuri nemācās Ādažu skolā vēl nav sapratuši , ka arī var saņemt.</t>
    </r>
  </si>
  <si>
    <t>Darbinieku apmācības, supervīzijas</t>
  </si>
  <si>
    <r>
      <t>Kāpēc tāds pieaugums?</t>
    </r>
    <r>
      <rPr>
        <i/>
        <sz val="8"/>
        <rFont val="Arial"/>
        <family val="2"/>
        <charset val="186"/>
      </rPr>
      <t xml:space="preserve"> Tiks atvērtas specializētās darbnīcas Carnikavā, kurās nepieciešamas lielāks materiālu apjoms</t>
    </r>
  </si>
  <si>
    <t>Atmaksa no LM DAC uzturēšanai 46 606 EUR</t>
  </si>
  <si>
    <t>- Atalgojums pilnam gadam visiem darbiniekiem (2023. 3 vakancēm 4 mēn.)</t>
  </si>
  <si>
    <t>Saskaņot ar PA Komunālservisu ?! IR pie CKS</t>
  </si>
  <si>
    <r>
      <t xml:space="preserve">Kāpēc pieaugums? Ja izpilde uz 01.11. tikai 69'589. </t>
    </r>
    <r>
      <rPr>
        <i/>
        <sz val="8"/>
        <rFont val="Arial"/>
        <family val="2"/>
        <charset val="186"/>
      </rPr>
      <t>Vēl ir 3mēn.jāmaksā.Rudens pieaugs cipari Baltezera kapiem.2024.g.tarifa pieaugums dēļ DRN.</t>
    </r>
  </si>
  <si>
    <r>
      <t xml:space="preserve">Kādi apdrošināšanasa limiti? </t>
    </r>
    <r>
      <rPr>
        <i/>
        <sz val="8"/>
        <rFont val="Arial"/>
        <family val="2"/>
        <charset val="186"/>
      </rPr>
      <t>Atbilstoši darba vides risku izvērtējumam 2024.gadā veicama OVP- 25 darbiniekiem pilna OVP, 19 darbiniekiem ikgadējā saistībā ar troksni,vibrāciju un darbu ar sintētiskajiem mazgāšanas līdzekļiem.</t>
    </r>
  </si>
  <si>
    <r>
      <t xml:space="preserve">Kāpēc tāds palielinājums? </t>
    </r>
    <r>
      <rPr>
        <i/>
        <sz val="8"/>
        <rFont val="Arial"/>
        <family val="2"/>
        <charset val="186"/>
      </rPr>
      <t>Sadārdzinās bankas pakalpojumi un palielināsies apstrādājamo dokumentu skaits</t>
    </r>
  </si>
  <si>
    <r>
      <t xml:space="preserve">Kāpēc plānots vairāk, ja izpilde tik maza? </t>
    </r>
    <r>
      <rPr>
        <i/>
        <sz val="8"/>
        <rFont val="Arial"/>
        <family val="2"/>
        <charset val="186"/>
      </rPr>
      <t>Papildus novembrī uz FK virzām grozījumus finanšu tāmē, Aģentūras pārvaldībā 40 transporta vienības, kuras biežāk jāremontē, kā arī pakalpojuma sadārdzinājums</t>
    </r>
  </si>
  <si>
    <r>
      <t>Kāpēc plānots vairāk, ja izpilde tik maza?</t>
    </r>
    <r>
      <rPr>
        <i/>
        <sz val="8"/>
        <rFont val="Arial"/>
        <family val="2"/>
        <charset val="186"/>
      </rPr>
      <t xml:space="preserve"> Vairākās pozīcijās 2024.g. plānojas sadārdzinājums. Gada nogalē būs rēķini kas pietuvinās izpildi.</t>
    </r>
    <r>
      <rPr>
        <i/>
        <sz val="8"/>
        <color rgb="FFFF0000"/>
        <rFont val="Arial"/>
        <family val="2"/>
        <charset val="186"/>
      </rPr>
      <t xml:space="preserve">
</t>
    </r>
    <r>
      <rPr>
        <i/>
        <sz val="8"/>
        <rFont val="Arial"/>
        <family val="2"/>
        <charset val="186"/>
      </rPr>
      <t>Vairākās pozīcijās 2024.g. plānojas sadārdzinājums. Gada nogalē būs rēķini kas pietuvinās izpildi.</t>
    </r>
  </si>
  <si>
    <t>2023.gadā daļa pie Domes</t>
  </si>
  <si>
    <r>
      <t>Kāpēc plānots vairāk, ja izpilde tik maza?</t>
    </r>
    <r>
      <rPr>
        <i/>
        <sz val="8"/>
        <rFont val="Arial"/>
        <family val="2"/>
        <charset val="186"/>
      </rPr>
      <t xml:space="preserve"> Nākamgad sadārdzinājums un printeru skaita pieaugums birojā jau šogad.</t>
    </r>
  </si>
  <si>
    <r>
      <t xml:space="preserve">Kāpēc plānotstik ļoti vairāk, ja izpilde tik maza? </t>
    </r>
    <r>
      <rPr>
        <i/>
        <sz val="8"/>
        <rFont val="Arial"/>
        <family val="2"/>
        <charset val="186"/>
      </rPr>
      <t>Papildus novembrī saskaņoti un virzīti FK tāmes grozījumi Izpilde pieaugs atlikušajos mēnešos. Pieaugums sakarā ar jaunām pozīcijām.</t>
    </r>
  </si>
  <si>
    <r>
      <t>Kāpēc plānots tik daudz, ja izpilde tik maza?</t>
    </r>
    <r>
      <rPr>
        <i/>
        <sz val="8"/>
        <rFont val="Arial"/>
        <family val="2"/>
        <charset val="186"/>
      </rPr>
      <t xml:space="preserve"> Saistīts ar elektroenerģijas un gāzes svārstīgajām cenām</t>
    </r>
  </si>
  <si>
    <t>Jomas  iela 5 angāra nr. 2 jauna jumta klājuma izbūve</t>
  </si>
  <si>
    <t>Gaujas iela 33A ēkas fasādes remonts, āra kāpņu un bruģējuma remonts</t>
  </si>
  <si>
    <t>Tautas nams "Ozolaine" fasādes remonts</t>
  </si>
  <si>
    <t>Tautas nams "Ozolaine" cokola remonts</t>
  </si>
  <si>
    <t>Komentāri BAZE_2024 failā</t>
  </si>
  <si>
    <t>Te varētu būt -7'000</t>
  </si>
  <si>
    <t>Kāpēc tāds pieaugums?</t>
  </si>
  <si>
    <t>2023. te iet SIA Edukas</t>
  </si>
  <si>
    <t>Šo samazināju. Apmācību pakalpojumi EKK2235.Vai šis viss paredzēts apmācībām?</t>
  </si>
  <si>
    <t>Kas te plānots, ja 2023. izpilde 0 ???</t>
  </si>
  <si>
    <t>Eduka un Edurio 2023. te; 2024 EKK 2250</t>
  </si>
  <si>
    <t>Ieturētais no ēdinātāja</t>
  </si>
  <si>
    <t>Pieliku rindu ar summu, ko atskaita atpakaļ ēdinātāji.</t>
  </si>
  <si>
    <t>Pieliku rindu ar summu, ko atskaita atpakaļ ēdinātāji. (2023.gada 6 mēn.)</t>
  </si>
  <si>
    <t>Pieliku rindu ar minimālo summu, ko atskaita atpakaļ ēdinātāji.</t>
  </si>
  <si>
    <r>
      <t> Bērnu tiesību aizsardzības 15 izglītības iestādes  (plānotais organizators LPMC) 15xEUR 50=</t>
    </r>
    <r>
      <rPr>
        <b/>
        <i/>
        <sz val="8"/>
        <rFont val="Arial"/>
        <family val="2"/>
        <charset val="186"/>
      </rPr>
      <t>EUR 750</t>
    </r>
  </si>
  <si>
    <t>Palielināju. - EUR 336.5 (28.10.2023-27.10.2024)</t>
  </si>
  <si>
    <t>Ieliku ciparu pēc komentāra</t>
  </si>
  <si>
    <r>
      <rPr>
        <sz val="10"/>
        <color theme="1"/>
        <rFont val="Calibri"/>
        <family val="2"/>
        <charset val="186"/>
        <scheme val="minor"/>
      </rPr>
      <t xml:space="preserve">Nosaka Izglītības likuma 17.panta 3.daļas 23.punkts. </t>
    </r>
    <r>
      <rPr>
        <sz val="10"/>
        <color rgb="FFFF0000"/>
        <rFont val="Calibri"/>
        <family val="2"/>
        <charset val="186"/>
        <scheme val="minor"/>
      </rPr>
      <t xml:space="preserve">Salīdzinājumā ar 2023. gadu kancelejas preču cenu pieaugums vidēji par 23-35%. </t>
    </r>
  </si>
  <si>
    <t>2023. te Edurio un Eliis</t>
  </si>
  <si>
    <t>Samazināts par 5000</t>
  </si>
  <si>
    <t>Šis jau ir zem EKK 2264</t>
  </si>
  <si>
    <t>Summa, ko atmaksā ēdināšanas pakalpojumu sniedzēji</t>
  </si>
  <si>
    <t>Reprezentācijas materiāli+ davanas sadarbības partnieriem uz bērnudārza dzimšanas dienu</t>
  </si>
  <si>
    <t>Kas šeit plānots? Izņemts!</t>
  </si>
  <si>
    <t>Samazināts par 1000</t>
  </si>
  <si>
    <r>
      <t xml:space="preserve">Palielinājums jo palielinās absolventu skaits un nedaudz dāvanas izmaksas. </t>
    </r>
    <r>
      <rPr>
        <i/>
        <sz val="8"/>
        <color rgb="FFFF0000"/>
        <rFont val="Arial"/>
        <family val="2"/>
        <charset val="186"/>
      </rPr>
      <t xml:space="preserve">Vai šis ir tikai skolām? </t>
    </r>
  </si>
  <si>
    <t>Pasākuma apskaņošana</t>
  </si>
  <si>
    <t xml:space="preserve">Pārējās privātās PII </t>
  </si>
  <si>
    <t>Pret 2023.gada sākumu:
Priv. PII bērnu skaita pieaugums 21 %;
Pie auklēm 44% bērnu pieaugums</t>
  </si>
  <si>
    <t>Šis iet no 0954</t>
  </si>
  <si>
    <t>Skolēnu palielinājums no 317 uz 463;
PII audzēkņu palielinājums no 43 uz 52</t>
  </si>
  <si>
    <t xml:space="preserve">Balstoties uz MK noteikumiem OVP  (EUR 45*1). </t>
  </si>
  <si>
    <t>No Lailas info, ka tikai 1am vajag</t>
  </si>
  <si>
    <t>Pieaugumi, izlīdzinājumi virs 6%. Vakances jaunas??</t>
  </si>
  <si>
    <t>Pedagogiem algas pieaugums gada griezumā +39%</t>
  </si>
  <si>
    <t>Izņemts</t>
  </si>
  <si>
    <t>ArcGIS Basic mākoņpakalpojums</t>
  </si>
  <si>
    <t>6% algas palielinājums + jauna vakance EUR 32'000; 2023.gadā samazinājums. (pārceļas no SAD)</t>
  </si>
  <si>
    <t>+EUR 12'000 Video novērošanas iekārtu SERVERIS  (MK noteikumi)</t>
  </si>
  <si>
    <r>
      <rPr>
        <i/>
        <sz val="8"/>
        <color rgb="FFFF0000"/>
        <rFont val="Arial"/>
        <family val="2"/>
        <charset val="186"/>
      </rPr>
      <t>Izņemts 2024.</t>
    </r>
    <r>
      <rPr>
        <i/>
        <sz val="8"/>
        <rFont val="Arial"/>
        <family val="2"/>
        <charset val="186"/>
      </rPr>
      <t xml:space="preserve"> Ja katrā ciemā, tad 21 000 x 20 (jo Carnikavā jau ir) = 420 000</t>
    </r>
  </si>
  <si>
    <t>300 EUR pārlikti uz EKK 2239 Toneru uzpildei</t>
  </si>
  <si>
    <t xml:space="preserve">Diktofons, tehnika publisko apspriežu nodrošināšanai </t>
  </si>
  <si>
    <t>GIS</t>
  </si>
  <si>
    <t>ArcGIS licence (APN segs daļu no EUR 5445)</t>
  </si>
  <si>
    <t>Uz 3 gadiem būs līgums</t>
  </si>
  <si>
    <t>Visa summa Terit plānoš nodaļā</t>
  </si>
  <si>
    <t>Iepirkums  Ādažu novada teritorijas plānojuma ainavu plānam EUR 39'800=48'158</t>
  </si>
  <si>
    <t xml:space="preserve">Izņemts, jo nepiestāda </t>
  </si>
  <si>
    <t>Jauns darbinieks</t>
  </si>
  <si>
    <t>Daļa darbinieku 2023.gadā zem Vidusskolas un 2024.gadā zem sākumskolas</t>
  </si>
  <si>
    <t>Sākumskola+Vidusskola</t>
  </si>
  <si>
    <r>
      <t>Kam šis paredzēts?-</t>
    </r>
    <r>
      <rPr>
        <i/>
        <sz val="8"/>
        <rFont val="Arial"/>
        <family val="2"/>
        <charset val="186"/>
      </rPr>
      <t xml:space="preserve"> Bēru pabalstu summa kura neapliekas ar nodokļiem. Summa mainīta 3x250 eur</t>
    </r>
  </si>
  <si>
    <t>Vai šis paliel 2024.? Fakts 102/mēn, ieliku 110- OK!</t>
  </si>
  <si>
    <t>Ieliku min summu mēnesim- OK!</t>
  </si>
  <si>
    <t>Ieliku vid summu mēnesim- OK!</t>
  </si>
  <si>
    <t>Ieliku 150*13, pēdējos 2os mēnešos 144- OK!</t>
  </si>
  <si>
    <t>Edurio un ELIIs 2023. izpilde zem 2210- OK!</t>
  </si>
  <si>
    <t>EUR 310.37 (28.10.2023-27.10.2024)- OK!</t>
  </si>
  <si>
    <t>Samazināts uz pusi- OK!</t>
  </si>
  <si>
    <t>Kas šī ir par licenci? Ja uz gadu, tad EKK 2250, bet EKK 2250 jau ir licences- šī licence ir paredzēta, ja pirmsskolu sāk apmeklēt bērns ar īpašām vajadzībām, kuram piemērota cita programma. Pagājušā gadā speciālo programmu licencējām bezmaksas, šogad jau par katru licenci 597,17 eur. Šobrīd nezinām vai šāds bērns pieteiksies mūsu pirmsskolā, taču valstiski ir noteikta iekļaujošā izglītība. Licencei nav termiņa</t>
  </si>
  <si>
    <t>Kāpēc pieaugums??</t>
  </si>
  <si>
    <t xml:space="preserve">+ 6'400 transporta izmaksas;
+ 10'650 Dalības maksas, sporta nometnes;
+ 1'400 balvas;
+ 3'400 56 izglītojamie, kuriem ir 18 gadi un saskaņā ar MK 594 ir jānodrošina padziļinātā veselības pārbaude, kura vienam sportistam maksā EUR 74 </t>
  </si>
  <si>
    <t>Nav pamata pieaugumam</t>
  </si>
  <si>
    <t>Vai tiešām tik milzīgs pieaugums???</t>
  </si>
  <si>
    <t xml:space="preserve">Suvenīru (pildspalvas, breloki, u.c.) </t>
  </si>
  <si>
    <t>Skolēnu skaita palielinājums, pašvaldības līdzfinansējums 1.07 eur</t>
  </si>
  <si>
    <t>Izdevumi iestādes sabiedrisko aktivitāšu īstenošana</t>
  </si>
  <si>
    <r>
      <t xml:space="preserve">Palielinājums atbilstoši koplīgumam. </t>
    </r>
    <r>
      <rPr>
        <i/>
        <sz val="8"/>
        <color rgb="FFFF0000"/>
        <rFont val="Arial"/>
        <family val="2"/>
        <charset val="186"/>
      </rPr>
      <t>Tie 200 darbiniekiem ir jau zem EKK 2247? Te izņēmu.</t>
    </r>
  </si>
  <si>
    <t>2023.gadā 11'000 novirzīti Gaujas svētkiem</t>
  </si>
  <si>
    <t>EUR 3'000 Radio mikrofoni.</t>
  </si>
  <si>
    <t>Divi datori, monitori</t>
  </si>
  <si>
    <t>2iem darbiniekiem, kuriem 2024.g. 1/2 slodze, 2023.gadā ieplānots atalgojums kā pilnas slodzes</t>
  </si>
  <si>
    <t>Apdrošināšana/brilles</t>
  </si>
  <si>
    <t>Nav liela rezerve??</t>
  </si>
  <si>
    <t>Latvijas Jaunatnes Olimpiāde Valmierā</t>
  </si>
  <si>
    <t>Sporta formas, transports, dalībnieku ēdināsāna, naktsmītnes.Summa provizoriska, jo nav zināms, cik dalībnieki tiks uz olimpiādi.</t>
  </si>
  <si>
    <t>tāme.
Iepriekšējā grīdas atjaunošana tika veikta 2019.gadā. Šobrīd jau ir nolietojusies un ļoti slidena.</t>
  </si>
  <si>
    <t>Āra basketbola laukuma līniju atjaunošana</t>
  </si>
  <si>
    <t>19 m2, veco noslīpēt</t>
  </si>
  <si>
    <t>tāme pielik.(2 reizes gadā aplūst sporta centra cokolstāvs)</t>
  </si>
  <si>
    <t>tāme pielik.+10%</t>
  </si>
  <si>
    <t>avārijas stāvoklī</t>
  </si>
  <si>
    <t>Vasīlijam (veselības stāvokļa dēļ)</t>
  </si>
  <si>
    <t>tāme</t>
  </si>
  <si>
    <t>Degviela Naumovs</t>
  </si>
  <si>
    <t>1am darbiniekam 2023.gada budžetā norādīta mazāka alga.</t>
  </si>
  <si>
    <t>+ 10'000 Ēku, telpu īre un noma</t>
  </si>
  <si>
    <t>EUR 21 no EKK 2244 uz EKK 2264 (paklāju noma)</t>
  </si>
  <si>
    <t>+ 1'000 kārtridžiem;
+ 600 Bibliotēku fondi;</t>
  </si>
  <si>
    <t>IT norādījums, līdz šim gājis no IT</t>
  </si>
  <si>
    <t>Tālākizglītības kursi</t>
  </si>
  <si>
    <t>+ vakances; 2023.gadā izņemts</t>
  </si>
  <si>
    <t>Pieņemam, ka 4 darbinieki attālināti</t>
  </si>
  <si>
    <t>Balttour 2024</t>
  </si>
  <si>
    <t>Esošās lapas uzlabojumi. Tūrisma mājaslapa turisms.adazi.lv</t>
  </si>
  <si>
    <t>Camino ceļa stabi (1400 viena projekta komplekts)</t>
  </si>
  <si>
    <t>Kas ir šis???</t>
  </si>
  <si>
    <t>KA:</t>
  </si>
  <si>
    <t>Nav liela rezerve? Samazināts</t>
  </si>
  <si>
    <t>Dators, papildus apgaismojuma stabs ar prožektoru futbola laukumam (EUR 3'689), futbola vārti</t>
  </si>
  <si>
    <t>Pie CKS</t>
  </si>
  <si>
    <t>+1'800 Autoratlīdzības līgumi pasāumu vadītājiem ;
+ 8’000 tūrisma aktivitātes;
+ 3'600 bukleti, kartogrāfiskie materiāli utml.</t>
  </si>
  <si>
    <t xml:space="preserve">Jaunas amata vietas (5), 2 apkopējas Garā iela 20 (no1.08.2023), papildus nepieciešams 8 darbiniekiem, kur atalgojuma daļa pēc 1.07.2024. būtu jāsedz </t>
  </si>
  <si>
    <t>Telekomunikāciju izdevumi -LMT</t>
  </si>
  <si>
    <t>Internets (Jomas iela 5, Tulpju iels 5, Baltezera kapi)</t>
  </si>
  <si>
    <t>Kurināmais (Gaujas iela 33A, Pirmā iela 42A, Stacijas iela 5, Stacijas iela 7, Garā iela 20, Jūras iela 4 ) 2022. gada budžetā plānots EKK2321, Gaujas 16(rēķins Domei)</t>
  </si>
  <si>
    <t>Izdevumi par elektroenerģiju (ielu apgaismojums)</t>
  </si>
  <si>
    <t xml:space="preserve">SIA "Eco Baltia vide" Nr.JUR 2019-06/488 "Par sadzīves atkritumu apsaimniekošanu Ādažu novadā" </t>
  </si>
  <si>
    <t>Izdevumi par pārējiem komunālajiem pakalpojumiem Jūras iela 15, Rīgas iela 2, Zvejnieku 15, Zvejnieku 17.</t>
  </si>
  <si>
    <t>Pie elektroenerģijas cenas 150 EUR/MWh</t>
  </si>
  <si>
    <t>Vadoties no 2023.gada izpildes pieskaitītsi 18% tarifa t.sk. DRN pieaugums. Papildus BIO komponente dalīto atkr.punktos.</t>
  </si>
  <si>
    <t>Ādažu vidusskolas un PII Strautiņš tehniskā apsekošana</t>
  </si>
  <si>
    <t>Ādažu pagastā 8 peldēšanās vietās, bet Carnikavas pagastā 4 vietās, t.sk. jūrā 2 vietas. Prognozētais cenu pieaugums no BIOR. Papildus analīzes zilaļģu gadījumā un tml.</t>
  </si>
  <si>
    <t xml:space="preserve">MK noteikumu prasības </t>
  </si>
  <si>
    <t>Nav  darbinieka, kurš tāmē</t>
  </si>
  <si>
    <t>Sludinājumi</t>
  </si>
  <si>
    <t>Plānots 30 darbiniekiem vidēji 35 uz darbinieku</t>
  </si>
  <si>
    <t>Atbilstoši ikgadējā novērtēšanā norādītajam,vidēji 59 eiro uz darbinieku</t>
  </si>
  <si>
    <t>Ādažu Mākslu skolas gaiteņu remonts (Gaujas 33a)</t>
  </si>
  <si>
    <t>Četru reģipša sienu un durvju aiļu izbūve ar durvju uzst.MMSK kab. Garā 20</t>
  </si>
  <si>
    <t>Starpsienas ar durvīm izbūve Stacijas 5 izglītības nod.</t>
  </si>
  <si>
    <t>1 no 2 automātisko, paceļamo vārtu iuzstādīšana angārā Ūdens blusas</t>
  </si>
  <si>
    <t>ĀMM direktora pieprasījums</t>
  </si>
  <si>
    <t>Regulāri</t>
  </si>
  <si>
    <t>KC vad.lūgums, bet var atlikt</t>
  </si>
  <si>
    <t>Vizuāli nepievilcīgas</t>
  </si>
  <si>
    <t xml:space="preserve">Vizuāli ūdens tecējumu </t>
  </si>
  <si>
    <t>Tek ūdens</t>
  </si>
  <si>
    <t>Ja tiek realizēts BAUHAUS projekts neveicam</t>
  </si>
  <si>
    <t>Bojāts segums, traumatisma riski. Saistīts ar jaunu iekārtu iegādi un uzstādīšanu</t>
  </si>
  <si>
    <t>SID izdevumi apdrošināšanai 2022.gadā</t>
  </si>
  <si>
    <t>Auto mazgāšana SIA "KDV"JUR 2020-02/152 un SIA "Auto rings"JUR 2020-02/158 līdz 01.03.2023  auto mazgāšana EUR 1215+PVN.</t>
  </si>
  <si>
    <t>Ielu mazgājamās iekārtas Aebi Schmidt tehniskā apkope. (veikta konsultācija ar dīleri) Līgums Nr.02-20.1/22/5</t>
  </si>
  <si>
    <t>Iekārtas, inventāra un aparatūras remonts, tehniskā apkalpošana ( pļaujamās tehnika, , zāģi u.c.inventārs)</t>
  </si>
  <si>
    <t>Gāzes katla mērījumu attālināto nolasītāju mēneša maksa  gāzes saimniecības apkalpošana SIA "Ūdensnesējs" Serviss"  līgums Nr.JUR2022-01/74  Pirmā iela 42, Gaujas 33a,  Summa gadā ar PVN</t>
  </si>
  <si>
    <t>Kulturas centra Gaujas iela 33A Ģeneratora uzpilde 200L*1.9=380 EUR SIA "Civinity" domes līgums</t>
  </si>
  <si>
    <t>Kulturas centra Gaujas 33A Ventilācijas tīrīšana. Nav tīrīts vispār, jātīra katrus 5 gadus. MK prasība (ja putekļi aizdegsies, VP ierosinās kriminālprocesu un meklēs vainīgo)</t>
  </si>
  <si>
    <t>Ugunsdzēšamo aparātu apkope (Gaujas 33A, Gaujas 16, Pirmā iela 42, Stacijas 5, Stacijas 7, TN "Ozolaine", Angāri Jomas iela, Tulpju iela, Sūkņu stacija Garā iela)</t>
  </si>
  <si>
    <t>Dīzeļdegvielas apkures katla apkalpošana Gaujas 16 (SIA Dartes līg,JUR 2015-11/920 543 EUR/gadā ar PVN). Pagarināts līdz 30.09.2024.</t>
  </si>
  <si>
    <t>Katlu rezerve remontiem Gaujas 16 (SIA Dartes līg,JUR 2015-11/920). Pagarināts līdz 30.09.2024 un katla automātikas nomaiņa</t>
  </si>
  <si>
    <t>Darbgaldu remontiem</t>
  </si>
  <si>
    <t>Domes līgums</t>
  </si>
  <si>
    <t>Sadārdzinājums prognozētais</t>
  </si>
  <si>
    <t>Prognozētais sadārdzinājums filtriem</t>
  </si>
  <si>
    <t>Prognozētais sadārdzinājums</t>
  </si>
  <si>
    <t>Ja atbalsta pieslēgšanos pie centr.siltumt., tad nav nepieciešams</t>
  </si>
  <si>
    <t>MK not. Nosaka nepiešamību</t>
  </si>
  <si>
    <t>KC vad. prasības. Vizuāi bojājumi, risks ka mitruma radīto defektu dēļ paneļiem zudusi noturība un tie var nokrist no grieztiem</t>
  </si>
  <si>
    <t>Ēku izmanto 3 lietotāji atsevišķās ēkas daļās, kuras ir atdalītas, taču panelis ir tikai 1. Papildus paneļu izbūve</t>
  </si>
  <si>
    <t>Noma vai jauns</t>
  </si>
  <si>
    <t>Uzkopšanas pakalpojumi Gaujas 33A  SIA "Civinity Solution" 1 gada līgums  no 05.04.2023-01.04.2024- 111784.11. Summa gadā ar PVN 21% + (20 %  prognozēts sadārdzinājums uz 2024 gadu)</t>
  </si>
  <si>
    <t>Apsardzes pakalpojumi; Līgums NR02-20.1/2021/12 ar SIA Koblenz Drošiba. Summa gadā ar PVN21%</t>
  </si>
  <si>
    <t>Apsardzes pakalpojum; 23.09.2019. Līgums JUR 2019-09/753  ar Koblenz</t>
  </si>
  <si>
    <t>Deratizācija, dezinsekcija SIA Profilakse Lig. Nr.02-20.1/2021/51</t>
  </si>
  <si>
    <t>Maģistrālo polderu grāvju tīrīšana</t>
  </si>
  <si>
    <t>Pieturvietu remonts un krāsošana (pakalpojuma līgums)</t>
  </si>
  <si>
    <t>Līgumā visas pašvaldības ēkas. No citiem budžetiem izņemts.</t>
  </si>
  <si>
    <t>Prognozēta pakalpojuma cenas pieaugums</t>
  </si>
  <si>
    <t>SID izdevumi transportlīdzekļu nomai</t>
  </si>
  <si>
    <t>Paklāju noma SIA "Elis tekstila serviss"</t>
  </si>
  <si>
    <t>Papildus adreses Garā iela 20. Papildus adreses pakalpojumam.</t>
  </si>
  <si>
    <t>Atkritumu urnas Ādažos (3 gb)</t>
  </si>
  <si>
    <t xml:space="preserve">Lapu pūtējs Carnikava </t>
  </si>
  <si>
    <t xml:space="preserve">Riepu komplekti </t>
  </si>
  <si>
    <t>Darba apģērbu atjaunošana.</t>
  </si>
  <si>
    <t>Pastāvīgo problēmvietu uzraudzībai. Pārkāpumu fiksēšanai utt. Soda naudas nosedz kameru izdevumus.</t>
  </si>
  <si>
    <t>Zemes urbis ar sajūgu. Vecais nokalpojis.</t>
  </si>
  <si>
    <t>Papildus 4 jauas tehnikas vienības</t>
  </si>
  <si>
    <t xml:space="preserve">Ziemcietes Ādažu pagastā </t>
  </si>
  <si>
    <t>4500!!!!</t>
  </si>
  <si>
    <t>Saimniecības preces (telpu uzkopš,līdzek,higēnas preces)Gaujas 33, Gaujas16, Pirmā 42A, publiskās tualetes, Stacijas 5, Stacijas 7, Garā 20</t>
  </si>
  <si>
    <t>Darba apvu sadārdz.</t>
  </si>
  <si>
    <t>Garā iela 2023.bija no septembra. Prognozētais sadārdzinājums. Sakarā ar COVID bija samazināta telpu lietošanas intensitāte.</t>
  </si>
  <si>
    <t>Esošais mūris avārijas stāvoklī.</t>
  </si>
  <si>
    <t>Aģentūras tehnika.</t>
  </si>
  <si>
    <t>Papildināt Gaujā, Lilastē un atjaunot esošās pēc bojājumiem. Navigācijas zīmes, bojas u.c. atbilstoši jauno SN publiskajiem ūdeņiem.</t>
  </si>
  <si>
    <t>Budžeta iestāžu dabas resursu nodokļa maksājumi</t>
  </si>
  <si>
    <t>Pārējie nodokļi un nodevas</t>
  </si>
  <si>
    <t>Draudzības ielā, Kiršu iela, Attekas iela</t>
  </si>
  <si>
    <t>Vējupe, Alderos un Gaujā pie Dzirnezera</t>
  </si>
  <si>
    <t xml:space="preserve">Pirmā iela 42 signalizācijas rekonstrukcija </t>
  </si>
  <si>
    <t>Metāla plauktu sistēma darbnīcai Jomas ielā 5</t>
  </si>
  <si>
    <t>Pārģērbšanās kabīnes (3 gb)</t>
  </si>
  <si>
    <t xml:space="preserve">Trimmeri 3 gb </t>
  </si>
  <si>
    <t>Motorzāģis lielais (2 gb)</t>
  </si>
  <si>
    <t>Pārvietojamās tualetes ar mazgājamo ierīci 3 gb (nolietoto vietā)</t>
  </si>
  <si>
    <t xml:space="preserve">Sāls smilšu kaisītājs KIOTI traktoram (2 gb) </t>
  </si>
  <si>
    <t>VUGD vēstule domei</t>
  </si>
  <si>
    <t>Nav kondicioniera, serveri pārkarst.</t>
  </si>
  <si>
    <t>Uzlabot efektivitāti gaiteņu kopšanai</t>
  </si>
  <si>
    <t>Darba drošības paaugstināšanai, inventāra uzglabāšanai, telpu platību efektivitātes palielināšanai</t>
  </si>
  <si>
    <t>Darbinieku pārcelšana no Tulpju ielas 5.</t>
  </si>
  <si>
    <t>Nolietoto vietā.</t>
  </si>
  <si>
    <t>Vētrā bojātas, nav atremontējamas</t>
  </si>
  <si>
    <t>Kalngalei - vecais nolietots un nav atremontējam</t>
  </si>
  <si>
    <t>Iepriekšējais nolietots, nav atremontējams</t>
  </si>
  <si>
    <t>Darbinieku apģērba mazgāšanai un žāvēšanai</t>
  </si>
  <si>
    <t>Nolietotā  vietā</t>
  </si>
  <si>
    <t>Transporta vienību (42) mazgāšanai</t>
  </si>
  <si>
    <t>Pilnībā izrūsējis sāls ietekmē</t>
  </si>
  <si>
    <t>Pamatlīdzekļu un ieguldījuma īpašumu izveidošana un nepabeigtā būvniecība</t>
  </si>
  <si>
    <t>Automašīnas ar kravas kasti remonts</t>
  </si>
  <si>
    <t>Esošais jumts tek.</t>
  </si>
  <si>
    <t>Nolietojums</t>
  </si>
  <si>
    <t>Esosšās fasādes defekti.</t>
  </si>
  <si>
    <t>Siltinājuma un hidroizolācijas atjaunošana.</t>
  </si>
  <si>
    <t>Jaunu koku stādīšana Ādažu novadā</t>
  </si>
  <si>
    <t>Zvejnieku iela</t>
  </si>
  <si>
    <t>Lai iet vcaur Sab-ba ar dvēseli</t>
  </si>
  <si>
    <t>Bāze pie CKS</t>
  </si>
  <si>
    <t>Ēkā ir daudz plaisu, jāveic ēkas tehniskā stāvokļa pārbaude. Ielikts CKS</t>
  </si>
  <si>
    <t>Kolektīva izaugsmes/ saliedēšanas pasākums</t>
  </si>
  <si>
    <r>
      <rPr>
        <i/>
        <sz val="8"/>
        <color rgb="FFFF0000"/>
        <rFont val="Arial"/>
        <family val="2"/>
        <charset val="186"/>
      </rPr>
      <t>Izņemts.</t>
    </r>
    <r>
      <rPr>
        <i/>
        <sz val="8"/>
        <color theme="1"/>
        <rFont val="Arial"/>
        <family val="2"/>
        <charset val="186"/>
      </rPr>
      <t xml:space="preserve"> Soc.dienesta vad.pieprasījums</t>
    </r>
  </si>
  <si>
    <t>Telpu uzkopšanas inventŗs Garā 20, Carnikava</t>
  </si>
  <si>
    <t>Pretputekļu līdzekļi un iestrāde</t>
  </si>
  <si>
    <t>Kravas pašizgāzējs ar operātoru un frontālais iekrāvējs ar operātoru. (atkritumu savākšanas un teritorijas sakopšanas darbi) SIA "K Property"/ ceļa nomaļu atjaunošana</t>
  </si>
  <si>
    <t>Stendi "Neguli atkritumos" peldvietās (3 gb-Alderu, vējupes un Laivu ielas)</t>
  </si>
  <si>
    <t>Augstumgrziezis ar kumulatoru Ādažos</t>
  </si>
  <si>
    <t>Degviela - Nodaļas vadītāja  - I.Pērkonei max EUR 40*2,0*12=600 (domes lēmums 10.2021.)</t>
  </si>
  <si>
    <t>Carnikavas stadiona atklāšana (200), DI projekta atklāšana (150), plūdu projekta atklāšana (150) u.c. projekti (200)</t>
  </si>
  <si>
    <t xml:space="preserve">Rīgas plānošanas reģiona un Ādažu Uzņēmējdarbības veicināšanas programmas izveide 2024.gadā </t>
  </si>
  <si>
    <t>Skolas TEP izstrāde</t>
  </si>
  <si>
    <t>Šeit atrodas vairāki uzņēmumi, kur viens no tiem ir Sia Ādažu desu darbnīca</t>
  </si>
  <si>
    <t>Ceriņu iela 0.3km divkāršā virsmas apstrāde, Garkalne</t>
  </si>
  <si>
    <t>Upmalas iela 0.67km, Upmalas, Ādaži</t>
  </si>
  <si>
    <t xml:space="preserve">Skolas iela 0.77km, Ādaži </t>
  </si>
  <si>
    <t>Zušu iela 0.41km, Alderi</t>
  </si>
  <si>
    <t>Ir saskaņojums no Satikmes Ministrijas un izludināts iepirkums</t>
  </si>
  <si>
    <t xml:space="preserve">Smilšu iela 0.35km (pārbūve) </t>
  </si>
  <si>
    <t>Gada beigās izsludināt iepirkumu, realizācija 2023/2024gads var sadalīt realizāciju 2 gados. 2024 gadā tikai avansa maksājums</t>
  </si>
  <si>
    <t>Saistībā ar bērnudārza būvniecību Podniekos, var sadalīt realizāciju 2 gados</t>
  </si>
  <si>
    <t>Materiālu iegāde un tehnikas noma(veltnis un ieklājējs), pēc izbūves varēs atsavināt pašvaldības apbūves gabalus 5gab(katrs ar vidējo tirgus cenu 40 000EUR) pēc tam var sadalīt vēl apbūve gabalus ceļa pretējā pusē.</t>
  </si>
  <si>
    <t>Ja ir fondu nauda</t>
  </si>
  <si>
    <t>Ļoti nepieciešams, jo 2023 gada budžetā netika atbalstīts</t>
  </si>
  <si>
    <t>Drošības uzlabošana Siguļos (gājēju pāreja, ietve)</t>
  </si>
  <si>
    <t>FIN komitejas protokollēmums</t>
  </si>
  <si>
    <t>PII Piejūra jau lūdz vairākus gadus.</t>
  </si>
  <si>
    <t>OBLIGĀTI, nav vairs atliekams</t>
  </si>
  <si>
    <t>Bez paskaidrojuma raksta, mēs nevaram izbūvet paši saviem spēkiem, tā būtiski ietaupot līdzekļus.</t>
  </si>
  <si>
    <t>Konceptuāli domē atbalstīts.</t>
  </si>
  <si>
    <t>projektēšana pēc plenēra</t>
  </si>
  <si>
    <t>Ja panākta vienošanās ar īpašnieci</t>
  </si>
  <si>
    <t xml:space="preserve">Lai atvieglotu satikmes plūsmu Ādažu centrā, kas veidojas rīta stundās saistībā ar jauno sākumskolu. </t>
  </si>
  <si>
    <t>Korodējusi līnija, daļēji caur pagalmiem.</t>
  </si>
  <si>
    <t>Ietve bez apgaismojuma. Abi ielas gali apgaismoti.</t>
  </si>
  <si>
    <t>Pirmā iemaksa un ikmēneša maksa.</t>
  </si>
  <si>
    <t xml:space="preserve">Kalngalē (1 gab.), Āpšu un Mežciema ielas krustojumā, Garciems (1.gab.), Viršu ielā caurteka Gaujā, Carnikavas pag.  Ādažu pag. caurteka uz iebrauktuves iegrimusi Rīgas gatvē 36 (pašvaldības piedrošs grāvis). </t>
  </si>
  <si>
    <t>IVN ASNIEM līgumcena kas pārceļas</t>
  </si>
  <si>
    <t>Apgaismojuma izbūve Sloku iela (ceļš uz staciju) 350m Kalngale</t>
  </si>
  <si>
    <t>Iedzīvotāju lūgumi</t>
  </si>
  <si>
    <t>Vecā kā pirmā iemaksa un ikmēneša maksājums. Kanāla pļaušana un dziļo grāvju nogāžu pļaušana</t>
  </si>
  <si>
    <t>Dalīti vākto atkritumu laukums Carnikavā, Laivu ielā 12 (ir būvprojekts)</t>
  </si>
  <si>
    <t>Apgaismojuma izbūve Pureņu iela no Garupes ielas līdz Buku ielai 1km Garupe</t>
  </si>
  <si>
    <t>Apgaismojuma izbūve Vētru iela 700m Garupe</t>
  </si>
  <si>
    <t>Apgaismojuma izbūve Nogāzes iela 600m Garciems</t>
  </si>
  <si>
    <t>Apgaismojuma izbūve Ērgļu iela 130m Kalngale</t>
  </si>
  <si>
    <t>Apgaismojuma izbūve Skautu iela (no pārbrauktuves līdz KDS Kāpas) 1.2km</t>
  </si>
  <si>
    <t>Inču ielas posms no A1 līdz Dzidrumu ielai</t>
  </si>
  <si>
    <t>Kas ir šis?</t>
  </si>
  <si>
    <t>Jaunās skolas TEP izstrāde</t>
  </si>
  <si>
    <t>2. Obligātās/ iepriekš. gadā uzsāktās/ gadskārtējās investīcijas</t>
  </si>
  <si>
    <t>Lēmums</t>
  </si>
  <si>
    <t>Kopētājs ĀVS kopētavā (esošais ir izstrādājis resursu, remonts var izmaksāt dārgāk)</t>
  </si>
  <si>
    <t>1) +12'100 NĪN paziņojumu sūtīšana un pasta pakalpojumi;
2) +14'175 iemaksas LPS, palielinās, pieaugot vērtētajiem ieņēmumiem;
3) -25'480 samazinājums pa pozīcijām</t>
  </si>
  <si>
    <t>R</t>
  </si>
  <si>
    <t>LAD, Jūras Zeme projekts, Mākslu skolas ārtelpas projekts Garā iela 20, Carnikavā</t>
  </si>
  <si>
    <t>ĀNP 26.10.2023. lēmums #411 (26.10.2023)</t>
  </si>
  <si>
    <t>Konta atlikums? Projekts noslēdzies, paliek Domē</t>
  </si>
  <si>
    <t>Saviļņojošā Vidzeme</t>
  </si>
  <si>
    <t>Jauna PII izbūve Podniekos. (Sniegsim proj. Pieteikumu CFLA; Projektēšana 138'300+PVN=167'343)</t>
  </si>
  <si>
    <t>1 dators</t>
  </si>
  <si>
    <t>+1'452 datora iegāde</t>
  </si>
  <si>
    <t>Ādažu vidusskolas ēkas B korpusa un savienojuma daļas fasādes atjaunošana</t>
  </si>
  <si>
    <t>LV29…. KA šim mērķim</t>
  </si>
  <si>
    <t>EKII</t>
  </si>
  <si>
    <t>Gaujas aizsargdambja virskārtas uzlabošana (23.11.2023. domes lēmums)</t>
  </si>
  <si>
    <t>N</t>
  </si>
  <si>
    <t>Ā</t>
  </si>
  <si>
    <t>Torņu iela afaltbetona seguma atjaunošana 0.3km, Garciems</t>
  </si>
  <si>
    <r>
      <t xml:space="preserve">Summā ir iekļauta  projektēšana, būvniecība, būvuzraudzība un autoruzraudzība. Pašvaldības koplietošanas grāvis atrodas tehniski neapmierinošā stāvoklī. Tas attiecas arī uz caurteku stāvokli. Ir vietas, kur caurtekas ir daļēji sabrukušas. Grāvja garums 5,822km.  </t>
    </r>
    <r>
      <rPr>
        <b/>
        <sz val="8"/>
        <color theme="1"/>
        <rFont val="Calibri"/>
        <family val="2"/>
        <charset val="186"/>
        <scheme val="minor"/>
      </rPr>
      <t xml:space="preserve">2015.gadā ir sagatavots būves apsekošanas atzinums. </t>
    </r>
  </si>
  <si>
    <t>2024 / 2023, EUR</t>
  </si>
  <si>
    <t>2024 / 2023, %</t>
  </si>
  <si>
    <r>
      <t xml:space="preserve">Microsoft Office 365 </t>
    </r>
    <r>
      <rPr>
        <b/>
        <sz val="9"/>
        <color theme="1"/>
        <rFont val="Arial"/>
        <family val="2"/>
        <charset val="186"/>
      </rPr>
      <t>mākoņa</t>
    </r>
    <r>
      <rPr>
        <sz val="9"/>
        <color theme="1"/>
        <rFont val="Arial"/>
        <family val="2"/>
        <charset val="186"/>
      </rPr>
      <t xml:space="preserve"> pakalpojuma abonēšana (200 lic.) -16262,40eur ar PVN</t>
    </r>
  </si>
  <si>
    <t>Jāiekļaujas Nēģu svētku budžeta tāmē (Tautas nas)</t>
  </si>
  <si>
    <t>Samazināts pēc komentāra</t>
  </si>
  <si>
    <r>
      <t xml:space="preserve">Izglītojoša rakstura semināru rīkošana, izdevumi tematisko pētniecības darbu veikšanai, tematisku izstāžu rīkošana.  </t>
    </r>
    <r>
      <rPr>
        <b/>
        <i/>
        <sz val="8"/>
        <color theme="1"/>
        <rFont val="Arial"/>
        <family val="2"/>
        <charset val="186"/>
      </rPr>
      <t>Muzeju nakts.</t>
    </r>
  </si>
  <si>
    <t>Bēniņu labiekārtošana (glābāšanas sistēmas)</t>
  </si>
  <si>
    <t>Glabāšanas sisēmu iegāde un izvietošana klēts ēkā</t>
  </si>
  <si>
    <t>Atstāta tikai 1a</t>
  </si>
  <si>
    <t>Kas šeit???</t>
  </si>
  <si>
    <t>Kas, cik te paredzēts???</t>
  </si>
  <si>
    <t>Kur, kādi pasākumi?</t>
  </si>
  <si>
    <t>Suvenīri pārdošanai</t>
  </si>
  <si>
    <t>Samazināts! Kāpēc Gaujas svētkos nav??</t>
  </si>
  <si>
    <r>
      <rPr>
        <i/>
        <sz val="8"/>
        <color rgb="FFFF0000"/>
        <rFont val="Arial"/>
        <family val="2"/>
        <charset val="186"/>
      </rPr>
      <t xml:space="preserve">Izņemts. </t>
    </r>
    <r>
      <rPr>
        <i/>
        <sz val="8"/>
        <color rgb="FF7030A0"/>
        <rFont val="Arial"/>
        <family val="2"/>
        <charset val="186"/>
      </rPr>
      <t>U4.3.2: Attīstīt tūrismu Ādažu novadā. C4.3.2.4. Tūrisma infrastruktūras attīstība. C8.3.2.2. Informatīvu stendu izvietošana dabas parkā “Piejūra”</t>
    </r>
  </si>
  <si>
    <t>Jāpārskata, vai tiešām tik dārgi??</t>
  </si>
  <si>
    <t xml:space="preserve">Veļas mazgāšana, Citāda kompānija SIA </t>
  </si>
  <si>
    <t>2350</t>
  </si>
  <si>
    <t>Aizkari (Mārītes, Sienāzīši, Lācēni)</t>
  </si>
  <si>
    <t>Lūdzu pārskatīt/ samazināt (vismaz dalīts ar 2)</t>
  </si>
  <si>
    <t>No EKK2312. Uz grupu EUR 300</t>
  </si>
  <si>
    <t>Šo sedz polise!</t>
  </si>
  <si>
    <t>Uz personu EUR 30</t>
  </si>
  <si>
    <t>Koriģēt!</t>
  </si>
  <si>
    <t>OVP EUR 30!!</t>
  </si>
  <si>
    <r>
      <t>Pārējās preces un kafijas tejkannas nodaļai.</t>
    </r>
    <r>
      <rPr>
        <i/>
        <sz val="8"/>
        <color rgb="FFFF0000"/>
        <rFont val="Arial"/>
        <family val="2"/>
        <charset val="186"/>
      </rPr>
      <t xml:space="preserve"> Nav tāme?</t>
    </r>
    <r>
      <rPr>
        <i/>
        <sz val="8"/>
        <rFont val="Arial"/>
        <family val="2"/>
        <charset val="186"/>
      </rPr>
      <t xml:space="preserve"> </t>
    </r>
    <r>
      <rPr>
        <i/>
        <sz val="8"/>
        <color rgb="FFFF0000"/>
        <rFont val="Arial"/>
        <family val="2"/>
        <charset val="186"/>
      </rPr>
      <t>Samazināts!</t>
    </r>
  </si>
  <si>
    <r>
      <rPr>
        <i/>
        <sz val="8"/>
        <color rgb="FFFF0000"/>
        <rFont val="Arial"/>
        <family val="2"/>
        <charset val="186"/>
      </rPr>
      <t>Akceptēts tēja, cukurs un pats minimums!</t>
    </r>
    <r>
      <rPr>
        <i/>
        <sz val="8"/>
        <rFont val="Arial"/>
        <family val="2"/>
        <charset val="186"/>
      </rPr>
      <t xml:space="preserve">ĀNP/1-3-1-2/23/11 - Izglītības, kultūras, sporta un sociālā komitejas 06.09.2023. sēdes protokols. </t>
    </r>
  </si>
  <si>
    <r>
      <rPr>
        <i/>
        <sz val="8"/>
        <color rgb="FFFF0000"/>
        <rFont val="Arial"/>
        <family val="2"/>
        <charset val="186"/>
      </rPr>
      <t xml:space="preserve">Nav akceptēts! </t>
    </r>
    <r>
      <rPr>
        <i/>
        <sz val="8"/>
        <rFont val="Arial"/>
        <family val="2"/>
        <charset val="186"/>
      </rPr>
      <t>Viens printeris Garā iela 20 un viens IJN, ITN uzsvēra, ka nepieciešams obligāti mainīt.</t>
    </r>
  </si>
  <si>
    <t>Nav pamata</t>
  </si>
  <si>
    <t>Nav akceptēts</t>
  </si>
  <si>
    <t>Samazināts, jo izpilde "0"</t>
  </si>
  <si>
    <t>Samazināts uz pusi</t>
  </si>
  <si>
    <t>Iesniegt tāmi!</t>
  </si>
  <si>
    <t>Samazināts, jo absolventiem dāvanas pie Izgl nodaļas</t>
  </si>
  <si>
    <t>Pārskatīt! Šos nav jāpērk katru gadu tādā pat apjomā, nav tāds skolēnu palielinājums, pamatojumu tāpat kā par māc materiāliem un, kas iztrūkst no valsts finansētā.</t>
  </si>
  <si>
    <t>Likt, kad būs akceptēta 58.programma</t>
  </si>
  <si>
    <t xml:space="preserve">Grīdas mazgāšanas mašīna </t>
  </si>
  <si>
    <t>Grīdas kopšanas ierīce ar akumulatoru</t>
  </si>
  <si>
    <t>Nosūces uzstādīšana un pieslēgšana pie AHU kanāla virtuvei (esošā neatbilst ugunsdrošības noteikumiem).</t>
  </si>
  <si>
    <t>+12'739 (11%) atalgojums;
+6'129 Iekārtas, inventāra un aparatūras remonts, tehniskā apkalpošana;
+23'562 Ēku un telpu uzturēšana</t>
  </si>
  <si>
    <r>
      <rPr>
        <i/>
        <sz val="8"/>
        <color rgb="FFFF0000"/>
        <rFont val="Arial"/>
        <family val="2"/>
        <charset val="186"/>
      </rPr>
      <t xml:space="preserve">Samazināts. </t>
    </r>
    <r>
      <rPr>
        <i/>
        <sz val="8"/>
        <rFont val="Arial"/>
        <family val="2"/>
        <charset val="186"/>
      </rPr>
      <t>480 Mw/h x150eur,- +PVN = 87120,- + 10%=</t>
    </r>
    <r>
      <rPr>
        <b/>
        <i/>
        <sz val="10"/>
        <color rgb="FF000000"/>
        <rFont val="Times New Roman"/>
        <family val="1"/>
        <charset val="186"/>
      </rPr>
      <t xml:space="preserve"> 95 800,- (150,- eur, 6 ziemas mēnešu vidējās izmaksas)</t>
    </r>
  </si>
  <si>
    <r>
      <rPr>
        <i/>
        <sz val="8"/>
        <color rgb="FFFF0000"/>
        <rFont val="Arial"/>
        <family val="2"/>
        <charset val="186"/>
      </rPr>
      <t>Samazināts.</t>
    </r>
    <r>
      <rPr>
        <i/>
        <sz val="8"/>
        <rFont val="Arial"/>
        <family val="2"/>
        <charset val="186"/>
      </rPr>
      <t xml:space="preserve"> 2100 kubi x 2.83eur+ PVN+10% =7910 </t>
    </r>
    <r>
      <rPr>
        <b/>
        <i/>
        <sz val="10"/>
        <color rgb="FF000000"/>
        <rFont val="Times New Roman"/>
        <family val="1"/>
        <charset val="186"/>
      </rPr>
      <t>(8500,-)</t>
    </r>
  </si>
  <si>
    <r>
      <rPr>
        <i/>
        <sz val="8"/>
        <color rgb="FFFF0000"/>
        <rFont val="Arial"/>
        <family val="2"/>
        <charset val="186"/>
      </rPr>
      <t>Samazināts.</t>
    </r>
    <r>
      <rPr>
        <i/>
        <sz val="8"/>
        <rFont val="Arial"/>
        <family val="2"/>
        <charset val="186"/>
      </rPr>
      <t xml:space="preserve"> 250 Mw/h gadā x285 eur =71250,- +10%=78375</t>
    </r>
  </si>
  <si>
    <r>
      <rPr>
        <i/>
        <sz val="8"/>
        <color rgb="FFFF0000"/>
        <rFont val="Arial"/>
        <family val="2"/>
        <charset val="186"/>
      </rPr>
      <t>Samazināts.</t>
    </r>
    <r>
      <rPr>
        <i/>
        <sz val="8"/>
        <rFont val="Arial"/>
        <family val="2"/>
        <charset val="186"/>
      </rPr>
      <t xml:space="preserve"> Plānotāju druka 1.,2. klašu skolēniem, aptuvenais skolēnu skaits ~ 500.</t>
    </r>
  </si>
  <si>
    <t>Izdevumi skolas vizuālajam noformējumam (gadskārtu svētkiem, svētku dienām)</t>
  </si>
  <si>
    <t>Izņemts, prasīt CKS</t>
  </si>
  <si>
    <t xml:space="preserve">Samazināts. </t>
  </si>
  <si>
    <r>
      <t xml:space="preserve">apkopes 11600,- + remontiem 9680,- </t>
    </r>
    <r>
      <rPr>
        <i/>
        <sz val="8"/>
        <color rgb="FFFF0000"/>
        <rFont val="Arial"/>
        <family val="2"/>
        <charset val="186"/>
      </rPr>
      <t>Līguma summa - tas, kas pie vsk.</t>
    </r>
    <r>
      <rPr>
        <i/>
        <sz val="8"/>
        <rFont val="Arial"/>
        <family val="2"/>
        <charset val="186"/>
      </rPr>
      <t xml:space="preserve"> </t>
    </r>
    <r>
      <rPr>
        <i/>
        <sz val="8"/>
        <color rgb="FFFF0000"/>
        <rFont val="Arial"/>
        <family val="2"/>
        <charset val="186"/>
      </rPr>
      <t>Samazināts par 5000</t>
    </r>
  </si>
  <si>
    <r>
      <rPr>
        <i/>
        <sz val="8"/>
        <color rgb="FFFF0000"/>
        <rFont val="Arial"/>
        <family val="2"/>
        <charset val="186"/>
      </rPr>
      <t xml:space="preserve">Samazināts </t>
    </r>
    <r>
      <rPr>
        <i/>
        <sz val="8"/>
        <rFont val="Arial"/>
        <family val="2"/>
        <charset val="186"/>
      </rPr>
      <t>181,5 +15%=208,-x PVN x12.mēn. = 3020,16 (+remontiem 1800,- )(pieaugumu 15% paredz pakalpojuma sniedzējs)</t>
    </r>
  </si>
  <si>
    <r>
      <t xml:space="preserve">No EKK2239. </t>
    </r>
    <r>
      <rPr>
        <i/>
        <sz val="8"/>
        <color rgb="FFFF0000"/>
        <rFont val="Arial"/>
        <family val="2"/>
        <charset val="186"/>
      </rPr>
      <t>Samazināts</t>
    </r>
  </si>
  <si>
    <r>
      <t xml:space="preserve">nācis klāt sociālā pedagoga kabinets. </t>
    </r>
    <r>
      <rPr>
        <i/>
        <sz val="8"/>
        <color rgb="FFFF0000"/>
        <rFont val="Arial"/>
        <family val="2"/>
        <charset val="186"/>
      </rPr>
      <t>Samazināts</t>
    </r>
  </si>
  <si>
    <r>
      <t>dažādas aparatūras, instrumenti, utt.</t>
    </r>
    <r>
      <rPr>
        <i/>
        <sz val="8"/>
        <color rgb="FFFF0000"/>
        <rFont val="Arial"/>
        <family val="2"/>
        <charset val="186"/>
      </rPr>
      <t xml:space="preserve"> Samazināts</t>
    </r>
  </si>
  <si>
    <r>
      <rPr>
        <i/>
        <sz val="8"/>
        <color rgb="FF000000"/>
        <rFont val="Arial"/>
        <family val="2"/>
      </rPr>
      <t xml:space="preserve">900eur/mēn +15%= 1035+PVN=1252,4x12mēn=15028,- </t>
    </r>
    <r>
      <rPr>
        <i/>
        <sz val="8"/>
        <color rgb="FFC00000"/>
        <rFont val="Arial"/>
        <family val="2"/>
      </rPr>
      <t xml:space="preserve"> (+5000,- remontiem)</t>
    </r>
    <r>
      <rPr>
        <i/>
        <sz val="8"/>
        <color rgb="FF000000"/>
        <rFont val="Arial"/>
        <family val="2"/>
      </rPr>
      <t>(15% sadārdzinājumu paredz pakalpojuma sniedzējs)</t>
    </r>
    <r>
      <rPr>
        <i/>
        <sz val="8"/>
        <rFont val="Arial"/>
        <family val="2"/>
        <charset val="186"/>
      </rPr>
      <t>.</t>
    </r>
    <r>
      <rPr>
        <i/>
        <sz val="8"/>
        <color rgb="FFFF0000"/>
        <rFont val="Arial"/>
        <family val="2"/>
        <charset val="186"/>
      </rPr>
      <t xml:space="preserve"> Samazināts</t>
    </r>
  </si>
  <si>
    <t>Saskaņā ar IZM 16.11.2023. vēstuli nav obligāti. Izņemts.</t>
  </si>
  <si>
    <r>
      <t xml:space="preserve">Pēc līguma vienošanās 17298,47 eur mācību gadā, ~ 1925,00 eur mēnesī. </t>
    </r>
    <r>
      <rPr>
        <i/>
        <sz val="8"/>
        <color rgb="FFFF0000"/>
        <rFont val="Arial"/>
        <family val="2"/>
        <charset val="186"/>
      </rPr>
      <t>No mērķdotācijas!</t>
    </r>
  </si>
  <si>
    <r>
      <rPr>
        <sz val="8"/>
        <color rgb="FF000000"/>
        <rFont val="Arial"/>
        <family val="2"/>
      </rPr>
      <t xml:space="preserve">Gāzes kaltlu mājas un gāzes saimniecības apkalpošana  SIA "Ūdensnesējs serviss" </t>
    </r>
    <r>
      <rPr>
        <sz val="8"/>
        <color rgb="FFFF0000"/>
        <rFont val="Arial"/>
        <family val="2"/>
        <charset val="186"/>
      </rPr>
      <t>EUR 135*PVN*12=1960,2</t>
    </r>
    <r>
      <rPr>
        <sz val="8"/>
        <color rgb="FF000000"/>
        <rFont val="Arial"/>
        <family val="2"/>
      </rPr>
      <t xml:space="preserve"> - + neparedzēto darbu fonds 3925,62 +PVN=4750,- </t>
    </r>
    <r>
      <rPr>
        <i/>
        <sz val="8"/>
        <color rgb="FF000000"/>
        <rFont val="Arial"/>
        <family val="2"/>
      </rPr>
      <t>JUR2023-01/61</t>
    </r>
    <r>
      <rPr>
        <sz val="8"/>
        <color rgb="FF000000"/>
        <rFont val="Arial"/>
        <family val="2"/>
      </rPr>
      <t>, līdz 2024.g.2.febr.</t>
    </r>
  </si>
  <si>
    <t>Kāpēc tāds pieaugums?? Daļa iegrāmatota EKK 2243</t>
  </si>
  <si>
    <t>Kāds pamats pieaugumam? Samazināts uz 2023.gada līmeni.</t>
  </si>
  <si>
    <r>
      <t xml:space="preserve">Ratiņi apkopējām, putekļu sūc. un t.t. </t>
    </r>
    <r>
      <rPr>
        <i/>
        <sz val="8"/>
        <color rgb="FFFF0000"/>
        <rFont val="Arial"/>
        <family val="2"/>
        <charset val="186"/>
      </rPr>
      <t>Samazināt uz pusi!</t>
    </r>
  </si>
  <si>
    <t>EKK5239? Samazināts</t>
  </si>
  <si>
    <t>Liekas, ka te liela rezerve, jo 2023. jau likām daudz. Samazināts!</t>
  </si>
  <si>
    <t>Samazināts. Jau 2023. bija EKK 2312, tad nopirkts!</t>
  </si>
  <si>
    <r>
      <rPr>
        <i/>
        <sz val="8"/>
        <color rgb="FFFF0000"/>
        <rFont val="Arial"/>
        <family val="2"/>
        <charset val="186"/>
      </rPr>
      <t>Samazināts</t>
    </r>
    <r>
      <rPr>
        <i/>
        <sz val="8"/>
        <rFont val="Arial"/>
        <family val="2"/>
        <charset val="186"/>
      </rPr>
      <t xml:space="preserve"> 53.5 EUR/MWh cena pusgadam</t>
    </r>
  </si>
  <si>
    <t xml:space="preserve">Pašvaldības nekustamo īpašumu  apdrošināšana ( vienreizēja prēmija ) </t>
  </si>
  <si>
    <t>Transportlīdzekļu ikdienas uzturēšana un remonts, tehniskā apkope,VTUA apskate,traktortehnika-10 vienības.(piekabes-7 vienības,agregāti-9gab) līgums MTZ-SERVISS,2021/25.INTRAC līgums Nr.A-15/56(1002)</t>
  </si>
  <si>
    <t>UGD un pieķļuves kontr.sist. papildināšana un programāšana 5 pārbūvējamos kab. G 20 ( 1 soc. dienests 4 MMSK)</t>
  </si>
  <si>
    <r>
      <t xml:space="preserve">Pie nosacījuma, ja iepirkuma rezultātā piedāvātā pakalpojuma cena ir izdevīgāka, tiks virzīti grozījumi CKS amatu sarakstā, atsakoties no 2 elektrothniķu amata vietām. </t>
    </r>
    <r>
      <rPr>
        <i/>
        <sz val="8"/>
        <color rgb="FFFF0000"/>
        <rFont val="Arial"/>
        <family val="2"/>
        <charset val="186"/>
      </rPr>
      <t>Tad pārliks no algām.</t>
    </r>
  </si>
  <si>
    <r>
      <rPr>
        <i/>
        <sz val="8"/>
        <color rgb="FFFF0000"/>
        <rFont val="Arial"/>
        <family val="2"/>
        <charset val="186"/>
      </rPr>
      <t xml:space="preserve">Pašiem jāveic vērtējums. </t>
    </r>
    <r>
      <rPr>
        <i/>
        <sz val="8"/>
        <color theme="1"/>
        <rFont val="Arial"/>
        <family val="2"/>
        <charset val="186"/>
      </rPr>
      <t xml:space="preserve">MK noteikumu prasības </t>
    </r>
  </si>
  <si>
    <r>
      <t xml:space="preserve">Nav akceptēts! Vai šo nevar izdarīt CKS? Ja ārējais, vai nav PVN vēl? </t>
    </r>
    <r>
      <rPr>
        <i/>
        <sz val="8"/>
        <rFont val="Arial"/>
        <family val="2"/>
        <charset val="186"/>
      </rPr>
      <t>Plānots, ka to darīs C komunālserviss, tā ir viņu tāme</t>
    </r>
  </si>
  <si>
    <r>
      <rPr>
        <i/>
        <sz val="8"/>
        <color rgb="FFFF0000"/>
        <rFont val="Arial"/>
        <family val="2"/>
        <charset val="186"/>
      </rPr>
      <t xml:space="preserve">Samazināts. </t>
    </r>
    <r>
      <rPr>
        <i/>
        <sz val="8"/>
        <rFont val="Arial"/>
        <family val="2"/>
        <charset val="186"/>
      </rPr>
      <t xml:space="preserve">Niedru un lēpju pļaušana Ādažu pagastā notiek peldvietās. Doma būtu arī paredzēt Carnikavas pagastā - kā Vecgaujas posmu Carnikavas pilsētās posmā (kur nepieciešams), Dzirnezerā pie Sidrabsaliņas zem tilta un peldvieta, Vējupe pie Zīļu ielas. Lai veiktu jaunās vietās būs nepieciešams pieprasīt no VVD tehniskos noteikumus. </t>
    </r>
  </si>
  <si>
    <r>
      <rPr>
        <i/>
        <sz val="8"/>
        <color rgb="FFFF0000"/>
        <rFont val="Arial"/>
        <family val="2"/>
        <charset val="186"/>
      </rPr>
      <t xml:space="preserve">Samazināts. </t>
    </r>
    <r>
      <rPr>
        <i/>
        <sz val="8"/>
        <rFont val="Arial"/>
        <family val="2"/>
        <charset val="186"/>
      </rPr>
      <t>Vadoties no izpildes Ādažu dambim bojājumu novēršana izmaksāja 8000 eur ar PVN.</t>
    </r>
  </si>
  <si>
    <r>
      <rPr>
        <i/>
        <sz val="8"/>
        <color rgb="FFFF0000"/>
        <rFont val="Arial"/>
        <family val="2"/>
        <charset val="186"/>
      </rPr>
      <t xml:space="preserve">Samazināts. </t>
    </r>
    <r>
      <rPr>
        <i/>
        <sz val="8"/>
        <rFont val="Arial"/>
        <family val="2"/>
        <charset val="186"/>
      </rPr>
      <t>P1 grāvim pārtīrīšana un Gaujā, Carnikavas pagastā - Pašvaldības nozīmes koplietošanas novadgrāvis Lejas iela (52111:1) un Pašvaldības nozīmes koplietošanas novadgrāvis strap Dzērveņu un Melleņu ielu</t>
    </r>
  </si>
  <si>
    <t>Licences noma siltummezglu automātikas vizualizācijai</t>
  </si>
  <si>
    <t>Darba apģērbs un individuālie aizsardzības līdzekļi (ķiveres;  puskombinzoni; plānās jakas; siltās jakas; pretlietus jakas; signālvestes)</t>
  </si>
  <si>
    <t>UPS (3 gb)</t>
  </si>
  <si>
    <r>
      <rPr>
        <i/>
        <sz val="8"/>
        <color rgb="FFFF0000"/>
        <rFont val="Arial"/>
        <family val="2"/>
        <charset val="186"/>
      </rPr>
      <t xml:space="preserve">Samazināts. </t>
    </r>
    <r>
      <rPr>
        <i/>
        <sz val="8"/>
        <rFont val="Arial"/>
        <family val="2"/>
        <charset val="186"/>
      </rPr>
      <t xml:space="preserve">Auto riepu k-ts-6,traktortehnikai-6gab.autobuss-10gab. </t>
    </r>
  </si>
  <si>
    <r>
      <t>Samazināts Kāpēc plānots vairāk, ja izpilde tik maza?</t>
    </r>
    <r>
      <rPr>
        <i/>
        <sz val="8"/>
        <rFont val="Arial"/>
        <family val="2"/>
        <charset val="186"/>
      </rPr>
      <t xml:space="preserve"> Izpilde plānota atlikušajos mēnešos.</t>
    </r>
  </si>
  <si>
    <r>
      <rPr>
        <i/>
        <sz val="8"/>
        <color rgb="FFFF0000"/>
        <rFont val="Arial"/>
        <family val="2"/>
        <charset val="186"/>
      </rPr>
      <t xml:space="preserve">Samazināts </t>
    </r>
    <r>
      <rPr>
        <i/>
        <sz val="8"/>
        <rFont val="Arial"/>
        <family val="2"/>
        <charset val="186"/>
      </rPr>
      <t>Jaunajai Kubotai 1200 EUR</t>
    </r>
  </si>
  <si>
    <r>
      <rPr>
        <i/>
        <sz val="8"/>
        <color rgb="FFFF0000"/>
        <rFont val="Arial"/>
        <family val="2"/>
        <charset val="186"/>
      </rPr>
      <t xml:space="preserve">Samazināts. </t>
    </r>
    <r>
      <rPr>
        <i/>
        <sz val="8"/>
        <rFont val="Arial"/>
        <family val="2"/>
        <charset val="186"/>
      </rPr>
      <t>Reālā izpilde.</t>
    </r>
  </si>
  <si>
    <r>
      <rPr>
        <i/>
        <sz val="8"/>
        <color rgb="FFFF0000"/>
        <rFont val="Arial"/>
        <family val="2"/>
        <charset val="186"/>
      </rPr>
      <t>Izņemts.</t>
    </r>
    <r>
      <rPr>
        <i/>
        <sz val="8"/>
        <color theme="1"/>
        <rFont val="Arial"/>
        <family val="2"/>
        <charset val="186"/>
      </rPr>
      <t xml:space="preserve"> Pamatojies uz iedz.vairākkārtējām lūgumiem.</t>
    </r>
  </si>
  <si>
    <t>Pārlikts uz materiāliem</t>
  </si>
  <si>
    <t>No remonta uz materiālie,</t>
  </si>
  <si>
    <t>Pamatsummas atmaksa</t>
  </si>
  <si>
    <t>Meži, Kadagas zemas īres mājas gabali (Elīzes, Lindas ielas)????</t>
  </si>
  <si>
    <t>+7'000 EUR NVR video iekārtu remonts, nomaiņa
+8'800 EUR degviela - Papildus jauns t/l un 10% cenas pieaugums</t>
  </si>
  <si>
    <t>Sabiedriskās attiecības, informācija</t>
  </si>
  <si>
    <t>ĀVS PII</t>
  </si>
  <si>
    <t>Bērnu skaits</t>
  </si>
  <si>
    <t xml:space="preserve">Mācību līdzekļi un materiāliem kopējais finansējums, euro </t>
  </si>
  <si>
    <t>Pašvaldības finansējums, euro</t>
  </si>
  <si>
    <t>EKK 2370 10350eur</t>
  </si>
  <si>
    <t>EKK 2312 300 eur</t>
  </si>
  <si>
    <t>200 eur</t>
  </si>
  <si>
    <t>EKK 2350 500 eur</t>
  </si>
  <si>
    <t>300 eur</t>
  </si>
  <si>
    <t>EKK 2538 800 eur</t>
  </si>
  <si>
    <t>600 eur</t>
  </si>
  <si>
    <t>Valsts mērķdotācija prognoze 2024. gadam, euro</t>
  </si>
  <si>
    <t>Uz vienu bērnu mēnesī, euro (12 mēneši)</t>
  </si>
  <si>
    <t>- 599'713 uz dzīvojamo māju apsaimniekošanu</t>
  </si>
  <si>
    <t>Novembra grozījumi</t>
  </si>
  <si>
    <t>Novembra grozījumi - Darba apģērbs (ziemas jakas, bikses un kombinezoni)</t>
  </si>
  <si>
    <t>Novembra grozījumi - Divu sāls-smilts kaisītāju iegādei ceļu un ielu ziemas uzturēšanai</t>
  </si>
  <si>
    <t>Novembra grozījumi - 6 darbinieku prēmēšanai par ikgadējās darbības novērtēšanas rezultātu (PII Riekstiņš)</t>
  </si>
  <si>
    <t>Novembra grozījumi - no transporta uzturēšanas un remonta izdevumiem novirzīt inventāram (riepu iegāde traktoram Massey Ferguson)</t>
  </si>
  <si>
    <t>Novembra grozījumi - no Ceļu un ielu kārtējais remonts (bedrītes) uz materiālu iegādi</t>
  </si>
  <si>
    <t>+ 30'000 Tiltu uzturēšana ;
- 3'000 Ceļu un ielu uzturēšana</t>
  </si>
  <si>
    <t>+ 16'500 Basketbola laukuma grīdas atjaunošana (slīpēšana, lakošana, 7 sporta laukumu marķēšana + logo);
- 15'000 apkure</t>
  </si>
  <si>
    <t xml:space="preserve">Noteikumi: iepriekš neparedzamos gadījumos (zādzība, smaga saslimšana, ceļu satiksmes negadījums, ilgstošas ārstēšanās, u.c.) - līdz 100,00 euro  </t>
  </si>
  <si>
    <t>+ 14'630 transports;
+ 2'000 kopētāja noma;
+ 4'500 reprezentācijas pasākumi;
+ 6'000 ēdināšana</t>
  </si>
  <si>
    <t>Samazināts neparedzeto darbu fonds</t>
  </si>
  <si>
    <t>Izņemts EUR 23100! Šo maksā no mērķdotācijas!</t>
  </si>
  <si>
    <t>+ 5'000 Foto/video kamera ar objektīvu
+ 6'300 mēbeles un instrumenti</t>
  </si>
  <si>
    <t>Bāzes izdevumi 2024</t>
  </si>
  <si>
    <t>EUR 33'290 komunālie maksājumi pie CKS 2024.gadam</t>
  </si>
  <si>
    <r>
      <rPr>
        <i/>
        <sz val="8"/>
        <color rgb="FFFF0000"/>
        <rFont val="Arial"/>
        <family val="2"/>
        <charset val="186"/>
      </rPr>
      <t>Nav atbalstīts klientiem par māju nodoš!!</t>
    </r>
    <r>
      <rPr>
        <i/>
        <sz val="8"/>
        <rFont val="Arial"/>
        <family val="2"/>
        <charset val="186"/>
      </rPr>
      <t>Plus 2000 Eur reprez.preces pie mājas nodošanas (atslēgu piekarinš, pildspalva). EUR 10 *200</t>
    </r>
  </si>
  <si>
    <t>TDA SPRIGULĪTIS Vidzemes novada meiteņu un puišu tērpi - pabeigt komplektu (4 puišu vestes, 4 puišu bikses, 4 meitu ņieburi, 6 meitu brunči, 8 meitu vainagi)</t>
  </si>
  <si>
    <t>Jauns universālais iekrāvējs 137500 EUR - līzings (piedāvājums CKS nolietoto traktoru NEW HOLLAND kā pirmā iemaksa -novērtēts 36 300 eur ar PVN)</t>
  </si>
  <si>
    <t>Pārceļas dēļ iepirkuma</t>
  </si>
  <si>
    <r>
      <rPr>
        <i/>
        <sz val="8"/>
        <color rgb="FFFF0000"/>
        <rFont val="Arial"/>
        <family val="2"/>
        <charset val="186"/>
      </rPr>
      <t xml:space="preserve">Samazināts. </t>
    </r>
    <r>
      <rPr>
        <i/>
        <sz val="8"/>
        <rFont val="Arial"/>
        <family val="2"/>
        <charset val="186"/>
      </rPr>
      <t>Jauns t/l , kuram būs nepieciešamas obligātās apkopes.</t>
    </r>
  </si>
  <si>
    <r>
      <rPr>
        <i/>
        <sz val="8"/>
        <color rgb="FFFF0000"/>
        <rFont val="Arial"/>
        <family val="2"/>
        <charset val="186"/>
      </rPr>
      <t>Samazināts</t>
    </r>
    <r>
      <rPr>
        <i/>
        <sz val="8"/>
        <rFont val="Arial"/>
        <family val="2"/>
        <charset val="186"/>
      </rPr>
      <t>. Papildus jauns t/l un 10% cenas pieaugums</t>
    </r>
  </si>
  <si>
    <r>
      <rPr>
        <i/>
        <sz val="8"/>
        <color rgb="FFFF0000"/>
        <rFont val="Arial"/>
        <family val="2"/>
        <charset val="186"/>
      </rPr>
      <t>Samazināts</t>
    </r>
    <r>
      <rPr>
        <i/>
        <sz val="8"/>
        <rFont val="Arial"/>
        <family val="2"/>
        <charset val="186"/>
      </rPr>
      <t>. Pieaugums. Pieaudzis vizīšu skaits, ir jauna grafiskā identitāte, kas jāiedzīvina, grafiskā identitāte izveidota, ietaupot budžetā, sākot no 7000 (Ķekavas identitāte) -108 tūkst. (Liepājas identitāte) eiro</t>
    </r>
  </si>
  <si>
    <t>Izņemts.</t>
  </si>
  <si>
    <r>
      <rPr>
        <i/>
        <sz val="8"/>
        <color rgb="FFFF0000"/>
        <rFont val="Arial"/>
        <family val="2"/>
        <charset val="186"/>
      </rPr>
      <t xml:space="preserve">Samazināts. </t>
    </r>
    <r>
      <rPr>
        <i/>
        <sz val="8"/>
        <rFont val="Arial"/>
        <family val="2"/>
        <charset val="186"/>
      </rPr>
      <t>Ārlietu ministrijas 12.06.2023. vēstule (ĀNP/1-11-1/23/3162)</t>
    </r>
  </si>
  <si>
    <r>
      <rPr>
        <i/>
        <sz val="8"/>
        <color rgb="FFFF0000"/>
        <rFont val="Arial"/>
        <family val="2"/>
        <charset val="186"/>
      </rPr>
      <t xml:space="preserve">Samazināts, lai abās bibliotēkās vienādi. </t>
    </r>
    <r>
      <rPr>
        <i/>
        <sz val="8"/>
        <rFont val="Arial"/>
        <family val="2"/>
        <charset val="186"/>
      </rPr>
      <t>Grāmatas kļuvušas dārgākas</t>
    </r>
  </si>
  <si>
    <r>
      <rPr>
        <i/>
        <sz val="8"/>
        <color rgb="FFFF0000"/>
        <rFont val="Arial"/>
        <family val="2"/>
        <charset val="186"/>
      </rPr>
      <t>Samazināts</t>
    </r>
    <r>
      <rPr>
        <i/>
        <sz val="8"/>
        <color rgb="FF000000"/>
        <rFont val="Arial"/>
        <family val="2"/>
        <charset val="186"/>
      </rPr>
      <t>. Esošie datori ir morāli un fiziski novecojuši, tie neatbalsta jaunākos programmas atjauninājumus, jo nepietiek operatīvā atmiņa</t>
    </r>
  </si>
  <si>
    <r>
      <rPr>
        <i/>
        <sz val="8"/>
        <color rgb="FFFF0000"/>
        <rFont val="Arial"/>
        <family val="2"/>
        <charset val="186"/>
      </rPr>
      <t>Samazināts</t>
    </r>
    <r>
      <rPr>
        <i/>
        <sz val="8"/>
        <rFont val="Arial"/>
        <family val="2"/>
        <charset val="186"/>
      </rPr>
      <t xml:space="preserve"> U4.3.2: Attīstīt tūrismu Ādažu novadā. C4.3.2.4. Tūrisma infrastruktūras attīstība</t>
    </r>
  </si>
  <si>
    <r>
      <rPr>
        <i/>
        <sz val="8"/>
        <color rgb="FFFF0000"/>
        <rFont val="Arial"/>
        <family val="2"/>
        <charset val="186"/>
      </rPr>
      <t xml:space="preserve">Samazināts. </t>
    </r>
    <r>
      <rPr>
        <i/>
        <sz val="8"/>
        <rFont val="Arial"/>
        <family val="2"/>
        <charset val="186"/>
      </rPr>
      <t>Telpa bez mēbelēm un papildus nepieciešams balsošans pasākumiem Carnikavā</t>
    </r>
  </si>
  <si>
    <t>Samazināts. Reprezentācijas preces no EKK2390 uz EKK2314</t>
  </si>
  <si>
    <t>Palabots uz 10% plānoto palielinājumu</t>
  </si>
  <si>
    <t>Jāskatās izpilde vai nav liela rezerve. Samazināts</t>
  </si>
  <si>
    <t>Liela rezerve, samazināts par 20'000</t>
  </si>
  <si>
    <t>Samazināts! Nāk atmaksa no ēdinātājiem ~ 10'000</t>
  </si>
  <si>
    <t>Gada sākumā milzīgi rēķini dēļ augstajām cenām</t>
  </si>
  <si>
    <t>Prioritāte:</t>
  </si>
  <si>
    <r>
      <t>Kredītu pamatsummas atmaksa</t>
    </r>
    <r>
      <rPr>
        <b/>
        <i/>
        <sz val="9"/>
        <color theme="1"/>
        <rFont val="Arial"/>
        <family val="2"/>
        <charset val="186"/>
      </rPr>
      <t xml:space="preserve"> (Investīciju finansēšanai)</t>
    </r>
  </si>
  <si>
    <t>Nepaspēja 2023.gadā. Ir līgums</t>
  </si>
  <si>
    <t>Prioritāte 1</t>
  </si>
  <si>
    <t>Prioritāte 2</t>
  </si>
  <si>
    <t>Prioritāte 3</t>
  </si>
  <si>
    <t>INVESTĪCIJAS kopā:</t>
  </si>
  <si>
    <r>
      <rPr>
        <i/>
        <sz val="8"/>
        <rFont val="Arial"/>
        <family val="2"/>
        <charset val="186"/>
      </rPr>
      <t>3 gados nomainīt galdus visiem darbiniekiem</t>
    </r>
    <r>
      <rPr>
        <i/>
        <sz val="8"/>
        <color rgb="FFFF0000"/>
        <rFont val="Arial"/>
        <family val="2"/>
        <charset val="186"/>
      </rPr>
      <t xml:space="preserve"> - Kāds iemesls visu nomainīt? Izņemts! Tikai ar ārsta atzinumu!</t>
    </r>
  </si>
  <si>
    <t>2024. visi darbinieki x 11 mēn</t>
  </si>
  <si>
    <t>Tehniskā atzinuma rezultātā</t>
  </si>
  <si>
    <t>Vēsturisko ieejas 2 vārtu, 4 vārtiņu maiņa un 6 stabu remonts CKS</t>
  </si>
  <si>
    <t>Nodrošinājums mācību jomu koordinatoru aktivitātēm Tāme Nr.37</t>
  </si>
  <si>
    <t>Garā iela 20 Ģimenes ārsta prakse</t>
  </si>
  <si>
    <t>Smilšu ielas pārbūve projekts, Carnikava (projektēšana pēc plenēra)</t>
  </si>
  <si>
    <t>Pašizkrāvēja (auto) un frontālā iekrāvēja pakalpojumi (lapu,atkritumu,celmu transportēšana, atmežotās terit.paplašin.)</t>
  </si>
  <si>
    <r>
      <t xml:space="preserve">Iestādē ir 27 darbinieki, kuriem ir nepieciešamas brilles darba pienākumu veikšanai. </t>
    </r>
    <r>
      <rPr>
        <i/>
        <sz val="8"/>
        <color rgb="FF7030A0"/>
        <rFont val="Arial"/>
        <family val="2"/>
        <charset val="186"/>
      </rPr>
      <t>Samazinājām -1000</t>
    </r>
  </si>
  <si>
    <r>
      <t xml:space="preserve">Obligātā veselības pārbaude nepieciešama katru gadu un to polise nesegs. </t>
    </r>
    <r>
      <rPr>
        <i/>
        <sz val="8"/>
        <color rgb="FF7030A0"/>
        <rFont val="Arial"/>
        <family val="2"/>
        <charset val="186"/>
      </rPr>
      <t>Samazinājām par -1'000</t>
    </r>
  </si>
  <si>
    <t>58 darbinieki X200 euro</t>
  </si>
  <si>
    <r>
      <t xml:space="preserve">Samazināts. Kāpēc tāds palielinājums? </t>
    </r>
    <r>
      <rPr>
        <i/>
        <sz val="8"/>
        <color rgb="FF7030A0"/>
        <rFont val="Arial"/>
        <family val="2"/>
        <charset val="186"/>
      </rPr>
      <t>Kārtridžu komplekts maksā 398,-  Uz gadu nepieciešami 3 komplekti, tas ir uz 13 grupām.</t>
    </r>
    <r>
      <rPr>
        <i/>
        <sz val="8"/>
        <color rgb="FFFF0000"/>
        <rFont val="Arial"/>
        <family val="2"/>
        <charset val="186"/>
      </rPr>
      <t xml:space="preserve"> </t>
    </r>
    <r>
      <rPr>
        <i/>
        <sz val="8"/>
        <color rgb="FF7030A0"/>
        <rFont val="Arial"/>
        <family val="2"/>
        <charset val="186"/>
      </rPr>
      <t>2 komplekti ir minimums.</t>
    </r>
  </si>
  <si>
    <t>Izņēmām -3'500, bet noteikti liksim nākamā gada budžetā</t>
  </si>
  <si>
    <t>izņēmām -300</t>
  </si>
  <si>
    <t>izņēmām -1000</t>
  </si>
  <si>
    <r>
      <rPr>
        <i/>
        <sz val="8"/>
        <color rgb="FF7030A0"/>
        <rFont val="Arial"/>
        <family val="2"/>
        <charset val="186"/>
      </rPr>
      <t>izņēmām -300</t>
    </r>
    <r>
      <rPr>
        <i/>
        <sz val="8"/>
        <rFont val="Arial"/>
        <family val="2"/>
        <charset val="186"/>
      </rPr>
      <t xml:space="preserve"> </t>
    </r>
  </si>
  <si>
    <t xml:space="preserve"> Ja rodas nepieciešamība iegādāties grupas telefonu.</t>
  </si>
  <si>
    <t>Telefoni grupām, ja nepieciešams mainīt (2 gb.)</t>
  </si>
  <si>
    <r>
      <t xml:space="preserve">Kam šis? </t>
    </r>
    <r>
      <rPr>
        <i/>
        <sz val="8"/>
        <rFont val="Arial"/>
        <family val="2"/>
        <charset val="186"/>
      </rPr>
      <t>medicīniskās grāmatiņas, 35 darbiniekiem (jauni darbinieki, kam nav apdrošināšanas un darbinieki, kuri pēc koplīguma izvēlējās brilles.</t>
    </r>
    <r>
      <rPr>
        <i/>
        <sz val="8"/>
        <color rgb="FFFF0000"/>
        <rFont val="Arial"/>
        <family val="2"/>
        <charset val="186"/>
      </rPr>
      <t xml:space="preserve"> </t>
    </r>
    <r>
      <rPr>
        <i/>
        <sz val="8"/>
        <color rgb="FF7030A0"/>
        <rFont val="Arial"/>
        <family val="2"/>
        <charset val="186"/>
      </rPr>
      <t>medicīniskās grāmatiņas(027/u) summu 2175Eur samazināju uz 875Eur;  25eur x 35 darninieki</t>
    </r>
  </si>
  <si>
    <r>
      <t>Koriģēt!</t>
    </r>
    <r>
      <rPr>
        <i/>
        <sz val="8"/>
        <color rgb="FF7030A0"/>
        <rFont val="Arial"/>
        <family val="2"/>
        <charset val="186"/>
      </rPr>
      <t xml:space="preserve"> Darīts</t>
    </r>
  </si>
  <si>
    <t>Apbalvojumiem, nozīmītēm, diplomiem (Laila) + EUR 3'000 Ē.Upenieces statujām</t>
  </si>
  <si>
    <r>
      <rPr>
        <i/>
        <sz val="8"/>
        <color rgb="FF7030A0"/>
        <rFont val="Arial"/>
        <family val="2"/>
        <charset val="186"/>
      </rPr>
      <t xml:space="preserve">Samazināts. </t>
    </r>
    <r>
      <rPr>
        <i/>
        <sz val="8"/>
        <color rgb="FFFF0000"/>
        <rFont val="Arial"/>
        <family val="2"/>
        <charset val="186"/>
      </rPr>
      <t>ĀNP/1-3-1-2/23/11 - Izglītības, kultūras, sporta un sociālā komitejas 06.09.2023. sēdes protokols. Pārskatīt!!! Atstāt tikai minimumu!</t>
    </r>
  </si>
  <si>
    <t>KA realizējot "Priotitāte 1" investīcijas:</t>
  </si>
  <si>
    <t>Pārvietojamie hokeja borti Carnikavas stadiona slidotavai</t>
  </si>
  <si>
    <t xml:space="preserve">Esošei borti vairs nav lietojami. KS ir sastādījis defektācijas aktu. Nepieciešami jauni, lai varēti turpināt nodrošināt iepriekš piedāvātu pakalokumu - slidotavu. 
https://azetx.eu/produkt/azetx-in-line-hockey-50-shark-hdpe-straight-element-2m-x-050m/
</t>
  </si>
  <si>
    <t>Šajā kodā nav plānoti datori, bet gan licenzes līdz vienam gadam, vadi tīkla materiāli, flaš atmiņas.</t>
  </si>
  <si>
    <t>4. Pašv. teritoriju un mājokļu apsaimniekošana</t>
  </si>
  <si>
    <t>5. Atpūta, kultūra un reliģija</t>
  </si>
  <si>
    <t>6. Sociālā aizsardzība</t>
  </si>
  <si>
    <t>7. Izglītība</t>
  </si>
  <si>
    <t>Ēkas tehniskā stāvokļa uzlabošana (pēc CKS aprēķiniem)</t>
  </si>
  <si>
    <t>Ēkas specifiskie remonti (pēc CKS aprēķiniem)</t>
  </si>
  <si>
    <t>Projekts (Grīviņa)</t>
  </si>
  <si>
    <t>Kino/ koncerts Līgo laukumā vai Gaujas parkā - brīvdabas pasākums 1.jūlijs.</t>
  </si>
  <si>
    <t>Funkcionālās kategorijas</t>
  </si>
  <si>
    <t>Āra trenažieru uzstādīšana pie Ādažu stadiona (pārcelts finansējums no 2023.g., jo tika lauzts līgums)</t>
  </si>
  <si>
    <t>Budžeta fails sastāv no 2 lapām:</t>
  </si>
  <si>
    <t>Investīcijas_2024</t>
  </si>
  <si>
    <t>Pieaugums/ (samazinājums), %</t>
  </si>
  <si>
    <t>BAZE_2024</t>
  </si>
  <si>
    <r>
      <rPr>
        <b/>
        <sz val="11"/>
        <color theme="1"/>
        <rFont val="Times New Roman"/>
        <family val="1"/>
        <charset val="186"/>
      </rPr>
      <t>BAZE_2024</t>
    </r>
    <r>
      <rPr>
        <sz val="11"/>
        <color theme="1"/>
        <rFont val="Times New Roman"/>
        <family val="1"/>
        <charset val="186"/>
      </rPr>
      <t xml:space="preserve"> ir budžeta apkopojums, kur ir ietverti bāzes ieņēmumi un bāzes izdevumi.</t>
    </r>
  </si>
  <si>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</si>
  <si>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</si>
  <si>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r>
      <t xml:space="preserve">Ar </t>
    </r>
    <r>
      <rPr>
        <sz val="11"/>
        <color rgb="FFC00000"/>
        <rFont val="Times New Roman"/>
        <family val="1"/>
        <charset val="186"/>
      </rPr>
      <t>tumši sarkaniem burtiem ir iekrāsotas tās sadaļas, kas veido bāzi</t>
    </r>
    <r>
      <rPr>
        <sz val="11"/>
        <color theme="1"/>
        <rFont val="Times New Roman"/>
        <family val="1"/>
        <charset val="186"/>
      </rPr>
      <t xml:space="preserve">, </t>
    </r>
  </si>
  <si>
    <t>Lai varētu noteikt investīcijām pieejamo finansējumu, izdevumi tiek strukturēti sekojoši:</t>
  </si>
  <si>
    <t>Bāzes ieņēmumi - bāzes izdevumi</t>
  </si>
  <si>
    <t>1 - 2</t>
  </si>
  <si>
    <t>1 - 2 +3</t>
  </si>
  <si>
    <t>1 - 2 +3 - 4</t>
  </si>
  <si>
    <t>1 - 2 +3 - 4 - 5 - 6</t>
  </si>
  <si>
    <t>1 - 2 +3 - 4 - 5 - 6 - 7</t>
  </si>
  <si>
    <t>8 + 9</t>
  </si>
  <si>
    <t>1 - 2 +3 - 4 - 5 - 6 - 7 -8 - 9</t>
  </si>
  <si>
    <t>Investīvijas ir sadalītas 3 grupās:</t>
  </si>
  <si>
    <t>2. OBLIGĀTĀS / GADSKĀRTĒJĀS investīcijas:</t>
  </si>
  <si>
    <t>šeit ir pārējās investīcijas, kuras ir vērtējamas un lemjamas.</t>
  </si>
  <si>
    <t>vidēja prioritāte - realizācija ir vēlama</t>
  </si>
  <si>
    <t>zema prioritāte</t>
  </si>
  <si>
    <t>visaugstākā prioritāte - realizācija ir būtiska</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</si>
  <si>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</si>
  <si>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</si>
  <si>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Investīciju apkopojums un sadalījums pa finansējuma avotiem un  ir redzams šajā tabulā:</t>
  </si>
  <si>
    <t>1. Pašvaldības finansējums UZSĀKTAJIEM projektiem:</t>
  </si>
  <si>
    <r>
      <t>3. VĒRTĒJAMĀS investīcijas  ir sadalītas pa prioritātēm (</t>
    </r>
    <r>
      <rPr>
        <i/>
        <sz val="9"/>
        <color theme="1"/>
        <rFont val="Arial"/>
        <family val="2"/>
        <charset val="186"/>
      </rPr>
      <t>A kolonnā var mainīt prioritātes veidu</t>
    </r>
    <r>
      <rPr>
        <sz val="9"/>
        <color theme="1"/>
        <rFont val="Arial"/>
        <family val="2"/>
        <charset val="186"/>
      </rPr>
      <t>):</t>
    </r>
  </si>
  <si>
    <r>
      <t>Šeit parādās arī 4. investīciju grupa</t>
    </r>
    <r>
      <rPr>
        <sz val="9"/>
        <color rgb="FFC00000"/>
        <rFont val="Arial"/>
        <family val="2"/>
        <charset val="186"/>
      </rPr>
      <t xml:space="preserve"> Zemsvītras ATBALSTĪTĀS investīcijas</t>
    </r>
    <r>
      <rPr>
        <sz val="9"/>
        <color theme="1"/>
        <rFont val="Arial"/>
        <family val="2"/>
        <charset val="186"/>
      </rPr>
      <t xml:space="preserve">: tās ir no </t>
    </r>
    <r>
      <rPr>
        <i/>
        <sz val="9"/>
        <color theme="4" tint="-0.249977111117893"/>
        <rFont val="Arial"/>
        <family val="2"/>
        <charset val="186"/>
      </rPr>
      <t xml:space="preserve">Prioritāte 1 </t>
    </r>
    <r>
      <rPr>
        <sz val="9"/>
        <rFont val="Arial"/>
        <family val="2"/>
        <charset val="186"/>
      </rPr>
      <t>izņemtas investīcijas, kuras ir atbalstītas un var tikt realizētas 2024.gadā vērtējot budžeta izpildi.</t>
    </r>
  </si>
  <si>
    <t>Pārskatīt!!! Samazināti mācību materiāli!</t>
  </si>
  <si>
    <t>Jūras  ielā gājēju pārejas ar ātrumvalni izbūve</t>
  </si>
  <si>
    <t>Nepaspēja 2023.gadā.</t>
  </si>
  <si>
    <t>Prioritātes ir piešķirtas tikai 3.VĒRTĒJAMĀM invetsīcijām (skat. tabulas kreisajā malā A kolonna).</t>
  </si>
  <si>
    <t xml:space="preserve">Tās ir grupētas pēc piederības. </t>
  </si>
  <si>
    <t>Zemsvītras ATBALSTĪTĀS investīcijas - pieņemot budžetu, šīs nepieciešams salikt prioritārā secībā!</t>
  </si>
  <si>
    <t>1. un 2. grupa netiek vērtētas, jo tiek uzskatītas kā saistošas, bet 3. grupu vērtē, kuras un cik var realizēt, lai iekļautos budžetā.</t>
  </si>
  <si>
    <r>
      <t xml:space="preserve">Tā kā </t>
    </r>
    <r>
      <rPr>
        <i/>
        <sz val="9"/>
        <color theme="4" tint="-0.249977111117893"/>
        <rFont val="Arial"/>
        <family val="2"/>
        <charset val="186"/>
      </rPr>
      <t>Prioritāte 1</t>
    </r>
    <r>
      <rPr>
        <b/>
        <sz val="9"/>
        <color theme="1"/>
        <rFont val="Arial"/>
        <family val="2"/>
        <charset val="186"/>
      </rPr>
      <t xml:space="preserve"> jau pārsniedz pieejamos līdzekļus, tad daļa no tām var tikt pārliktas uz</t>
    </r>
    <r>
      <rPr>
        <b/>
        <sz val="9"/>
        <color theme="5" tint="-0.249977111117893"/>
        <rFont val="Arial"/>
        <family val="2"/>
        <charset val="186"/>
      </rPr>
      <t xml:space="preserve"> Zemsvītras ATBALSTĪTĀS investīcijas.</t>
    </r>
    <r>
      <rPr>
        <b/>
        <sz val="9"/>
        <color theme="1"/>
        <rFont val="Arial"/>
        <family val="2"/>
        <charset val="186"/>
      </rPr>
      <t xml:space="preserve"> Šīm ir augstāka prioritāte nekā </t>
    </r>
    <r>
      <rPr>
        <i/>
        <sz val="9"/>
        <color theme="4" tint="-0.249977111117893"/>
        <rFont val="Arial"/>
        <family val="2"/>
        <charset val="186"/>
      </rPr>
      <t>Prioritāte 2</t>
    </r>
    <r>
      <rPr>
        <b/>
        <sz val="9"/>
        <color theme="1"/>
        <rFont val="Arial"/>
        <family val="2"/>
        <charset val="186"/>
      </rPr>
      <t>.</t>
    </r>
  </si>
  <si>
    <t>Tālāk ir tabulas ar uzskaitītām visām investīcijām (skat. piemēra izgriezumus zemāk).</t>
  </si>
  <si>
    <t>Tālāk bāzes izdevumi ir atšifrēti atbilstoši funkcionālajām kategorijām, kuras var izvērst pa iestādēm (krustiņš kreisajā malā) pēc tādas pašas izdevumu struktūras:</t>
  </si>
  <si>
    <t>*KA būs zināms 01.01.2024. Aprēķinos izmantots pieņēmums!</t>
  </si>
  <si>
    <t>Publiskās ārtelpas izveide Gaujas ielā 31 Ādažos</t>
  </si>
  <si>
    <t>Dalība Interreg projektā - infrastruktūras aizsardzība un uzlabošana Ūdensrožu parka teritorijā</t>
  </si>
  <si>
    <r>
      <t xml:space="preserve">bet ar </t>
    </r>
    <r>
      <rPr>
        <sz val="11"/>
        <color rgb="FF7030A0"/>
        <rFont val="Times New Roman"/>
        <family val="1"/>
        <charset val="186"/>
      </rPr>
      <t>violetu ir uzskaitītas Investīcijas, Projekti, Pasākumi, Mērķdotācijas</t>
    </r>
    <r>
      <rPr>
        <sz val="11"/>
        <color theme="1"/>
        <rFont val="Times New Roman"/>
        <family val="1"/>
        <charset val="186"/>
      </rPr>
      <t>, kas netiek iekļautas bāzē un tiek vērtēti atsevišķi Investīciju sadaļā (šeit parādās tikai informācijai)</t>
    </r>
  </si>
  <si>
    <t xml:space="preserve">Gadā ~ 50 darbinieki * 40,00. </t>
  </si>
  <si>
    <t>Pedagoģiski medicīniskās komisijas atalgojums. Komisijas vadītājs max. 30 stundas mēnesī, pieņemot izpildi 80 % un 11 mēneši -  6199 euro.
Komisijas locekļi, kas ir mūsu darbinieki 4 darbinieki (aprēķinos ņemu 3,5 darbinieki) izpildi 80 % un 11 mēneši – 14465 euro.
Komisja sloceklis, kam uzņēmuma līgums – 1 darbinieks izpildi 80 % un 11 mēneši – 4133 euro.</t>
  </si>
  <si>
    <t>Veselibas apdrošināšana 200x8=1600 EUR; 8 uz CKS pārejošie darbinieki</t>
  </si>
  <si>
    <r>
      <t>Valsts budžeta mērķdotācija indikatīvi pa pašvaldībām aprūpes mājās pakalpojumu nodrošināšanai bērniem ar smagiem un ļoti smagiem funkcionāliem traucējumiem MD 71 280 (30%).</t>
    </r>
    <r>
      <rPr>
        <i/>
        <sz val="8"/>
        <color rgb="FFFF0000"/>
        <rFont val="Arial"/>
        <family val="2"/>
        <charset val="186"/>
      </rPr>
      <t xml:space="preserve"> Kāpēc tāds pieaugums?? </t>
    </r>
    <r>
      <rPr>
        <i/>
        <sz val="8"/>
        <rFont val="Arial"/>
        <family val="2"/>
        <charset val="186"/>
      </rPr>
      <t xml:space="preserve"> Novembra beigās būs jauni MK noteikumi, 30% atmaksa, pēc VDEĀVK datiem LM plāno Ādažiem kompensāciju 60 000 EUR, </t>
    </r>
  </si>
  <si>
    <t>Pabalsts par ēdināšanu 5.-9. klase (1697 bērni, 9 mēneši gadā)</t>
  </si>
  <si>
    <t>0648</t>
  </si>
  <si>
    <t>Komunālā saimniecība</t>
  </si>
  <si>
    <t xml:space="preserve">Uzņēmuma līgums-mācību jomu koordinātora pakalpojums un Pedagoģiski medicīniskās komisijas pakalpojums
</t>
  </si>
  <si>
    <r>
      <t xml:space="preserve">(50'000 atmaksā valsts; 60'000 atgūsim no valsts - atņemts no pabalstu kopsummas).
~+ 230'000 EUR - aprūpe mājās;
+ 75'000 EUR pansionāti;
+ </t>
    </r>
    <r>
      <rPr>
        <sz val="11"/>
        <color rgb="FFFF0000"/>
        <rFont val="Times New Roman"/>
        <family val="1"/>
        <charset val="186"/>
      </rPr>
      <t>100'000 EUR (2023.gada beigās beidzās ie</t>
    </r>
    <r>
      <rPr>
        <sz val="11"/>
        <color theme="1"/>
        <rFont val="Times New Roman"/>
        <family val="1"/>
        <charset val="186"/>
      </rPr>
      <t xml:space="preserve">spēja saņemt DI rehabilitācijas pakalpojumus, kurus saņēma 100 bērni ar invaliditāti.);
+ 62'000 EUR Pabalsts EUR 50,00 mēnesī ēdināšanai par trešo* bērnu (1,5-7 gadiem);
</t>
    </r>
  </si>
  <si>
    <t>+ 125'460 EUR Pabalsts par ēdināšanu 5.-9. klase 1697 bērni 9 mēneši gadā.</t>
  </si>
  <si>
    <t>NĪN</t>
  </si>
  <si>
    <t>Nekustamā īpašuma iegāde skolas celtniecībai Podniekos</t>
  </si>
  <si>
    <t>Zemes iegāde, ja pārceļas no 2023.gada</t>
  </si>
  <si>
    <t>Daudzstāvu ēku siltināšanas un pagalmu labiekārtošanas līdzfinansējums</t>
  </si>
  <si>
    <t>Riska piemaksa</t>
  </si>
  <si>
    <t>Ielikta puse, jo daļēji jau bija iekļauta algas aprēķinā</t>
  </si>
  <si>
    <t>6% algas palielinājums, bet ta kā izpilde 2023. mazāka, nav ielikta max summa.</t>
  </si>
  <si>
    <t>Ietaupījums 15 939 (vēlas pārvirzīt jaunas mobilās aplikācijas nomai - pie Iniciatīvām)</t>
  </si>
  <si>
    <t>2023. gadā tika izņemti EUR 90 000 (3 vakances) no APN algu fonda un novirzīti investīciju finansēšanai (2023.g APN algu fonds EUR 299 076, 2024.g. EUR 256 407 (-2%)). 2024.g. likvidēta 1 vakance, pārējiem palielinājums 6%. Pārcelts uz šejieni kopienu darbinieks.</t>
  </si>
  <si>
    <t>Pie attīstības daļas</t>
  </si>
  <si>
    <t>9'210 (4 darbinieki 10%) piemaksa par UA (izņemot sekretārei) - no valsts budžeta (te atņemts). Papildus 2024.gadā riska piemaksa.
2023.g. EUR 6'709 no virzīts uz KA</t>
  </si>
  <si>
    <t>+11'800 ielikts komunālajiem;
+ 700 dēļ OVP:
+ 7'000 mācību līdzekļiem</t>
  </si>
  <si>
    <t>+8'879 (10%) atalgojums;
+ 4'400 Silto grīdu apkures pieslēgšana izbūvētajai siltumtrasei peldbaseinā;
+ 2'300 Radiatoru apkures pieslēgšana izbūvētajai siltumtrasei peldbaseinā.</t>
  </si>
  <si>
    <t xml:space="preserve">+ 4'900 komunālie maksājumi;
+ 8'070 transports;
+ 2'300 degviela teritorijas kopšanai;
+ 8'000 ēdināšana;
+ 16'560 Mācību līdzekļi un materiāli </t>
  </si>
  <si>
    <t>- 23'100 līgumu ar RTU par padziļināto apguves kursu ķīmijā, fizikā (būs no mērķdotācijas);
- 60'000 kurināmais.
+ 5'736 LMT internets;
+ 10'000 transports;
+ 5'000 OVP;
+ 3'000 veselības apdrošināšana;
+ 6'300 Datorium pakalpojums.</t>
  </si>
  <si>
    <t>+ 6'000 skolēnu pārvadājumu kompensācija;
+ 1’000 jaunas mēbeles un telefoni;
+ 4'000 degviela darbiniekiem;
+ 3'600 pārējās preces</t>
  </si>
  <si>
    <t>Atpūtas ielas pārbūve posmā no Zvejnieku ielas līdz Nēģu ielai Carnikavā</t>
  </si>
  <si>
    <t>Raiders ar uzkabēm (sniega pūtējs, slota, lāpsta), CKS</t>
  </si>
  <si>
    <t>Attekas ielas turpinājums 0,5 km - projektēšana</t>
  </si>
  <si>
    <t>2.1.3.2. “Nacionālas nozīmes plūdu un krasta erozijas pasākumi” 1.daļa (2.daļa 2025.gads)
- IVN dambim
- hidroloģiskie un hidrauliskie aprēķini vai hidroloģiskais modelis
- izmaksu un ieguvumu analīze</t>
  </si>
  <si>
    <t>EUR 25 OVP 51 darbiniekam</t>
  </si>
  <si>
    <t>Transports mācību ekskursijām (ZZ čempionāts, Gudrs vēl gudrāks, Ēnu dienas, karjeras pasākumi...) + 3 izbraucieni dejotājiem</t>
  </si>
  <si>
    <r>
      <t xml:space="preserve">pārcelts no EKK2370. </t>
    </r>
    <r>
      <rPr>
        <i/>
        <sz val="8"/>
        <color rgb="FFFF0000"/>
        <rFont val="Arial"/>
        <family val="2"/>
        <charset val="186"/>
      </rPr>
      <t>Kāpēc šis nav zem valsts finansējuma</t>
    </r>
    <r>
      <rPr>
        <i/>
        <sz val="8"/>
        <rFont val="Arial"/>
        <family val="2"/>
        <charset val="186"/>
      </rPr>
      <t>.</t>
    </r>
    <r>
      <rPr>
        <i/>
        <sz val="8"/>
        <color rgb="FFFF0000"/>
        <rFont val="Arial"/>
        <family val="2"/>
        <charset val="186"/>
      </rPr>
      <t xml:space="preserve"> </t>
    </r>
  </si>
  <si>
    <t>Pusgarās bikses ar lencēm 1. - 3. klasei (10 gab; 62.43 euro/gab)</t>
  </si>
  <si>
    <t>Pusgarās bikses bez lencēm 4. - 6. klasei (10 gab; 71.02 euro/gab)</t>
  </si>
  <si>
    <t>"Rīgas apvidus" brunči meitenēm 1. - 3. klasei (24 gab.; 101,21 euro/gab)</t>
  </si>
  <si>
    <t>Vestes meitenēm (24 gab.; 70.42 euro/gab)</t>
  </si>
  <si>
    <t>Vestes puišiem (20 gab.; 79.13 euro/gab)</t>
  </si>
  <si>
    <t>Nepieciešamais budžets astoņu 1. klašu uzņemšanai</t>
  </si>
  <si>
    <t>Tulpju iela posms no Liepu ielas līdz Tulpju 7 200m Carnikava. Apgaismes stabi</t>
  </si>
  <si>
    <t>Liepu iela 280m Carnikava. Apgaismes stabi</t>
  </si>
  <si>
    <t>Tautas nams "Ozolaine" cokola remonts, teknes</t>
  </si>
  <si>
    <r>
      <t xml:space="preserve">Liepu aleja </t>
    </r>
    <r>
      <rPr>
        <b/>
        <i/>
        <sz val="9"/>
        <color rgb="FF000000"/>
        <rFont val="Arial"/>
        <family val="2"/>
        <charset val="186"/>
      </rPr>
      <t>(ir būvprojekts)</t>
    </r>
  </si>
  <si>
    <r>
      <t xml:space="preserve">Ķiršu ielas pārbūve 0.17km </t>
    </r>
    <r>
      <rPr>
        <b/>
        <i/>
        <sz val="9"/>
        <color rgb="FF000000"/>
        <rFont val="Arial"/>
        <family val="2"/>
        <charset val="186"/>
      </rPr>
      <t>(ir būvprojekts)</t>
    </r>
  </si>
  <si>
    <r>
      <t xml:space="preserve">Kļavu ielā divkārtas virsmas apstrāde 0.35km, Carnikava </t>
    </r>
    <r>
      <rPr>
        <b/>
        <i/>
        <sz val="9"/>
        <rFont val="Arial"/>
        <family val="2"/>
        <charset val="186"/>
      </rPr>
      <t>(ir būvprojekts)</t>
    </r>
  </si>
  <si>
    <t>KA 31.12.2023.</t>
  </si>
  <si>
    <t>Valsts finansējums projektu konkursā "Atbalsts jaunatnes politikas īstenošanai vietējā līmenī" Projekts "Mobilais darbs ar jaunatni Ādažu novadā"</t>
  </si>
  <si>
    <t>Ādažu novada domes nolikums “Iniciatīvas projektu finansēšanas kārtība Ādažu novada pašvaldībā” (katru gadu tiek izstrādāts no jauna). 2023.gadā piešķirtais, kas pārceļas uz 2024.gadu.</t>
  </si>
  <si>
    <t>Projekts par energokopienām. Magliano Alpi pašvaldības Itālijā CERV Town Twinning programmas projektsa ietvaros</t>
  </si>
  <si>
    <t>Projekts jauniešu asociāciju federācija Eiropas mobilitātei. CERV programmas projekts "YOUTth and democracy: empowering Europe's next generation"</t>
  </si>
  <si>
    <t>Āra trenažieru uzstādīšana pie Ādažu stadiona 1.daļa (pārcelts finansējums no 2023.gada, jo pagarinās piegādes termiņš)</t>
  </si>
  <si>
    <t>6% algas palielinājums + riska piemaksas</t>
  </si>
  <si>
    <t>Publiskās aptaujas</t>
  </si>
  <si>
    <t>21.3.9.4.</t>
  </si>
  <si>
    <t>21.3.9.9.; CKS</t>
  </si>
  <si>
    <t>Pensionāru balle</t>
  </si>
  <si>
    <t>AM līdzfinansējums Vecštāles ceļa rekonstrukcijai</t>
  </si>
  <si>
    <t>7.1.4.</t>
  </si>
  <si>
    <t>9.18.</t>
  </si>
  <si>
    <t>9.18.1.</t>
  </si>
  <si>
    <t>9.18.2.</t>
  </si>
  <si>
    <t>Jaunas pirmsskolas izglītības iestādes Podniekos</t>
  </si>
  <si>
    <t>9.9.9.</t>
  </si>
  <si>
    <t>9.9.9.1.</t>
  </si>
  <si>
    <t>9.9.9.2.</t>
  </si>
  <si>
    <t xml:space="preserve">ESF projekts Atbalsts priekšlaicīgas mācību pārtraukšanas samazināšanai © </t>
  </si>
  <si>
    <t>10.1.15.</t>
  </si>
  <si>
    <r>
      <t xml:space="preserve">Ķiršu ielas pārbūve 0.17km </t>
    </r>
    <r>
      <rPr>
        <b/>
        <i/>
        <sz val="8"/>
        <color rgb="FF7030A0"/>
        <rFont val="Arial"/>
        <family val="2"/>
        <charset val="186"/>
      </rPr>
      <t>(ir būvprojekts)</t>
    </r>
  </si>
  <si>
    <t>2024. ĀND investīcijas</t>
  </si>
  <si>
    <t>2024. gada budžets</t>
  </si>
  <si>
    <t>projekti Erasmus+; NordPlus</t>
  </si>
  <si>
    <r>
      <t xml:space="preserve">Draudzības ielas rekonstrukcija posmā no Saules ielai līdz Podnieku ielai ar ietvi 0.35km (6000 mašīnas diennaktī) </t>
    </r>
    <r>
      <rPr>
        <b/>
        <sz val="9"/>
        <color rgb="FF7030A0"/>
        <rFont val="Arial"/>
        <family val="2"/>
        <charset val="186"/>
      </rPr>
      <t>ir paskaidrojuma raksts</t>
    </r>
  </si>
  <si>
    <t>Viršu ielas/atzars uz Sproģu ielu asfaltbetona seguma atjaunošana posmā no Dzērveņu ielas līdz Serģu iela (980 m)</t>
  </si>
  <si>
    <r>
      <t xml:space="preserve">Viršu ielas/atzars uz Sproģu ielu asfaltbetona seguma atjaunošana posmā no Dzērveņu ielas līdz Serģu iela (980 m) </t>
    </r>
    <r>
      <rPr>
        <b/>
        <sz val="9"/>
        <color rgb="FF7030A0"/>
        <rFont val="Arial"/>
        <family val="2"/>
        <charset val="186"/>
      </rPr>
      <t>(ir būvprojekts)</t>
    </r>
  </si>
  <si>
    <t>Vecštāles ceļa rekonstrukcija</t>
  </si>
  <si>
    <r>
      <t xml:space="preserve">Vecštāles ceļa pārbūve 8,2km </t>
    </r>
    <r>
      <rPr>
        <b/>
        <sz val="9"/>
        <color rgb="FF7030A0"/>
        <rFont val="Arial"/>
        <family val="2"/>
        <charset val="186"/>
      </rPr>
      <t xml:space="preserve">(ir būvprojekts), </t>
    </r>
    <r>
      <rPr>
        <sz val="9"/>
        <color rgb="FF7030A0"/>
        <rFont val="Arial"/>
        <family val="2"/>
        <charset val="186"/>
      </rPr>
      <t>Kadaga</t>
    </r>
  </si>
  <si>
    <t xml:space="preserve">Apgaismes stabi Attekas ielas savienojumā no Ķiršu līdz Draudzības ielai. </t>
  </si>
  <si>
    <t>10.2.7.</t>
  </si>
  <si>
    <t>6.4.11.</t>
  </si>
  <si>
    <t>6.4.12.</t>
  </si>
  <si>
    <t>6.4.13.</t>
  </si>
  <si>
    <t>6.4.14.</t>
  </si>
  <si>
    <t>2024. gads</t>
  </si>
  <si>
    <t>2024. ĀND bāze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</si>
</sst>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0.000%"/>
    <numFmt numFmtId="170" formatCode="_-* #,##0_-;\-* #,##0_-;_-* \-??_-;_-@_-"/>
    <numFmt numFmtId="171" formatCode="[$-426]General"/>
    <numFmt numFmtId="172" formatCode="[$-426]0%"/>
    <numFmt numFmtId="173" formatCode="&quot; &quot;#,##0.00&quot; &quot;;&quot;-&quot;#,##0.00&quot; &quot;;&quot; -&quot;#&quot; &quot;;&quot; &quot;@&quot; &quot;"/>
    <numFmt numFmtId="174" formatCode="#,##0_ ;\-#,##0\ "/>
    <numFmt numFmtId="175" formatCode="_-* #,##0\ _€_-;\-* #,##0\ _€_-;_-* &quot;-&quot;??\ _€_-;_-@_-"/>
    <numFmt numFmtId="176" formatCode="[&lt;=9999999]###\-####;\(###\)\ ###\-####"/>
    <numFmt numFmtId="177" formatCode="_-* #,##0.00\ [$EUR]_-;\-* #,##0.00\ [$EUR]_-;_-* &quot;-&quot;??\ [$EUR]_-;_-@_-"/>
    <numFmt numFmtId="178" formatCode="_-* #,##0.000_-;\-* #,##0.000_-;_-* &quot;-&quot;??_-;_-@_-"/>
    <numFmt numFmtId="179" formatCode="_-* #,##0_-;\-* #,##0_-;_-* &quot;-&quot;??_-;_-@"/>
    <numFmt numFmtId="180" formatCode="#,##0_ ;[Red]\-#,##0\ "/>
    <numFmt numFmtId="181" formatCode="_-[$€-2]\ * #,##0.00_-;\-[$€-2]\ * #,##0.00_-;_-[$€-2]\ * &quot;-&quot;??_-;_-@_-"/>
    <numFmt numFmtId="182" formatCode="_-&quot;€&quot;* #,##0.00_-;\-&quot;€&quot;* #,##0.00_-;_-&quot;€&quot;* &quot;-&quot;??_-;_-@_-"/>
  </numFmts>
  <fonts count="398">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indexed="10"/>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1"/>
      <color indexed="8"/>
      <name val="Times New Roman"/>
      <family val="1"/>
      <charset val="186"/>
    </font>
    <font>
      <sz val="10"/>
      <name val="Times New Roman"/>
      <family val="1"/>
      <charset val="186"/>
    </font>
    <font>
      <i/>
      <sz val="11"/>
      <color theme="3"/>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11"/>
      <name val="Calibri"/>
      <family val="2"/>
      <charset val="186"/>
      <scheme val="minor"/>
    </font>
    <font>
      <b/>
      <sz val="8"/>
      <name val="Times New Roman"/>
      <family val="1"/>
      <charset val="186"/>
    </font>
    <font>
      <sz val="8"/>
      <name val="Times New Roman"/>
      <family val="1"/>
      <charset val="186"/>
    </font>
    <font>
      <b/>
      <sz val="14"/>
      <name val="Times New Roman"/>
      <family val="1"/>
      <charset val="186"/>
    </font>
    <font>
      <sz val="8"/>
      <color indexed="8"/>
      <name val="Arial"/>
      <family val="2"/>
      <charset val="186"/>
    </font>
    <font>
      <b/>
      <sz val="8"/>
      <color indexed="8"/>
      <name val="Arial"/>
      <family val="2"/>
      <charset val="186"/>
    </font>
    <font>
      <sz val="8"/>
      <color theme="3"/>
      <name val="Arial"/>
      <family val="2"/>
      <charset val="186"/>
    </font>
    <font>
      <b/>
      <sz val="8"/>
      <name val="Arial"/>
      <family val="2"/>
      <charset val="186"/>
    </font>
    <font>
      <sz val="8"/>
      <name val="Arial"/>
      <family val="2"/>
      <charset val="186"/>
    </font>
    <font>
      <sz val="8"/>
      <color rgb="FFC00000"/>
      <name val="Arial"/>
      <family val="2"/>
      <charset val="186"/>
    </font>
    <font>
      <b/>
      <sz val="8"/>
      <color theme="3"/>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b/>
      <i/>
      <sz val="8"/>
      <color theme="3"/>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b/>
      <sz val="12"/>
      <name val="Times New Roman"/>
      <family val="1"/>
      <charset val="186"/>
    </font>
    <font>
      <sz val="12"/>
      <name val="Times New Roman"/>
      <family val="1"/>
      <charset val="186"/>
    </font>
    <font>
      <sz val="12"/>
      <color rgb="FFFF0000"/>
      <name val="Times New Roman"/>
      <family val="1"/>
      <charset val="186"/>
    </font>
    <font>
      <sz val="12"/>
      <color theme="1"/>
      <name val="Times New Roman"/>
      <family val="1"/>
      <charset val="186"/>
    </font>
    <font>
      <sz val="10"/>
      <color theme="1"/>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theme="3"/>
      <name val="Arial"/>
      <family val="2"/>
    </font>
    <font>
      <i/>
      <sz val="8"/>
      <color rgb="FFFF0000"/>
      <name val="Arial"/>
      <family val="2"/>
    </font>
    <font>
      <sz val="11"/>
      <name val="Calibri"/>
      <family val="2"/>
      <charset val="186"/>
    </font>
    <font>
      <u/>
      <sz val="11"/>
      <color theme="10"/>
      <name val="Calibri"/>
      <family val="2"/>
      <charset val="186"/>
      <scheme val="minor"/>
    </font>
    <font>
      <sz val="8"/>
      <name val="Times"/>
      <family val="1"/>
    </font>
    <font>
      <sz val="9"/>
      <color rgb="FFC00000"/>
      <name val="Arial"/>
      <family val="2"/>
      <charset val="186"/>
    </font>
    <font>
      <b/>
      <sz val="8"/>
      <name val="Arial"/>
      <family val="2"/>
    </font>
    <font>
      <b/>
      <sz val="12"/>
      <color rgb="FFFF0000"/>
      <name val="Times New Roman"/>
      <family val="1"/>
      <charset val="186"/>
    </font>
    <font>
      <sz val="11"/>
      <color rgb="FF000000"/>
      <name val="Calibri"/>
      <family val="2"/>
    </font>
    <font>
      <i/>
      <sz val="8"/>
      <color theme="1"/>
      <name val="Arial"/>
      <family val="2"/>
    </font>
    <font>
      <b/>
      <sz val="11"/>
      <color rgb="FFFF0000"/>
      <name val="Calibri"/>
      <family val="2"/>
      <charset val="186"/>
      <scheme val="minor"/>
    </font>
    <font>
      <sz val="8"/>
      <color theme="1"/>
      <name val="Arial"/>
      <family val="2"/>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sz val="8"/>
      <name val="Times New Roman"/>
      <family val="1"/>
    </font>
    <font>
      <i/>
      <sz val="8"/>
      <name val="Times New Roman"/>
      <family val="1"/>
      <charset val="186"/>
    </font>
    <font>
      <sz val="8"/>
      <color rgb="FFFF0000"/>
      <name val="Times New Roman"/>
      <family val="1"/>
    </font>
    <font>
      <i/>
      <sz val="8"/>
      <color indexed="54"/>
      <name val="Arial"/>
      <family val="2"/>
      <charset val="186"/>
    </font>
    <font>
      <i/>
      <sz val="8"/>
      <color theme="9" tint="-0.249977111117893"/>
      <name val="Arial"/>
      <family val="2"/>
      <charset val="186"/>
    </font>
    <font>
      <i/>
      <sz val="8"/>
      <color rgb="FF0070C0"/>
      <name val="Arial"/>
      <family val="2"/>
      <charset val="186"/>
    </font>
    <font>
      <sz val="7"/>
      <color theme="1"/>
      <name val="Times New Roman"/>
      <family val="1"/>
      <charset val="186"/>
    </font>
    <font>
      <i/>
      <strike/>
      <sz val="8"/>
      <color theme="3"/>
      <name val="Arial"/>
      <family val="2"/>
      <charset val="186"/>
    </font>
    <font>
      <i/>
      <sz val="9"/>
      <color theme="3"/>
      <name val="Arial"/>
      <family val="2"/>
      <charset val="186"/>
    </font>
    <font>
      <b/>
      <sz val="11"/>
      <color rgb="FFC00000"/>
      <name val="Times New Roman"/>
      <family val="1"/>
      <charset val="186"/>
    </font>
    <font>
      <sz val="11"/>
      <color rgb="FFFF0000"/>
      <name val="Times New Roman"/>
      <family val="1"/>
    </font>
    <font>
      <b/>
      <i/>
      <sz val="11"/>
      <color theme="3"/>
      <name val="Times New Roman"/>
      <family val="1"/>
      <charset val="186"/>
    </font>
    <font>
      <i/>
      <sz val="8"/>
      <color theme="2" tint="-0.499984740745262"/>
      <name val="Arial"/>
      <family val="2"/>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i/>
      <sz val="11"/>
      <color rgb="FFC00000"/>
      <name val="Calibri"/>
      <family val="2"/>
      <charset val="186"/>
      <scheme val="minor"/>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9"/>
      <color indexed="56"/>
      <name val="Arial"/>
      <family val="2"/>
      <charset val="186"/>
    </font>
    <font>
      <sz val="8"/>
      <color theme="3"/>
      <name val="Times New Roman"/>
      <family val="1"/>
      <charset val="186"/>
    </font>
    <font>
      <sz val="11"/>
      <color theme="1"/>
      <name val="Arial"/>
      <family val="2"/>
      <charset val="186"/>
    </font>
    <font>
      <b/>
      <sz val="12"/>
      <color theme="1"/>
      <name val="Calibri"/>
      <family val="2"/>
      <charset val="186"/>
      <scheme val="minor"/>
    </font>
    <font>
      <b/>
      <sz val="20"/>
      <color indexed="8"/>
      <name val="Times New Roman"/>
      <family val="1"/>
      <charset val="186"/>
    </font>
    <font>
      <b/>
      <sz val="16"/>
      <color theme="1"/>
      <name val="Times New Roman"/>
      <family val="1"/>
      <charset val="186"/>
    </font>
    <font>
      <sz val="13"/>
      <name val="Times New Roman"/>
      <family val="1"/>
    </font>
    <font>
      <i/>
      <sz val="8"/>
      <color indexed="8"/>
      <name val="Arial"/>
      <family val="2"/>
      <charset val="186"/>
    </font>
    <font>
      <sz val="9"/>
      <color rgb="FF000000"/>
      <name val="Arial"/>
      <family val="2"/>
      <charset val="186"/>
    </font>
    <font>
      <u/>
      <sz val="12"/>
      <color theme="10"/>
      <name val="Times New Roman"/>
      <family val="2"/>
      <charset val="186"/>
    </font>
    <font>
      <sz val="11"/>
      <color theme="1"/>
      <name val="Calibri"/>
      <family val="2"/>
      <scheme val="minor"/>
    </font>
    <font>
      <sz val="11"/>
      <name val="Calibri"/>
      <family val="2"/>
      <scheme val="minor"/>
    </font>
    <font>
      <b/>
      <sz val="11"/>
      <name val="Calibri"/>
      <family val="2"/>
      <charset val="186"/>
      <scheme val="minor"/>
    </font>
    <font>
      <sz val="10"/>
      <color theme="1"/>
      <name val="Calibri"/>
      <family val="2"/>
      <charset val="186"/>
      <scheme val="minor"/>
    </font>
    <font>
      <b/>
      <i/>
      <sz val="10"/>
      <color rgb="FFFF0000"/>
      <name val="Arial"/>
      <family val="2"/>
      <charset val="186"/>
    </font>
    <font>
      <i/>
      <sz val="10"/>
      <color theme="3"/>
      <name val="Arial"/>
      <family val="2"/>
      <charset val="186"/>
    </font>
    <font>
      <i/>
      <sz val="10"/>
      <color rgb="FFFF0000"/>
      <name val="Arial"/>
      <family val="2"/>
      <charset val="186"/>
    </font>
    <font>
      <sz val="8"/>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b/>
      <i/>
      <sz val="8"/>
      <color rgb="FF7030A0"/>
      <name val="Arial"/>
      <family val="2"/>
      <charset val="186"/>
    </font>
    <font>
      <i/>
      <sz val="8"/>
      <color theme="4" tint="-0.499984740745262"/>
      <name val="Arial"/>
      <family val="2"/>
      <charset val="186"/>
    </font>
    <font>
      <i/>
      <sz val="11"/>
      <color rgb="FFC00000"/>
      <name val="Times New Roman"/>
      <family val="1"/>
      <charset val="186"/>
    </font>
    <font>
      <b/>
      <i/>
      <sz val="11"/>
      <color rgb="FFC00000"/>
      <name val="Times New Roman"/>
      <family val="1"/>
      <charset val="186"/>
    </font>
    <font>
      <sz val="11"/>
      <color rgb="FF000000"/>
      <name val="Calibri"/>
      <family val="2"/>
      <charset val="186"/>
    </font>
    <font>
      <b/>
      <sz val="12"/>
      <color theme="1"/>
      <name val="Times New Roman"/>
      <family val="1"/>
      <charset val="186"/>
    </font>
    <font>
      <b/>
      <sz val="10"/>
      <color theme="1"/>
      <name val="Calibri"/>
      <family val="2"/>
      <charset val="186"/>
      <scheme val="minor"/>
    </font>
    <font>
      <sz val="8"/>
      <color rgb="FF7030A0"/>
      <name val="Arial"/>
      <family val="2"/>
      <charset val="186"/>
    </font>
    <font>
      <sz val="8"/>
      <color indexed="56"/>
      <name val="Arial"/>
      <family val="2"/>
    </font>
    <font>
      <sz val="8"/>
      <color theme="9" tint="-0.499984740745262"/>
      <name val="Arial"/>
      <family val="2"/>
      <charset val="186"/>
    </font>
    <font>
      <i/>
      <sz val="8"/>
      <color theme="9" tint="-0.499984740745262"/>
      <name val="Arial"/>
      <family val="2"/>
      <charset val="186"/>
    </font>
    <font>
      <b/>
      <i/>
      <sz val="8"/>
      <color theme="9" tint="-0.499984740745262"/>
      <name val="Arial"/>
      <family val="2"/>
      <charset val="186"/>
    </font>
    <font>
      <b/>
      <i/>
      <strike/>
      <sz val="8"/>
      <color theme="9" tint="-0.499984740745262"/>
      <name val="Arial"/>
      <family val="2"/>
      <charset val="186"/>
    </font>
    <font>
      <i/>
      <sz val="8"/>
      <color theme="9"/>
      <name val="Arial"/>
      <family val="2"/>
      <charset val="186"/>
    </font>
    <font>
      <b/>
      <sz val="16"/>
      <name val="Times New Roman"/>
      <family val="1"/>
      <charset val="186"/>
    </font>
    <font>
      <sz val="12"/>
      <color theme="1"/>
      <name val="Times New Roman"/>
      <family val="1"/>
    </font>
    <font>
      <b/>
      <i/>
      <sz val="8"/>
      <color rgb="FF002060"/>
      <name val="Arial"/>
      <family val="2"/>
      <charset val="186"/>
    </font>
    <font>
      <b/>
      <i/>
      <sz val="8"/>
      <color rgb="FF003366"/>
      <name val="Arial"/>
      <family val="2"/>
      <charset val="186"/>
    </font>
    <font>
      <b/>
      <i/>
      <sz val="8"/>
      <color rgb="FF0070C0"/>
      <name val="Arial"/>
      <family val="2"/>
      <charset val="186"/>
    </font>
    <font>
      <b/>
      <i/>
      <sz val="8"/>
      <color theme="4" tint="-0.499984740745262"/>
      <name val="Arial"/>
      <family val="2"/>
      <charset val="186"/>
    </font>
    <font>
      <sz val="9"/>
      <color rgb="FF7030A0"/>
      <name val="Arial"/>
      <family val="2"/>
      <charset val="186"/>
    </font>
    <font>
      <sz val="8"/>
      <color rgb="FFFF0000"/>
      <name val="Arial"/>
      <family val="2"/>
    </font>
    <font>
      <b/>
      <i/>
      <sz val="8"/>
      <color rgb="FF000000"/>
      <name val="Arial"/>
      <family val="2"/>
      <charset val="186"/>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name val="Arial"/>
      <family val="2"/>
      <charset val="186"/>
    </font>
    <font>
      <sz val="11"/>
      <color rgb="FFFF0000"/>
      <name val="Arial"/>
      <family val="2"/>
      <charset val="186"/>
    </font>
    <font>
      <b/>
      <sz val="8"/>
      <color rgb="FFC00000"/>
      <name val="Arial"/>
      <family val="2"/>
      <charset val="186"/>
    </font>
    <font>
      <sz val="11"/>
      <color rgb="FF9C5700"/>
      <name val="Calibri"/>
      <family val="2"/>
      <charset val="186"/>
      <scheme val="minor"/>
    </font>
    <font>
      <i/>
      <sz val="8"/>
      <name val="New"/>
      <charset val="186"/>
    </font>
    <font>
      <b/>
      <sz val="9"/>
      <color rgb="FFFF0000"/>
      <name val="Arial"/>
      <family val="2"/>
      <charset val="186"/>
    </font>
    <font>
      <i/>
      <sz val="11"/>
      <color rgb="FF7030A0"/>
      <name val="Calibri"/>
      <family val="2"/>
      <scheme val="minor"/>
    </font>
    <font>
      <sz val="11"/>
      <color rgb="FF0070C0"/>
      <name val="Calibri"/>
      <family val="2"/>
      <charset val="186"/>
      <scheme val="minor"/>
    </font>
    <font>
      <b/>
      <sz val="14"/>
      <color theme="1"/>
      <name val="Calibri"/>
      <family val="2"/>
      <charset val="186"/>
      <scheme val="minor"/>
    </font>
    <font>
      <b/>
      <i/>
      <sz val="11"/>
      <color rgb="FF7030A0"/>
      <name val="Calibri"/>
      <family val="2"/>
      <scheme val="minor"/>
    </font>
    <font>
      <b/>
      <i/>
      <u/>
      <sz val="9"/>
      <name val="Calibri"/>
      <family val="2"/>
      <scheme val="minor"/>
    </font>
    <font>
      <u/>
      <sz val="9"/>
      <name val="Calibri"/>
      <family val="2"/>
      <scheme val="minor"/>
    </font>
    <font>
      <b/>
      <i/>
      <sz val="9"/>
      <color rgb="FF7030A0"/>
      <name val="Calibri"/>
      <family val="2"/>
      <scheme val="minor"/>
    </font>
    <font>
      <i/>
      <sz val="11"/>
      <color theme="1"/>
      <name val="Calibri"/>
      <family val="2"/>
      <charset val="186"/>
      <scheme val="minor"/>
    </font>
    <font>
      <i/>
      <sz val="11"/>
      <color rgb="FFFF0000"/>
      <name val="Calibri"/>
      <family val="2"/>
      <scheme val="minor"/>
    </font>
    <font>
      <u/>
      <sz val="11"/>
      <color theme="10"/>
      <name val="Calibri"/>
      <family val="2"/>
      <charset val="186"/>
    </font>
    <font>
      <u/>
      <sz val="8"/>
      <color theme="10"/>
      <name val="Calibri"/>
      <family val="2"/>
      <charset val="186"/>
    </font>
    <font>
      <b/>
      <sz val="18"/>
      <name val="Calibri"/>
      <family val="2"/>
      <scheme val="minor"/>
    </font>
    <font>
      <b/>
      <sz val="10"/>
      <color rgb="FFFF0000"/>
      <name val="Calibri"/>
      <family val="2"/>
      <charset val="186"/>
      <scheme val="minor"/>
    </font>
    <font>
      <i/>
      <sz val="8"/>
      <color rgb="FF003366"/>
      <name val="Arial"/>
      <family val="2"/>
      <charset val="186"/>
    </font>
    <font>
      <b/>
      <i/>
      <sz val="8"/>
      <color theme="4" tint="-0.249977111117893"/>
      <name val="Arial"/>
      <family val="2"/>
      <charset val="186"/>
    </font>
    <font>
      <i/>
      <sz val="8"/>
      <color theme="4" tint="-0.249977111117893"/>
      <name val="Arial"/>
      <family val="2"/>
      <charset val="186"/>
    </font>
    <font>
      <b/>
      <i/>
      <sz val="8"/>
      <name val="Arial"/>
      <family val="2"/>
    </font>
    <font>
      <sz val="6"/>
      <name val="Arial"/>
      <family val="2"/>
      <charset val="186"/>
    </font>
    <font>
      <i/>
      <sz val="8"/>
      <color rgb="FF002060"/>
      <name val="Arial"/>
      <family val="2"/>
      <charset val="186"/>
    </font>
    <font>
      <b/>
      <i/>
      <sz val="10"/>
      <color theme="1"/>
      <name val="Calibri"/>
      <family val="2"/>
      <charset val="186"/>
      <scheme val="minor"/>
    </font>
    <font>
      <b/>
      <sz val="10"/>
      <name val="Calibri"/>
      <family val="2"/>
      <charset val="186"/>
      <scheme val="minor"/>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b/>
      <i/>
      <sz val="11"/>
      <color theme="1"/>
      <name val="Calibri"/>
      <family val="2"/>
      <charset val="186"/>
      <scheme val="minor"/>
    </font>
    <font>
      <sz val="10"/>
      <color rgb="FFFF0000"/>
      <name val="Calibri"/>
      <family val="2"/>
      <charset val="186"/>
      <scheme val="minor"/>
    </font>
    <font>
      <i/>
      <sz val="8"/>
      <color theme="0"/>
      <name val="Arial"/>
      <family val="2"/>
      <charset val="186"/>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i/>
      <sz val="8"/>
      <color theme="8"/>
      <name val="Arial"/>
      <family val="2"/>
      <charset val="186"/>
    </font>
    <font>
      <i/>
      <sz val="9"/>
      <color theme="4" tint="-0.249977111117893"/>
      <name val="Arial"/>
      <family val="2"/>
      <charset val="186"/>
    </font>
    <font>
      <b/>
      <i/>
      <sz val="9"/>
      <name val="Arial"/>
      <family val="2"/>
      <charset val="186"/>
    </font>
    <font>
      <sz val="9"/>
      <color theme="4" tint="-0.249977111117893"/>
      <name val="Arial"/>
      <family val="2"/>
      <charset val="186"/>
    </font>
    <font>
      <sz val="6"/>
      <color rgb="FF7030A0"/>
      <name val="Arial"/>
      <family val="2"/>
      <charset val="186"/>
    </font>
    <font>
      <b/>
      <sz val="9"/>
      <color theme="0"/>
      <name val="Arial"/>
      <family val="2"/>
      <charset val="186"/>
    </font>
    <font>
      <b/>
      <sz val="12"/>
      <color theme="1"/>
      <name val="Times New Roman"/>
      <family val="1"/>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i/>
      <sz val="11"/>
      <color rgb="FF8E267F"/>
      <name val="Times New Roman"/>
      <family val="1"/>
      <charset val="186"/>
    </font>
    <font>
      <i/>
      <sz val="9"/>
      <color rgb="FF8E267F"/>
      <name val="Arial"/>
      <family val="2"/>
      <charset val="186"/>
    </font>
    <font>
      <i/>
      <sz val="6"/>
      <color rgb="FF8E267F"/>
      <name val="Arial"/>
      <family val="2"/>
      <charset val="186"/>
    </font>
    <font>
      <b/>
      <sz val="9"/>
      <color theme="0" tint="-0.499984740745262"/>
      <name val="Arial"/>
      <family val="2"/>
      <charset val="186"/>
    </font>
    <font>
      <sz val="9"/>
      <color theme="0" tint="-0.499984740745262"/>
      <name val="Arial"/>
      <family val="2"/>
      <charset val="186"/>
    </font>
    <font>
      <b/>
      <sz val="11"/>
      <color theme="1"/>
      <name val="Times New Roman"/>
      <family val="1"/>
      <charset val="186"/>
    </font>
    <font>
      <b/>
      <sz val="10"/>
      <color theme="1"/>
      <name val="Times New Roman"/>
      <family val="1"/>
      <charset val="186"/>
    </font>
    <font>
      <i/>
      <sz val="12"/>
      <name val="Times New Roman"/>
      <family val="1"/>
      <charset val="186"/>
    </font>
    <font>
      <i/>
      <sz val="9"/>
      <color theme="8" tint="-0.249977111117893"/>
      <name val="Arial"/>
      <family val="2"/>
      <charset val="186"/>
    </font>
    <font>
      <b/>
      <sz val="10"/>
      <color theme="1"/>
      <name val="Arial"/>
      <family val="2"/>
      <charset val="186"/>
    </font>
    <font>
      <sz val="11"/>
      <color rgb="FFFF0000"/>
      <name val="Calibri"/>
      <family val="2"/>
      <charset val="186"/>
    </font>
    <font>
      <sz val="8"/>
      <color theme="4" tint="-0.249977111117893"/>
      <name val="Arial"/>
      <family val="2"/>
      <charset val="186"/>
    </font>
    <font>
      <sz val="8"/>
      <color theme="2" tint="-0.499984740745262"/>
      <name val="Arial"/>
      <family val="2"/>
      <charset val="186"/>
    </font>
    <font>
      <i/>
      <sz val="8"/>
      <color theme="4" tint="-0.249977111117893"/>
      <name val="Times New Roman"/>
      <family val="1"/>
      <charset val="186"/>
    </font>
    <font>
      <sz val="9"/>
      <color rgb="FF8E267F"/>
      <name val="Arial"/>
      <family val="2"/>
      <charset val="186"/>
    </font>
    <font>
      <sz val="12"/>
      <name val="Times New Roman"/>
      <family val="1"/>
    </font>
    <font>
      <i/>
      <sz val="8"/>
      <color rgb="FF00B050"/>
      <name val="Arial"/>
      <family val="2"/>
      <charset val="186"/>
    </font>
    <font>
      <sz val="8"/>
      <color indexed="81"/>
      <name val="Tahoma"/>
      <family val="2"/>
      <charset val="186"/>
    </font>
    <font>
      <b/>
      <i/>
      <strike/>
      <sz val="8"/>
      <name val="Arial"/>
      <family val="2"/>
      <charset val="186"/>
    </font>
    <font>
      <sz val="11"/>
      <color theme="9" tint="-0.499984740745262"/>
      <name val="Calibri"/>
      <family val="2"/>
      <charset val="186"/>
      <scheme val="minor"/>
    </font>
    <font>
      <sz val="11"/>
      <color rgb="FF00B0F0"/>
      <name val="Calibri"/>
      <family val="2"/>
      <charset val="186"/>
      <scheme val="minor"/>
    </font>
    <font>
      <sz val="11"/>
      <color theme="8" tint="-0.499984740745262"/>
      <name val="Calibri"/>
      <family val="2"/>
      <charset val="186"/>
      <scheme val="minor"/>
    </font>
    <font>
      <sz val="11"/>
      <color theme="1"/>
      <name val="Calibri (Body)"/>
    </font>
    <font>
      <b/>
      <i/>
      <sz val="11"/>
      <color rgb="FFC00000"/>
      <name val="Calibri"/>
      <family val="2"/>
      <charset val="186"/>
      <scheme val="minor"/>
    </font>
    <font>
      <b/>
      <sz val="11"/>
      <color theme="9" tint="-0.499984740745262"/>
      <name val="Calibri"/>
      <family val="2"/>
      <charset val="186"/>
      <scheme val="minor"/>
    </font>
    <font>
      <b/>
      <sz val="11"/>
      <color rgb="FF00B0F0"/>
      <name val="Calibri"/>
      <family val="2"/>
      <charset val="186"/>
      <scheme val="minor"/>
    </font>
    <font>
      <b/>
      <sz val="11"/>
      <color theme="8" tint="-0.499984740745262"/>
      <name val="Calibri"/>
      <family val="2"/>
      <charset val="186"/>
      <scheme val="minor"/>
    </font>
    <font>
      <b/>
      <i/>
      <u/>
      <sz val="9"/>
      <color rgb="FF7030A0"/>
      <name val="Calibri"/>
      <family val="2"/>
      <scheme val="minor"/>
    </font>
    <font>
      <b/>
      <i/>
      <u/>
      <sz val="9"/>
      <color rgb="FFC00000"/>
      <name val="Calibri"/>
      <family val="2"/>
      <charset val="186"/>
      <scheme val="minor"/>
    </font>
    <font>
      <b/>
      <u/>
      <sz val="9"/>
      <color theme="9" tint="-0.499984740745262"/>
      <name val="Calibri"/>
      <family val="2"/>
      <charset val="186"/>
      <scheme val="minor"/>
    </font>
    <font>
      <b/>
      <u/>
      <sz val="9"/>
      <color rgb="FF00B0F0"/>
      <name val="Calibri"/>
      <family val="2"/>
      <charset val="186"/>
      <scheme val="minor"/>
    </font>
    <font>
      <b/>
      <u/>
      <sz val="9"/>
      <color theme="8" tint="-0.499984740745262"/>
      <name val="Calibri"/>
      <family val="2"/>
      <charset val="186"/>
      <scheme val="minor"/>
    </font>
    <font>
      <b/>
      <i/>
      <sz val="9"/>
      <color rgb="FFC00000"/>
      <name val="Calibri"/>
      <family val="2"/>
      <charset val="186"/>
      <scheme val="minor"/>
    </font>
    <font>
      <b/>
      <sz val="9"/>
      <color theme="9" tint="-0.499984740745262"/>
      <name val="Calibri"/>
      <family val="2"/>
      <charset val="186"/>
      <scheme val="minor"/>
    </font>
    <font>
      <b/>
      <sz val="9"/>
      <color rgb="FF00B0F0"/>
      <name val="Calibri"/>
      <family val="2"/>
      <charset val="186"/>
      <scheme val="minor"/>
    </font>
    <font>
      <b/>
      <sz val="9"/>
      <color theme="8" tint="-0.499984740745262"/>
      <name val="Calibri"/>
      <family val="2"/>
      <charset val="186"/>
      <scheme val="minor"/>
    </font>
    <font>
      <i/>
      <sz val="11"/>
      <color theme="9" tint="-0.499984740745262"/>
      <name val="Calibri"/>
      <family val="2"/>
      <charset val="186"/>
      <scheme val="minor"/>
    </font>
    <font>
      <i/>
      <sz val="11"/>
      <color rgb="FF00B0F0"/>
      <name val="Calibri"/>
      <family val="2"/>
      <charset val="186"/>
      <scheme val="minor"/>
    </font>
    <font>
      <i/>
      <sz val="11"/>
      <color theme="8" tint="-0.499984740745262"/>
      <name val="Calibri"/>
      <family val="2"/>
      <charset val="186"/>
      <scheme val="minor"/>
    </font>
    <font>
      <i/>
      <sz val="11"/>
      <color theme="1"/>
      <name val="Calibri"/>
      <family val="2"/>
      <scheme val="minor"/>
    </font>
    <font>
      <sz val="11"/>
      <color theme="0" tint="-0.34998626667073579"/>
      <name val="Calibri"/>
      <family val="2"/>
      <scheme val="minor"/>
    </font>
    <font>
      <i/>
      <sz val="11"/>
      <color theme="0" tint="-0.34998626667073579"/>
      <name val="Calibri"/>
      <family val="2"/>
      <scheme val="minor"/>
    </font>
    <font>
      <sz val="10"/>
      <color theme="1"/>
      <name val="Calibri"/>
      <family val="2"/>
      <scheme val="minor"/>
    </font>
    <font>
      <i/>
      <sz val="10"/>
      <color theme="1"/>
      <name val="Calibri"/>
      <family val="2"/>
      <scheme val="minor"/>
    </font>
    <font>
      <b/>
      <i/>
      <sz val="12"/>
      <color theme="1"/>
      <name val="Arial"/>
      <family val="2"/>
    </font>
    <font>
      <sz val="12"/>
      <color rgb="FF333333"/>
      <name val="Arial"/>
      <family val="2"/>
    </font>
    <font>
      <b/>
      <sz val="14"/>
      <color theme="1"/>
      <name val="Calibri"/>
      <family val="2"/>
      <scheme val="minor"/>
    </font>
    <font>
      <b/>
      <u/>
      <sz val="14"/>
      <color theme="1"/>
      <name val="Calibri"/>
      <family val="2"/>
      <scheme val="minor"/>
    </font>
    <font>
      <b/>
      <sz val="12"/>
      <color theme="1"/>
      <name val="Arial"/>
      <family val="2"/>
    </font>
    <font>
      <sz val="9"/>
      <color theme="1"/>
      <name val="Arial"/>
      <family val="2"/>
    </font>
    <font>
      <b/>
      <sz val="9"/>
      <color theme="1"/>
      <name val="Arial"/>
      <family val="2"/>
    </font>
    <font>
      <b/>
      <i/>
      <sz val="11"/>
      <color theme="1"/>
      <name val="Calibri"/>
      <family val="2"/>
      <scheme val="minor"/>
    </font>
    <font>
      <sz val="11"/>
      <color rgb="FF000000"/>
      <name val="Calibri Light"/>
      <family val="2"/>
      <charset val="186"/>
      <scheme val="major"/>
    </font>
    <font>
      <sz val="10"/>
      <name val="Calibri"/>
      <family val="2"/>
      <charset val="186"/>
    </font>
    <font>
      <sz val="10"/>
      <color theme="1"/>
      <name val="Calibri"/>
      <family val="2"/>
      <charset val="186"/>
    </font>
    <font>
      <sz val="11"/>
      <color theme="1"/>
      <name val="Calibri"/>
      <family val="2"/>
      <charset val="186"/>
    </font>
    <font>
      <i/>
      <u/>
      <sz val="11"/>
      <color rgb="FF242424"/>
      <name val="Calibri"/>
      <family val="2"/>
      <charset val="186"/>
    </font>
    <font>
      <sz val="11"/>
      <color rgb="FF323232"/>
      <name val="Calibri Light"/>
      <family val="2"/>
      <charset val="186"/>
      <scheme val="major"/>
    </font>
    <font>
      <u/>
      <sz val="10"/>
      <color rgb="FF0000FF"/>
      <name val="Arial"/>
      <family val="2"/>
      <charset val="186"/>
    </font>
    <font>
      <u/>
      <sz val="11"/>
      <color rgb="FF000000"/>
      <name val="Calibri"/>
      <family val="2"/>
      <charset val="186"/>
    </font>
    <font>
      <sz val="11"/>
      <color rgb="FF333333"/>
      <name val="Calibri"/>
      <family val="2"/>
      <charset val="186"/>
    </font>
    <font>
      <sz val="10"/>
      <color rgb="FF000000"/>
      <name val="Arial"/>
      <family val="2"/>
      <charset val="186"/>
    </font>
    <font>
      <sz val="10"/>
      <color rgb="FF555555"/>
      <name val="Arial"/>
      <family val="2"/>
      <charset val="186"/>
    </font>
    <font>
      <b/>
      <sz val="9"/>
      <color rgb="FF000000"/>
      <name val="Arial Narrow"/>
      <family val="2"/>
      <charset val="186"/>
    </font>
    <font>
      <sz val="9"/>
      <color rgb="FF000000"/>
      <name val="Arial Narrow"/>
      <family val="2"/>
      <charset val="186"/>
    </font>
    <font>
      <sz val="9"/>
      <name val="Times"/>
      <family val="1"/>
    </font>
    <font>
      <b/>
      <i/>
      <sz val="16"/>
      <color theme="1"/>
      <name val="Calibri"/>
      <family val="2"/>
      <charset val="186"/>
      <scheme val="minor"/>
    </font>
    <font>
      <sz val="12"/>
      <color rgb="FFFF0000"/>
      <name val="Arial"/>
      <family val="2"/>
      <charset val="186"/>
    </font>
    <font>
      <b/>
      <sz val="18"/>
      <color theme="1"/>
      <name val="Calibri"/>
      <family val="2"/>
      <charset val="186"/>
      <scheme val="minor"/>
    </font>
    <font>
      <b/>
      <sz val="16"/>
      <color theme="1"/>
      <name val="Calibri"/>
      <family val="2"/>
      <charset val="186"/>
      <scheme val="minor"/>
    </font>
    <font>
      <b/>
      <sz val="12"/>
      <color theme="1"/>
      <name val="Arial"/>
      <family val="2"/>
      <charset val="186"/>
    </font>
    <font>
      <b/>
      <sz val="14"/>
      <color theme="1"/>
      <name val="Arial"/>
      <family val="2"/>
      <charset val="186"/>
    </font>
    <font>
      <b/>
      <i/>
      <sz val="12"/>
      <color theme="1"/>
      <name val="Calibri"/>
      <family val="2"/>
      <charset val="186"/>
      <scheme val="minor"/>
    </font>
    <font>
      <b/>
      <i/>
      <sz val="26"/>
      <color theme="1"/>
      <name val="Calibri"/>
      <family val="2"/>
      <charset val="186"/>
      <scheme val="minor"/>
    </font>
    <font>
      <i/>
      <sz val="12"/>
      <color rgb="FFFF0000"/>
      <name val="Calibri"/>
      <family val="2"/>
      <charset val="186"/>
      <scheme val="minor"/>
    </font>
    <font>
      <i/>
      <sz val="10"/>
      <color theme="1"/>
      <name val="Calibri"/>
      <family val="2"/>
      <charset val="186"/>
      <scheme val="minor"/>
    </font>
    <font>
      <b/>
      <i/>
      <sz val="14"/>
      <color theme="1"/>
      <name val="Calibri"/>
      <family val="2"/>
      <charset val="186"/>
      <scheme val="minor"/>
    </font>
    <font>
      <b/>
      <i/>
      <sz val="9"/>
      <color theme="1"/>
      <name val="Arial"/>
      <family val="2"/>
      <charset val="186"/>
    </font>
    <font>
      <sz val="12"/>
      <color theme="1"/>
      <name val="Calibri"/>
      <family val="2"/>
      <charset val="186"/>
      <scheme val="minor"/>
    </font>
    <font>
      <b/>
      <i/>
      <sz val="18"/>
      <color theme="1"/>
      <name val="Calibri"/>
      <family val="2"/>
      <charset val="186"/>
      <scheme val="minor"/>
    </font>
    <font>
      <b/>
      <sz val="16"/>
      <color theme="1"/>
      <name val="Arial"/>
      <family val="2"/>
      <charset val="186"/>
    </font>
    <font>
      <sz val="9"/>
      <color rgb="FF333333"/>
      <name val="Arial"/>
      <family val="2"/>
      <charset val="186"/>
    </font>
    <font>
      <b/>
      <sz val="9"/>
      <name val="Arial Narrow"/>
      <family val="2"/>
      <charset val="186"/>
    </font>
    <font>
      <b/>
      <sz val="10"/>
      <name val="Arial Narrow"/>
      <family val="2"/>
      <charset val="186"/>
    </font>
    <font>
      <sz val="10"/>
      <name val="Arial Narrow"/>
      <family val="2"/>
      <charset val="186"/>
    </font>
    <font>
      <sz val="9"/>
      <name val="Arial Narrow"/>
      <family val="2"/>
      <charset val="186"/>
    </font>
    <font>
      <sz val="10"/>
      <color theme="0" tint="-0.499984740745262"/>
      <name val="Arial Narrow"/>
      <family val="2"/>
      <charset val="186"/>
    </font>
    <font>
      <sz val="11"/>
      <color rgb="FF00B050"/>
      <name val="Calibri"/>
      <family val="2"/>
      <charset val="186"/>
      <scheme val="minor"/>
    </font>
    <font>
      <b/>
      <sz val="11"/>
      <color rgb="FF00B050"/>
      <name val="Calibri"/>
      <family val="2"/>
      <charset val="186"/>
      <scheme val="minor"/>
    </font>
    <font>
      <sz val="11"/>
      <color theme="8" tint="-0.249977111117893"/>
      <name val="Calibri"/>
      <family val="2"/>
      <charset val="186"/>
      <scheme val="minor"/>
    </font>
    <font>
      <sz val="9"/>
      <name val="Calibri Light"/>
      <family val="2"/>
      <charset val="186"/>
    </font>
    <font>
      <i/>
      <sz val="9"/>
      <color rgb="FFFF0000"/>
      <name val="Arial"/>
      <family val="2"/>
    </font>
    <font>
      <b/>
      <i/>
      <sz val="8"/>
      <color rgb="FFC00000"/>
      <name val="Arial"/>
      <family val="2"/>
    </font>
    <font>
      <b/>
      <i/>
      <sz val="10"/>
      <color rgb="FF000000"/>
      <name val="Times New Roman"/>
      <family val="1"/>
      <charset val="186"/>
    </font>
    <font>
      <sz val="8"/>
      <color rgb="FF000000"/>
      <name val="Arial"/>
      <family val="2"/>
    </font>
    <font>
      <i/>
      <sz val="8"/>
      <color rgb="FFC00000"/>
      <name val="Arial"/>
      <family val="2"/>
    </font>
    <font>
      <sz val="8"/>
      <color theme="7" tint="-0.499984740745262"/>
      <name val="Arial"/>
      <family val="2"/>
      <charset val="186"/>
    </font>
    <font>
      <i/>
      <sz val="8"/>
      <color theme="7" tint="-0.499984740745262"/>
      <name val="Arial"/>
      <family val="2"/>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i/>
      <sz val="10"/>
      <name val="Arial"/>
      <family val="2"/>
      <charset val="186"/>
    </font>
    <font>
      <b/>
      <i/>
      <sz val="8"/>
      <color rgb="FFFF0000"/>
      <name val="Arial"/>
      <family val="2"/>
    </font>
    <font>
      <b/>
      <sz val="8"/>
      <color theme="1"/>
      <name val="Calibri"/>
      <family val="2"/>
      <charset val="186"/>
      <scheme val="minor"/>
    </font>
    <font>
      <b/>
      <sz val="11"/>
      <color rgb="FF000000"/>
      <name val="Times New Roman"/>
      <family val="1"/>
      <charset val="186"/>
    </font>
    <font>
      <sz val="11"/>
      <color rgb="FF000000"/>
      <name val="Times New Roman"/>
      <family val="1"/>
      <charset val="186"/>
    </font>
    <font>
      <sz val="12"/>
      <color rgb="FF000000"/>
      <name val="Times New Roman"/>
      <family val="1"/>
      <charset val="186"/>
    </font>
    <font>
      <b/>
      <sz val="8"/>
      <color rgb="FFFF0000"/>
      <name val="Arial"/>
      <family val="2"/>
    </font>
    <font>
      <i/>
      <sz val="8"/>
      <color theme="8" tint="-0.249977111117893"/>
      <name val="Arial"/>
      <family val="2"/>
      <charset val="186"/>
    </font>
    <font>
      <sz val="11"/>
      <color rgb="FF8E267F"/>
      <name val="Times New Roman"/>
      <family val="1"/>
      <charset val="186"/>
    </font>
    <font>
      <b/>
      <sz val="9"/>
      <color theme="5" tint="-0.249977111117893"/>
      <name val="Arial"/>
      <family val="2"/>
      <charset val="186"/>
    </font>
    <font>
      <i/>
      <sz val="9"/>
      <name val="Times New Roman"/>
      <family val="1"/>
      <charset val="186"/>
    </font>
    <font>
      <b/>
      <i/>
      <sz val="8"/>
      <color theme="1"/>
      <name val="Arial"/>
      <family val="2"/>
    </font>
    <font>
      <i/>
      <sz val="9"/>
      <color rgb="FF000000"/>
      <name val="Arial"/>
      <family val="2"/>
      <charset val="186"/>
    </font>
    <font>
      <b/>
      <i/>
      <sz val="9"/>
      <color rgb="FF000000"/>
      <name val="Arial"/>
      <family val="2"/>
      <charset val="186"/>
    </font>
    <font>
      <b/>
      <sz val="20"/>
      <color rgb="FFFF0000"/>
      <name val="Times New Roman"/>
      <family val="1"/>
      <charset val="186"/>
    </font>
  </fonts>
  <fills count="88">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7"/>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B050"/>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bgColor indexed="64"/>
      </patternFill>
    </fill>
    <fill>
      <patternFill patternType="solid">
        <fgColor theme="7" tint="0.39997558519241921"/>
        <bgColor indexed="64"/>
      </patternFill>
    </fill>
    <fill>
      <patternFill patternType="solid">
        <fgColor theme="4" tint="-0.249977111117893"/>
        <bgColor indexed="64"/>
      </patternFill>
    </fill>
    <fill>
      <patternFill patternType="solid">
        <fgColor rgb="FFF7E1F7"/>
        <bgColor indexed="64"/>
      </patternFill>
    </fill>
    <fill>
      <patternFill patternType="solid">
        <fgColor rgb="FFFFFFFF"/>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BEFFC4"/>
        <bgColor indexed="64"/>
      </patternFill>
    </fill>
    <fill>
      <patternFill patternType="solid">
        <fgColor rgb="FFF2F2F2"/>
        <bgColor indexed="64"/>
      </patternFill>
    </fill>
    <fill>
      <patternFill patternType="solid">
        <fgColor rgb="FFFFFFFF"/>
        <bgColor rgb="FFFFFFFF"/>
      </patternFill>
    </fill>
    <fill>
      <patternFill patternType="solid">
        <fgColor rgb="FFFFFF00"/>
        <bgColor rgb="FFCCFFCC"/>
      </patternFill>
    </fill>
    <fill>
      <patternFill patternType="solid">
        <fgColor rgb="FFFFF2CC"/>
        <bgColor rgb="FFFFF2CC"/>
      </patternFill>
    </fill>
    <fill>
      <patternFill patternType="solid">
        <fgColor theme="5" tint="0.59999389629810485"/>
        <bgColor rgb="FFCCFFCC"/>
      </patternFill>
    </fill>
    <fill>
      <patternFill patternType="solid">
        <fgColor rgb="FFFF8B8B"/>
        <bgColor indexed="64"/>
      </patternFill>
    </fill>
  </fills>
  <borders count="22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medium">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auto="1"/>
      </left>
      <right style="thin">
        <color auto="1"/>
      </right>
      <top/>
      <bottom/>
      <diagonal/>
    </border>
    <border>
      <left style="thin">
        <color indexed="64"/>
      </left>
      <right/>
      <top/>
      <bottom/>
      <diagonal/>
    </border>
    <border>
      <left style="thin">
        <color auto="1"/>
      </left>
      <right/>
      <top style="thin">
        <color auto="1"/>
      </top>
      <bottom style="medium">
        <color indexed="64"/>
      </bottom>
      <diagonal/>
    </border>
    <border>
      <left style="thin">
        <color auto="1"/>
      </left>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medium">
        <color indexed="64"/>
      </left>
      <right/>
      <top style="thin">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top style="medium">
        <color indexed="64"/>
      </top>
      <bottom style="thin">
        <color indexed="64"/>
      </bottom>
      <diagonal/>
    </border>
    <border>
      <left style="thin">
        <color auto="1"/>
      </left>
      <right/>
      <top style="thin">
        <color auto="1"/>
      </top>
      <bottom/>
      <diagonal/>
    </border>
    <border>
      <left/>
      <right style="thin">
        <color auto="1"/>
      </right>
      <top style="thin">
        <color auto="1"/>
      </top>
      <bottom style="thin">
        <color auto="1"/>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auto="1"/>
      </left>
      <right style="thin">
        <color auto="1"/>
      </right>
      <top style="thin">
        <color rgb="FF000000"/>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AAAAAA"/>
      </right>
      <top style="thin">
        <color rgb="FF000000"/>
      </top>
      <bottom style="thin">
        <color rgb="FFAAAAAA"/>
      </bottom>
      <diagonal/>
    </border>
    <border>
      <left style="thin">
        <color rgb="FFAAAAAA"/>
      </left>
      <right style="thin">
        <color rgb="FFAAAAAA"/>
      </right>
      <top style="thin">
        <color rgb="FF000000"/>
      </top>
      <bottom style="thin">
        <color rgb="FFAAAAAA"/>
      </bottom>
      <diagonal/>
    </border>
    <border>
      <left style="thin">
        <color rgb="FFAAAAAA"/>
      </left>
      <right style="thin">
        <color rgb="FF000000"/>
      </right>
      <top style="thin">
        <color rgb="FF000000"/>
      </top>
      <bottom style="thin">
        <color rgb="FFAAAAAA"/>
      </bottom>
      <diagonal/>
    </border>
    <border>
      <left style="thin">
        <color rgb="FFAAAAAA"/>
      </left>
      <right style="thin">
        <color rgb="FFAAAAAA"/>
      </right>
      <top/>
      <bottom style="thin">
        <color rgb="FFAAAAAA"/>
      </bottom>
      <diagonal/>
    </border>
    <border>
      <left style="thin">
        <color rgb="FFAAAAAA"/>
      </left>
      <right style="thin">
        <color rgb="FFAAAAAA"/>
      </right>
      <top style="thin">
        <color rgb="FFAAAAAA"/>
      </top>
      <bottom style="thin">
        <color rgb="FFAAAAAA"/>
      </bottom>
      <diagonal/>
    </border>
    <border>
      <left style="thin">
        <color rgb="FFAAAAAA"/>
      </left>
      <right style="thin">
        <color rgb="FF000000"/>
      </right>
      <top style="thin">
        <color rgb="FFAAAAAA"/>
      </top>
      <bottom style="thin">
        <color rgb="FFAAAAAA"/>
      </bottom>
      <diagonal/>
    </border>
    <border>
      <left style="thin">
        <color auto="1"/>
      </left>
      <right style="thin">
        <color auto="1"/>
      </right>
      <top style="thin">
        <color auto="1"/>
      </top>
      <bottom style="thin">
        <color auto="1"/>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double">
        <color indexed="64"/>
      </bottom>
      <diagonal/>
    </border>
    <border>
      <left style="thin">
        <color theme="0" tint="-0.499984740745262"/>
      </left>
      <right style="thin">
        <color theme="0" tint="-0.499984740745262"/>
      </right>
      <top/>
      <bottom style="double">
        <color indexed="64"/>
      </bottom>
      <diagonal/>
    </border>
    <border>
      <left style="thin">
        <color theme="0" tint="-0.499984740745262"/>
      </left>
      <right style="thin">
        <color theme="0" tint="-0.499984740745262"/>
      </right>
      <top style="double">
        <color indexed="64"/>
      </top>
      <bottom style="double">
        <color indexed="64"/>
      </bottom>
      <diagonal/>
    </border>
    <border>
      <left/>
      <right/>
      <top style="double">
        <color indexed="64"/>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bottom style="double">
        <color theme="0" tint="-0.499984740745262"/>
      </bottom>
      <diagonal/>
    </border>
    <border>
      <left/>
      <right/>
      <top/>
      <bottom style="double">
        <color theme="0" tint="-0.499984740745262"/>
      </bottom>
      <diagonal/>
    </border>
    <border>
      <left style="thin">
        <color theme="0" tint="-0.499984740745262"/>
      </left>
      <right style="thin">
        <color theme="0" tint="-0.499984740745262"/>
      </right>
      <top style="thin">
        <color theme="0" tint="-0.499984740745262"/>
      </top>
      <bottom style="double">
        <color theme="0" tint="-0.499984740745262"/>
      </bottom>
      <diagonal/>
    </border>
    <border>
      <left style="thin">
        <color rgb="FF000000"/>
      </left>
      <right style="thin">
        <color rgb="FF000000"/>
      </right>
      <top style="thin">
        <color rgb="FF000000"/>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bottom/>
      <diagonal/>
    </border>
    <border>
      <left/>
      <right style="thin">
        <color indexed="64"/>
      </right>
      <top style="thin">
        <color theme="0" tint="-0.499984740745262"/>
      </top>
      <bottom style="thin">
        <color theme="0" tint="-0.499984740745262"/>
      </bottom>
      <diagonal/>
    </border>
    <border>
      <left style="thin">
        <color indexed="64"/>
      </left>
      <right style="thin">
        <color theme="0" tint="-0.499984740745262"/>
      </right>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right style="thin">
        <color indexed="64"/>
      </right>
      <top/>
      <bottom style="thin">
        <color indexed="64"/>
      </bottom>
      <diagonal/>
    </border>
    <border>
      <left style="thin">
        <color theme="0" tint="-0.499984740745262"/>
      </left>
      <right style="thin">
        <color auto="1"/>
      </right>
      <top style="double">
        <color indexed="64"/>
      </top>
      <bottom style="double">
        <color theme="0" tint="-0.499984740745262"/>
      </bottom>
      <diagonal/>
    </border>
    <border>
      <left style="thin">
        <color theme="0" tint="-0.499984740745262"/>
      </left>
      <right style="thin">
        <color theme="0" tint="-0.499984740745262"/>
      </right>
      <top style="double">
        <color indexed="64"/>
      </top>
      <bottom style="double">
        <color theme="0" tint="-0.499984740745262"/>
      </bottom>
      <diagonal/>
    </border>
    <border>
      <left style="thin">
        <color rgb="FF000000"/>
      </left>
      <right style="thin">
        <color rgb="FF000000"/>
      </right>
      <top style="double">
        <color indexed="64"/>
      </top>
      <bottom style="double">
        <color theme="0" tint="-0.499984740745262"/>
      </bottom>
      <diagonal/>
    </border>
    <border>
      <left/>
      <right/>
      <top style="double">
        <color indexed="64"/>
      </top>
      <bottom style="double">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s>
  <cellStyleXfs count="273">
    <xf numFmtId="0" fontId="0" fillId="0" borderId="0"/>
    <xf numFmtId="43" fontId="53" fillId="0" borderId="0" applyFont="0" applyFill="0" applyBorder="0" applyAlignment="0" applyProtection="0"/>
    <xf numFmtId="9" fontId="53" fillId="0" borderId="0" applyFont="0" applyFill="0" applyBorder="0" applyAlignment="0" applyProtection="0"/>
    <xf numFmtId="0" fontId="45" fillId="0" borderId="0"/>
    <xf numFmtId="9" fontId="51" fillId="0" borderId="0" applyFont="0" applyFill="0" applyBorder="0" applyAlignment="0" applyProtection="0"/>
    <xf numFmtId="43" fontId="51" fillId="0" borderId="0" applyFont="0" applyFill="0" applyBorder="0" applyAlignment="0" applyProtection="0"/>
    <xf numFmtId="9" fontId="51" fillId="0" borderId="0" applyFont="0" applyFill="0" applyBorder="0" applyAlignment="0" applyProtection="0"/>
    <xf numFmtId="0" fontId="54" fillId="0" borderId="0"/>
    <xf numFmtId="43" fontId="51" fillId="0" borderId="0" applyFont="0" applyFill="0" applyBorder="0" applyAlignment="0" applyProtection="0"/>
    <xf numFmtId="9" fontId="51" fillId="0" borderId="0" applyFont="0" applyFill="0" applyBorder="0" applyAlignment="0" applyProtection="0"/>
    <xf numFmtId="0" fontId="54" fillId="0" borderId="0"/>
    <xf numFmtId="43" fontId="54" fillId="0" borderId="0" applyFont="0" applyFill="0" applyBorder="0" applyAlignment="0" applyProtection="0"/>
    <xf numFmtId="43" fontId="51" fillId="0" borderId="0" applyFont="0" applyFill="0" applyBorder="0" applyAlignment="0" applyProtection="0"/>
    <xf numFmtId="0" fontId="44" fillId="0" borderId="0"/>
    <xf numFmtId="9" fontId="54"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8" fillId="0" borderId="0"/>
    <xf numFmtId="43" fontId="53" fillId="0" borderId="0" applyFont="0" applyFill="0" applyBorder="0" applyAlignment="0" applyProtection="0"/>
    <xf numFmtId="43" fontId="51" fillId="0" borderId="0" applyFont="0" applyFill="0" applyBorder="0" applyAlignment="0" applyProtection="0"/>
    <xf numFmtId="166" fontId="53" fillId="0" borderId="0" applyFont="0" applyFill="0" applyBorder="0" applyAlignment="0" applyProtection="0"/>
    <xf numFmtId="43" fontId="51" fillId="0" borderId="0" applyFont="0" applyFill="0" applyBorder="0" applyAlignment="0" applyProtection="0"/>
    <xf numFmtId="43" fontId="97" fillId="0" borderId="0" applyFont="0" applyFill="0" applyBorder="0" applyAlignment="0" applyProtection="0"/>
    <xf numFmtId="43" fontId="44" fillId="0" borderId="0" applyFont="0" applyFill="0" applyBorder="0" applyAlignment="0" applyProtection="0"/>
    <xf numFmtId="43" fontId="51" fillId="0" borderId="0" applyFont="0" applyFill="0" applyBorder="0" applyAlignment="0" applyProtection="0"/>
    <xf numFmtId="0" fontId="44" fillId="0" borderId="0"/>
    <xf numFmtId="0" fontId="105" fillId="2" borderId="0" applyNumberFormat="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xf numFmtId="0" fontId="43" fillId="0" borderId="0"/>
    <xf numFmtId="0" fontId="42" fillId="0" borderId="0"/>
    <xf numFmtId="9" fontId="42" fillId="0" borderId="0" applyFont="0" applyFill="0" applyBorder="0" applyAlignment="0" applyProtection="0"/>
    <xf numFmtId="0" fontId="42" fillId="0" borderId="0"/>
    <xf numFmtId="43" fontId="51" fillId="0" borderId="0" applyFont="0" applyFill="0" applyBorder="0" applyAlignment="0" applyProtection="0"/>
    <xf numFmtId="0" fontId="51" fillId="0" borderId="0"/>
    <xf numFmtId="0" fontId="51" fillId="0" borderId="0"/>
    <xf numFmtId="43" fontId="42" fillId="0" borderId="0" applyFont="0" applyFill="0" applyBorder="0" applyAlignment="0" applyProtection="0"/>
    <xf numFmtId="0" fontId="107" fillId="0" borderId="0"/>
    <xf numFmtId="0" fontId="117" fillId="0" borderId="0" applyNumberFormat="0" applyFill="0" applyBorder="0" applyAlignment="0" applyProtection="0"/>
    <xf numFmtId="0" fontId="54" fillId="0" borderId="0" applyNumberFormat="0" applyFill="0" applyBorder="0" applyAlignment="0" applyProtection="0"/>
    <xf numFmtId="0" fontId="41" fillId="0" borderId="0"/>
    <xf numFmtId="0" fontId="41" fillId="0" borderId="0"/>
    <xf numFmtId="0" fontId="51" fillId="0" borderId="0"/>
    <xf numFmtId="0" fontId="51" fillId="0" borderId="0"/>
    <xf numFmtId="0" fontId="54" fillId="0" borderId="0"/>
    <xf numFmtId="0" fontId="40" fillId="0" borderId="0"/>
    <xf numFmtId="43" fontId="40" fillId="0" borderId="0" applyFont="0" applyFill="0" applyBorder="0" applyAlignment="0" applyProtection="0"/>
    <xf numFmtId="43" fontId="53" fillId="0" borderId="0" applyFont="0" applyFill="0" applyBorder="0" applyAlignment="0" applyProtection="0"/>
    <xf numFmtId="0" fontId="54" fillId="0" borderId="0"/>
    <xf numFmtId="0" fontId="40" fillId="0" borderId="0"/>
    <xf numFmtId="0" fontId="132" fillId="0" borderId="0"/>
    <xf numFmtId="171" fontId="122" fillId="0" borderId="0"/>
    <xf numFmtId="0" fontId="39" fillId="0" borderId="0"/>
    <xf numFmtId="9" fontId="39" fillId="0" borderId="0" applyFont="0" applyFill="0" applyBorder="0" applyAlignment="0" applyProtection="0"/>
    <xf numFmtId="43" fontId="53" fillId="0" borderId="0" applyFont="0" applyFill="0" applyBorder="0" applyAlignment="0" applyProtection="0"/>
    <xf numFmtId="43" fontId="97" fillId="0" borderId="0" applyFont="0" applyFill="0" applyBorder="0" applyAlignment="0" applyProtection="0"/>
    <xf numFmtId="43" fontId="39" fillId="0" borderId="0" applyFont="0" applyFill="0" applyBorder="0" applyAlignment="0" applyProtection="0"/>
    <xf numFmtId="43" fontId="54" fillId="0" borderId="0" applyFont="0" applyFill="0" applyBorder="0" applyAlignment="0" applyProtection="0"/>
    <xf numFmtId="43" fontId="51"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0" fontId="37" fillId="0" borderId="0"/>
    <xf numFmtId="0" fontId="36" fillId="0" borderId="0"/>
    <xf numFmtId="43" fontId="36" fillId="0" borderId="0" applyFont="0" applyFill="0" applyBorder="0" applyAlignment="0" applyProtection="0"/>
    <xf numFmtId="172" fontId="122" fillId="0" borderId="0" applyBorder="0" applyProtection="0"/>
    <xf numFmtId="173" fontId="122" fillId="0" borderId="0" applyBorder="0" applyProtection="0"/>
    <xf numFmtId="0" fontId="54" fillId="0" borderId="0"/>
    <xf numFmtId="0" fontId="35" fillId="0" borderId="0"/>
    <xf numFmtId="43" fontId="35" fillId="0" borderId="0" applyFont="0" applyFill="0" applyBorder="0" applyAlignment="0" applyProtection="0"/>
    <xf numFmtId="9" fontId="35" fillId="0" borderId="0" applyFont="0" applyFill="0" applyBorder="0" applyAlignment="0" applyProtection="0"/>
    <xf numFmtId="0" fontId="34" fillId="0" borderId="0"/>
    <xf numFmtId="43" fontId="34" fillId="0" borderId="0" applyFont="0" applyFill="0" applyBorder="0" applyAlignment="0" applyProtection="0"/>
    <xf numFmtId="0" fontId="152" fillId="0" borderId="0"/>
    <xf numFmtId="0" fontId="33" fillId="0" borderId="0"/>
    <xf numFmtId="43" fontId="33" fillId="0" borderId="0" applyFont="0" applyFill="0" applyBorder="0" applyAlignment="0" applyProtection="0"/>
    <xf numFmtId="165" fontId="33" fillId="0" borderId="0" applyFont="0" applyFill="0" applyBorder="0" applyAlignment="0" applyProtection="0"/>
    <xf numFmtId="9" fontId="33" fillId="0" borderId="0" applyFont="0" applyFill="0" applyBorder="0" applyAlignment="0" applyProtection="0"/>
    <xf numFmtId="43" fontId="53" fillId="0" borderId="0" applyFont="0" applyFill="0" applyBorder="0" applyAlignment="0" applyProtection="0"/>
    <xf numFmtId="0" fontId="32" fillId="0" borderId="0"/>
    <xf numFmtId="0" fontId="31" fillId="0" borderId="0"/>
    <xf numFmtId="0" fontId="30" fillId="0" borderId="0"/>
    <xf numFmtId="0" fontId="164" fillId="0" borderId="0" applyNumberFormat="0" applyProtection="0">
      <alignment vertical="top"/>
    </xf>
    <xf numFmtId="0" fontId="132" fillId="0" borderId="0"/>
    <xf numFmtId="43" fontId="30" fillId="0" borderId="0" applyFont="0" applyFill="0" applyBorder="0" applyAlignment="0" applyProtection="0"/>
    <xf numFmtId="0" fontId="30" fillId="0" borderId="0"/>
    <xf numFmtId="0" fontId="29" fillId="0" borderId="0"/>
    <xf numFmtId="0" fontId="28" fillId="0" borderId="0"/>
    <xf numFmtId="0" fontId="167" fillId="0" borderId="0" applyNumberFormat="0" applyFill="0" applyBorder="0" applyAlignment="0" applyProtection="0"/>
    <xf numFmtId="0" fontId="168" fillId="0" borderId="0"/>
    <xf numFmtId="0" fontId="26" fillId="0" borderId="0"/>
    <xf numFmtId="0" fontId="26" fillId="0" borderId="0"/>
    <xf numFmtId="9" fontId="54" fillId="0" borderId="0" applyFont="0" applyFill="0" applyBorder="0" applyAlignment="0" applyProtection="0"/>
    <xf numFmtId="0" fontId="25" fillId="0" borderId="0"/>
    <xf numFmtId="0" fontId="54" fillId="0" borderId="0"/>
    <xf numFmtId="43" fontId="54" fillId="0" borderId="0" applyFont="0" applyFill="0" applyBorder="0" applyAlignment="0" applyProtection="0"/>
    <xf numFmtId="43" fontId="25" fillId="0" borderId="0" applyFont="0" applyFill="0" applyBorder="0" applyAlignment="0" applyProtection="0"/>
    <xf numFmtId="0" fontId="53" fillId="0" borderId="0"/>
    <xf numFmtId="0" fontId="176" fillId="0" borderId="0" applyNumberFormat="0" applyFill="0" applyBorder="0" applyAlignment="0" applyProtection="0"/>
    <xf numFmtId="0" fontId="177" fillId="0" borderId="74" applyNumberFormat="0" applyFill="0" applyAlignment="0" applyProtection="0"/>
    <xf numFmtId="0" fontId="178" fillId="0" borderId="75" applyNumberFormat="0" applyFill="0" applyAlignment="0" applyProtection="0"/>
    <xf numFmtId="0" fontId="179" fillId="0" borderId="76" applyNumberFormat="0" applyFill="0" applyAlignment="0" applyProtection="0"/>
    <xf numFmtId="0" fontId="179" fillId="0" borderId="0" applyNumberFormat="0" applyFill="0" applyBorder="0" applyAlignment="0" applyProtection="0"/>
    <xf numFmtId="0" fontId="180" fillId="2" borderId="0" applyNumberFormat="0" applyBorder="0" applyAlignment="0" applyProtection="0"/>
    <xf numFmtId="0" fontId="181" fillId="40" borderId="0" applyNumberFormat="0" applyBorder="0" applyAlignment="0" applyProtection="0"/>
    <xf numFmtId="0" fontId="182" fillId="41" borderId="0" applyNumberFormat="0" applyBorder="0" applyAlignment="0" applyProtection="0"/>
    <xf numFmtId="0" fontId="183" fillId="42" borderId="77" applyNumberFormat="0" applyAlignment="0" applyProtection="0"/>
    <xf numFmtId="0" fontId="184" fillId="43" borderId="78" applyNumberFormat="0" applyAlignment="0" applyProtection="0"/>
    <xf numFmtId="0" fontId="185" fillId="43" borderId="77" applyNumberFormat="0" applyAlignment="0" applyProtection="0"/>
    <xf numFmtId="0" fontId="186" fillId="0" borderId="79" applyNumberFormat="0" applyFill="0" applyAlignment="0" applyProtection="0"/>
    <xf numFmtId="0" fontId="187" fillId="44" borderId="80" applyNumberFormat="0" applyAlignment="0" applyProtection="0"/>
    <xf numFmtId="0" fontId="46" fillId="0" borderId="0" applyNumberFormat="0" applyFill="0" applyBorder="0" applyAlignment="0" applyProtection="0"/>
    <xf numFmtId="0" fontId="188" fillId="0" borderId="0" applyNumberFormat="0" applyFill="0" applyBorder="0" applyAlignment="0" applyProtection="0"/>
    <xf numFmtId="0" fontId="113" fillId="0" borderId="82" applyNumberFormat="0" applyFill="0" applyAlignment="0" applyProtection="0"/>
    <xf numFmtId="0" fontId="189"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189" fillId="49" borderId="0" applyNumberFormat="0" applyBorder="0" applyAlignment="0" applyProtection="0"/>
    <xf numFmtId="0" fontId="189" fillId="50"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189" fillId="53" borderId="0" applyNumberFormat="0" applyBorder="0" applyAlignment="0" applyProtection="0"/>
    <xf numFmtId="0" fontId="189" fillId="54"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189" fillId="57" borderId="0" applyNumberFormat="0" applyBorder="0" applyAlignment="0" applyProtection="0"/>
    <xf numFmtId="0" fontId="189" fillId="58" borderId="0" applyNumberFormat="0" applyBorder="0" applyAlignment="0" applyProtection="0"/>
    <xf numFmtId="0" fontId="23" fillId="59" borderId="0" applyNumberFormat="0" applyBorder="0" applyAlignment="0" applyProtection="0"/>
    <xf numFmtId="0" fontId="23" fillId="60" borderId="0" applyNumberFormat="0" applyBorder="0" applyAlignment="0" applyProtection="0"/>
    <xf numFmtId="0" fontId="189" fillId="61" borderId="0" applyNumberFormat="0" applyBorder="0" applyAlignment="0" applyProtection="0"/>
    <xf numFmtId="0" fontId="189" fillId="62" borderId="0" applyNumberFormat="0" applyBorder="0" applyAlignment="0" applyProtection="0"/>
    <xf numFmtId="0" fontId="23" fillId="63" borderId="0" applyNumberFormat="0" applyBorder="0" applyAlignment="0" applyProtection="0"/>
    <xf numFmtId="0" fontId="23" fillId="64" borderId="0" applyNumberFormat="0" applyBorder="0" applyAlignment="0" applyProtection="0"/>
    <xf numFmtId="0" fontId="189" fillId="65" borderId="0" applyNumberFormat="0" applyBorder="0" applyAlignment="0" applyProtection="0"/>
    <xf numFmtId="0" fontId="189" fillId="66" borderId="0" applyNumberFormat="0" applyBorder="0" applyAlignment="0" applyProtection="0"/>
    <xf numFmtId="0" fontId="23" fillId="67" borderId="0" applyNumberFormat="0" applyBorder="0" applyAlignment="0" applyProtection="0"/>
    <xf numFmtId="0" fontId="23" fillId="68" borderId="0" applyNumberFormat="0" applyBorder="0" applyAlignment="0" applyProtection="0"/>
    <xf numFmtId="0" fontId="189" fillId="69" borderId="0" applyNumberFormat="0" applyBorder="0" applyAlignment="0" applyProtection="0"/>
    <xf numFmtId="0" fontId="23" fillId="0" borderId="0"/>
    <xf numFmtId="0" fontId="23" fillId="45" borderId="81" applyNumberFormat="0" applyFont="0" applyAlignment="0" applyProtection="0"/>
    <xf numFmtId="0" fontId="22" fillId="0" borderId="0"/>
    <xf numFmtId="43" fontId="22" fillId="0" borderId="0" applyFont="0" applyFill="0" applyBorder="0" applyAlignment="0" applyProtection="0"/>
    <xf numFmtId="43" fontId="168" fillId="0" borderId="0" applyFont="0" applyFill="0" applyBorder="0" applyAlignment="0" applyProtection="0"/>
    <xf numFmtId="0" fontId="21" fillId="0" borderId="0"/>
    <xf numFmtId="0" fontId="21" fillId="45" borderId="81" applyNumberFormat="0" applyFont="0" applyAlignment="0" applyProtection="0"/>
    <xf numFmtId="0" fontId="21" fillId="47" borderId="0" applyNumberFormat="0" applyBorder="0" applyAlignment="0" applyProtection="0"/>
    <xf numFmtId="0" fontId="21" fillId="48" borderId="0" applyNumberFormat="0" applyBorder="0" applyAlignment="0" applyProtection="0"/>
    <xf numFmtId="0" fontId="21" fillId="51" borderId="0" applyNumberFormat="0" applyBorder="0" applyAlignment="0" applyProtection="0"/>
    <xf numFmtId="0" fontId="21" fillId="52" borderId="0" applyNumberFormat="0" applyBorder="0" applyAlignment="0" applyProtection="0"/>
    <xf numFmtId="0" fontId="21" fillId="55" borderId="0" applyNumberFormat="0" applyBorder="0" applyAlignment="0" applyProtection="0"/>
    <xf numFmtId="0" fontId="21" fillId="56" borderId="0" applyNumberFormat="0" applyBorder="0" applyAlignment="0" applyProtection="0"/>
    <xf numFmtId="0" fontId="21" fillId="59" borderId="0" applyNumberFormat="0" applyBorder="0" applyAlignment="0" applyProtection="0"/>
    <xf numFmtId="0" fontId="21" fillId="60" borderId="0" applyNumberFormat="0" applyBorder="0" applyAlignment="0" applyProtection="0"/>
    <xf numFmtId="0" fontId="21" fillId="63" borderId="0" applyNumberFormat="0" applyBorder="0" applyAlignment="0" applyProtection="0"/>
    <xf numFmtId="0" fontId="21" fillId="64" borderId="0" applyNumberFormat="0" applyBorder="0" applyAlignment="0" applyProtection="0"/>
    <xf numFmtId="0" fontId="21" fillId="67" borderId="0" applyNumberFormat="0" applyBorder="0" applyAlignment="0" applyProtection="0"/>
    <xf numFmtId="0" fontId="21" fillId="68" borderId="0" applyNumberFormat="0" applyBorder="0" applyAlignment="0" applyProtection="0"/>
    <xf numFmtId="0" fontId="78" fillId="0" borderId="0" pivotButton="1"/>
    <xf numFmtId="43" fontId="78" fillId="0" borderId="0" applyFont="0" applyFill="0" applyBorder="0" applyAlignment="0" applyProtection="0"/>
    <xf numFmtId="0" fontId="168" fillId="0" borderId="0"/>
    <xf numFmtId="0" fontId="160" fillId="0" borderId="0"/>
    <xf numFmtId="0" fontId="54" fillId="0" borderId="0"/>
    <xf numFmtId="43" fontId="54" fillId="0" borderId="0" applyFont="0" applyFill="0" applyBorder="0" applyAlignment="0" applyProtection="0"/>
    <xf numFmtId="0" fontId="20" fillId="0" borderId="0"/>
    <xf numFmtId="0" fontId="54" fillId="0" borderId="0" applyBorder="0"/>
    <xf numFmtId="0" fontId="20" fillId="0" borderId="0"/>
    <xf numFmtId="0" fontId="193" fillId="0" borderId="0"/>
    <xf numFmtId="0" fontId="53" fillId="0" borderId="0"/>
    <xf numFmtId="9" fontId="53" fillId="0" borderId="0" applyFont="0" applyFill="0" applyBorder="0" applyAlignment="0" applyProtection="0"/>
    <xf numFmtId="0" fontId="19" fillId="0" borderId="0"/>
    <xf numFmtId="0" fontId="218" fillId="0" borderId="0" applyNumberFormat="0" applyFill="0" applyBorder="0" applyAlignment="0" applyProtection="0"/>
    <xf numFmtId="0" fontId="18" fillId="0" borderId="0"/>
    <xf numFmtId="0" fontId="17" fillId="0" borderId="0"/>
    <xf numFmtId="0" fontId="228" fillId="41" borderId="0" applyNumberFormat="0" applyBorder="0" applyAlignment="0" applyProtection="0"/>
    <xf numFmtId="0" fontId="17" fillId="45" borderId="81" applyNumberFormat="0" applyFont="0" applyAlignment="0" applyProtection="0"/>
    <xf numFmtId="0" fontId="17" fillId="47"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7"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7" borderId="0" applyNumberFormat="0" applyBorder="0" applyAlignment="0" applyProtection="0"/>
    <xf numFmtId="0" fontId="17" fillId="68" borderId="0" applyNumberFormat="0" applyBorder="0" applyAlignment="0" applyProtection="0"/>
    <xf numFmtId="0" fontId="17" fillId="69" borderId="0" applyNumberFormat="0" applyBorder="0" applyAlignment="0" applyProtection="0"/>
    <xf numFmtId="0" fontId="16" fillId="0" borderId="0"/>
    <xf numFmtId="0" fontId="54" fillId="0" borderId="0" applyNumberFormat="0"/>
    <xf numFmtId="0" fontId="240" fillId="0" borderId="0" applyNumberFormat="0" applyFill="0" applyBorder="0" applyAlignment="0" applyProtection="0">
      <alignment vertical="top"/>
      <protection locked="0"/>
    </xf>
    <xf numFmtId="0" fontId="15" fillId="0" borderId="0"/>
    <xf numFmtId="0" fontId="15" fillId="0" borderId="0"/>
    <xf numFmtId="0" fontId="14" fillId="0" borderId="0"/>
    <xf numFmtId="43" fontId="14" fillId="0" borderId="0" applyFont="0" applyFill="0" applyBorder="0" applyAlignment="0" applyProtection="0"/>
    <xf numFmtId="0" fontId="13" fillId="0" borderId="0"/>
    <xf numFmtId="0" fontId="13" fillId="0" borderId="0"/>
    <xf numFmtId="0" fontId="242" fillId="0" borderId="0">
      <alignment horizontal="left" wrapText="1"/>
    </xf>
    <xf numFmtId="0" fontId="262" fillId="0" borderId="0">
      <alignment horizontal="right"/>
    </xf>
    <xf numFmtId="0" fontId="169" fillId="0" borderId="0">
      <alignment horizontal="left" wrapText="1"/>
    </xf>
    <xf numFmtId="0" fontId="263" fillId="0" borderId="0">
      <alignment vertical="top" wrapText="1"/>
    </xf>
    <xf numFmtId="0" fontId="219" fillId="0" borderId="0">
      <alignment horizontal="right" indent="1"/>
    </xf>
    <xf numFmtId="14" fontId="169" fillId="0" borderId="0" applyFont="0" applyFill="0" applyBorder="0" applyAlignment="0" applyProtection="0">
      <alignment horizontal="left"/>
    </xf>
    <xf numFmtId="176" fontId="169" fillId="0" borderId="0" applyFont="0" applyFill="0" applyBorder="0" applyProtection="0">
      <alignment horizontal="left" vertical="top" wrapText="1"/>
    </xf>
    <xf numFmtId="0" fontId="219" fillId="0" borderId="0">
      <alignment horizontal="left" vertical="top"/>
    </xf>
    <xf numFmtId="0" fontId="264" fillId="0" borderId="0">
      <alignment horizontal="right" indent="1"/>
    </xf>
    <xf numFmtId="0" fontId="169" fillId="0" borderId="0">
      <alignment horizontal="left" vertical="top" wrapText="1"/>
    </xf>
    <xf numFmtId="177" fontId="169" fillId="0" borderId="0" applyFont="0" applyFill="0" applyBorder="0" applyProtection="0">
      <alignment horizontal="right"/>
    </xf>
    <xf numFmtId="0" fontId="219" fillId="0" borderId="0">
      <alignment horizontal="center" wrapText="1"/>
    </xf>
    <xf numFmtId="0" fontId="12" fillId="0" borderId="0"/>
    <xf numFmtId="43" fontId="12" fillId="0" borderId="0" applyFont="0" applyFill="0" applyBorder="0" applyAlignment="0" applyProtection="0"/>
    <xf numFmtId="0" fontId="11" fillId="0" borderId="0"/>
    <xf numFmtId="0" fontId="228" fillId="41" borderId="0" applyNumberFormat="0" applyBorder="0" applyAlignment="0" applyProtection="0"/>
    <xf numFmtId="0" fontId="11" fillId="45" borderId="81" applyNumberFormat="0" applyFont="0" applyAlignment="0" applyProtection="0"/>
    <xf numFmtId="0" fontId="11" fillId="47"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9" borderId="0" applyNumberFormat="0" applyBorder="0" applyAlignment="0" applyProtection="0"/>
    <xf numFmtId="0" fontId="10" fillId="0" borderId="0"/>
    <xf numFmtId="0" fontId="10" fillId="0" borderId="0"/>
    <xf numFmtId="0" fontId="10" fillId="0" borderId="0"/>
    <xf numFmtId="182" fontId="53" fillId="0" borderId="0" applyFont="0" applyFill="0" applyBorder="0" applyAlignment="0" applyProtection="0"/>
    <xf numFmtId="0" fontId="9" fillId="0" borderId="0"/>
    <xf numFmtId="0" fontId="8" fillId="0" borderId="0"/>
    <xf numFmtId="0" fontId="7" fillId="0" borderId="0"/>
    <xf numFmtId="0" fontId="6" fillId="0" borderId="0"/>
    <xf numFmtId="0" fontId="5"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45" borderId="81" applyNumberFormat="0" applyFont="0" applyAlignment="0" applyProtection="0"/>
    <xf numFmtId="0" fontId="2"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67" borderId="0" applyNumberFormat="0" applyBorder="0" applyAlignment="0" applyProtection="0"/>
    <xf numFmtId="0" fontId="2" fillId="68" borderId="0" applyNumberFormat="0" applyBorder="0" applyAlignment="0" applyProtection="0"/>
    <xf numFmtId="0" fontId="2" fillId="69" borderId="0" applyNumberFormat="0" applyBorder="0" applyAlignment="0" applyProtection="0"/>
  </cellStyleXfs>
  <cellXfs count="4903">
    <xf numFmtId="0" fontId="0" fillId="0" borderId="0" xfId="0"/>
    <xf numFmtId="9" fontId="47" fillId="0" borderId="0" xfId="4" applyFont="1"/>
    <xf numFmtId="3" fontId="50" fillId="4" borderId="12" xfId="3" applyNumberFormat="1" applyFont="1" applyFill="1" applyBorder="1"/>
    <xf numFmtId="0" fontId="56" fillId="0" borderId="3" xfId="7" applyFont="1" applyBorder="1" applyAlignment="1">
      <alignment horizontal="center" vertical="center" wrapText="1"/>
    </xf>
    <xf numFmtId="0" fontId="72" fillId="0" borderId="0" xfId="0" applyFont="1"/>
    <xf numFmtId="0" fontId="72" fillId="0" borderId="11" xfId="0" applyFont="1" applyBorder="1"/>
    <xf numFmtId="0" fontId="72" fillId="0" borderId="11" xfId="0" applyFont="1" applyBorder="1" applyAlignment="1">
      <alignment horizontal="center"/>
    </xf>
    <xf numFmtId="0" fontId="72" fillId="0" borderId="11" xfId="0" applyFont="1" applyBorder="1" applyAlignment="1">
      <alignment horizontal="left" vertical="center" wrapText="1"/>
    </xf>
    <xf numFmtId="167" fontId="72" fillId="15" borderId="13" xfId="1" applyNumberFormat="1" applyFont="1" applyFill="1" applyBorder="1" applyProtection="1">
      <protection locked="0"/>
    </xf>
    <xf numFmtId="167" fontId="76" fillId="15" borderId="13" xfId="1" applyNumberFormat="1" applyFont="1" applyFill="1" applyBorder="1" applyProtection="1">
      <protection locked="0"/>
    </xf>
    <xf numFmtId="167" fontId="72" fillId="14" borderId="13" xfId="1" applyNumberFormat="1" applyFont="1" applyFill="1" applyBorder="1" applyProtection="1">
      <protection locked="0"/>
    </xf>
    <xf numFmtId="0" fontId="82" fillId="0" borderId="0" xfId="0" applyFont="1"/>
    <xf numFmtId="0" fontId="83" fillId="11" borderId="11" xfId="0" applyFont="1" applyFill="1" applyBorder="1"/>
    <xf numFmtId="0" fontId="83" fillId="11" borderId="0" xfId="0" applyFont="1" applyFill="1"/>
    <xf numFmtId="167" fontId="86" fillId="11" borderId="11" xfId="1" applyNumberFormat="1" applyFont="1" applyFill="1" applyBorder="1" applyProtection="1">
      <protection locked="0"/>
    </xf>
    <xf numFmtId="167" fontId="83" fillId="11" borderId="11" xfId="1" applyNumberFormat="1" applyFont="1" applyFill="1" applyBorder="1" applyProtection="1">
      <protection locked="0"/>
    </xf>
    <xf numFmtId="0" fontId="82" fillId="0" borderId="11" xfId="0" applyFont="1" applyBorder="1"/>
    <xf numFmtId="167" fontId="70" fillId="15" borderId="13" xfId="1" applyNumberFormat="1" applyFont="1" applyFill="1" applyBorder="1" applyProtection="1">
      <protection locked="0"/>
    </xf>
    <xf numFmtId="167" fontId="86" fillId="14" borderId="11" xfId="1" applyNumberFormat="1" applyFont="1" applyFill="1" applyBorder="1" applyProtection="1">
      <protection locked="0"/>
    </xf>
    <xf numFmtId="167" fontId="87" fillId="11" borderId="11" xfId="1" applyNumberFormat="1" applyFont="1" applyFill="1" applyBorder="1" applyProtection="1">
      <protection locked="0"/>
    </xf>
    <xf numFmtId="167" fontId="86" fillId="14" borderId="13" xfId="1" applyNumberFormat="1" applyFont="1" applyFill="1" applyBorder="1" applyProtection="1">
      <protection locked="0"/>
    </xf>
    <xf numFmtId="0" fontId="89" fillId="11" borderId="11" xfId="0" applyFont="1" applyFill="1" applyBorder="1"/>
    <xf numFmtId="0" fontId="83" fillId="11" borderId="11" xfId="0" applyFont="1" applyFill="1" applyBorder="1" applyAlignment="1">
      <alignment horizontal="left" vertical="center" wrapText="1"/>
    </xf>
    <xf numFmtId="0" fontId="83" fillId="11" borderId="11" xfId="0" applyFont="1" applyFill="1" applyBorder="1" applyAlignment="1">
      <alignment horizontal="center"/>
    </xf>
    <xf numFmtId="167" fontId="87" fillId="11" borderId="13" xfId="1" applyNumberFormat="1" applyFont="1" applyFill="1" applyBorder="1" applyProtection="1">
      <protection locked="0"/>
    </xf>
    <xf numFmtId="167" fontId="83" fillId="11" borderId="13" xfId="1" applyNumberFormat="1" applyFont="1" applyFill="1" applyBorder="1" applyProtection="1">
      <protection locked="0"/>
    </xf>
    <xf numFmtId="0" fontId="87" fillId="11" borderId="11" xfId="0" applyFont="1" applyFill="1" applyBorder="1" applyAlignment="1">
      <alignment horizontal="left" vertical="center" wrapText="1"/>
    </xf>
    <xf numFmtId="0" fontId="87" fillId="11" borderId="11" xfId="0" applyFont="1" applyFill="1" applyBorder="1" applyAlignment="1">
      <alignment horizontal="right" vertical="center" wrapText="1"/>
    </xf>
    <xf numFmtId="167" fontId="83" fillId="11" borderId="0" xfId="1" applyNumberFormat="1" applyFont="1" applyFill="1" applyBorder="1" applyProtection="1">
      <protection locked="0"/>
    </xf>
    <xf numFmtId="167" fontId="72" fillId="14" borderId="9" xfId="1" applyNumberFormat="1" applyFont="1" applyFill="1" applyBorder="1" applyProtection="1">
      <protection locked="0"/>
    </xf>
    <xf numFmtId="167" fontId="70" fillId="15" borderId="9" xfId="1" applyNumberFormat="1" applyFont="1" applyFill="1" applyBorder="1" applyProtection="1">
      <protection locked="0"/>
    </xf>
    <xf numFmtId="167" fontId="87" fillId="11" borderId="0" xfId="1" applyNumberFormat="1" applyFont="1" applyFill="1" applyBorder="1" applyProtection="1">
      <protection locked="0"/>
    </xf>
    <xf numFmtId="167" fontId="76" fillId="15" borderId="11" xfId="1" applyNumberFormat="1" applyFont="1" applyFill="1" applyBorder="1" applyProtection="1">
      <protection locked="0"/>
    </xf>
    <xf numFmtId="167" fontId="76" fillId="15" borderId="7" xfId="1" applyNumberFormat="1" applyFont="1" applyFill="1" applyBorder="1" applyProtection="1">
      <protection locked="0"/>
    </xf>
    <xf numFmtId="167" fontId="76" fillId="14" borderId="7" xfId="1" applyNumberFormat="1" applyFont="1" applyFill="1" applyBorder="1" applyProtection="1">
      <protection locked="0"/>
    </xf>
    <xf numFmtId="167" fontId="72" fillId="15" borderId="7" xfId="1" applyNumberFormat="1" applyFont="1" applyFill="1" applyBorder="1" applyProtection="1">
      <protection locked="0"/>
    </xf>
    <xf numFmtId="167" fontId="76" fillId="14" borderId="11" xfId="1" applyNumberFormat="1" applyFont="1" applyFill="1" applyBorder="1" applyProtection="1">
      <protection locked="0"/>
    </xf>
    <xf numFmtId="167" fontId="72" fillId="15" borderId="11" xfId="1" applyNumberFormat="1" applyFont="1" applyFill="1" applyBorder="1" applyProtection="1">
      <protection locked="0"/>
    </xf>
    <xf numFmtId="167" fontId="72" fillId="14" borderId="11" xfId="1" applyNumberFormat="1" applyFont="1" applyFill="1" applyBorder="1" applyProtection="1">
      <protection locked="0"/>
    </xf>
    <xf numFmtId="167" fontId="81" fillId="15" borderId="11" xfId="1" applyNumberFormat="1" applyFont="1" applyFill="1" applyBorder="1" applyProtection="1">
      <protection locked="0"/>
    </xf>
    <xf numFmtId="167" fontId="83" fillId="14" borderId="11" xfId="1" applyNumberFormat="1" applyFont="1" applyFill="1" applyBorder="1" applyProtection="1">
      <protection locked="0"/>
    </xf>
    <xf numFmtId="167" fontId="84" fillId="11" borderId="11" xfId="1" applyNumberFormat="1" applyFont="1" applyFill="1" applyBorder="1" applyProtection="1">
      <protection locked="0"/>
    </xf>
    <xf numFmtId="167" fontId="70" fillId="15" borderId="11" xfId="1" applyNumberFormat="1" applyFont="1" applyFill="1" applyBorder="1" applyProtection="1">
      <protection locked="0"/>
    </xf>
    <xf numFmtId="0" fontId="83" fillId="0" borderId="0" xfId="0" applyFont="1"/>
    <xf numFmtId="0" fontId="83" fillId="18" borderId="0" xfId="0" applyFont="1" applyFill="1" applyAlignment="1">
      <alignment horizontal="left" vertical="center" wrapText="1"/>
    </xf>
    <xf numFmtId="167" fontId="86" fillId="14" borderId="11" xfId="1" applyNumberFormat="1" applyFont="1" applyFill="1" applyBorder="1"/>
    <xf numFmtId="167" fontId="87" fillId="11" borderId="11" xfId="1" applyNumberFormat="1" applyFont="1" applyFill="1" applyBorder="1"/>
    <xf numFmtId="0" fontId="83" fillId="11" borderId="0" xfId="0" applyFont="1" applyFill="1" applyAlignment="1">
      <alignment horizontal="left" vertical="center" wrapText="1"/>
    </xf>
    <xf numFmtId="167" fontId="83" fillId="11" borderId="0" xfId="0" applyNumberFormat="1" applyFont="1" applyFill="1"/>
    <xf numFmtId="0" fontId="83" fillId="11" borderId="11" xfId="0" applyFont="1" applyFill="1" applyBorder="1" applyAlignment="1">
      <alignment horizontal="right" vertical="center" wrapText="1"/>
    </xf>
    <xf numFmtId="0" fontId="0" fillId="6" borderId="0" xfId="0" applyFill="1"/>
    <xf numFmtId="167" fontId="72" fillId="14" borderId="7" xfId="1" applyNumberFormat="1" applyFont="1" applyFill="1" applyBorder="1" applyProtection="1">
      <protection locked="0"/>
    </xf>
    <xf numFmtId="167" fontId="83" fillId="11" borderId="11" xfId="1" applyNumberFormat="1" applyFont="1" applyFill="1" applyBorder="1"/>
    <xf numFmtId="0" fontId="83" fillId="3" borderId="0" xfId="0" applyFont="1" applyFill="1"/>
    <xf numFmtId="0" fontId="83" fillId="11" borderId="0" xfId="0" applyFont="1" applyFill="1" applyAlignment="1">
      <alignment vertical="center"/>
    </xf>
    <xf numFmtId="167" fontId="72" fillId="15" borderId="7" xfId="23" applyNumberFormat="1" applyFont="1" applyFill="1" applyBorder="1" applyProtection="1">
      <protection locked="0"/>
    </xf>
    <xf numFmtId="167" fontId="72" fillId="14" borderId="7" xfId="23" applyNumberFormat="1" applyFont="1" applyFill="1" applyBorder="1" applyProtection="1">
      <protection locked="0"/>
    </xf>
    <xf numFmtId="167" fontId="83" fillId="14" borderId="11" xfId="23" applyNumberFormat="1" applyFont="1" applyFill="1" applyBorder="1" applyProtection="1">
      <protection locked="0"/>
    </xf>
    <xf numFmtId="167" fontId="83" fillId="11" borderId="7" xfId="23" applyNumberFormat="1" applyFont="1" applyFill="1" applyBorder="1" applyProtection="1">
      <protection locked="0"/>
    </xf>
    <xf numFmtId="167" fontId="83" fillId="14" borderId="7" xfId="23" applyNumberFormat="1" applyFont="1" applyFill="1" applyBorder="1" applyProtection="1">
      <protection locked="0"/>
    </xf>
    <xf numFmtId="0" fontId="100" fillId="23" borderId="46" xfId="0" applyFont="1" applyFill="1" applyBorder="1" applyAlignment="1">
      <alignment vertical="top" wrapText="1"/>
    </xf>
    <xf numFmtId="0" fontId="84" fillId="23" borderId="46" xfId="0" applyFont="1" applyFill="1" applyBorder="1" applyAlignment="1">
      <alignment vertical="top" wrapText="1"/>
    </xf>
    <xf numFmtId="167" fontId="72" fillId="14" borderId="7" xfId="24" applyNumberFormat="1" applyFont="1" applyFill="1" applyBorder="1" applyProtection="1">
      <protection locked="0"/>
    </xf>
    <xf numFmtId="167" fontId="70" fillId="15" borderId="7" xfId="24" applyNumberFormat="1" applyFont="1" applyFill="1" applyBorder="1" applyAlignment="1" applyProtection="1">
      <alignment horizontal="center"/>
      <protection locked="0"/>
    </xf>
    <xf numFmtId="167" fontId="86" fillId="14" borderId="0" xfId="24" applyNumberFormat="1" applyFont="1" applyFill="1" applyBorder="1" applyProtection="1">
      <protection locked="0"/>
    </xf>
    <xf numFmtId="0" fontId="84" fillId="11" borderId="11" xfId="0" applyFont="1" applyFill="1" applyBorder="1" applyAlignment="1">
      <alignment horizontal="left" vertical="center" wrapText="1"/>
    </xf>
    <xf numFmtId="0" fontId="102" fillId="0" borderId="0" xfId="0" applyFont="1"/>
    <xf numFmtId="167" fontId="72" fillId="15" borderId="13" xfId="1" applyNumberFormat="1" applyFont="1" applyFill="1" applyBorder="1"/>
    <xf numFmtId="167" fontId="72" fillId="14" borderId="13" xfId="1" applyNumberFormat="1" applyFont="1" applyFill="1" applyBorder="1"/>
    <xf numFmtId="167" fontId="89" fillId="11" borderId="0" xfId="1" applyNumberFormat="1" applyFont="1" applyFill="1" applyBorder="1" applyProtection="1">
      <protection locked="0"/>
    </xf>
    <xf numFmtId="167" fontId="82" fillId="15" borderId="11" xfId="1" applyNumberFormat="1" applyFont="1" applyFill="1" applyBorder="1" applyProtection="1">
      <protection locked="0"/>
    </xf>
    <xf numFmtId="0" fontId="96" fillId="11" borderId="0" xfId="0" applyFont="1" applyFill="1"/>
    <xf numFmtId="0" fontId="63" fillId="0" borderId="0" xfId="0" applyFont="1"/>
    <xf numFmtId="0" fontId="86" fillId="11" borderId="0" xfId="0" applyFont="1" applyFill="1"/>
    <xf numFmtId="0" fontId="72" fillId="0" borderId="7" xfId="0" applyFont="1" applyBorder="1"/>
    <xf numFmtId="0" fontId="72" fillId="0" borderId="7" xfId="0" applyFont="1" applyBorder="1" applyAlignment="1">
      <alignment horizontal="left" vertical="center" wrapText="1"/>
    </xf>
    <xf numFmtId="167" fontId="89" fillId="14" borderId="0" xfId="1" applyNumberFormat="1" applyFont="1" applyFill="1" applyBorder="1" applyProtection="1">
      <protection locked="0"/>
    </xf>
    <xf numFmtId="0" fontId="0" fillId="0" borderId="0" xfId="0" applyAlignment="1">
      <alignment wrapText="1"/>
    </xf>
    <xf numFmtId="167" fontId="0" fillId="0" borderId="0" xfId="1" applyNumberFormat="1" applyFont="1"/>
    <xf numFmtId="0" fontId="104" fillId="0" borderId="0" xfId="0" applyFont="1"/>
    <xf numFmtId="0" fontId="62" fillId="0" borderId="0" xfId="0" applyFont="1"/>
    <xf numFmtId="0" fontId="111" fillId="0" borderId="0" xfId="0" applyFont="1"/>
    <xf numFmtId="167" fontId="83" fillId="11" borderId="11" xfId="23" applyNumberFormat="1" applyFont="1" applyFill="1" applyBorder="1" applyProtection="1">
      <protection locked="0"/>
    </xf>
    <xf numFmtId="0" fontId="76" fillId="0" borderId="0" xfId="0" applyFont="1"/>
    <xf numFmtId="167" fontId="0" fillId="0" borderId="0" xfId="0" applyNumberFormat="1"/>
    <xf numFmtId="167" fontId="73" fillId="15" borderId="7" xfId="1" applyNumberFormat="1" applyFont="1" applyFill="1" applyBorder="1" applyProtection="1">
      <protection locked="0"/>
    </xf>
    <xf numFmtId="167" fontId="82" fillId="0" borderId="0" xfId="0" applyNumberFormat="1" applyFont="1"/>
    <xf numFmtId="0" fontId="47" fillId="0" borderId="0" xfId="43" applyFont="1"/>
    <xf numFmtId="0" fontId="47" fillId="0" borderId="0" xfId="43" applyFont="1" applyAlignment="1">
      <alignment wrapText="1"/>
    </xf>
    <xf numFmtId="0" fontId="52" fillId="0" borderId="0" xfId="43" applyFont="1"/>
    <xf numFmtId="0" fontId="50" fillId="0" borderId="0" xfId="43" applyFont="1"/>
    <xf numFmtId="0" fontId="52" fillId="0" borderId="1" xfId="43" applyFont="1" applyBorder="1" applyAlignment="1">
      <alignment horizontal="center" vertical="center"/>
    </xf>
    <xf numFmtId="0" fontId="52" fillId="0" borderId="2" xfId="43" applyFont="1" applyBorder="1" applyAlignment="1">
      <alignment horizontal="center" vertical="center" wrapText="1"/>
    </xf>
    <xf numFmtId="0" fontId="52" fillId="4" borderId="6" xfId="43" applyFont="1" applyFill="1" applyBorder="1"/>
    <xf numFmtId="0" fontId="52" fillId="4" borderId="7" xfId="43" applyFont="1" applyFill="1" applyBorder="1" applyAlignment="1">
      <alignment wrapText="1"/>
    </xf>
    <xf numFmtId="3" fontId="52" fillId="4" borderId="8" xfId="43" applyNumberFormat="1" applyFont="1" applyFill="1" applyBorder="1"/>
    <xf numFmtId="0" fontId="52" fillId="5" borderId="6" xfId="43" quotePrefix="1" applyFont="1" applyFill="1" applyBorder="1"/>
    <xf numFmtId="0" fontId="52" fillId="5" borderId="7" xfId="43" applyFont="1" applyFill="1" applyBorder="1" applyAlignment="1">
      <alignment wrapText="1"/>
    </xf>
    <xf numFmtId="3" fontId="52" fillId="5" borderId="8" xfId="43" applyNumberFormat="1" applyFont="1" applyFill="1" applyBorder="1"/>
    <xf numFmtId="0" fontId="57" fillId="0" borderId="0" xfId="43" applyFont="1"/>
    <xf numFmtId="0" fontId="47" fillId="0" borderId="10" xfId="43" applyFont="1" applyBorder="1" applyAlignment="1">
      <alignment horizontal="left" indent="1"/>
    </xf>
    <xf numFmtId="0" fontId="47" fillId="0" borderId="11" xfId="43" applyFont="1" applyBorder="1" applyAlignment="1">
      <alignment horizontal="left" wrapText="1" indent="2"/>
    </xf>
    <xf numFmtId="3" fontId="47" fillId="0" borderId="12" xfId="43" applyNumberFormat="1" applyFont="1" applyBorder="1"/>
    <xf numFmtId="3" fontId="49" fillId="0" borderId="12" xfId="43" applyNumberFormat="1" applyFont="1" applyBorder="1"/>
    <xf numFmtId="0" fontId="52" fillId="5" borderId="10" xfId="43" applyFont="1" applyFill="1" applyBorder="1"/>
    <xf numFmtId="0" fontId="52" fillId="5" borderId="11" xfId="43" applyFont="1" applyFill="1" applyBorder="1" applyAlignment="1">
      <alignment wrapText="1"/>
    </xf>
    <xf numFmtId="3" fontId="52" fillId="5" borderId="12" xfId="43" applyNumberFormat="1" applyFont="1" applyFill="1" applyBorder="1"/>
    <xf numFmtId="3" fontId="56" fillId="5" borderId="12" xfId="43" applyNumberFormat="1" applyFont="1" applyFill="1" applyBorder="1"/>
    <xf numFmtId="3" fontId="47" fillId="0" borderId="14" xfId="43" applyNumberFormat="1" applyFont="1" applyBorder="1"/>
    <xf numFmtId="3" fontId="47" fillId="7" borderId="12" xfId="43" applyNumberFormat="1" applyFont="1" applyFill="1" applyBorder="1"/>
    <xf numFmtId="0" fontId="52" fillId="5" borderId="10" xfId="43" quotePrefix="1" applyFont="1" applyFill="1" applyBorder="1"/>
    <xf numFmtId="3" fontId="58" fillId="10" borderId="12" xfId="43" applyNumberFormat="1" applyFont="1" applyFill="1" applyBorder="1"/>
    <xf numFmtId="0" fontId="58" fillId="0" borderId="0" xfId="43" applyFont="1"/>
    <xf numFmtId="0" fontId="49" fillId="0" borderId="0" xfId="43" applyFont="1"/>
    <xf numFmtId="0" fontId="47" fillId="4" borderId="10" xfId="43" applyFont="1" applyFill="1" applyBorder="1" applyAlignment="1">
      <alignment horizontal="left" indent="1"/>
    </xf>
    <xf numFmtId="0" fontId="47" fillId="4" borderId="11" xfId="43" applyFont="1" applyFill="1" applyBorder="1" applyAlignment="1">
      <alignment horizontal="left" wrapText="1" indent="2"/>
    </xf>
    <xf numFmtId="3" fontId="47" fillId="4" borderId="12" xfId="43" applyNumberFormat="1" applyFont="1" applyFill="1" applyBorder="1"/>
    <xf numFmtId="0" fontId="47" fillId="7" borderId="10" xfId="43" applyFont="1" applyFill="1" applyBorder="1" applyAlignment="1">
      <alignment horizontal="left" indent="2"/>
    </xf>
    <xf numFmtId="0" fontId="47" fillId="7" borderId="11" xfId="43" applyFont="1" applyFill="1" applyBorder="1" applyAlignment="1">
      <alignment horizontal="left" wrapText="1" indent="3"/>
    </xf>
    <xf numFmtId="0" fontId="48" fillId="0" borderId="0" xfId="43" applyFont="1"/>
    <xf numFmtId="0" fontId="52" fillId="0" borderId="15" xfId="43" applyFont="1" applyBorder="1"/>
    <xf numFmtId="0" fontId="52" fillId="0" borderId="16" xfId="43" applyFont="1" applyBorder="1" applyAlignment="1">
      <alignment horizontal="right" wrapText="1"/>
    </xf>
    <xf numFmtId="49" fontId="47" fillId="0" borderId="11" xfId="43" applyNumberFormat="1" applyFont="1" applyBorder="1" applyAlignment="1">
      <alignment horizontal="left" wrapText="1" indent="4"/>
    </xf>
    <xf numFmtId="49" fontId="52" fillId="5" borderId="20" xfId="43" applyNumberFormat="1" applyFont="1" applyFill="1" applyBorder="1" applyAlignment="1">
      <alignment horizontal="left" indent="2"/>
    </xf>
    <xf numFmtId="49" fontId="52" fillId="5" borderId="21" xfId="43" applyNumberFormat="1" applyFont="1" applyFill="1" applyBorder="1" applyAlignment="1">
      <alignment wrapText="1"/>
    </xf>
    <xf numFmtId="3" fontId="52" fillId="5" borderId="22" xfId="43" applyNumberFormat="1" applyFont="1" applyFill="1" applyBorder="1"/>
    <xf numFmtId="49" fontId="47" fillId="4" borderId="10" xfId="43" applyNumberFormat="1" applyFont="1" applyFill="1" applyBorder="1" applyAlignment="1">
      <alignment horizontal="left" indent="1"/>
    </xf>
    <xf numFmtId="49" fontId="47" fillId="4" borderId="11" xfId="43" applyNumberFormat="1" applyFont="1" applyFill="1" applyBorder="1" applyAlignment="1">
      <alignment horizontal="left" wrapText="1" indent="2"/>
    </xf>
    <xf numFmtId="49" fontId="52" fillId="5" borderId="10" xfId="43" applyNumberFormat="1" applyFont="1" applyFill="1" applyBorder="1"/>
    <xf numFmtId="49" fontId="52" fillId="5" borderId="11" xfId="43" applyNumberFormat="1" applyFont="1" applyFill="1" applyBorder="1" applyAlignment="1">
      <alignment wrapText="1"/>
    </xf>
    <xf numFmtId="49" fontId="52" fillId="4" borderId="11" xfId="43" applyNumberFormat="1" applyFont="1" applyFill="1" applyBorder="1" applyAlignment="1">
      <alignment horizontal="left" wrapText="1" indent="2"/>
    </xf>
    <xf numFmtId="3" fontId="52" fillId="4" borderId="12" xfId="43" applyNumberFormat="1" applyFont="1" applyFill="1" applyBorder="1"/>
    <xf numFmtId="49" fontId="47" fillId="0" borderId="10" xfId="43" applyNumberFormat="1" applyFont="1" applyBorder="1" applyAlignment="1">
      <alignment horizontal="left" indent="2"/>
    </xf>
    <xf numFmtId="3" fontId="62" fillId="4" borderId="12" xfId="43" applyNumberFormat="1" applyFont="1" applyFill="1" applyBorder="1"/>
    <xf numFmtId="0" fontId="47" fillId="0" borderId="0" xfId="43" applyFont="1" applyAlignment="1">
      <alignment horizontal="right"/>
    </xf>
    <xf numFmtId="49" fontId="47" fillId="7" borderId="10" xfId="43" applyNumberFormat="1" applyFont="1" applyFill="1" applyBorder="1" applyAlignment="1">
      <alignment horizontal="left" indent="2"/>
    </xf>
    <xf numFmtId="0" fontId="47" fillId="7" borderId="0" xfId="43" applyFont="1" applyFill="1"/>
    <xf numFmtId="49" fontId="47" fillId="7" borderId="11" xfId="43" applyNumberFormat="1" applyFont="1" applyFill="1" applyBorder="1" applyAlignment="1">
      <alignment horizontal="left" wrapText="1" indent="4"/>
    </xf>
    <xf numFmtId="49" fontId="52" fillId="4" borderId="10" xfId="43" applyNumberFormat="1" applyFont="1" applyFill="1" applyBorder="1" applyAlignment="1">
      <alignment horizontal="left" indent="1"/>
    </xf>
    <xf numFmtId="49" fontId="52" fillId="0" borderId="15" xfId="43" applyNumberFormat="1" applyFont="1" applyBorder="1"/>
    <xf numFmtId="3" fontId="52" fillId="0" borderId="23" xfId="43" applyNumberFormat="1" applyFont="1" applyBorder="1"/>
    <xf numFmtId="3" fontId="52" fillId="0" borderId="24" xfId="43" applyNumberFormat="1" applyFont="1" applyBorder="1"/>
    <xf numFmtId="49" fontId="52" fillId="5" borderId="25" xfId="43" applyNumberFormat="1" applyFont="1" applyFill="1" applyBorder="1" applyAlignment="1">
      <alignment horizontal="center"/>
    </xf>
    <xf numFmtId="3" fontId="52" fillId="5" borderId="27" xfId="43" applyNumberFormat="1" applyFont="1" applyFill="1" applyBorder="1"/>
    <xf numFmtId="3" fontId="52" fillId="0" borderId="0" xfId="43" applyNumberFormat="1" applyFont="1"/>
    <xf numFmtId="0" fontId="57" fillId="6" borderId="0" xfId="43" applyFont="1" applyFill="1"/>
    <xf numFmtId="3" fontId="47" fillId="6" borderId="12" xfId="43" applyNumberFormat="1" applyFont="1" applyFill="1" applyBorder="1"/>
    <xf numFmtId="3" fontId="50" fillId="6" borderId="12" xfId="43" applyNumberFormat="1" applyFont="1" applyFill="1" applyBorder="1"/>
    <xf numFmtId="0" fontId="53" fillId="0" borderId="0" xfId="0" applyFont="1"/>
    <xf numFmtId="0" fontId="86" fillId="11" borderId="0" xfId="0" applyFont="1" applyFill="1" applyAlignment="1">
      <alignment wrapText="1"/>
    </xf>
    <xf numFmtId="0" fontId="81" fillId="0" borderId="11" xfId="0" applyFont="1" applyBorder="1" applyAlignment="1">
      <alignment horizontal="center"/>
    </xf>
    <xf numFmtId="0" fontId="81" fillId="0" borderId="11" xfId="0" applyFont="1" applyBorder="1" applyAlignment="1">
      <alignment horizontal="left" vertical="center" wrapText="1"/>
    </xf>
    <xf numFmtId="0" fontId="81" fillId="0" borderId="0" xfId="0" applyFont="1"/>
    <xf numFmtId="2" fontId="124" fillId="0" borderId="0" xfId="0" applyNumberFormat="1" applyFont="1"/>
    <xf numFmtId="0" fontId="83" fillId="11" borderId="0" xfId="0" applyFont="1" applyFill="1" applyAlignment="1">
      <alignment wrapText="1"/>
    </xf>
    <xf numFmtId="0" fontId="76" fillId="0" borderId="0" xfId="0" applyFont="1" applyAlignment="1">
      <alignment wrapText="1"/>
    </xf>
    <xf numFmtId="9" fontId="0" fillId="0" borderId="0" xfId="2" applyFont="1"/>
    <xf numFmtId="0" fontId="0" fillId="0" borderId="0" xfId="0" applyAlignment="1">
      <alignment horizontal="right"/>
    </xf>
    <xf numFmtId="0" fontId="129" fillId="0" borderId="0" xfId="0" applyFont="1"/>
    <xf numFmtId="0" fontId="95" fillId="0" borderId="0" xfId="0" applyFont="1"/>
    <xf numFmtId="49" fontId="47" fillId="6" borderId="10" xfId="43" applyNumberFormat="1" applyFont="1" applyFill="1" applyBorder="1" applyAlignment="1">
      <alignment horizontal="left" indent="1"/>
    </xf>
    <xf numFmtId="49" fontId="47" fillId="6" borderId="11" xfId="43" applyNumberFormat="1" applyFont="1" applyFill="1" applyBorder="1" applyAlignment="1">
      <alignment horizontal="right" wrapText="1" indent="2"/>
    </xf>
    <xf numFmtId="3" fontId="62" fillId="6" borderId="12" xfId="43" applyNumberFormat="1" applyFont="1" applyFill="1" applyBorder="1"/>
    <xf numFmtId="49" fontId="60" fillId="6" borderId="10" xfId="43" applyNumberFormat="1" applyFont="1" applyFill="1" applyBorder="1" applyAlignment="1">
      <alignment horizontal="left" indent="1"/>
    </xf>
    <xf numFmtId="49" fontId="60" fillId="6" borderId="11" xfId="43" applyNumberFormat="1" applyFont="1" applyFill="1" applyBorder="1" applyAlignment="1">
      <alignment horizontal="right" wrapText="1" indent="2"/>
    </xf>
    <xf numFmtId="0" fontId="131" fillId="6" borderId="0" xfId="0" applyFont="1" applyFill="1"/>
    <xf numFmtId="0" fontId="87" fillId="11" borderId="50" xfId="0" applyFont="1" applyFill="1" applyBorder="1" applyAlignment="1">
      <alignment horizontal="left" vertical="center" wrapText="1"/>
    </xf>
    <xf numFmtId="0" fontId="89" fillId="11" borderId="50" xfId="0" applyFont="1" applyFill="1" applyBorder="1"/>
    <xf numFmtId="0" fontId="87" fillId="0" borderId="0" xfId="0" applyFont="1"/>
    <xf numFmtId="171" fontId="133" fillId="36" borderId="46" xfId="54" applyFont="1" applyFill="1" applyBorder="1" applyAlignment="1">
      <alignment horizontal="left" vertical="center" wrapText="1"/>
    </xf>
    <xf numFmtId="0" fontId="72" fillId="0" borderId="54" xfId="0" applyFont="1" applyBorder="1"/>
    <xf numFmtId="0" fontId="72" fillId="0" borderId="54" xfId="0" applyFont="1" applyBorder="1" applyAlignment="1">
      <alignment horizontal="center"/>
    </xf>
    <xf numFmtId="0" fontId="72" fillId="0" borderId="54" xfId="0" applyFont="1" applyBorder="1" applyAlignment="1">
      <alignment horizontal="left" vertical="center" wrapText="1"/>
    </xf>
    <xf numFmtId="0" fontId="83" fillId="11" borderId="54" xfId="0" applyFont="1" applyFill="1" applyBorder="1"/>
    <xf numFmtId="0" fontId="83" fillId="11" borderId="54" xfId="0" applyFont="1" applyFill="1" applyBorder="1" applyAlignment="1">
      <alignment horizontal="left" vertical="center" wrapText="1"/>
    </xf>
    <xf numFmtId="0" fontId="89" fillId="11" borderId="54" xfId="0" applyFont="1" applyFill="1" applyBorder="1"/>
    <xf numFmtId="0" fontId="82" fillId="0" borderId="54" xfId="0" applyFont="1" applyBorder="1"/>
    <xf numFmtId="0" fontId="82" fillId="11" borderId="54" xfId="0" applyFont="1" applyFill="1" applyBorder="1"/>
    <xf numFmtId="0" fontId="72" fillId="11" borderId="54" xfId="0" applyFont="1" applyFill="1" applyBorder="1"/>
    <xf numFmtId="0" fontId="87" fillId="11" borderId="54" xfId="0" applyFont="1" applyFill="1" applyBorder="1" applyAlignment="1">
      <alignment horizontal="left" vertical="center" wrapText="1"/>
    </xf>
    <xf numFmtId="0" fontId="87" fillId="11" borderId="54" xfId="0" applyFont="1" applyFill="1" applyBorder="1" applyAlignment="1">
      <alignment horizontal="right" vertical="center" wrapText="1"/>
    </xf>
    <xf numFmtId="43" fontId="75" fillId="15" borderId="54" xfId="24" applyFont="1" applyFill="1" applyBorder="1" applyProtection="1">
      <protection locked="0"/>
    </xf>
    <xf numFmtId="167" fontId="86" fillId="14" borderId="54" xfId="24" applyNumberFormat="1" applyFont="1" applyFill="1" applyBorder="1" applyProtection="1">
      <protection locked="0"/>
    </xf>
    <xf numFmtId="167" fontId="87" fillId="11" borderId="54" xfId="24" applyNumberFormat="1" applyFont="1" applyFill="1" applyBorder="1" applyProtection="1">
      <protection locked="0"/>
    </xf>
    <xf numFmtId="0" fontId="84" fillId="11" borderId="54" xfId="0" applyFont="1" applyFill="1" applyBorder="1" applyAlignment="1">
      <alignment horizontal="left" vertical="center" wrapText="1"/>
    </xf>
    <xf numFmtId="167" fontId="86" fillId="11" borderId="54" xfId="19" applyNumberFormat="1" applyFont="1" applyFill="1" applyBorder="1" applyProtection="1">
      <protection locked="0"/>
    </xf>
    <xf numFmtId="167" fontId="87" fillId="11" borderId="54" xfId="19" applyNumberFormat="1" applyFont="1" applyFill="1" applyBorder="1" applyProtection="1">
      <protection locked="0"/>
    </xf>
    <xf numFmtId="167" fontId="86" fillId="14" borderId="54" xfId="19" applyNumberFormat="1" applyFont="1" applyFill="1" applyBorder="1" applyProtection="1">
      <protection locked="0"/>
    </xf>
    <xf numFmtId="0" fontId="83" fillId="11" borderId="54" xfId="0" applyFont="1" applyFill="1" applyBorder="1" applyAlignment="1">
      <alignment horizontal="left" wrapText="1"/>
    </xf>
    <xf numFmtId="167" fontId="86" fillId="11" borderId="51" xfId="19" applyNumberFormat="1" applyFont="1" applyFill="1" applyBorder="1" applyProtection="1">
      <protection locked="0"/>
    </xf>
    <xf numFmtId="167" fontId="86" fillId="14" borderId="51" xfId="19" applyNumberFormat="1" applyFont="1" applyFill="1" applyBorder="1" applyProtection="1">
      <protection locked="0"/>
    </xf>
    <xf numFmtId="167" fontId="84" fillId="11" borderId="54" xfId="19" applyNumberFormat="1" applyFont="1" applyFill="1" applyBorder="1" applyProtection="1">
      <protection locked="0"/>
    </xf>
    <xf numFmtId="167" fontId="72" fillId="15" borderId="51" xfId="19" applyNumberFormat="1" applyFont="1" applyFill="1" applyBorder="1" applyProtection="1">
      <protection locked="0"/>
    </xf>
    <xf numFmtId="167" fontId="76" fillId="15" borderId="51" xfId="19" applyNumberFormat="1" applyFont="1" applyFill="1" applyBorder="1" applyProtection="1">
      <protection locked="0"/>
    </xf>
    <xf numFmtId="167" fontId="72" fillId="14" borderId="51" xfId="19" applyNumberFormat="1" applyFont="1" applyFill="1" applyBorder="1" applyProtection="1">
      <protection locked="0"/>
    </xf>
    <xf numFmtId="167" fontId="83" fillId="11" borderId="54" xfId="19" applyNumberFormat="1" applyFont="1" applyFill="1" applyBorder="1" applyProtection="1">
      <protection locked="0"/>
    </xf>
    <xf numFmtId="167" fontId="70" fillId="15" borderId="51" xfId="19" applyNumberFormat="1" applyFont="1" applyFill="1" applyBorder="1" applyProtection="1">
      <protection locked="0"/>
    </xf>
    <xf numFmtId="167" fontId="87" fillId="11" borderId="51" xfId="19" applyNumberFormat="1" applyFont="1" applyFill="1" applyBorder="1" applyProtection="1">
      <protection locked="0"/>
    </xf>
    <xf numFmtId="0" fontId="89" fillId="0" borderId="54" xfId="0" applyFont="1" applyBorder="1"/>
    <xf numFmtId="0" fontId="83" fillId="0" borderId="54" xfId="0" applyFont="1" applyBorder="1" applyAlignment="1">
      <alignment horizontal="left" vertical="center" wrapText="1"/>
    </xf>
    <xf numFmtId="0" fontId="83" fillId="11" borderId="54" xfId="0" applyFont="1" applyFill="1" applyBorder="1" applyAlignment="1">
      <alignment horizontal="right" vertical="center" wrapText="1"/>
    </xf>
    <xf numFmtId="167" fontId="83" fillId="11" borderId="51" xfId="19" applyNumberFormat="1" applyFont="1" applyFill="1" applyBorder="1" applyProtection="1">
      <protection locked="0"/>
    </xf>
    <xf numFmtId="0" fontId="83" fillId="11" borderId="57" xfId="0" applyFont="1" applyFill="1" applyBorder="1"/>
    <xf numFmtId="0" fontId="72" fillId="0" borderId="57" xfId="0" applyFont="1" applyBorder="1"/>
    <xf numFmtId="0" fontId="72" fillId="0" borderId="57" xfId="0" applyFont="1" applyBorder="1" applyAlignment="1">
      <alignment horizontal="left" vertical="center" wrapText="1"/>
    </xf>
    <xf numFmtId="0" fontId="83" fillId="11" borderId="58" xfId="0" applyFont="1" applyFill="1" applyBorder="1"/>
    <xf numFmtId="0" fontId="83" fillId="11" borderId="58" xfId="0" applyFont="1" applyFill="1" applyBorder="1" applyAlignment="1">
      <alignment horizontal="left" vertical="center" wrapText="1"/>
    </xf>
    <xf numFmtId="167" fontId="70" fillId="15" borderId="7" xfId="24" applyNumberFormat="1" applyFont="1" applyFill="1" applyBorder="1" applyProtection="1">
      <protection locked="0"/>
    </xf>
    <xf numFmtId="167" fontId="81" fillId="15" borderId="51" xfId="19" applyNumberFormat="1" applyFont="1" applyFill="1" applyBorder="1" applyProtection="1">
      <protection locked="0"/>
    </xf>
    <xf numFmtId="167" fontId="81" fillId="14" borderId="51" xfId="19" applyNumberFormat="1" applyFont="1" applyFill="1" applyBorder="1" applyProtection="1">
      <protection locked="0"/>
    </xf>
    <xf numFmtId="167" fontId="84" fillId="14" borderId="54" xfId="19" applyNumberFormat="1" applyFont="1" applyFill="1" applyBorder="1" applyProtection="1">
      <protection locked="0"/>
    </xf>
    <xf numFmtId="0" fontId="72" fillId="0" borderId="58" xfId="0" applyFont="1" applyBorder="1"/>
    <xf numFmtId="0" fontId="83" fillId="11" borderId="58" xfId="0" applyFont="1" applyFill="1" applyBorder="1" applyAlignment="1">
      <alignment vertical="center"/>
    </xf>
    <xf numFmtId="0" fontId="72" fillId="0" borderId="58" xfId="0" applyFont="1" applyBorder="1" applyAlignment="1">
      <alignment horizontal="left" vertical="center" wrapText="1"/>
    </xf>
    <xf numFmtId="167" fontId="91" fillId="11" borderId="54" xfId="1" applyNumberFormat="1" applyFont="1" applyFill="1" applyBorder="1" applyAlignment="1" applyProtection="1">
      <alignment horizontal="center"/>
      <protection locked="0"/>
    </xf>
    <xf numFmtId="167" fontId="114" fillId="11" borderId="54" xfId="1" applyNumberFormat="1" applyFont="1" applyFill="1" applyBorder="1" applyAlignment="1" applyProtection="1">
      <alignment horizontal="center"/>
      <protection locked="0"/>
    </xf>
    <xf numFmtId="49" fontId="47" fillId="6" borderId="53" xfId="43" applyNumberFormat="1" applyFont="1" applyFill="1" applyBorder="1" applyAlignment="1">
      <alignment horizontal="left" indent="1"/>
    </xf>
    <xf numFmtId="49" fontId="47" fillId="6" borderId="58" xfId="43" applyNumberFormat="1" applyFont="1" applyFill="1" applyBorder="1" applyAlignment="1">
      <alignment horizontal="right" wrapText="1" indent="2"/>
    </xf>
    <xf numFmtId="0" fontId="143" fillId="6" borderId="0" xfId="0" applyFont="1" applyFill="1"/>
    <xf numFmtId="167" fontId="47" fillId="4" borderId="12" xfId="1" applyNumberFormat="1" applyFont="1" applyFill="1" applyBorder="1"/>
    <xf numFmtId="167" fontId="47" fillId="6" borderId="12" xfId="1" applyNumberFormat="1" applyFont="1" applyFill="1" applyBorder="1"/>
    <xf numFmtId="167" fontId="62" fillId="6" borderId="12" xfId="1" applyNumberFormat="1" applyFont="1" applyFill="1" applyBorder="1"/>
    <xf numFmtId="167" fontId="145" fillId="4" borderId="12" xfId="1" applyNumberFormat="1" applyFont="1" applyFill="1" applyBorder="1"/>
    <xf numFmtId="167" fontId="49" fillId="4" borderId="12" xfId="1" applyNumberFormat="1" applyFont="1" applyFill="1" applyBorder="1"/>
    <xf numFmtId="0" fontId="104" fillId="0" borderId="0" xfId="0" applyFont="1" applyAlignment="1">
      <alignment wrapText="1"/>
    </xf>
    <xf numFmtId="3" fontId="146" fillId="4" borderId="12" xfId="43" applyNumberFormat="1" applyFont="1" applyFill="1" applyBorder="1"/>
    <xf numFmtId="0" fontId="143" fillId="0" borderId="0" xfId="0" applyFont="1"/>
    <xf numFmtId="3" fontId="0" fillId="0" borderId="0" xfId="0" applyNumberFormat="1"/>
    <xf numFmtId="0" fontId="72" fillId="0" borderId="58" xfId="74" applyFont="1" applyBorder="1" applyAlignment="1">
      <alignment horizontal="left" vertical="center" wrapText="1"/>
    </xf>
    <xf numFmtId="167" fontId="72" fillId="15" borderId="58" xfId="75" applyNumberFormat="1" applyFont="1" applyFill="1" applyBorder="1" applyProtection="1">
      <protection locked="0"/>
    </xf>
    <xf numFmtId="0" fontId="72" fillId="11" borderId="57" xfId="0" applyFont="1" applyFill="1" applyBorder="1"/>
    <xf numFmtId="3" fontId="62" fillId="0" borderId="12" xfId="43" applyNumberFormat="1" applyFont="1" applyBorder="1"/>
    <xf numFmtId="3" fontId="47" fillId="0" borderId="0" xfId="43" applyNumberFormat="1" applyFont="1"/>
    <xf numFmtId="3" fontId="52" fillId="0" borderId="3" xfId="43" applyNumberFormat="1" applyFont="1" applyBorder="1"/>
    <xf numFmtId="3" fontId="52" fillId="0" borderId="17" xfId="43" applyNumberFormat="1" applyFont="1" applyBorder="1"/>
    <xf numFmtId="167" fontId="70" fillId="11" borderId="0" xfId="24" applyNumberFormat="1" applyFont="1" applyFill="1" applyBorder="1" applyProtection="1">
      <protection locked="0"/>
    </xf>
    <xf numFmtId="0" fontId="82" fillId="11" borderId="57" xfId="0" applyFont="1" applyFill="1" applyBorder="1"/>
    <xf numFmtId="0" fontId="87" fillId="11" borderId="59" xfId="0" applyFont="1" applyFill="1" applyBorder="1" applyAlignment="1">
      <alignment horizontal="right" vertical="center" wrapText="1"/>
    </xf>
    <xf numFmtId="0" fontId="89" fillId="11" borderId="59" xfId="0" applyFont="1" applyFill="1" applyBorder="1"/>
    <xf numFmtId="167" fontId="87" fillId="11" borderId="59" xfId="1" applyNumberFormat="1" applyFont="1" applyFill="1" applyBorder="1" applyProtection="1">
      <protection locked="0"/>
    </xf>
    <xf numFmtId="167" fontId="84" fillId="11" borderId="59" xfId="1" applyNumberFormat="1" applyFont="1" applyFill="1" applyBorder="1" applyProtection="1">
      <protection locked="0"/>
    </xf>
    <xf numFmtId="0" fontId="86" fillId="23" borderId="0" xfId="0" applyFont="1" applyFill="1"/>
    <xf numFmtId="167" fontId="83" fillId="14" borderId="59" xfId="1" applyNumberFormat="1" applyFont="1" applyFill="1" applyBorder="1" applyProtection="1">
      <protection locked="0"/>
    </xf>
    <xf numFmtId="0" fontId="156" fillId="0" borderId="0" xfId="0" applyFont="1"/>
    <xf numFmtId="0" fontId="157" fillId="0" borderId="0" xfId="0" applyFont="1"/>
    <xf numFmtId="167" fontId="70" fillId="15" borderId="7" xfId="23" applyNumberFormat="1" applyFont="1" applyFill="1" applyBorder="1" applyProtection="1">
      <protection locked="0"/>
    </xf>
    <xf numFmtId="0" fontId="83" fillId="11" borderId="60" xfId="0" applyFont="1" applyFill="1" applyBorder="1"/>
    <xf numFmtId="0" fontId="87" fillId="11" borderId="60" xfId="0" applyFont="1" applyFill="1" applyBorder="1" applyAlignment="1">
      <alignment horizontal="right" vertical="center" wrapText="1"/>
    </xf>
    <xf numFmtId="0" fontId="83" fillId="11" borderId="60" xfId="0" applyFont="1" applyFill="1" applyBorder="1" applyAlignment="1">
      <alignment horizontal="left" vertical="center" wrapText="1"/>
    </xf>
    <xf numFmtId="0" fontId="72" fillId="0" borderId="60" xfId="0" applyFont="1" applyBorder="1"/>
    <xf numFmtId="0" fontId="111" fillId="0" borderId="0" xfId="0" applyFont="1" applyAlignment="1">
      <alignment horizontal="left"/>
    </xf>
    <xf numFmtId="0" fontId="72" fillId="0" borderId="60" xfId="0" applyFont="1" applyBorder="1" applyAlignment="1">
      <alignment horizontal="left" vertical="center" wrapText="1"/>
    </xf>
    <xf numFmtId="0" fontId="89" fillId="11" borderId="60" xfId="0" applyFont="1" applyFill="1" applyBorder="1"/>
    <xf numFmtId="167" fontId="72" fillId="15" borderId="61" xfId="1" applyNumberFormat="1" applyFont="1" applyFill="1" applyBorder="1" applyProtection="1">
      <protection locked="0"/>
    </xf>
    <xf numFmtId="167" fontId="72" fillId="14" borderId="61" xfId="1" applyNumberFormat="1" applyFont="1" applyFill="1" applyBorder="1" applyProtection="1">
      <protection locked="0"/>
    </xf>
    <xf numFmtId="0" fontId="160" fillId="0" borderId="0" xfId="0" applyFont="1"/>
    <xf numFmtId="167" fontId="83" fillId="11" borderId="60" xfId="20" applyNumberFormat="1" applyFont="1" applyFill="1" applyBorder="1" applyProtection="1">
      <protection locked="0"/>
    </xf>
    <xf numFmtId="3" fontId="47" fillId="0" borderId="62" xfId="43" applyNumberFormat="1" applyFont="1" applyBorder="1"/>
    <xf numFmtId="3" fontId="62" fillId="6" borderId="62" xfId="43" applyNumberFormat="1" applyFont="1" applyFill="1" applyBorder="1"/>
    <xf numFmtId="167" fontId="86" fillId="11" borderId="61" xfId="1" applyNumberFormat="1" applyFont="1" applyFill="1" applyBorder="1" applyProtection="1">
      <protection locked="0"/>
    </xf>
    <xf numFmtId="167" fontId="86" fillId="14" borderId="61" xfId="1" applyNumberFormat="1" applyFont="1" applyFill="1" applyBorder="1" applyProtection="1">
      <protection locked="0"/>
    </xf>
    <xf numFmtId="167" fontId="86" fillId="14" borderId="60" xfId="1" applyNumberFormat="1" applyFont="1" applyFill="1" applyBorder="1" applyProtection="1">
      <protection locked="0"/>
    </xf>
    <xf numFmtId="167" fontId="86" fillId="11" borderId="60" xfId="1" applyNumberFormat="1" applyFont="1" applyFill="1" applyBorder="1" applyProtection="1">
      <protection locked="0"/>
    </xf>
    <xf numFmtId="167" fontId="83" fillId="11" borderId="61" xfId="1" applyNumberFormat="1" applyFont="1" applyFill="1" applyBorder="1" applyProtection="1">
      <protection locked="0"/>
    </xf>
    <xf numFmtId="167" fontId="87" fillId="11" borderId="61" xfId="1" applyNumberFormat="1" applyFont="1" applyFill="1" applyBorder="1" applyProtection="1">
      <protection locked="0"/>
    </xf>
    <xf numFmtId="167" fontId="83" fillId="11" borderId="60" xfId="1" applyNumberFormat="1" applyFont="1" applyFill="1" applyBorder="1" applyProtection="1">
      <protection locked="0"/>
    </xf>
    <xf numFmtId="167" fontId="70" fillId="15" borderId="61" xfId="1" applyNumberFormat="1" applyFont="1" applyFill="1" applyBorder="1" applyProtection="1">
      <protection locked="0"/>
    </xf>
    <xf numFmtId="167" fontId="70" fillId="15" borderId="7" xfId="1" applyNumberFormat="1" applyFont="1" applyFill="1" applyBorder="1" applyProtection="1">
      <protection locked="0"/>
    </xf>
    <xf numFmtId="167" fontId="86" fillId="11" borderId="60" xfId="19" applyNumberFormat="1" applyFont="1" applyFill="1" applyBorder="1" applyProtection="1">
      <protection locked="0"/>
    </xf>
    <xf numFmtId="167" fontId="86" fillId="14" borderId="60" xfId="19" applyNumberFormat="1" applyFont="1" applyFill="1" applyBorder="1" applyProtection="1">
      <protection locked="0"/>
    </xf>
    <xf numFmtId="167" fontId="84" fillId="11" borderId="51" xfId="19" applyNumberFormat="1" applyFont="1" applyFill="1" applyBorder="1" applyProtection="1">
      <protection locked="0"/>
    </xf>
    <xf numFmtId="0" fontId="81" fillId="0" borderId="54" xfId="0" applyFont="1" applyBorder="1" applyAlignment="1">
      <alignment horizontal="left" vertical="center" wrapText="1"/>
    </xf>
    <xf numFmtId="167" fontId="87" fillId="11" borderId="7" xfId="23" applyNumberFormat="1" applyFont="1" applyFill="1" applyBorder="1" applyProtection="1">
      <protection locked="0"/>
    </xf>
    <xf numFmtId="0" fontId="87" fillId="3" borderId="0" xfId="0" applyFont="1" applyFill="1"/>
    <xf numFmtId="0" fontId="111" fillId="14" borderId="0" xfId="0" applyFont="1" applyFill="1"/>
    <xf numFmtId="49" fontId="60" fillId="4" borderId="10" xfId="43" applyNumberFormat="1" applyFont="1" applyFill="1" applyBorder="1" applyAlignment="1">
      <alignment horizontal="right" indent="1"/>
    </xf>
    <xf numFmtId="0" fontId="100" fillId="23" borderId="0" xfId="0" applyFont="1" applyFill="1" applyAlignment="1">
      <alignment vertical="top" wrapText="1"/>
    </xf>
    <xf numFmtId="174" fontId="83" fillId="11" borderId="60" xfId="19" applyNumberFormat="1" applyFont="1" applyFill="1" applyBorder="1" applyProtection="1">
      <protection locked="0"/>
    </xf>
    <xf numFmtId="49" fontId="60" fillId="6" borderId="53" xfId="43" applyNumberFormat="1" applyFont="1" applyFill="1" applyBorder="1" applyAlignment="1">
      <alignment horizontal="left" indent="1"/>
    </xf>
    <xf numFmtId="0" fontId="0" fillId="0" borderId="0" xfId="0" applyAlignment="1">
      <alignment horizontal="left"/>
    </xf>
    <xf numFmtId="0" fontId="83" fillId="11" borderId="63" xfId="0" applyFont="1" applyFill="1" applyBorder="1"/>
    <xf numFmtId="167" fontId="86" fillId="11" borderId="63" xfId="1" applyNumberFormat="1" applyFont="1" applyFill="1" applyBorder="1"/>
    <xf numFmtId="167" fontId="86" fillId="14" borderId="63" xfId="1" applyNumberFormat="1" applyFont="1" applyFill="1" applyBorder="1"/>
    <xf numFmtId="167" fontId="83" fillId="11" borderId="64" xfId="23" applyNumberFormat="1" applyFont="1" applyFill="1" applyBorder="1" applyProtection="1">
      <protection locked="0"/>
    </xf>
    <xf numFmtId="167" fontId="72" fillId="30" borderId="60" xfId="1" applyNumberFormat="1" applyFont="1" applyFill="1" applyBorder="1" applyProtection="1">
      <protection locked="0"/>
    </xf>
    <xf numFmtId="167" fontId="87" fillId="11" borderId="64" xfId="24" applyNumberFormat="1" applyFont="1" applyFill="1" applyBorder="1" applyProtection="1">
      <protection locked="0"/>
    </xf>
    <xf numFmtId="167" fontId="86" fillId="11" borderId="0" xfId="0" applyNumberFormat="1" applyFont="1" applyFill="1"/>
    <xf numFmtId="167" fontId="86" fillId="14" borderId="64" xfId="24" applyNumberFormat="1" applyFont="1" applyFill="1" applyBorder="1" applyProtection="1">
      <protection locked="0"/>
    </xf>
    <xf numFmtId="167" fontId="52" fillId="0" borderId="0" xfId="5" applyNumberFormat="1" applyFont="1"/>
    <xf numFmtId="0" fontId="52" fillId="0" borderId="3" xfId="7" applyFont="1" applyBorder="1" applyAlignment="1">
      <alignment horizontal="center" vertical="center" wrapText="1"/>
    </xf>
    <xf numFmtId="3" fontId="47" fillId="8" borderId="12" xfId="43" applyNumberFormat="1" applyFont="1" applyFill="1" applyBorder="1"/>
    <xf numFmtId="10" fontId="47" fillId="0" borderId="0" xfId="9" applyNumberFormat="1" applyFont="1"/>
    <xf numFmtId="167" fontId="83" fillId="11" borderId="64" xfId="1" applyNumberFormat="1" applyFont="1" applyFill="1" applyBorder="1" applyProtection="1">
      <protection locked="0"/>
    </xf>
    <xf numFmtId="167" fontId="87" fillId="11" borderId="0" xfId="23" applyNumberFormat="1" applyFont="1" applyFill="1" applyBorder="1"/>
    <xf numFmtId="167" fontId="91" fillId="11" borderId="64" xfId="1" applyNumberFormat="1" applyFont="1" applyFill="1" applyBorder="1" applyAlignment="1" applyProtection="1">
      <alignment horizontal="center"/>
      <protection locked="0"/>
    </xf>
    <xf numFmtId="0" fontId="83" fillId="11" borderId="67" xfId="0" applyFont="1" applyFill="1" applyBorder="1"/>
    <xf numFmtId="167" fontId="86" fillId="11" borderId="67" xfId="1" applyNumberFormat="1" applyFont="1" applyFill="1" applyBorder="1"/>
    <xf numFmtId="0" fontId="89" fillId="11" borderId="67" xfId="0" applyFont="1" applyFill="1" applyBorder="1"/>
    <xf numFmtId="0" fontId="83" fillId="11" borderId="67" xfId="0" applyFont="1" applyFill="1" applyBorder="1" applyAlignment="1">
      <alignment horizontal="left" vertical="center" wrapText="1"/>
    </xf>
    <xf numFmtId="0" fontId="84" fillId="11" borderId="67" xfId="0" applyFont="1" applyFill="1" applyBorder="1" applyAlignment="1">
      <alignment horizontal="left" vertical="center" wrapText="1"/>
    </xf>
    <xf numFmtId="167" fontId="72" fillId="14" borderId="68" xfId="24" applyNumberFormat="1" applyFont="1" applyFill="1" applyBorder="1" applyProtection="1">
      <protection locked="0"/>
    </xf>
    <xf numFmtId="167" fontId="87" fillId="11" borderId="64" xfId="1" applyNumberFormat="1" applyFont="1" applyFill="1" applyBorder="1"/>
    <xf numFmtId="167" fontId="86" fillId="14" borderId="64" xfId="1" applyNumberFormat="1" applyFont="1" applyFill="1" applyBorder="1"/>
    <xf numFmtId="167" fontId="83" fillId="11" borderId="66" xfId="19" applyNumberFormat="1" applyFont="1" applyFill="1" applyBorder="1" applyProtection="1">
      <protection locked="0"/>
    </xf>
    <xf numFmtId="167" fontId="114" fillId="11" borderId="67" xfId="1" applyNumberFormat="1" applyFont="1" applyFill="1" applyBorder="1" applyAlignment="1" applyProtection="1">
      <alignment horizontal="center"/>
      <protection locked="0"/>
    </xf>
    <xf numFmtId="167" fontId="96" fillId="3" borderId="0" xfId="0" applyNumberFormat="1" applyFont="1" applyFill="1"/>
    <xf numFmtId="167" fontId="83" fillId="11" borderId="64" xfId="1" applyNumberFormat="1" applyFont="1" applyFill="1" applyBorder="1"/>
    <xf numFmtId="167" fontId="86" fillId="14" borderId="66" xfId="19" applyNumberFormat="1" applyFont="1" applyFill="1" applyBorder="1" applyProtection="1">
      <protection locked="0"/>
    </xf>
    <xf numFmtId="0" fontId="72" fillId="0" borderId="67" xfId="0" applyFont="1" applyBorder="1" applyAlignment="1">
      <alignment horizontal="left" vertical="center" wrapText="1"/>
    </xf>
    <xf numFmtId="0" fontId="87" fillId="11" borderId="63" xfId="0" applyFont="1" applyFill="1" applyBorder="1" applyAlignment="1">
      <alignment vertical="center" wrapText="1"/>
    </xf>
    <xf numFmtId="167" fontId="90" fillId="0" borderId="0" xfId="19" applyNumberFormat="1" applyFont="1" applyFill="1" applyBorder="1" applyProtection="1">
      <protection locked="0"/>
    </xf>
    <xf numFmtId="167" fontId="72" fillId="15" borderId="64" xfId="23" applyNumberFormat="1" applyFont="1" applyFill="1" applyBorder="1" applyProtection="1">
      <protection locked="0"/>
    </xf>
    <xf numFmtId="167" fontId="83" fillId="11" borderId="67" xfId="23" applyNumberFormat="1" applyFont="1" applyFill="1" applyBorder="1" applyProtection="1">
      <protection locked="0"/>
    </xf>
    <xf numFmtId="167" fontId="83" fillId="37" borderId="64" xfId="23" applyNumberFormat="1" applyFont="1" applyFill="1" applyBorder="1" applyProtection="1">
      <protection locked="0"/>
    </xf>
    <xf numFmtId="167" fontId="83" fillId="37" borderId="67" xfId="23" applyNumberFormat="1" applyFont="1" applyFill="1" applyBorder="1" applyProtection="1">
      <protection locked="0"/>
    </xf>
    <xf numFmtId="167" fontId="72" fillId="37" borderId="64" xfId="23" applyNumberFormat="1" applyFont="1" applyFill="1" applyBorder="1" applyProtection="1">
      <protection locked="0"/>
    </xf>
    <xf numFmtId="0" fontId="165" fillId="11" borderId="67" xfId="0" applyFont="1" applyFill="1" applyBorder="1" applyAlignment="1">
      <alignment horizontal="left" vertical="center" wrapText="1"/>
    </xf>
    <xf numFmtId="167" fontId="47" fillId="0" borderId="12" xfId="5" applyNumberFormat="1" applyFont="1" applyFill="1" applyBorder="1"/>
    <xf numFmtId="167" fontId="87" fillId="11" borderId="66" xfId="19" applyNumberFormat="1" applyFont="1" applyFill="1" applyBorder="1" applyProtection="1">
      <protection locked="0"/>
    </xf>
    <xf numFmtId="167" fontId="87" fillId="11" borderId="60" xfId="20" applyNumberFormat="1" applyFont="1" applyFill="1" applyBorder="1" applyProtection="1">
      <protection locked="0"/>
    </xf>
    <xf numFmtId="0" fontId="83" fillId="11" borderId="0" xfId="0" applyFont="1" applyFill="1" applyAlignment="1">
      <alignment vertical="center" wrapText="1"/>
    </xf>
    <xf numFmtId="167" fontId="86" fillId="11" borderId="70" xfId="19" applyNumberFormat="1" applyFont="1" applyFill="1" applyBorder="1" applyProtection="1">
      <protection locked="0"/>
    </xf>
    <xf numFmtId="167" fontId="86" fillId="14" borderId="70" xfId="19" applyNumberFormat="1" applyFont="1" applyFill="1" applyBorder="1" applyProtection="1">
      <protection locked="0"/>
    </xf>
    <xf numFmtId="0" fontId="83" fillId="11" borderId="69" xfId="0" applyFont="1" applyFill="1" applyBorder="1" applyAlignment="1">
      <alignment horizontal="left" vertical="center" wrapText="1"/>
    </xf>
    <xf numFmtId="167" fontId="83" fillId="11" borderId="70" xfId="19" applyNumberFormat="1" applyFont="1" applyFill="1" applyBorder="1" applyProtection="1">
      <protection locked="0"/>
    </xf>
    <xf numFmtId="0" fontId="83" fillId="11" borderId="69" xfId="0" applyFont="1" applyFill="1" applyBorder="1"/>
    <xf numFmtId="167" fontId="86" fillId="14" borderId="70" xfId="1" applyNumberFormat="1" applyFont="1" applyFill="1" applyBorder="1" applyProtection="1">
      <protection locked="0"/>
    </xf>
    <xf numFmtId="167" fontId="87" fillId="11" borderId="70" xfId="1" applyNumberFormat="1" applyFont="1" applyFill="1" applyBorder="1" applyProtection="1">
      <protection locked="0"/>
    </xf>
    <xf numFmtId="167" fontId="83" fillId="11" borderId="69" xfId="1" applyNumberFormat="1" applyFont="1" applyFill="1" applyBorder="1" applyProtection="1">
      <protection locked="0"/>
    </xf>
    <xf numFmtId="167" fontId="83" fillId="11" borderId="70" xfId="1" applyNumberFormat="1" applyFont="1" applyFill="1" applyBorder="1" applyProtection="1">
      <protection locked="0"/>
    </xf>
    <xf numFmtId="0" fontId="87" fillId="11" borderId="69" xfId="0" applyFont="1" applyFill="1" applyBorder="1" applyAlignment="1">
      <alignment horizontal="right" vertical="center" wrapText="1"/>
    </xf>
    <xf numFmtId="167" fontId="83" fillId="11" borderId="0" xfId="23" applyNumberFormat="1" applyFont="1" applyFill="1" applyBorder="1"/>
    <xf numFmtId="167" fontId="84" fillId="11" borderId="69" xfId="1" applyNumberFormat="1" applyFont="1" applyFill="1" applyBorder="1" applyProtection="1">
      <protection locked="0"/>
    </xf>
    <xf numFmtId="0" fontId="83" fillId="11" borderId="69" xfId="0" applyFont="1" applyFill="1" applyBorder="1" applyAlignment="1">
      <alignment horizontal="left" wrapText="1"/>
    </xf>
    <xf numFmtId="0" fontId="89" fillId="11" borderId="69" xfId="0" applyFont="1" applyFill="1" applyBorder="1"/>
    <xf numFmtId="9" fontId="86" fillId="11" borderId="0" xfId="2" applyFont="1" applyFill="1"/>
    <xf numFmtId="167" fontId="87" fillId="11" borderId="11" xfId="23" applyNumberFormat="1" applyFont="1" applyFill="1" applyBorder="1" applyProtection="1">
      <protection locked="0"/>
    </xf>
    <xf numFmtId="167" fontId="87" fillId="11" borderId="69" xfId="1" applyNumberFormat="1" applyFont="1" applyFill="1" applyBorder="1" applyProtection="1">
      <protection locked="0"/>
    </xf>
    <xf numFmtId="0" fontId="72" fillId="0" borderId="69" xfId="0" applyFont="1" applyBorder="1"/>
    <xf numFmtId="0" fontId="72" fillId="0" borderId="69" xfId="0" applyFont="1" applyBorder="1" applyAlignment="1">
      <alignment horizontal="left" vertical="center" wrapText="1"/>
    </xf>
    <xf numFmtId="167" fontId="72" fillId="15" borderId="70" xfId="1" applyNumberFormat="1" applyFont="1" applyFill="1" applyBorder="1" applyProtection="1">
      <protection locked="0"/>
    </xf>
    <xf numFmtId="167" fontId="70" fillId="15" borderId="70" xfId="1" applyNumberFormat="1" applyFont="1" applyFill="1" applyBorder="1" applyProtection="1">
      <protection locked="0"/>
    </xf>
    <xf numFmtId="167" fontId="72" fillId="14" borderId="70" xfId="1" applyNumberFormat="1" applyFont="1" applyFill="1" applyBorder="1" applyProtection="1">
      <protection locked="0"/>
    </xf>
    <xf numFmtId="167" fontId="114" fillId="11" borderId="69" xfId="1" applyNumberFormat="1" applyFont="1" applyFill="1" applyBorder="1" applyAlignment="1" applyProtection="1">
      <alignment horizontal="center"/>
      <protection locked="0"/>
    </xf>
    <xf numFmtId="0" fontId="87" fillId="11" borderId="69" xfId="0" applyFont="1" applyFill="1" applyBorder="1" applyAlignment="1">
      <alignment horizontal="right" wrapText="1"/>
    </xf>
    <xf numFmtId="167" fontId="87" fillId="11" borderId="70" xfId="19" applyNumberFormat="1" applyFont="1" applyFill="1" applyBorder="1" applyProtection="1">
      <protection locked="0"/>
    </xf>
    <xf numFmtId="167" fontId="81" fillId="15" borderId="70" xfId="19" applyNumberFormat="1" applyFont="1" applyFill="1" applyBorder="1" applyProtection="1">
      <protection locked="0"/>
    </xf>
    <xf numFmtId="167" fontId="76" fillId="15" borderId="70" xfId="19" applyNumberFormat="1" applyFont="1" applyFill="1" applyBorder="1" applyProtection="1">
      <protection locked="0"/>
    </xf>
    <xf numFmtId="167" fontId="70" fillId="15" borderId="70" xfId="19" applyNumberFormat="1" applyFont="1" applyFill="1" applyBorder="1" applyProtection="1">
      <protection locked="0"/>
    </xf>
    <xf numFmtId="167" fontId="72" fillId="14" borderId="70" xfId="19" applyNumberFormat="1" applyFont="1" applyFill="1" applyBorder="1" applyProtection="1">
      <protection locked="0"/>
    </xf>
    <xf numFmtId="0" fontId="89" fillId="11" borderId="71" xfId="0" applyFont="1" applyFill="1" applyBorder="1"/>
    <xf numFmtId="0" fontId="83" fillId="11" borderId="71" xfId="0" applyFont="1" applyFill="1" applyBorder="1"/>
    <xf numFmtId="167" fontId="84" fillId="11" borderId="71" xfId="1" applyNumberFormat="1" applyFont="1" applyFill="1" applyBorder="1" applyProtection="1">
      <protection locked="0"/>
    </xf>
    <xf numFmtId="167" fontId="83" fillId="11" borderId="71" xfId="1" applyNumberFormat="1" applyFont="1" applyFill="1" applyBorder="1" applyProtection="1">
      <protection locked="0"/>
    </xf>
    <xf numFmtId="167" fontId="83" fillId="14" borderId="71" xfId="1" applyNumberFormat="1" applyFont="1" applyFill="1" applyBorder="1" applyProtection="1">
      <protection locked="0"/>
    </xf>
    <xf numFmtId="167" fontId="86" fillId="14" borderId="72" xfId="1" applyNumberFormat="1" applyFont="1" applyFill="1" applyBorder="1" applyProtection="1">
      <protection locked="0"/>
    </xf>
    <xf numFmtId="167" fontId="87" fillId="11" borderId="72" xfId="1" applyNumberFormat="1" applyFont="1" applyFill="1" applyBorder="1" applyProtection="1">
      <protection locked="0"/>
    </xf>
    <xf numFmtId="167" fontId="83" fillId="11" borderId="72" xfId="1" applyNumberFormat="1" applyFont="1" applyFill="1" applyBorder="1" applyProtection="1">
      <protection locked="0"/>
    </xf>
    <xf numFmtId="167" fontId="83" fillId="14" borderId="69" xfId="1" applyNumberFormat="1" applyFont="1" applyFill="1" applyBorder="1" applyProtection="1">
      <protection locked="0"/>
    </xf>
    <xf numFmtId="0" fontId="27" fillId="0" borderId="0" xfId="43" applyFont="1"/>
    <xf numFmtId="43" fontId="104" fillId="0" borderId="0" xfId="1" applyFont="1" applyAlignment="1">
      <alignment wrapText="1"/>
    </xf>
    <xf numFmtId="0" fontId="104" fillId="0" borderId="0" xfId="1" applyNumberFormat="1" applyFont="1"/>
    <xf numFmtId="3" fontId="56" fillId="5" borderId="12" xfId="3" applyNumberFormat="1" applyFont="1" applyFill="1" applyBorder="1"/>
    <xf numFmtId="3" fontId="52" fillId="5" borderId="12" xfId="3" applyNumberFormat="1" applyFont="1" applyFill="1" applyBorder="1"/>
    <xf numFmtId="3" fontId="50" fillId="6" borderId="12" xfId="3" applyNumberFormat="1" applyFont="1" applyFill="1" applyBorder="1"/>
    <xf numFmtId="3" fontId="59" fillId="6" borderId="12" xfId="3" applyNumberFormat="1" applyFont="1" applyFill="1" applyBorder="1"/>
    <xf numFmtId="0" fontId="83" fillId="11" borderId="60" xfId="0" applyFont="1" applyFill="1" applyBorder="1" applyAlignment="1">
      <alignment horizontal="center"/>
    </xf>
    <xf numFmtId="0" fontId="84" fillId="11" borderId="11" xfId="0" applyFont="1" applyFill="1" applyBorder="1" applyAlignment="1">
      <alignment horizontal="center"/>
    </xf>
    <xf numFmtId="0" fontId="83" fillId="11" borderId="58" xfId="0" applyFont="1" applyFill="1" applyBorder="1" applyAlignment="1">
      <alignment horizontal="center"/>
    </xf>
    <xf numFmtId="0" fontId="171" fillId="0" borderId="0" xfId="0" applyFont="1"/>
    <xf numFmtId="0" fontId="83" fillId="11" borderId="54" xfId="0" applyFont="1" applyFill="1" applyBorder="1" applyAlignment="1">
      <alignment horizontal="center"/>
    </xf>
    <xf numFmtId="0" fontId="83" fillId="11" borderId="69" xfId="0" applyFont="1" applyFill="1" applyBorder="1" applyAlignment="1">
      <alignment horizontal="center"/>
    </xf>
    <xf numFmtId="0" fontId="83" fillId="0" borderId="54" xfId="0" applyFont="1" applyBorder="1" applyAlignment="1">
      <alignment horizontal="center"/>
    </xf>
    <xf numFmtId="3" fontId="60" fillId="6" borderId="12" xfId="43" applyNumberFormat="1" applyFont="1" applyFill="1" applyBorder="1"/>
    <xf numFmtId="3" fontId="56" fillId="4" borderId="12" xfId="3" applyNumberFormat="1" applyFont="1" applyFill="1" applyBorder="1"/>
    <xf numFmtId="0" fontId="83" fillId="11" borderId="57" xfId="0" applyFont="1" applyFill="1" applyBorder="1" applyAlignment="1">
      <alignment horizontal="center"/>
    </xf>
    <xf numFmtId="0" fontId="83" fillId="11" borderId="71" xfId="0" applyFont="1" applyFill="1" applyBorder="1" applyAlignment="1">
      <alignment horizontal="center"/>
    </xf>
    <xf numFmtId="0" fontId="72" fillId="0" borderId="60" xfId="0" applyFont="1" applyBorder="1" applyAlignment="1">
      <alignment horizontal="center"/>
    </xf>
    <xf numFmtId="0" fontId="83" fillId="11" borderId="69" xfId="0" applyFont="1" applyFill="1" applyBorder="1" applyAlignment="1">
      <alignment horizontal="right" wrapText="1"/>
    </xf>
    <xf numFmtId="0" fontId="72" fillId="0" borderId="7" xfId="0" applyFont="1" applyBorder="1" applyAlignment="1">
      <alignment horizontal="center"/>
    </xf>
    <xf numFmtId="3" fontId="60" fillId="6" borderId="12" xfId="3" applyNumberFormat="1" applyFont="1" applyFill="1" applyBorder="1"/>
    <xf numFmtId="0" fontId="72" fillId="0" borderId="11" xfId="0" applyFont="1" applyBorder="1" applyAlignment="1">
      <alignment horizontal="left"/>
    </xf>
    <xf numFmtId="0" fontId="83" fillId="8" borderId="11" xfId="0" applyFont="1" applyFill="1" applyBorder="1" applyAlignment="1">
      <alignment horizontal="center"/>
    </xf>
    <xf numFmtId="3" fontId="47" fillId="4" borderId="12" xfId="3" applyNumberFormat="1" applyFont="1" applyFill="1" applyBorder="1"/>
    <xf numFmtId="3" fontId="47" fillId="6" borderId="62" xfId="43" applyNumberFormat="1" applyFont="1" applyFill="1" applyBorder="1"/>
    <xf numFmtId="0" fontId="72" fillId="0" borderId="69" xfId="0" applyFont="1" applyBorder="1" applyAlignment="1">
      <alignment horizontal="center"/>
    </xf>
    <xf numFmtId="167" fontId="83" fillId="11" borderId="68" xfId="23" applyNumberFormat="1" applyFont="1" applyFill="1" applyBorder="1" applyProtection="1">
      <protection locked="0"/>
    </xf>
    <xf numFmtId="0" fontId="72" fillId="0" borderId="58" xfId="0" applyFont="1" applyBorder="1" applyAlignment="1">
      <alignment horizontal="center"/>
    </xf>
    <xf numFmtId="167" fontId="86" fillId="11" borderId="0" xfId="0" applyNumberFormat="1" applyFont="1" applyFill="1" applyAlignment="1">
      <alignment wrapText="1"/>
    </xf>
    <xf numFmtId="3" fontId="47" fillId="6" borderId="12" xfId="3" applyNumberFormat="1" applyFont="1" applyFill="1" applyBorder="1"/>
    <xf numFmtId="167" fontId="87" fillId="11" borderId="71" xfId="1" applyNumberFormat="1" applyFont="1" applyFill="1" applyBorder="1" applyProtection="1">
      <protection locked="0"/>
    </xf>
    <xf numFmtId="43" fontId="47" fillId="6" borderId="12" xfId="1" applyFont="1" applyFill="1" applyBorder="1" applyAlignment="1">
      <alignment wrapText="1"/>
    </xf>
    <xf numFmtId="49" fontId="146" fillId="4" borderId="11" xfId="43" applyNumberFormat="1" applyFont="1" applyFill="1" applyBorder="1" applyAlignment="1">
      <alignment horizontal="left" wrapText="1" indent="2"/>
    </xf>
    <xf numFmtId="3" fontId="47" fillId="0" borderId="12" xfId="3" applyNumberFormat="1" applyFont="1" applyBorder="1"/>
    <xf numFmtId="3" fontId="47" fillId="0" borderId="14" xfId="3" applyNumberFormat="1" applyFont="1" applyBorder="1"/>
    <xf numFmtId="9" fontId="86" fillId="3" borderId="0" xfId="2" applyFont="1" applyFill="1"/>
    <xf numFmtId="167" fontId="87" fillId="11" borderId="70" xfId="20" applyNumberFormat="1" applyFont="1" applyFill="1" applyBorder="1" applyProtection="1">
      <protection locked="0"/>
    </xf>
    <xf numFmtId="167" fontId="83" fillId="11" borderId="70" xfId="20" applyNumberFormat="1" applyFont="1" applyFill="1" applyBorder="1" applyProtection="1">
      <protection locked="0"/>
    </xf>
    <xf numFmtId="0" fontId="72" fillId="0" borderId="54" xfId="0" applyFont="1" applyBorder="1" applyAlignment="1">
      <alignment horizontal="left"/>
    </xf>
    <xf numFmtId="0" fontId="72" fillId="0" borderId="60" xfId="0" applyFont="1" applyBorder="1" applyAlignment="1">
      <alignment horizontal="left"/>
    </xf>
    <xf numFmtId="0" fontId="24" fillId="0" borderId="0" xfId="43" applyFont="1"/>
    <xf numFmtId="167" fontId="87" fillId="11" borderId="68" xfId="24" applyNumberFormat="1" applyFont="1" applyFill="1" applyBorder="1" applyProtection="1">
      <protection locked="0"/>
    </xf>
    <xf numFmtId="167" fontId="72" fillId="14" borderId="68" xfId="24" applyNumberFormat="1" applyFont="1" applyFill="1" applyBorder="1" applyAlignment="1" applyProtection="1">
      <alignment horizontal="center" vertical="center"/>
      <protection locked="0"/>
    </xf>
    <xf numFmtId="3" fontId="52" fillId="4" borderId="12" xfId="3" applyNumberFormat="1" applyFont="1" applyFill="1" applyBorder="1"/>
    <xf numFmtId="3" fontId="47" fillId="14" borderId="12" xfId="43" applyNumberFormat="1" applyFont="1" applyFill="1" applyBorder="1"/>
    <xf numFmtId="167" fontId="49" fillId="6" borderId="12" xfId="1" applyNumberFormat="1" applyFont="1" applyFill="1" applyBorder="1"/>
    <xf numFmtId="167" fontId="70" fillId="15" borderId="73" xfId="1" applyNumberFormat="1" applyFont="1" applyFill="1" applyBorder="1" applyAlignment="1" applyProtection="1">
      <alignment vertical="center"/>
      <protection locked="0"/>
    </xf>
    <xf numFmtId="167" fontId="83" fillId="11" borderId="85" xfId="23" applyNumberFormat="1" applyFont="1" applyFill="1" applyBorder="1"/>
    <xf numFmtId="167" fontId="138" fillId="11" borderId="85" xfId="23" applyNumberFormat="1" applyFont="1" applyFill="1" applyBorder="1"/>
    <xf numFmtId="167" fontId="83" fillId="14" borderId="85" xfId="23" applyNumberFormat="1" applyFont="1" applyFill="1" applyBorder="1"/>
    <xf numFmtId="0" fontId="83" fillId="11" borderId="86" xfId="0" applyFont="1" applyFill="1" applyBorder="1" applyAlignment="1">
      <alignment horizontal="left" vertical="center" wrapText="1"/>
    </xf>
    <xf numFmtId="0" fontId="72" fillId="0" borderId="86" xfId="0" applyFont="1" applyBorder="1" applyAlignment="1">
      <alignment horizontal="left" vertical="center" wrapText="1"/>
    </xf>
    <xf numFmtId="0" fontId="83" fillId="11" borderId="86" xfId="0" applyFont="1" applyFill="1" applyBorder="1"/>
    <xf numFmtId="0" fontId="84" fillId="11" borderId="86" xfId="0" applyFont="1" applyFill="1" applyBorder="1" applyAlignment="1">
      <alignment horizontal="left" vertical="center" wrapText="1"/>
    </xf>
    <xf numFmtId="167" fontId="86" fillId="11" borderId="87" xfId="19" applyNumberFormat="1" applyFont="1" applyFill="1" applyBorder="1"/>
    <xf numFmtId="167" fontId="83" fillId="11" borderId="87" xfId="19" applyNumberFormat="1" applyFont="1" applyFill="1" applyBorder="1"/>
    <xf numFmtId="0" fontId="72" fillId="11" borderId="86" xfId="0" applyFont="1" applyFill="1" applyBorder="1" applyAlignment="1">
      <alignment horizontal="left" vertical="center" wrapText="1"/>
    </xf>
    <xf numFmtId="0" fontId="72" fillId="23" borderId="86" xfId="0" applyFont="1" applyFill="1" applyBorder="1"/>
    <xf numFmtId="0" fontId="72" fillId="11" borderId="86" xfId="0" applyFont="1" applyFill="1" applyBorder="1"/>
    <xf numFmtId="167" fontId="83" fillId="11" borderId="86" xfId="19" applyNumberFormat="1" applyFont="1" applyFill="1" applyBorder="1" applyProtection="1">
      <protection locked="0"/>
    </xf>
    <xf numFmtId="167" fontId="86" fillId="11" borderId="86" xfId="19" applyNumberFormat="1" applyFont="1" applyFill="1" applyBorder="1" applyProtection="1">
      <protection locked="0"/>
    </xf>
    <xf numFmtId="167" fontId="86" fillId="14" borderId="87" xfId="19" applyNumberFormat="1" applyFont="1" applyFill="1" applyBorder="1" applyProtection="1">
      <protection locked="0"/>
    </xf>
    <xf numFmtId="167" fontId="83" fillId="11" borderId="86" xfId="1" applyNumberFormat="1" applyFont="1" applyFill="1" applyBorder="1" applyProtection="1">
      <protection locked="0"/>
    </xf>
    <xf numFmtId="167" fontId="86" fillId="14" borderId="87" xfId="1" applyNumberFormat="1" applyFont="1" applyFill="1" applyBorder="1" applyProtection="1">
      <protection locked="0"/>
    </xf>
    <xf numFmtId="0" fontId="83" fillId="11" borderId="89" xfId="0" applyFont="1" applyFill="1" applyBorder="1"/>
    <xf numFmtId="0" fontId="83" fillId="11" borderId="89" xfId="0" applyFont="1" applyFill="1" applyBorder="1" applyAlignment="1">
      <alignment horizontal="left" vertical="center" wrapText="1"/>
    </xf>
    <xf numFmtId="0" fontId="87" fillId="11" borderId="89" xfId="0" applyFont="1" applyFill="1" applyBorder="1" applyAlignment="1">
      <alignment horizontal="right" vertical="center" wrapText="1"/>
    </xf>
    <xf numFmtId="167" fontId="87" fillId="11" borderId="87" xfId="1" applyNumberFormat="1" applyFont="1" applyFill="1" applyBorder="1" applyProtection="1">
      <protection locked="0"/>
    </xf>
    <xf numFmtId="0" fontId="89" fillId="11" borderId="89" xfId="0" applyFont="1" applyFill="1" applyBorder="1"/>
    <xf numFmtId="0" fontId="83" fillId="23" borderId="89" xfId="0" applyFont="1" applyFill="1" applyBorder="1" applyAlignment="1">
      <alignment horizontal="left" vertical="center" wrapText="1"/>
    </xf>
    <xf numFmtId="167" fontId="83" fillId="11" borderId="87" xfId="22" applyNumberFormat="1" applyFont="1" applyFill="1" applyBorder="1"/>
    <xf numFmtId="167" fontId="83" fillId="11" borderId="89" xfId="19" applyNumberFormat="1" applyFont="1" applyFill="1" applyBorder="1" applyProtection="1">
      <protection locked="0"/>
    </xf>
    <xf numFmtId="0" fontId="72" fillId="0" borderId="89" xfId="0" applyFont="1" applyBorder="1" applyAlignment="1">
      <alignment horizontal="left" vertical="center" wrapText="1"/>
    </xf>
    <xf numFmtId="167" fontId="83" fillId="11" borderId="87" xfId="19" applyNumberFormat="1" applyFont="1" applyFill="1" applyBorder="1" applyProtection="1">
      <protection locked="0"/>
    </xf>
    <xf numFmtId="0" fontId="83" fillId="11" borderId="89" xfId="0" applyFont="1" applyFill="1" applyBorder="1" applyAlignment="1">
      <alignment horizontal="right" vertical="center" wrapText="1"/>
    </xf>
    <xf numFmtId="3" fontId="191" fillId="6" borderId="12" xfId="43" applyNumberFormat="1" applyFont="1" applyFill="1" applyBorder="1"/>
    <xf numFmtId="167" fontId="47" fillId="7" borderId="12" xfId="1" applyNumberFormat="1" applyFont="1" applyFill="1" applyBorder="1"/>
    <xf numFmtId="0" fontId="70" fillId="11" borderId="91" xfId="0" applyFont="1" applyFill="1" applyBorder="1" applyAlignment="1">
      <alignment horizontal="right" wrapText="1"/>
    </xf>
    <xf numFmtId="0" fontId="83" fillId="11" borderId="89" xfId="0" applyFont="1" applyFill="1" applyBorder="1" applyAlignment="1">
      <alignment horizontal="center"/>
    </xf>
    <xf numFmtId="0" fontId="83" fillId="11" borderId="88" xfId="0" applyFont="1" applyFill="1" applyBorder="1" applyAlignment="1">
      <alignment horizontal="left" vertical="center" wrapText="1"/>
    </xf>
    <xf numFmtId="0" fontId="83" fillId="11" borderId="89" xfId="0" applyFont="1" applyFill="1" applyBorder="1" applyAlignment="1">
      <alignment horizontal="left" wrapText="1"/>
    </xf>
    <xf numFmtId="167" fontId="87" fillId="11" borderId="87" xfId="19" applyNumberFormat="1" applyFont="1" applyFill="1" applyBorder="1" applyProtection="1">
      <protection locked="0"/>
    </xf>
    <xf numFmtId="9" fontId="76" fillId="0" borderId="0" xfId="2" applyFont="1"/>
    <xf numFmtId="0" fontId="83" fillId="11" borderId="88" xfId="0" applyFont="1" applyFill="1" applyBorder="1"/>
    <xf numFmtId="167" fontId="87" fillId="11" borderId="89" xfId="19" applyNumberFormat="1" applyFont="1" applyFill="1" applyBorder="1" applyProtection="1">
      <protection locked="0"/>
    </xf>
    <xf numFmtId="167" fontId="83" fillId="14" borderId="64" xfId="1" applyNumberFormat="1" applyFont="1" applyFill="1" applyBorder="1" applyProtection="1">
      <protection locked="0"/>
    </xf>
    <xf numFmtId="3" fontId="61" fillId="4" borderId="12" xfId="43" applyNumberFormat="1" applyFont="1" applyFill="1" applyBorder="1"/>
    <xf numFmtId="0" fontId="131" fillId="0" borderId="0" xfId="0" applyFont="1"/>
    <xf numFmtId="0" fontId="95" fillId="11" borderId="86" xfId="0" applyFont="1" applyFill="1" applyBorder="1" applyAlignment="1">
      <alignment horizontal="left" vertical="center" wrapText="1"/>
    </xf>
    <xf numFmtId="0" fontId="83" fillId="11" borderId="86" xfId="0" applyFont="1" applyFill="1" applyBorder="1" applyAlignment="1">
      <alignment vertical="center" wrapText="1"/>
    </xf>
    <xf numFmtId="3" fontId="56" fillId="5" borderId="22" xfId="3" applyNumberFormat="1" applyFont="1" applyFill="1" applyBorder="1"/>
    <xf numFmtId="3" fontId="47" fillId="6" borderId="94" xfId="43" applyNumberFormat="1" applyFont="1" applyFill="1" applyBorder="1"/>
    <xf numFmtId="3" fontId="47" fillId="0" borderId="94" xfId="43" applyNumberFormat="1" applyFont="1" applyBorder="1"/>
    <xf numFmtId="0" fontId="83" fillId="11" borderId="88" xfId="0" applyFont="1" applyFill="1" applyBorder="1" applyAlignment="1">
      <alignment horizontal="center"/>
    </xf>
    <xf numFmtId="0" fontId="72" fillId="11" borderId="89" xfId="0" applyFont="1" applyFill="1" applyBorder="1"/>
    <xf numFmtId="167" fontId="83" fillId="11" borderId="89" xfId="24" applyNumberFormat="1" applyFont="1" applyFill="1" applyBorder="1" applyProtection="1">
      <protection locked="0"/>
    </xf>
    <xf numFmtId="167" fontId="86" fillId="11" borderId="87" xfId="19" applyNumberFormat="1" applyFont="1" applyFill="1" applyBorder="1" applyProtection="1">
      <protection locked="0"/>
    </xf>
    <xf numFmtId="167" fontId="84" fillId="11" borderId="87" xfId="19" applyNumberFormat="1" applyFont="1" applyFill="1" applyBorder="1" applyProtection="1">
      <protection locked="0"/>
    </xf>
    <xf numFmtId="167" fontId="72" fillId="14" borderId="87" xfId="19" applyNumberFormat="1" applyFont="1" applyFill="1" applyBorder="1" applyProtection="1">
      <protection locked="0"/>
    </xf>
    <xf numFmtId="167" fontId="195" fillId="11" borderId="11" xfId="1" applyNumberFormat="1" applyFont="1" applyFill="1" applyBorder="1"/>
    <xf numFmtId="49" fontId="47" fillId="6" borderId="93" xfId="43" applyNumberFormat="1" applyFont="1" applyFill="1" applyBorder="1" applyAlignment="1">
      <alignment horizontal="left" indent="1"/>
    </xf>
    <xf numFmtId="49" fontId="47" fillId="6" borderId="89" xfId="43" applyNumberFormat="1" applyFont="1" applyFill="1" applyBorder="1" applyAlignment="1">
      <alignment horizontal="right" wrapText="1" indent="2"/>
    </xf>
    <xf numFmtId="3" fontId="50" fillId="6" borderId="94" xfId="3" applyNumberFormat="1" applyFont="1" applyFill="1" applyBorder="1"/>
    <xf numFmtId="49" fontId="154" fillId="6" borderId="10" xfId="43" applyNumberFormat="1" applyFont="1" applyFill="1" applyBorder="1" applyAlignment="1">
      <alignment horizontal="left" indent="1"/>
    </xf>
    <xf numFmtId="3" fontId="154" fillId="6" borderId="12" xfId="43" applyNumberFormat="1" applyFont="1" applyFill="1" applyBorder="1"/>
    <xf numFmtId="49" fontId="154" fillId="6" borderId="53" xfId="43" applyNumberFormat="1" applyFont="1" applyFill="1" applyBorder="1" applyAlignment="1">
      <alignment horizontal="left" indent="1"/>
    </xf>
    <xf numFmtId="3" fontId="196" fillId="6" borderId="12" xfId="43" applyNumberFormat="1" applyFont="1" applyFill="1" applyBorder="1"/>
    <xf numFmtId="0" fontId="119" fillId="6" borderId="0" xfId="0" applyFont="1" applyFill="1"/>
    <xf numFmtId="0" fontId="190" fillId="6" borderId="0" xfId="0" applyFont="1" applyFill="1"/>
    <xf numFmtId="49" fontId="154" fillId="6" borderId="93" xfId="43" applyNumberFormat="1" applyFont="1" applyFill="1" applyBorder="1" applyAlignment="1">
      <alignment horizontal="left" indent="1"/>
    </xf>
    <xf numFmtId="49" fontId="154" fillId="6" borderId="89" xfId="43" applyNumberFormat="1" applyFont="1" applyFill="1" applyBorder="1" applyAlignment="1">
      <alignment horizontal="right" wrapText="1" indent="2"/>
    </xf>
    <xf numFmtId="3" fontId="154" fillId="6" borderId="94" xfId="3" applyNumberFormat="1" applyFont="1" applyFill="1" applyBorder="1"/>
    <xf numFmtId="49" fontId="144" fillId="6" borderId="10" xfId="43" applyNumberFormat="1" applyFont="1" applyFill="1" applyBorder="1" applyAlignment="1">
      <alignment horizontal="left" indent="1"/>
    </xf>
    <xf numFmtId="49" fontId="144" fillId="6" borderId="11" xfId="43" applyNumberFormat="1" applyFont="1" applyFill="1" applyBorder="1" applyAlignment="1">
      <alignment horizontal="right" wrapText="1" indent="2"/>
    </xf>
    <xf numFmtId="3" fontId="144" fillId="6" borderId="12" xfId="3" applyNumberFormat="1" applyFont="1" applyFill="1" applyBorder="1"/>
    <xf numFmtId="3" fontId="144" fillId="6" borderId="12" xfId="43" applyNumberFormat="1" applyFont="1" applyFill="1" applyBorder="1"/>
    <xf numFmtId="167" fontId="144" fillId="6" borderId="12" xfId="1" applyNumberFormat="1" applyFont="1" applyFill="1" applyBorder="1"/>
    <xf numFmtId="0" fontId="130" fillId="6" borderId="0" xfId="0" applyFont="1" applyFill="1"/>
    <xf numFmtId="49" fontId="144" fillId="6" borderId="53" xfId="43" applyNumberFormat="1" applyFont="1" applyFill="1" applyBorder="1" applyAlignment="1">
      <alignment horizontal="left" indent="1"/>
    </xf>
    <xf numFmtId="49" fontId="144" fillId="6" borderId="58" xfId="43" applyNumberFormat="1" applyFont="1" applyFill="1" applyBorder="1" applyAlignment="1">
      <alignment horizontal="right" wrapText="1" indent="2"/>
    </xf>
    <xf numFmtId="3" fontId="144" fillId="0" borderId="52" xfId="3" applyNumberFormat="1" applyFont="1" applyBorder="1"/>
    <xf numFmtId="0" fontId="190" fillId="0" borderId="0" xfId="0" applyFont="1"/>
    <xf numFmtId="167" fontId="144" fillId="6" borderId="62" xfId="1" applyNumberFormat="1" applyFont="1" applyFill="1" applyBorder="1"/>
    <xf numFmtId="3" fontId="144" fillId="0" borderId="62" xfId="3" applyNumberFormat="1" applyFont="1" applyBorder="1"/>
    <xf numFmtId="3" fontId="144" fillId="5" borderId="12" xfId="43" applyNumberFormat="1" applyFont="1" applyFill="1" applyBorder="1"/>
    <xf numFmtId="167" fontId="52" fillId="4" borderId="8" xfId="1" applyNumberFormat="1" applyFont="1" applyFill="1" applyBorder="1"/>
    <xf numFmtId="0" fontId="83" fillId="11" borderId="96" xfId="0" applyFont="1" applyFill="1" applyBorder="1"/>
    <xf numFmtId="167" fontId="87" fillId="11" borderId="87" xfId="22" applyNumberFormat="1" applyFont="1" applyFill="1" applyBorder="1"/>
    <xf numFmtId="0" fontId="89" fillId="11" borderId="99" xfId="0" applyFont="1" applyFill="1" applyBorder="1"/>
    <xf numFmtId="0" fontId="83" fillId="11" borderId="99" xfId="0" applyFont="1" applyFill="1" applyBorder="1"/>
    <xf numFmtId="0" fontId="83" fillId="11" borderId="99" xfId="0" applyFont="1" applyFill="1" applyBorder="1" applyAlignment="1">
      <alignment horizontal="left" vertical="center" wrapText="1"/>
    </xf>
    <xf numFmtId="43" fontId="91" fillId="11" borderId="99" xfId="24" applyFont="1" applyFill="1" applyBorder="1" applyAlignment="1" applyProtection="1">
      <alignment horizontal="center"/>
      <protection locked="0"/>
    </xf>
    <xf numFmtId="167" fontId="86" fillId="14" borderId="99" xfId="24" applyNumberFormat="1" applyFont="1" applyFill="1" applyBorder="1" applyProtection="1">
      <protection locked="0"/>
    </xf>
    <xf numFmtId="0" fontId="83" fillId="11" borderId="89" xfId="0" applyFont="1" applyFill="1" applyBorder="1" applyAlignment="1">
      <alignment wrapText="1"/>
    </xf>
    <xf numFmtId="167" fontId="83" fillId="14" borderId="99" xfId="23" applyNumberFormat="1" applyFont="1" applyFill="1" applyBorder="1" applyProtection="1">
      <protection locked="0"/>
    </xf>
    <xf numFmtId="167" fontId="83" fillId="11" borderId="99" xfId="23" applyNumberFormat="1" applyFont="1" applyFill="1" applyBorder="1" applyProtection="1">
      <protection locked="0"/>
    </xf>
    <xf numFmtId="167" fontId="87" fillId="11" borderId="99" xfId="24" applyNumberFormat="1" applyFont="1" applyFill="1" applyBorder="1" applyProtection="1">
      <protection locked="0"/>
    </xf>
    <xf numFmtId="0" fontId="41" fillId="0" borderId="0" xfId="43"/>
    <xf numFmtId="0" fontId="47" fillId="7" borderId="93" xfId="43" applyFont="1" applyFill="1" applyBorder="1" applyAlignment="1">
      <alignment horizontal="left" indent="2"/>
    </xf>
    <xf numFmtId="0" fontId="47" fillId="7" borderId="89" xfId="43" applyFont="1" applyFill="1" applyBorder="1" applyAlignment="1">
      <alignment horizontal="left" wrapText="1" indent="3"/>
    </xf>
    <xf numFmtId="3" fontId="52" fillId="5" borderId="92" xfId="43" applyNumberFormat="1" applyFont="1" applyFill="1" applyBorder="1"/>
    <xf numFmtId="0" fontId="52" fillId="0" borderId="32" xfId="43" applyFont="1" applyBorder="1"/>
    <xf numFmtId="0" fontId="162" fillId="0" borderId="0" xfId="83" applyFont="1"/>
    <xf numFmtId="9" fontId="62" fillId="0" borderId="0" xfId="2" applyFont="1"/>
    <xf numFmtId="0" fontId="89" fillId="11" borderId="86" xfId="0" applyFont="1" applyFill="1" applyBorder="1"/>
    <xf numFmtId="0" fontId="83" fillId="11" borderId="86" xfId="0" applyFont="1" applyFill="1" applyBorder="1" applyAlignment="1">
      <alignment horizontal="center"/>
    </xf>
    <xf numFmtId="0" fontId="72" fillId="0" borderId="86" xfId="0" applyFont="1" applyBorder="1"/>
    <xf numFmtId="0" fontId="72" fillId="0" borderId="86" xfId="0" applyFont="1" applyBorder="1" applyAlignment="1">
      <alignment horizontal="left"/>
    </xf>
    <xf numFmtId="167" fontId="72" fillId="15" borderId="99" xfId="19" applyNumberFormat="1" applyFont="1" applyFill="1" applyBorder="1" applyProtection="1">
      <protection locked="0"/>
    </xf>
    <xf numFmtId="167" fontId="70" fillId="15" borderId="99" xfId="19" applyNumberFormat="1" applyFont="1" applyFill="1" applyBorder="1" applyProtection="1">
      <protection locked="0"/>
    </xf>
    <xf numFmtId="167" fontId="72" fillId="14" borderId="99" xfId="19" applyNumberFormat="1" applyFont="1" applyFill="1" applyBorder="1" applyProtection="1">
      <protection locked="0"/>
    </xf>
    <xf numFmtId="167" fontId="87" fillId="11" borderId="86" xfId="19" applyNumberFormat="1" applyFont="1" applyFill="1" applyBorder="1" applyProtection="1">
      <protection locked="0"/>
    </xf>
    <xf numFmtId="167" fontId="87" fillId="14" borderId="86" xfId="19" applyNumberFormat="1" applyFont="1" applyFill="1" applyBorder="1" applyProtection="1">
      <protection locked="0"/>
    </xf>
    <xf numFmtId="167" fontId="83" fillId="23" borderId="86" xfId="1" applyNumberFormat="1" applyFont="1" applyFill="1" applyBorder="1" applyProtection="1">
      <protection locked="0"/>
    </xf>
    <xf numFmtId="0" fontId="70" fillId="11" borderId="86" xfId="0" applyFont="1" applyFill="1" applyBorder="1" applyAlignment="1">
      <alignment horizontal="right" vertical="center" wrapText="1"/>
    </xf>
    <xf numFmtId="0" fontId="84" fillId="11" borderId="86" xfId="0" applyFont="1" applyFill="1" applyBorder="1"/>
    <xf numFmtId="0" fontId="87" fillId="11" borderId="86" xfId="0" applyFont="1" applyFill="1" applyBorder="1" applyAlignment="1">
      <alignment horizontal="right" vertical="center" wrapText="1"/>
    </xf>
    <xf numFmtId="43" fontId="83" fillId="11" borderId="99" xfId="24" applyFont="1" applyFill="1" applyBorder="1" applyAlignment="1" applyProtection="1">
      <alignment horizontal="center"/>
      <protection locked="0"/>
    </xf>
    <xf numFmtId="167" fontId="90" fillId="11" borderId="99" xfId="23" applyNumberFormat="1" applyFont="1" applyFill="1" applyBorder="1" applyProtection="1">
      <protection locked="0"/>
    </xf>
    <xf numFmtId="0" fontId="83" fillId="11" borderId="86" xfId="0" applyFont="1" applyFill="1" applyBorder="1" applyAlignment="1">
      <alignment horizontal="right" vertical="center" wrapText="1"/>
    </xf>
    <xf numFmtId="0" fontId="76" fillId="11" borderId="86" xfId="0" applyFont="1" applyFill="1" applyBorder="1"/>
    <xf numFmtId="0" fontId="86" fillId="11" borderId="86" xfId="0" applyFont="1" applyFill="1" applyBorder="1"/>
    <xf numFmtId="167" fontId="87" fillId="11" borderId="99" xfId="1" applyNumberFormat="1" applyFont="1" applyFill="1" applyBorder="1" applyProtection="1">
      <protection locked="0"/>
    </xf>
    <xf numFmtId="167" fontId="83" fillId="11" borderId="99" xfId="1" applyNumberFormat="1" applyFont="1" applyFill="1" applyBorder="1" applyProtection="1">
      <protection locked="0"/>
    </xf>
    <xf numFmtId="167" fontId="72" fillId="14" borderId="99" xfId="1" applyNumberFormat="1" applyFont="1" applyFill="1" applyBorder="1" applyProtection="1">
      <protection locked="0"/>
    </xf>
    <xf numFmtId="167" fontId="70" fillId="11" borderId="99" xfId="24" applyNumberFormat="1" applyFont="1" applyFill="1" applyBorder="1" applyProtection="1">
      <protection locked="0"/>
    </xf>
    <xf numFmtId="167" fontId="72" fillId="14" borderId="99" xfId="23" applyNumberFormat="1" applyFont="1" applyFill="1" applyBorder="1" applyProtection="1">
      <protection locked="0"/>
    </xf>
    <xf numFmtId="0" fontId="68" fillId="11" borderId="99" xfId="0" applyFont="1" applyFill="1" applyBorder="1" applyAlignment="1">
      <alignment wrapText="1"/>
    </xf>
    <xf numFmtId="167" fontId="87" fillId="11" borderId="99" xfId="23" applyNumberFormat="1" applyFont="1" applyFill="1" applyBorder="1" applyProtection="1">
      <protection locked="0"/>
    </xf>
    <xf numFmtId="0" fontId="83" fillId="11" borderId="86" xfId="0" applyFont="1" applyFill="1" applyBorder="1" applyAlignment="1">
      <alignment vertical="top"/>
    </xf>
    <xf numFmtId="167" fontId="86" fillId="11" borderId="86" xfId="19" applyNumberFormat="1" applyFont="1" applyFill="1" applyBorder="1"/>
    <xf numFmtId="167" fontId="87" fillId="11" borderId="86" xfId="19" applyNumberFormat="1" applyFont="1" applyFill="1" applyBorder="1"/>
    <xf numFmtId="167" fontId="83" fillId="11" borderId="86" xfId="19" applyNumberFormat="1" applyFont="1" applyFill="1" applyBorder="1"/>
    <xf numFmtId="0" fontId="85" fillId="11" borderId="86" xfId="0" applyFont="1" applyFill="1" applyBorder="1" applyAlignment="1">
      <alignment horizontal="left" vertical="center" wrapText="1"/>
    </xf>
    <xf numFmtId="167" fontId="83" fillId="23" borderId="86" xfId="19" applyNumberFormat="1" applyFont="1" applyFill="1" applyBorder="1" applyProtection="1">
      <protection locked="0"/>
    </xf>
    <xf numFmtId="167" fontId="86" fillId="11" borderId="99" xfId="19" applyNumberFormat="1" applyFont="1" applyFill="1" applyBorder="1" applyProtection="1">
      <protection locked="0"/>
    </xf>
    <xf numFmtId="167" fontId="83" fillId="11" borderId="99" xfId="19" applyNumberFormat="1" applyFont="1" applyFill="1" applyBorder="1" applyProtection="1">
      <protection locked="0"/>
    </xf>
    <xf numFmtId="167" fontId="87" fillId="11" borderId="99" xfId="19" applyNumberFormat="1" applyFont="1" applyFill="1" applyBorder="1" applyProtection="1">
      <protection locked="0"/>
    </xf>
    <xf numFmtId="167" fontId="86" fillId="14" borderId="99" xfId="19" applyNumberFormat="1" applyFont="1" applyFill="1" applyBorder="1" applyProtection="1">
      <protection locked="0"/>
    </xf>
    <xf numFmtId="167" fontId="86" fillId="11" borderId="99" xfId="1" applyNumberFormat="1" applyFont="1" applyFill="1" applyBorder="1" applyProtection="1">
      <protection locked="0"/>
    </xf>
    <xf numFmtId="0" fontId="72" fillId="0" borderId="86" xfId="0" applyFont="1" applyBorder="1" applyAlignment="1">
      <alignment horizontal="center"/>
    </xf>
    <xf numFmtId="167" fontId="72" fillId="15" borderId="87" xfId="19" applyNumberFormat="1" applyFont="1" applyFill="1" applyBorder="1" applyProtection="1">
      <protection locked="0"/>
    </xf>
    <xf numFmtId="167" fontId="70" fillId="15" borderId="87" xfId="19" applyNumberFormat="1" applyFont="1" applyFill="1" applyBorder="1" applyProtection="1">
      <protection locked="0"/>
    </xf>
    <xf numFmtId="167" fontId="86" fillId="14" borderId="86" xfId="19" applyNumberFormat="1" applyFont="1" applyFill="1" applyBorder="1" applyProtection="1">
      <protection locked="0"/>
    </xf>
    <xf numFmtId="0" fontId="81" fillId="0" borderId="86" xfId="0" applyFont="1" applyBorder="1"/>
    <xf numFmtId="167" fontId="70" fillId="15" borderId="86" xfId="20" applyNumberFormat="1" applyFont="1" applyFill="1" applyBorder="1" applyProtection="1">
      <protection locked="0"/>
    </xf>
    <xf numFmtId="167" fontId="76" fillId="14" borderId="86" xfId="20" applyNumberFormat="1" applyFont="1" applyFill="1" applyBorder="1" applyProtection="1">
      <protection locked="0"/>
    </xf>
    <xf numFmtId="167" fontId="87" fillId="11" borderId="86" xfId="20" applyNumberFormat="1" applyFont="1" applyFill="1" applyBorder="1" applyProtection="1">
      <protection locked="0"/>
    </xf>
    <xf numFmtId="167" fontId="86" fillId="14" borderId="86" xfId="20" applyNumberFormat="1" applyFont="1" applyFill="1" applyBorder="1" applyProtection="1">
      <protection locked="0"/>
    </xf>
    <xf numFmtId="0" fontId="85" fillId="11" borderId="86" xfId="0" applyFont="1" applyFill="1" applyBorder="1" applyAlignment="1">
      <alignment horizontal="right" vertical="center" wrapText="1"/>
    </xf>
    <xf numFmtId="167" fontId="83" fillId="11" borderId="0" xfId="19" applyNumberFormat="1" applyFont="1" applyFill="1"/>
    <xf numFmtId="167" fontId="87" fillId="11" borderId="0" xfId="19" applyNumberFormat="1" applyFont="1" applyFill="1"/>
    <xf numFmtId="167" fontId="90" fillId="11" borderId="87" xfId="19" applyNumberFormat="1" applyFont="1" applyFill="1" applyBorder="1" applyProtection="1">
      <protection locked="0"/>
    </xf>
    <xf numFmtId="0" fontId="87" fillId="11" borderId="86" xfId="0" applyFont="1" applyFill="1" applyBorder="1" applyAlignment="1">
      <alignment horizontal="left" vertical="center" wrapText="1"/>
    </xf>
    <xf numFmtId="167" fontId="83" fillId="11" borderId="100" xfId="19" applyNumberFormat="1" applyFont="1" applyFill="1" applyBorder="1" applyProtection="1">
      <protection locked="0"/>
    </xf>
    <xf numFmtId="167" fontId="87" fillId="11" borderId="100" xfId="19" applyNumberFormat="1" applyFont="1" applyFill="1" applyBorder="1" applyProtection="1">
      <protection locked="0"/>
    </xf>
    <xf numFmtId="0" fontId="92" fillId="11" borderId="86" xfId="0" applyFont="1" applyFill="1" applyBorder="1" applyAlignment="1">
      <alignment horizontal="left" vertical="center" wrapText="1"/>
    </xf>
    <xf numFmtId="0" fontId="87" fillId="11" borderId="86" xfId="0" applyFont="1" applyFill="1" applyBorder="1"/>
    <xf numFmtId="167" fontId="85" fillId="14" borderId="0" xfId="19" applyNumberFormat="1" applyFont="1" applyFill="1"/>
    <xf numFmtId="0" fontId="82" fillId="0" borderId="86" xfId="0" applyFont="1" applyBorder="1"/>
    <xf numFmtId="167" fontId="86" fillId="14" borderId="100" xfId="19" applyNumberFormat="1" applyFont="1" applyFill="1" applyBorder="1" applyProtection="1">
      <protection locked="0"/>
    </xf>
    <xf numFmtId="167" fontId="72" fillId="14" borderId="100" xfId="19" applyNumberFormat="1" applyFont="1" applyFill="1" applyBorder="1" applyProtection="1">
      <protection locked="0"/>
    </xf>
    <xf numFmtId="0" fontId="149" fillId="11" borderId="86" xfId="0" applyFont="1" applyFill="1" applyBorder="1" applyAlignment="1">
      <alignment horizontal="right" vertical="center" wrapText="1"/>
    </xf>
    <xf numFmtId="167" fontId="149" fillId="11" borderId="87" xfId="19" applyNumberFormat="1" applyFont="1" applyFill="1" applyBorder="1" applyProtection="1">
      <protection locked="0"/>
    </xf>
    <xf numFmtId="0" fontId="201" fillId="0" borderId="86" xfId="0" applyFont="1" applyBorder="1" applyAlignment="1">
      <alignment horizontal="left" vertical="center" wrapText="1"/>
    </xf>
    <xf numFmtId="0" fontId="149" fillId="11" borderId="86" xfId="0" applyFont="1" applyFill="1" applyBorder="1" applyAlignment="1">
      <alignment horizontal="left" vertical="center" wrapText="1"/>
    </xf>
    <xf numFmtId="167" fontId="149" fillId="11" borderId="86" xfId="19" applyNumberFormat="1" applyFont="1" applyFill="1" applyBorder="1" applyProtection="1">
      <protection locked="0"/>
    </xf>
    <xf numFmtId="167" fontId="149" fillId="11" borderId="100" xfId="19" applyNumberFormat="1" applyFont="1" applyFill="1" applyBorder="1" applyProtection="1">
      <protection locked="0"/>
    </xf>
    <xf numFmtId="0" fontId="149" fillId="11" borderId="11" xfId="0" applyFont="1" applyFill="1" applyBorder="1" applyAlignment="1">
      <alignment horizontal="left" vertical="center" wrapText="1"/>
    </xf>
    <xf numFmtId="167" fontId="149" fillId="11" borderId="11" xfId="1" applyNumberFormat="1" applyFont="1" applyFill="1" applyBorder="1" applyProtection="1">
      <protection locked="0"/>
    </xf>
    <xf numFmtId="0" fontId="81" fillId="0" borderId="86" xfId="0" applyFont="1" applyBorder="1" applyAlignment="1">
      <alignment horizontal="left" vertical="center" wrapText="1"/>
    </xf>
    <xf numFmtId="167" fontId="72" fillId="15" borderId="87" xfId="22" applyNumberFormat="1" applyFont="1" applyFill="1" applyBorder="1"/>
    <xf numFmtId="167" fontId="70" fillId="15" borderId="87" xfId="22" applyNumberFormat="1" applyFont="1" applyFill="1" applyBorder="1"/>
    <xf numFmtId="167" fontId="84" fillId="14" borderId="86" xfId="19" applyNumberFormat="1" applyFont="1" applyFill="1" applyBorder="1" applyProtection="1">
      <protection locked="0"/>
    </xf>
    <xf numFmtId="167" fontId="83" fillId="11" borderId="86" xfId="22" applyNumberFormat="1" applyFont="1" applyFill="1" applyBorder="1"/>
    <xf numFmtId="167" fontId="87" fillId="11" borderId="86" xfId="22" applyNumberFormat="1" applyFont="1" applyFill="1" applyBorder="1"/>
    <xf numFmtId="167" fontId="84" fillId="14" borderId="86" xfId="19" applyNumberFormat="1" applyFont="1" applyFill="1" applyBorder="1"/>
    <xf numFmtId="167" fontId="87" fillId="11" borderId="87" xfId="19" applyNumberFormat="1" applyFont="1" applyFill="1" applyBorder="1"/>
    <xf numFmtId="167" fontId="149" fillId="11" borderId="86" xfId="22" applyNumberFormat="1" applyFont="1" applyFill="1" applyBorder="1"/>
    <xf numFmtId="167" fontId="72" fillId="15" borderId="86" xfId="19" applyNumberFormat="1" applyFont="1" applyFill="1" applyBorder="1" applyProtection="1">
      <protection locked="0"/>
    </xf>
    <xf numFmtId="167" fontId="83" fillId="14" borderId="87" xfId="19" applyNumberFormat="1" applyFont="1" applyFill="1" applyBorder="1" applyProtection="1">
      <protection locked="0"/>
    </xf>
    <xf numFmtId="167" fontId="81" fillId="15" borderId="87" xfId="19" applyNumberFormat="1" applyFont="1" applyFill="1" applyBorder="1"/>
    <xf numFmtId="167" fontId="72" fillId="15" borderId="87" xfId="19" applyNumberFormat="1" applyFont="1" applyFill="1" applyBorder="1"/>
    <xf numFmtId="0" fontId="83" fillId="23" borderId="86" xfId="0" applyFont="1" applyFill="1" applyBorder="1" applyAlignment="1">
      <alignment horizontal="left" vertical="center" wrapText="1"/>
    </xf>
    <xf numFmtId="0" fontId="83" fillId="11" borderId="93" xfId="0" applyFont="1" applyFill="1" applyBorder="1"/>
    <xf numFmtId="167" fontId="87" fillId="11" borderId="90" xfId="19" applyNumberFormat="1" applyFont="1" applyFill="1" applyBorder="1" applyProtection="1">
      <protection locked="0"/>
    </xf>
    <xf numFmtId="167" fontId="83" fillId="11" borderId="99" xfId="19" applyNumberFormat="1" applyFont="1" applyFill="1" applyBorder="1"/>
    <xf numFmtId="0" fontId="84" fillId="11" borderId="86" xfId="0" applyFont="1" applyFill="1" applyBorder="1" applyAlignment="1">
      <alignment horizontal="center"/>
    </xf>
    <xf numFmtId="0" fontId="72" fillId="23" borderId="86" xfId="0" applyFont="1" applyFill="1" applyBorder="1" applyAlignment="1">
      <alignment horizontal="left" vertical="center" wrapText="1"/>
    </xf>
    <xf numFmtId="167" fontId="83" fillId="14" borderId="86" xfId="19" applyNumberFormat="1" applyFont="1" applyFill="1" applyBorder="1" applyProtection="1">
      <protection locked="0"/>
    </xf>
    <xf numFmtId="0" fontId="72" fillId="0" borderId="86" xfId="0" applyFont="1" applyBorder="1" applyAlignment="1">
      <alignment horizontal="left" vertical="center"/>
    </xf>
    <xf numFmtId="0" fontId="83" fillId="6" borderId="86" xfId="0" applyFont="1" applyFill="1" applyBorder="1"/>
    <xf numFmtId="167" fontId="83" fillId="14" borderId="87" xfId="19" applyNumberFormat="1" applyFont="1" applyFill="1" applyBorder="1"/>
    <xf numFmtId="0" fontId="72" fillId="0" borderId="88" xfId="0" applyFont="1" applyBorder="1"/>
    <xf numFmtId="0" fontId="72" fillId="0" borderId="88" xfId="0" applyFont="1" applyBorder="1" applyAlignment="1">
      <alignment horizontal="center"/>
    </xf>
    <xf numFmtId="0" fontId="72" fillId="0" borderId="88" xfId="0" applyFont="1" applyBorder="1" applyAlignment="1">
      <alignment horizontal="left" vertical="center" wrapText="1"/>
    </xf>
    <xf numFmtId="0" fontId="103" fillId="11" borderId="86" xfId="0" applyFont="1" applyFill="1" applyBorder="1"/>
    <xf numFmtId="0" fontId="72" fillId="0" borderId="99" xfId="0" applyFont="1" applyBorder="1"/>
    <xf numFmtId="0" fontId="72" fillId="0" borderId="99" xfId="0" applyFont="1" applyBorder="1" applyAlignment="1">
      <alignment horizontal="center"/>
    </xf>
    <xf numFmtId="0" fontId="72" fillId="0" borderId="99" xfId="0" applyFont="1" applyBorder="1" applyAlignment="1">
      <alignment horizontal="left" vertical="center" wrapText="1"/>
    </xf>
    <xf numFmtId="0" fontId="72" fillId="0" borderId="60" xfId="0" applyFont="1" applyBorder="1" applyAlignment="1">
      <alignment vertical="center" wrapText="1"/>
    </xf>
    <xf numFmtId="167" fontId="81" fillId="15" borderId="99" xfId="19" applyNumberFormat="1" applyFont="1" applyFill="1" applyBorder="1" applyProtection="1">
      <protection locked="0"/>
    </xf>
    <xf numFmtId="167" fontId="84" fillId="11" borderId="86" xfId="19" applyNumberFormat="1" applyFont="1" applyFill="1" applyBorder="1" applyAlignment="1">
      <alignment horizontal="center"/>
    </xf>
    <xf numFmtId="167" fontId="81" fillId="15" borderId="86" xfId="19" applyNumberFormat="1" applyFont="1" applyFill="1" applyBorder="1" applyProtection="1">
      <protection locked="0"/>
    </xf>
    <xf numFmtId="167" fontId="70" fillId="15" borderId="86" xfId="19" applyNumberFormat="1" applyFont="1" applyFill="1" applyBorder="1" applyProtection="1">
      <protection locked="0"/>
    </xf>
    <xf numFmtId="167" fontId="81" fillId="14" borderId="86" xfId="19" applyNumberFormat="1" applyFont="1" applyFill="1" applyBorder="1" applyProtection="1">
      <protection locked="0"/>
    </xf>
    <xf numFmtId="167" fontId="76" fillId="0" borderId="0" xfId="19" applyNumberFormat="1" applyFont="1" applyFill="1" applyAlignment="1">
      <alignment wrapText="1"/>
    </xf>
    <xf numFmtId="0" fontId="81" fillId="0" borderId="86" xfId="0" applyFont="1" applyBorder="1" applyAlignment="1">
      <alignment horizontal="center"/>
    </xf>
    <xf numFmtId="167" fontId="76" fillId="15" borderId="99" xfId="19" applyNumberFormat="1" applyFont="1" applyFill="1" applyBorder="1" applyProtection="1">
      <protection locked="0"/>
    </xf>
    <xf numFmtId="167" fontId="84" fillId="11" borderId="86" xfId="19" applyNumberFormat="1" applyFont="1" applyFill="1" applyBorder="1"/>
    <xf numFmtId="167" fontId="86" fillId="14" borderId="86" xfId="19" applyNumberFormat="1" applyFont="1" applyFill="1" applyBorder="1"/>
    <xf numFmtId="43" fontId="84" fillId="11" borderId="86" xfId="19" applyFont="1" applyFill="1" applyBorder="1"/>
    <xf numFmtId="43" fontId="86" fillId="14" borderId="86" xfId="19" applyFont="1" applyFill="1" applyBorder="1"/>
    <xf numFmtId="167" fontId="84" fillId="11" borderId="99" xfId="19" applyNumberFormat="1" applyFont="1" applyFill="1" applyBorder="1"/>
    <xf numFmtId="167" fontId="87" fillId="11" borderId="99" xfId="19" applyNumberFormat="1" applyFont="1" applyFill="1" applyBorder="1"/>
    <xf numFmtId="167" fontId="86" fillId="14" borderId="99" xfId="19" applyNumberFormat="1" applyFont="1" applyFill="1" applyBorder="1"/>
    <xf numFmtId="0" fontId="83" fillId="0" borderId="86" xfId="0" applyFont="1" applyBorder="1"/>
    <xf numFmtId="0" fontId="83" fillId="0" borderId="86" xfId="0" applyFont="1" applyBorder="1" applyAlignment="1">
      <alignment horizontal="center"/>
    </xf>
    <xf numFmtId="0" fontId="83" fillId="0" borderId="86" xfId="0" applyFont="1" applyBorder="1" applyAlignment="1">
      <alignment horizontal="left" vertical="center" wrapText="1"/>
    </xf>
    <xf numFmtId="167" fontId="76" fillId="15" borderId="86" xfId="19" applyNumberFormat="1" applyFont="1" applyFill="1" applyBorder="1" applyProtection="1">
      <protection locked="0"/>
    </xf>
    <xf numFmtId="167" fontId="76" fillId="15" borderId="87" xfId="19" applyNumberFormat="1" applyFont="1" applyFill="1" applyBorder="1" applyProtection="1">
      <protection locked="0"/>
    </xf>
    <xf numFmtId="167" fontId="72" fillId="15" borderId="99" xfId="1" applyNumberFormat="1" applyFont="1" applyFill="1" applyBorder="1" applyProtection="1">
      <protection locked="0"/>
    </xf>
    <xf numFmtId="167" fontId="70" fillId="15" borderId="99" xfId="1" applyNumberFormat="1" applyFont="1" applyFill="1" applyBorder="1" applyProtection="1">
      <protection locked="0"/>
    </xf>
    <xf numFmtId="167" fontId="72" fillId="22" borderId="99" xfId="1" applyNumberFormat="1" applyFont="1" applyFill="1" applyBorder="1" applyProtection="1">
      <protection locked="0"/>
    </xf>
    <xf numFmtId="167" fontId="76" fillId="15" borderId="99" xfId="1" applyNumberFormat="1" applyFont="1" applyFill="1" applyBorder="1" applyProtection="1">
      <protection locked="0"/>
    </xf>
    <xf numFmtId="167" fontId="76" fillId="22" borderId="99" xfId="1" applyNumberFormat="1" applyFont="1" applyFill="1" applyBorder="1" applyProtection="1">
      <protection locked="0"/>
    </xf>
    <xf numFmtId="167" fontId="91" fillId="11" borderId="86" xfId="19" applyNumberFormat="1" applyFont="1" applyFill="1" applyBorder="1" applyProtection="1">
      <protection locked="0"/>
    </xf>
    <xf numFmtId="167" fontId="87" fillId="14" borderId="99" xfId="19" applyNumberFormat="1" applyFont="1" applyFill="1" applyBorder="1" applyProtection="1">
      <protection locked="0"/>
    </xf>
    <xf numFmtId="167" fontId="70" fillId="15" borderId="99" xfId="24" applyNumberFormat="1" applyFont="1" applyFill="1" applyBorder="1" applyProtection="1">
      <protection locked="0"/>
    </xf>
    <xf numFmtId="167" fontId="72" fillId="14" borderId="99" xfId="24" applyNumberFormat="1" applyFont="1" applyFill="1" applyBorder="1" applyProtection="1">
      <protection locked="0"/>
    </xf>
    <xf numFmtId="0" fontId="72" fillId="0" borderId="99" xfId="0" applyFont="1" applyBorder="1" applyAlignment="1">
      <alignment horizontal="left"/>
    </xf>
    <xf numFmtId="167" fontId="72" fillId="15" borderId="99" xfId="23" applyNumberFormat="1" applyFont="1" applyFill="1" applyBorder="1" applyProtection="1">
      <protection locked="0"/>
    </xf>
    <xf numFmtId="167" fontId="70" fillId="15" borderId="99" xfId="23" applyNumberFormat="1" applyFont="1" applyFill="1" applyBorder="1" applyProtection="1">
      <protection locked="0"/>
    </xf>
    <xf numFmtId="9" fontId="86" fillId="11" borderId="0" xfId="31" applyFont="1" applyFill="1"/>
    <xf numFmtId="0" fontId="72" fillId="0" borderId="89" xfId="0" applyFont="1" applyBorder="1"/>
    <xf numFmtId="0" fontId="72" fillId="0" borderId="89" xfId="0" applyFont="1" applyBorder="1" applyAlignment="1">
      <alignment horizontal="center"/>
    </xf>
    <xf numFmtId="0" fontId="82" fillId="0" borderId="89" xfId="0" applyFont="1" applyBorder="1"/>
    <xf numFmtId="167" fontId="86" fillId="11" borderId="99" xfId="23" applyNumberFormat="1" applyFont="1" applyFill="1" applyBorder="1" applyProtection="1">
      <protection locked="0"/>
    </xf>
    <xf numFmtId="0" fontId="72" fillId="0" borderId="89" xfId="0" applyFont="1" applyBorder="1" applyAlignment="1">
      <alignment horizontal="left"/>
    </xf>
    <xf numFmtId="167" fontId="73" fillId="15" borderId="99" xfId="23" applyNumberFormat="1" applyFont="1" applyFill="1" applyBorder="1" applyProtection="1">
      <protection locked="0"/>
    </xf>
    <xf numFmtId="0" fontId="92" fillId="11" borderId="89" xfId="0" applyFont="1" applyFill="1" applyBorder="1" applyAlignment="1">
      <alignment horizontal="left" vertical="center" wrapText="1"/>
    </xf>
    <xf numFmtId="167" fontId="72" fillId="15" borderId="99" xfId="24" applyNumberFormat="1" applyFont="1" applyFill="1" applyBorder="1" applyAlignment="1" applyProtection="1">
      <alignment horizontal="center"/>
      <protection locked="0"/>
    </xf>
    <xf numFmtId="43" fontId="75" fillId="15" borderId="89" xfId="24" applyFont="1" applyFill="1" applyBorder="1" applyProtection="1">
      <protection locked="0"/>
    </xf>
    <xf numFmtId="43" fontId="71" fillId="15" borderId="89" xfId="24" applyFont="1" applyFill="1" applyBorder="1" applyProtection="1">
      <protection locked="0"/>
    </xf>
    <xf numFmtId="167" fontId="70" fillId="11" borderId="89" xfId="24" applyNumberFormat="1" applyFont="1" applyFill="1" applyBorder="1" applyProtection="1">
      <protection locked="0"/>
    </xf>
    <xf numFmtId="167" fontId="72" fillId="11" borderId="89" xfId="24" applyNumberFormat="1" applyFont="1" applyFill="1" applyBorder="1" applyProtection="1">
      <protection locked="0"/>
    </xf>
    <xf numFmtId="167" fontId="72" fillId="9" borderId="99" xfId="24" applyNumberFormat="1" applyFont="1" applyFill="1" applyBorder="1" applyAlignment="1" applyProtection="1">
      <alignment horizontal="center"/>
      <protection locked="0"/>
    </xf>
    <xf numFmtId="167" fontId="72" fillId="14" borderId="99" xfId="24" applyNumberFormat="1" applyFont="1" applyFill="1" applyBorder="1" applyAlignment="1" applyProtection="1">
      <alignment horizontal="center" vertical="center"/>
      <protection locked="0"/>
    </xf>
    <xf numFmtId="167" fontId="72" fillId="15" borderId="99" xfId="19" applyNumberFormat="1" applyFont="1" applyFill="1" applyBorder="1" applyAlignment="1" applyProtection="1">
      <alignment horizontal="center"/>
      <protection locked="0"/>
    </xf>
    <xf numFmtId="167" fontId="83" fillId="11" borderId="99" xfId="24" applyNumberFormat="1" applyFont="1" applyFill="1" applyBorder="1" applyAlignment="1" applyProtection="1">
      <alignment horizontal="center"/>
      <protection locked="0"/>
    </xf>
    <xf numFmtId="167" fontId="87" fillId="11" borderId="89" xfId="24" applyNumberFormat="1" applyFont="1" applyFill="1" applyBorder="1" applyProtection="1">
      <protection locked="0"/>
    </xf>
    <xf numFmtId="43" fontId="83" fillId="11" borderId="89" xfId="24" applyFont="1" applyFill="1" applyBorder="1" applyProtection="1">
      <protection locked="0"/>
    </xf>
    <xf numFmtId="167" fontId="72" fillId="15" borderId="89" xfId="24" applyNumberFormat="1" applyFont="1" applyFill="1" applyBorder="1" applyAlignment="1" applyProtection="1">
      <alignment horizontal="center"/>
      <protection locked="0"/>
    </xf>
    <xf numFmtId="167" fontId="70" fillId="15" borderId="89" xfId="24" applyNumberFormat="1" applyFont="1" applyFill="1" applyBorder="1" applyProtection="1">
      <protection locked="0"/>
    </xf>
    <xf numFmtId="167" fontId="72" fillId="14" borderId="89" xfId="24" applyNumberFormat="1" applyFont="1" applyFill="1" applyBorder="1" applyProtection="1">
      <protection locked="0"/>
    </xf>
    <xf numFmtId="43" fontId="72" fillId="15" borderId="89" xfId="24" applyFont="1" applyFill="1" applyBorder="1" applyProtection="1">
      <protection locked="0"/>
    </xf>
    <xf numFmtId="43" fontId="125" fillId="15" borderId="89" xfId="24" applyFont="1" applyFill="1" applyBorder="1" applyProtection="1">
      <protection locked="0"/>
    </xf>
    <xf numFmtId="43" fontId="123" fillId="11" borderId="89" xfId="24" applyFont="1" applyFill="1" applyBorder="1" applyProtection="1">
      <protection locked="0"/>
    </xf>
    <xf numFmtId="0" fontId="72" fillId="0" borderId="91" xfId="0" applyFont="1" applyBorder="1" applyAlignment="1">
      <alignment horizontal="left" vertical="center" wrapText="1"/>
    </xf>
    <xf numFmtId="167" fontId="81" fillId="15" borderId="99" xfId="24" applyNumberFormat="1" applyFont="1" applyFill="1" applyBorder="1" applyAlignment="1" applyProtection="1">
      <alignment horizontal="center"/>
      <protection locked="0"/>
    </xf>
    <xf numFmtId="167" fontId="70" fillId="15" borderId="88" xfId="24" applyNumberFormat="1" applyFont="1" applyFill="1" applyBorder="1" applyAlignment="1" applyProtection="1">
      <alignment vertical="center"/>
      <protection locked="0"/>
    </xf>
    <xf numFmtId="167" fontId="123" fillId="11" borderId="89" xfId="19" applyNumberFormat="1" applyFont="1" applyFill="1" applyBorder="1" applyProtection="1">
      <protection locked="0"/>
    </xf>
    <xf numFmtId="167" fontId="125" fillId="15" borderId="99" xfId="24" applyNumberFormat="1" applyFont="1" applyFill="1" applyBorder="1" applyAlignment="1" applyProtection="1">
      <alignment horizontal="center"/>
      <protection locked="0"/>
    </xf>
    <xf numFmtId="167" fontId="87" fillId="11" borderId="99" xfId="19" applyNumberFormat="1" applyFont="1" applyFill="1" applyBorder="1" applyAlignment="1" applyProtection="1">
      <alignment horizontal="center"/>
      <protection locked="0"/>
    </xf>
    <xf numFmtId="167" fontId="87" fillId="11" borderId="99" xfId="24" applyNumberFormat="1" applyFont="1" applyFill="1" applyBorder="1" applyAlignment="1" applyProtection="1">
      <alignment horizontal="center"/>
      <protection locked="0"/>
    </xf>
    <xf numFmtId="0" fontId="87" fillId="11" borderId="91" xfId="0" applyFont="1" applyFill="1" applyBorder="1" applyAlignment="1">
      <alignment horizontal="right" vertical="center" wrapText="1"/>
    </xf>
    <xf numFmtId="43" fontId="83" fillId="11" borderId="89" xfId="24" applyFont="1" applyFill="1" applyBorder="1" applyAlignment="1" applyProtection="1">
      <alignment horizontal="center"/>
      <protection locked="0"/>
    </xf>
    <xf numFmtId="167" fontId="86" fillId="14" borderId="89" xfId="24" applyNumberFormat="1" applyFont="1" applyFill="1" applyBorder="1" applyProtection="1">
      <protection locked="0"/>
    </xf>
    <xf numFmtId="43" fontId="79" fillId="15" borderId="89" xfId="24" applyFont="1" applyFill="1" applyBorder="1" applyProtection="1">
      <protection locked="0"/>
    </xf>
    <xf numFmtId="167" fontId="83" fillId="11" borderId="99" xfId="19" applyNumberFormat="1" applyFont="1" applyFill="1" applyBorder="1" applyAlignment="1" applyProtection="1">
      <alignment horizontal="center"/>
      <protection locked="0"/>
    </xf>
    <xf numFmtId="43" fontId="91" fillId="11" borderId="89" xfId="24" applyFont="1" applyFill="1" applyBorder="1" applyAlignment="1" applyProtection="1">
      <alignment horizontal="center"/>
      <protection locked="0"/>
    </xf>
    <xf numFmtId="43" fontId="96" fillId="11" borderId="89" xfId="24" applyFont="1" applyFill="1" applyBorder="1" applyAlignment="1" applyProtection="1">
      <alignment horizontal="center"/>
      <protection locked="0"/>
    </xf>
    <xf numFmtId="167" fontId="83" fillId="11" borderId="89" xfId="24" applyNumberFormat="1" applyFont="1" applyFill="1" applyBorder="1" applyAlignment="1" applyProtection="1">
      <alignment horizontal="center"/>
      <protection locked="0"/>
    </xf>
    <xf numFmtId="43" fontId="72" fillId="11" borderId="89" xfId="24" applyFont="1" applyFill="1" applyBorder="1" applyProtection="1">
      <protection locked="0"/>
    </xf>
    <xf numFmtId="167" fontId="72" fillId="15" borderId="89" xfId="19" applyNumberFormat="1" applyFont="1" applyFill="1" applyBorder="1" applyProtection="1">
      <protection locked="0"/>
    </xf>
    <xf numFmtId="43" fontId="76" fillId="15" borderId="89" xfId="24" applyFont="1" applyFill="1" applyBorder="1" applyProtection="1">
      <protection locked="0"/>
    </xf>
    <xf numFmtId="167" fontId="70" fillId="15" borderId="99" xfId="19" applyNumberFormat="1" applyFont="1" applyFill="1" applyBorder="1" applyAlignment="1" applyProtection="1">
      <alignment horizontal="center"/>
      <protection locked="0"/>
    </xf>
    <xf numFmtId="43" fontId="70" fillId="11" borderId="89" xfId="24" applyFont="1" applyFill="1" applyBorder="1" applyProtection="1">
      <protection locked="0"/>
    </xf>
    <xf numFmtId="43" fontId="75" fillId="15" borderId="99" xfId="24" applyFont="1" applyFill="1" applyBorder="1" applyAlignment="1" applyProtection="1">
      <alignment horizontal="center"/>
      <protection locked="0"/>
    </xf>
    <xf numFmtId="43" fontId="71" fillId="15" borderId="99" xfId="24" applyFont="1" applyFill="1" applyBorder="1" applyAlignment="1" applyProtection="1">
      <alignment horizontal="center"/>
      <protection locked="0"/>
    </xf>
    <xf numFmtId="0" fontId="81" fillId="0" borderId="89" xfId="0" applyFont="1" applyBorder="1" applyAlignment="1">
      <alignment horizontal="center"/>
    </xf>
    <xf numFmtId="0" fontId="84" fillId="11" borderId="89" xfId="0" applyFont="1" applyFill="1" applyBorder="1" applyAlignment="1">
      <alignment horizontal="center"/>
    </xf>
    <xf numFmtId="43" fontId="96" fillId="11" borderId="89" xfId="24" applyFont="1" applyFill="1" applyBorder="1" applyAlignment="1">
      <alignment horizontal="center"/>
    </xf>
    <xf numFmtId="167" fontId="87" fillId="11" borderId="89" xfId="24" applyNumberFormat="1" applyFont="1" applyFill="1" applyBorder="1"/>
    <xf numFmtId="167" fontId="86" fillId="14" borderId="89" xfId="24" applyNumberFormat="1" applyFont="1" applyFill="1" applyBorder="1"/>
    <xf numFmtId="167" fontId="86" fillId="14" borderId="89" xfId="19" applyNumberFormat="1" applyFont="1" applyFill="1" applyBorder="1" applyProtection="1">
      <protection locked="0"/>
    </xf>
    <xf numFmtId="167" fontId="72" fillId="11" borderId="89" xfId="19" applyNumberFormat="1" applyFont="1" applyFill="1" applyBorder="1" applyProtection="1">
      <protection locked="0"/>
    </xf>
    <xf numFmtId="167" fontId="95" fillId="15" borderId="89" xfId="19" applyNumberFormat="1" applyFont="1" applyFill="1" applyBorder="1" applyProtection="1">
      <protection locked="0"/>
    </xf>
    <xf numFmtId="167" fontId="86" fillId="11" borderId="99" xfId="19" applyNumberFormat="1" applyFont="1" applyFill="1" applyBorder="1" applyAlignment="1" applyProtection="1">
      <alignment horizontal="center"/>
      <protection locked="0"/>
    </xf>
    <xf numFmtId="167" fontId="83" fillId="11" borderId="86" xfId="23" applyNumberFormat="1" applyFont="1" applyFill="1" applyBorder="1" applyProtection="1">
      <protection locked="0"/>
    </xf>
    <xf numFmtId="167" fontId="83" fillId="14" borderId="86" xfId="23" applyNumberFormat="1" applyFont="1" applyFill="1" applyBorder="1" applyProtection="1">
      <protection locked="0"/>
    </xf>
    <xf numFmtId="167" fontId="72" fillId="38" borderId="99" xfId="23" applyNumberFormat="1" applyFont="1" applyFill="1" applyBorder="1" applyProtection="1">
      <protection locked="0"/>
    </xf>
    <xf numFmtId="167" fontId="87" fillId="11" borderId="99" xfId="19" applyNumberFormat="1" applyFont="1" applyFill="1" applyBorder="1" applyAlignment="1" applyProtection="1">
      <alignment wrapText="1"/>
      <protection locked="0"/>
    </xf>
    <xf numFmtId="167" fontId="149" fillId="11" borderId="99" xfId="23" applyNumberFormat="1" applyFont="1" applyFill="1" applyBorder="1" applyProtection="1">
      <protection locked="0"/>
    </xf>
    <xf numFmtId="167" fontId="201" fillId="15" borderId="99" xfId="23" applyNumberFormat="1" applyFont="1" applyFill="1" applyBorder="1" applyProtection="1">
      <protection locked="0"/>
    </xf>
    <xf numFmtId="167" fontId="72" fillId="14" borderId="86" xfId="19" applyNumberFormat="1" applyFont="1" applyFill="1" applyBorder="1" applyProtection="1">
      <protection locked="0"/>
    </xf>
    <xf numFmtId="167" fontId="72" fillId="17" borderId="86" xfId="19" applyNumberFormat="1" applyFont="1" applyFill="1" applyBorder="1" applyProtection="1">
      <protection locked="0"/>
    </xf>
    <xf numFmtId="167" fontId="70" fillId="14" borderId="86" xfId="19" applyNumberFormat="1" applyFont="1" applyFill="1" applyBorder="1" applyProtection="1">
      <protection locked="0"/>
    </xf>
    <xf numFmtId="167" fontId="76" fillId="14" borderId="86" xfId="19" applyNumberFormat="1" applyFont="1" applyFill="1" applyBorder="1" applyProtection="1">
      <protection locked="0"/>
    </xf>
    <xf numFmtId="0" fontId="83" fillId="23" borderId="86" xfId="0" applyFont="1" applyFill="1" applyBorder="1" applyAlignment="1">
      <alignment horizontal="center"/>
    </xf>
    <xf numFmtId="167" fontId="72" fillId="23" borderId="86" xfId="19" applyNumberFormat="1" applyFont="1" applyFill="1" applyBorder="1" applyProtection="1">
      <protection locked="0"/>
    </xf>
    <xf numFmtId="167" fontId="70" fillId="23" borderId="86" xfId="19" applyNumberFormat="1" applyFont="1" applyFill="1" applyBorder="1" applyProtection="1">
      <protection locked="0"/>
    </xf>
    <xf numFmtId="167" fontId="96" fillId="11" borderId="86" xfId="19" applyNumberFormat="1" applyFont="1" applyFill="1" applyBorder="1" applyProtection="1">
      <protection locked="0"/>
    </xf>
    <xf numFmtId="167" fontId="147" fillId="11" borderId="86" xfId="19" applyNumberFormat="1" applyFont="1" applyFill="1" applyBorder="1" applyProtection="1">
      <protection locked="0"/>
    </xf>
    <xf numFmtId="167" fontId="75" fillId="23" borderId="86" xfId="19" applyNumberFormat="1" applyFont="1" applyFill="1" applyBorder="1" applyProtection="1">
      <protection locked="0"/>
    </xf>
    <xf numFmtId="167" fontId="147" fillId="23" borderId="86" xfId="19" applyNumberFormat="1" applyFont="1" applyFill="1" applyBorder="1" applyProtection="1">
      <protection locked="0"/>
    </xf>
    <xf numFmtId="167" fontId="71" fillId="15" borderId="86" xfId="19" applyNumberFormat="1" applyFont="1" applyFill="1" applyBorder="1" applyProtection="1">
      <protection locked="0"/>
    </xf>
    <xf numFmtId="0" fontId="83" fillId="13" borderId="86" xfId="0" applyFont="1" applyFill="1" applyBorder="1" applyAlignment="1">
      <alignment horizontal="center"/>
    </xf>
    <xf numFmtId="0" fontId="96" fillId="11" borderId="86" xfId="0" applyFont="1" applyFill="1" applyBorder="1" applyAlignment="1">
      <alignment horizontal="left" vertical="center" wrapText="1"/>
    </xf>
    <xf numFmtId="167" fontId="98" fillId="13" borderId="86" xfId="19" applyNumberFormat="1" applyFont="1" applyFill="1" applyBorder="1" applyProtection="1">
      <protection locked="0"/>
    </xf>
    <xf numFmtId="0" fontId="83" fillId="4" borderId="86" xfId="0" applyFont="1" applyFill="1" applyBorder="1"/>
    <xf numFmtId="0" fontId="96" fillId="4" borderId="86" xfId="0" applyFont="1" applyFill="1" applyBorder="1"/>
    <xf numFmtId="0" fontId="96" fillId="4" borderId="86" xfId="0" applyFont="1" applyFill="1" applyBorder="1" applyAlignment="1">
      <alignment horizontal="center"/>
    </xf>
    <xf numFmtId="0" fontId="96" fillId="4" borderId="86" xfId="0" applyFont="1" applyFill="1" applyBorder="1" applyAlignment="1">
      <alignment horizontal="left" vertical="center" wrapText="1"/>
    </xf>
    <xf numFmtId="167" fontId="94" fillId="4" borderId="86" xfId="19" applyNumberFormat="1" applyFont="1" applyFill="1" applyBorder="1" applyProtection="1">
      <protection locked="0"/>
    </xf>
    <xf numFmtId="167" fontId="91" fillId="14" borderId="86" xfId="19" applyNumberFormat="1" applyFont="1" applyFill="1" applyBorder="1" applyProtection="1">
      <protection locked="0"/>
    </xf>
    <xf numFmtId="0" fontId="83" fillId="11" borderId="86" xfId="0" applyFont="1" applyFill="1" applyBorder="1" applyAlignment="1">
      <alignment vertical="center"/>
    </xf>
    <xf numFmtId="0" fontId="82" fillId="11" borderId="86" xfId="0" applyFont="1" applyFill="1" applyBorder="1"/>
    <xf numFmtId="0" fontId="158" fillId="11" borderId="86" xfId="0" applyFont="1" applyFill="1" applyBorder="1"/>
    <xf numFmtId="0" fontId="87" fillId="11" borderId="86" xfId="0" applyFont="1" applyFill="1" applyBorder="1" applyAlignment="1">
      <alignment horizontal="left" vertical="center"/>
    </xf>
    <xf numFmtId="167" fontId="70" fillId="15" borderId="87" xfId="19" applyNumberFormat="1" applyFont="1" applyFill="1" applyBorder="1"/>
    <xf numFmtId="167" fontId="72" fillId="14" borderId="87" xfId="19" applyNumberFormat="1" applyFont="1" applyFill="1" applyBorder="1"/>
    <xf numFmtId="167" fontId="83" fillId="14" borderId="0" xfId="19" applyNumberFormat="1" applyFont="1" applyFill="1"/>
    <xf numFmtId="167" fontId="76" fillId="15" borderId="87" xfId="19" applyNumberFormat="1" applyFont="1" applyFill="1" applyBorder="1"/>
    <xf numFmtId="0" fontId="83" fillId="11" borderId="86" xfId="0" applyFont="1" applyFill="1" applyBorder="1" applyAlignment="1">
      <alignment horizontal="center" vertical="top"/>
    </xf>
    <xf numFmtId="167" fontId="89" fillId="14" borderId="87" xfId="19" applyNumberFormat="1" applyFont="1" applyFill="1" applyBorder="1"/>
    <xf numFmtId="167" fontId="89" fillId="14" borderId="86" xfId="19" applyNumberFormat="1" applyFont="1" applyFill="1" applyBorder="1"/>
    <xf numFmtId="167" fontId="89" fillId="14" borderId="87" xfId="19" applyNumberFormat="1" applyFont="1" applyFill="1" applyBorder="1" applyProtection="1">
      <protection locked="0"/>
    </xf>
    <xf numFmtId="167" fontId="84" fillId="11" borderId="87" xfId="19" applyNumberFormat="1" applyFont="1" applyFill="1" applyBorder="1"/>
    <xf numFmtId="167" fontId="53" fillId="15" borderId="87" xfId="19" applyNumberFormat="1" applyFont="1" applyFill="1" applyBorder="1"/>
    <xf numFmtId="0" fontId="95" fillId="0" borderId="86" xfId="0" applyFont="1" applyBorder="1" applyAlignment="1">
      <alignment horizontal="left" vertical="center" wrapText="1"/>
    </xf>
    <xf numFmtId="43" fontId="86" fillId="14" borderId="86" xfId="19" applyFont="1" applyFill="1" applyBorder="1" applyAlignment="1">
      <alignment horizontal="center" vertical="center"/>
    </xf>
    <xf numFmtId="43" fontId="86" fillId="11" borderId="86" xfId="19" applyFont="1" applyFill="1" applyBorder="1" applyAlignment="1">
      <alignment vertical="center" wrapText="1"/>
    </xf>
    <xf numFmtId="167" fontId="139" fillId="11" borderId="99" xfId="19" applyNumberFormat="1" applyFont="1" applyFill="1" applyBorder="1" applyAlignment="1">
      <alignment vertical="center" wrapText="1"/>
    </xf>
    <xf numFmtId="0" fontId="83" fillId="11" borderId="86" xfId="0" applyFont="1" applyFill="1" applyBorder="1" applyAlignment="1">
      <alignment horizontal="left"/>
    </xf>
    <xf numFmtId="43" fontId="87" fillId="11" borderId="86" xfId="19" applyFont="1" applyFill="1" applyBorder="1" applyAlignment="1">
      <alignment horizontal="center" vertical="center"/>
    </xf>
    <xf numFmtId="167" fontId="83" fillId="15" borderId="89" xfId="19" applyNumberFormat="1" applyFont="1" applyFill="1" applyBorder="1" applyProtection="1">
      <protection locked="0"/>
    </xf>
    <xf numFmtId="167" fontId="70" fillId="15" borderId="89" xfId="19" applyNumberFormat="1" applyFont="1" applyFill="1" applyBorder="1" applyProtection="1">
      <protection locked="0"/>
    </xf>
    <xf numFmtId="167" fontId="72" fillId="14" borderId="89" xfId="19" applyNumberFormat="1" applyFont="1" applyFill="1" applyBorder="1" applyProtection="1">
      <protection locked="0"/>
    </xf>
    <xf numFmtId="0" fontId="87" fillId="23" borderId="89" xfId="0" applyFont="1" applyFill="1" applyBorder="1" applyAlignment="1">
      <alignment horizontal="right" vertical="top" wrapText="1"/>
    </xf>
    <xf numFmtId="167" fontId="76" fillId="14" borderId="89" xfId="19" applyNumberFormat="1" applyFont="1" applyFill="1" applyBorder="1" applyProtection="1">
      <protection locked="0"/>
    </xf>
    <xf numFmtId="167" fontId="96" fillId="11" borderId="89" xfId="19" applyNumberFormat="1" applyFont="1" applyFill="1" applyBorder="1" applyProtection="1">
      <protection locked="0"/>
    </xf>
    <xf numFmtId="0" fontId="83" fillId="6" borderId="89" xfId="0" applyFont="1" applyFill="1" applyBorder="1"/>
    <xf numFmtId="0" fontId="83" fillId="6" borderId="89" xfId="0" applyFont="1" applyFill="1" applyBorder="1" applyAlignment="1">
      <alignment horizontal="center"/>
    </xf>
    <xf numFmtId="0" fontId="72" fillId="6" borderId="89" xfId="0" applyFont="1" applyFill="1" applyBorder="1" applyAlignment="1">
      <alignment horizontal="left" vertical="center" wrapText="1"/>
    </xf>
    <xf numFmtId="167" fontId="71" fillId="11" borderId="87" xfId="19" applyNumberFormat="1" applyFont="1" applyFill="1" applyBorder="1"/>
    <xf numFmtId="167" fontId="72" fillId="11" borderId="87" xfId="19" applyNumberFormat="1" applyFont="1" applyFill="1" applyBorder="1"/>
    <xf numFmtId="167" fontId="74" fillId="11" borderId="87" xfId="19" applyNumberFormat="1" applyFont="1" applyFill="1" applyBorder="1"/>
    <xf numFmtId="167" fontId="71" fillId="14" borderId="87" xfId="19" applyNumberFormat="1" applyFont="1" applyFill="1" applyBorder="1"/>
    <xf numFmtId="167" fontId="70" fillId="11" borderId="87" xfId="19" applyNumberFormat="1" applyFont="1" applyFill="1" applyBorder="1"/>
    <xf numFmtId="167" fontId="86" fillId="11" borderId="89" xfId="19" applyNumberFormat="1" applyFont="1" applyFill="1" applyBorder="1" applyProtection="1">
      <protection locked="0"/>
    </xf>
    <xf numFmtId="0" fontId="83" fillId="18" borderId="101" xfId="0" applyFont="1" applyFill="1" applyBorder="1" applyAlignment="1">
      <alignment horizontal="left" vertical="center" wrapText="1"/>
    </xf>
    <xf numFmtId="167" fontId="83" fillId="11" borderId="102" xfId="19" applyNumberFormat="1" applyFont="1" applyFill="1" applyBorder="1" applyProtection="1">
      <protection locked="0"/>
    </xf>
    <xf numFmtId="167" fontId="87" fillId="11" borderId="102" xfId="19" applyNumberFormat="1" applyFont="1" applyFill="1" applyBorder="1" applyProtection="1">
      <protection locked="0"/>
    </xf>
    <xf numFmtId="167" fontId="86" fillId="14" borderId="102" xfId="19" applyNumberFormat="1" applyFont="1" applyFill="1" applyBorder="1" applyProtection="1">
      <protection locked="0"/>
    </xf>
    <xf numFmtId="0" fontId="72" fillId="0" borderId="102" xfId="0" applyFont="1" applyBorder="1"/>
    <xf numFmtId="0" fontId="72" fillId="0" borderId="102" xfId="0" applyFont="1" applyBorder="1" applyAlignment="1">
      <alignment horizontal="center"/>
    </xf>
    <xf numFmtId="0" fontId="72" fillId="0" borderId="102" xfId="0" applyFont="1" applyBorder="1" applyAlignment="1">
      <alignment horizontal="left" vertical="center" wrapText="1"/>
    </xf>
    <xf numFmtId="167" fontId="72" fillId="15" borderId="102" xfId="19" applyNumberFormat="1" applyFont="1" applyFill="1" applyBorder="1" applyProtection="1">
      <protection locked="0"/>
    </xf>
    <xf numFmtId="167" fontId="72" fillId="15" borderId="103" xfId="19" applyNumberFormat="1" applyFont="1" applyFill="1" applyBorder="1" applyProtection="1">
      <protection locked="0"/>
    </xf>
    <xf numFmtId="167" fontId="70" fillId="15" borderId="103" xfId="19" applyNumberFormat="1" applyFont="1" applyFill="1" applyBorder="1" applyProtection="1">
      <protection locked="0"/>
    </xf>
    <xf numFmtId="167" fontId="72" fillId="14" borderId="103" xfId="19" applyNumberFormat="1" applyFont="1" applyFill="1" applyBorder="1" applyProtection="1">
      <protection locked="0"/>
    </xf>
    <xf numFmtId="0" fontId="83" fillId="11" borderId="102" xfId="0" applyFont="1" applyFill="1" applyBorder="1"/>
    <xf numFmtId="0" fontId="83" fillId="11" borderId="102" xfId="0" applyFont="1" applyFill="1" applyBorder="1" applyAlignment="1">
      <alignment horizontal="center"/>
    </xf>
    <xf numFmtId="167" fontId="83" fillId="11" borderId="103" xfId="19" applyNumberFormat="1" applyFont="1" applyFill="1" applyBorder="1" applyProtection="1">
      <protection locked="0"/>
    </xf>
    <xf numFmtId="167" fontId="87" fillId="11" borderId="103" xfId="19" applyNumberFormat="1" applyFont="1" applyFill="1" applyBorder="1" applyProtection="1">
      <protection locked="0"/>
    </xf>
    <xf numFmtId="167" fontId="86" fillId="14" borderId="103" xfId="19" applyNumberFormat="1" applyFont="1" applyFill="1" applyBorder="1" applyProtection="1">
      <protection locked="0"/>
    </xf>
    <xf numFmtId="167" fontId="76" fillId="15" borderId="103" xfId="19" applyNumberFormat="1" applyFont="1" applyFill="1" applyBorder="1" applyProtection="1">
      <protection locked="0"/>
    </xf>
    <xf numFmtId="0" fontId="89" fillId="11" borderId="102" xfId="0" applyFont="1" applyFill="1" applyBorder="1"/>
    <xf numFmtId="167" fontId="86" fillId="11" borderId="102" xfId="19" applyNumberFormat="1" applyFont="1" applyFill="1" applyBorder="1" applyProtection="1">
      <protection locked="0"/>
    </xf>
    <xf numFmtId="167" fontId="86" fillId="11" borderId="103" xfId="19" applyNumberFormat="1" applyFont="1" applyFill="1" applyBorder="1" applyProtection="1">
      <protection locked="0"/>
    </xf>
    <xf numFmtId="0" fontId="86" fillId="11" borderId="102" xfId="0" applyFont="1" applyFill="1" applyBorder="1"/>
    <xf numFmtId="0" fontId="83" fillId="11" borderId="102" xfId="0" applyFont="1" applyFill="1" applyBorder="1" applyAlignment="1">
      <alignment horizontal="left" vertical="center" wrapText="1"/>
    </xf>
    <xf numFmtId="0" fontId="84" fillId="11" borderId="102" xfId="0" applyFont="1" applyFill="1" applyBorder="1" applyAlignment="1">
      <alignment horizontal="center"/>
    </xf>
    <xf numFmtId="0" fontId="84" fillId="11" borderId="102" xfId="0" applyFont="1" applyFill="1" applyBorder="1"/>
    <xf numFmtId="0" fontId="83" fillId="0" borderId="102" xfId="0" applyFont="1" applyBorder="1"/>
    <xf numFmtId="0" fontId="83" fillId="0" borderId="102" xfId="0" applyFont="1" applyBorder="1" applyAlignment="1">
      <alignment horizontal="center"/>
    </xf>
    <xf numFmtId="0" fontId="83" fillId="0" borderId="102" xfId="0" applyFont="1" applyBorder="1" applyAlignment="1">
      <alignment vertical="center"/>
    </xf>
    <xf numFmtId="0" fontId="72" fillId="11" borderId="102" xfId="0" applyFont="1" applyFill="1" applyBorder="1"/>
    <xf numFmtId="0" fontId="83" fillId="11" borderId="102" xfId="0" applyFont="1" applyFill="1" applyBorder="1" applyAlignment="1">
      <alignment vertical="center" wrapText="1"/>
    </xf>
    <xf numFmtId="167" fontId="87" fillId="11" borderId="103" xfId="19" applyNumberFormat="1" applyFont="1" applyFill="1" applyBorder="1"/>
    <xf numFmtId="167" fontId="86" fillId="14" borderId="103" xfId="19" applyNumberFormat="1" applyFont="1" applyFill="1" applyBorder="1"/>
    <xf numFmtId="167" fontId="75" fillId="15" borderId="103" xfId="19" applyNumberFormat="1" applyFont="1" applyFill="1" applyBorder="1" applyProtection="1">
      <protection locked="0"/>
    </xf>
    <xf numFmtId="167" fontId="75" fillId="14" borderId="103" xfId="19" applyNumberFormat="1" applyFont="1" applyFill="1" applyBorder="1" applyProtection="1">
      <protection locked="0"/>
    </xf>
    <xf numFmtId="167" fontId="90" fillId="11" borderId="102" xfId="19" applyNumberFormat="1" applyFont="1" applyFill="1" applyBorder="1" applyProtection="1">
      <protection locked="0"/>
    </xf>
    <xf numFmtId="167" fontId="96" fillId="11" borderId="102" xfId="19" applyNumberFormat="1" applyFont="1" applyFill="1" applyBorder="1" applyProtection="1">
      <protection locked="0"/>
    </xf>
    <xf numFmtId="0" fontId="87" fillId="11" borderId="102" xfId="0" applyFont="1" applyFill="1" applyBorder="1" applyAlignment="1">
      <alignment horizontal="right" vertical="center" wrapText="1"/>
    </xf>
    <xf numFmtId="0" fontId="83" fillId="18" borderId="105" xfId="0" applyFont="1" applyFill="1" applyBorder="1" applyAlignment="1">
      <alignment horizontal="left" vertical="center" wrapText="1"/>
    </xf>
    <xf numFmtId="0" fontId="81" fillId="0" borderId="102" xfId="0" applyFont="1" applyBorder="1" applyAlignment="1">
      <alignment horizontal="center"/>
    </xf>
    <xf numFmtId="0" fontId="83" fillId="18" borderId="102" xfId="0" applyFont="1" applyFill="1" applyBorder="1" applyAlignment="1">
      <alignment horizontal="left" vertical="center" wrapText="1"/>
    </xf>
    <xf numFmtId="167" fontId="73" fillId="15" borderId="103" xfId="19" applyNumberFormat="1" applyFont="1" applyFill="1" applyBorder="1" applyProtection="1">
      <protection locked="0"/>
    </xf>
    <xf numFmtId="170" fontId="87" fillId="18" borderId="103" xfId="19" applyNumberFormat="1" applyFont="1" applyFill="1" applyBorder="1" applyAlignment="1" applyProtection="1">
      <protection locked="0"/>
    </xf>
    <xf numFmtId="167" fontId="90" fillId="11" borderId="103" xfId="19" applyNumberFormat="1" applyFont="1" applyFill="1" applyBorder="1" applyProtection="1">
      <protection locked="0"/>
    </xf>
    <xf numFmtId="167" fontId="87" fillId="11" borderId="102" xfId="19" applyNumberFormat="1" applyFont="1" applyFill="1" applyBorder="1" applyAlignment="1" applyProtection="1">
      <alignment wrapText="1"/>
      <protection locked="0"/>
    </xf>
    <xf numFmtId="167" fontId="70" fillId="15" borderId="102" xfId="19" applyNumberFormat="1" applyFont="1" applyFill="1" applyBorder="1" applyAlignment="1" applyProtection="1">
      <alignment wrapText="1"/>
      <protection locked="0"/>
    </xf>
    <xf numFmtId="167" fontId="76" fillId="15" borderId="102" xfId="19" applyNumberFormat="1" applyFont="1" applyFill="1" applyBorder="1" applyAlignment="1" applyProtection="1">
      <alignment wrapText="1"/>
      <protection locked="0"/>
    </xf>
    <xf numFmtId="167" fontId="70" fillId="15" borderId="102" xfId="19" applyNumberFormat="1" applyFont="1" applyFill="1" applyBorder="1" applyProtection="1">
      <protection locked="0"/>
    </xf>
    <xf numFmtId="0" fontId="83" fillId="18" borderId="102" xfId="0" applyFont="1" applyFill="1" applyBorder="1" applyAlignment="1">
      <alignment horizontal="center"/>
    </xf>
    <xf numFmtId="43" fontId="72" fillId="11" borderId="102" xfId="8" applyFont="1" applyFill="1" applyBorder="1" applyAlignment="1">
      <alignment wrapText="1"/>
    </xf>
    <xf numFmtId="167" fontId="86" fillId="11" borderId="103" xfId="19" applyNumberFormat="1" applyFont="1" applyFill="1" applyBorder="1"/>
    <xf numFmtId="167" fontId="83" fillId="11" borderId="103" xfId="19" applyNumberFormat="1" applyFont="1" applyFill="1" applyBorder="1"/>
    <xf numFmtId="167" fontId="149" fillId="11" borderId="103" xfId="19" applyNumberFormat="1" applyFont="1" applyFill="1" applyBorder="1"/>
    <xf numFmtId="43" fontId="201" fillId="11" borderId="102" xfId="8" applyFont="1" applyFill="1" applyBorder="1" applyAlignment="1">
      <alignment horizontal="right" wrapText="1"/>
    </xf>
    <xf numFmtId="0" fontId="76" fillId="0" borderId="102" xfId="0" applyFont="1" applyBorder="1"/>
    <xf numFmtId="167" fontId="76" fillId="14" borderId="103" xfId="19" applyNumberFormat="1" applyFont="1" applyFill="1" applyBorder="1" applyProtection="1">
      <protection locked="0"/>
    </xf>
    <xf numFmtId="0" fontId="72" fillId="11" borderId="102" xfId="0" applyFont="1" applyFill="1" applyBorder="1" applyAlignment="1">
      <alignment horizontal="right" vertical="center" wrapText="1"/>
    </xf>
    <xf numFmtId="167" fontId="72" fillId="16" borderId="103" xfId="19" applyNumberFormat="1" applyFont="1" applyFill="1" applyBorder="1" applyProtection="1">
      <protection locked="0"/>
    </xf>
    <xf numFmtId="0" fontId="72" fillId="11" borderId="102" xfId="0" applyFont="1" applyFill="1" applyBorder="1" applyAlignment="1">
      <alignment horizontal="left" vertical="center" wrapText="1"/>
    </xf>
    <xf numFmtId="0" fontId="76" fillId="11" borderId="102" xfId="0" applyFont="1" applyFill="1" applyBorder="1"/>
    <xf numFmtId="0" fontId="72" fillId="0" borderId="102" xfId="0" applyFont="1" applyBorder="1" applyAlignment="1">
      <alignment horizontal="left"/>
    </xf>
    <xf numFmtId="0" fontId="83" fillId="11" borderId="102" xfId="0" applyFont="1" applyFill="1" applyBorder="1" applyAlignment="1">
      <alignment horizontal="left" vertical="center"/>
    </xf>
    <xf numFmtId="0" fontId="83" fillId="11" borderId="102" xfId="0" applyFont="1" applyFill="1" applyBorder="1" applyAlignment="1">
      <alignment vertical="center"/>
    </xf>
    <xf numFmtId="0" fontId="87" fillId="11" borderId="102" xfId="0" applyFont="1" applyFill="1" applyBorder="1" applyAlignment="1">
      <alignment horizontal="left" vertical="center" wrapText="1"/>
    </xf>
    <xf numFmtId="0" fontId="85" fillId="11" borderId="102" xfId="0" applyFont="1" applyFill="1" applyBorder="1" applyAlignment="1">
      <alignment horizontal="left" vertical="center" wrapText="1"/>
    </xf>
    <xf numFmtId="1" fontId="86" fillId="11" borderId="102" xfId="19" applyNumberFormat="1" applyFont="1" applyFill="1" applyBorder="1" applyProtection="1"/>
    <xf numFmtId="167" fontId="83" fillId="11" borderId="102" xfId="19" applyNumberFormat="1" applyFont="1" applyFill="1" applyBorder="1" applyProtection="1"/>
    <xf numFmtId="167" fontId="86" fillId="14" borderId="102" xfId="19" applyNumberFormat="1" applyFont="1" applyFill="1" applyBorder="1" applyProtection="1"/>
    <xf numFmtId="0" fontId="84" fillId="11" borderId="102" xfId="0" applyFont="1" applyFill="1" applyBorder="1" applyAlignment="1">
      <alignment horizontal="left" vertical="center" wrapText="1"/>
    </xf>
    <xf numFmtId="1" fontId="83" fillId="11" borderId="102" xfId="19" applyNumberFormat="1" applyFont="1" applyFill="1" applyBorder="1" applyProtection="1"/>
    <xf numFmtId="167" fontId="87" fillId="11" borderId="102" xfId="19" applyNumberFormat="1" applyFont="1" applyFill="1" applyBorder="1" applyProtection="1"/>
    <xf numFmtId="0" fontId="83" fillId="23" borderId="102" xfId="0" applyFont="1" applyFill="1" applyBorder="1"/>
    <xf numFmtId="0" fontId="83" fillId="23" borderId="102" xfId="0" applyFont="1" applyFill="1" applyBorder="1" applyAlignment="1">
      <alignment horizontal="center"/>
    </xf>
    <xf numFmtId="0" fontId="83" fillId="23" borderId="102" xfId="0" applyFont="1" applyFill="1" applyBorder="1" applyAlignment="1">
      <alignment horizontal="left" vertical="center" wrapText="1"/>
    </xf>
    <xf numFmtId="1" fontId="86" fillId="23" borderId="102" xfId="19" applyNumberFormat="1" applyFont="1" applyFill="1" applyBorder="1" applyProtection="1"/>
    <xf numFmtId="167" fontId="83" fillId="23" borderId="102" xfId="19" applyNumberFormat="1" applyFont="1" applyFill="1" applyBorder="1" applyProtection="1"/>
    <xf numFmtId="167" fontId="87" fillId="23" borderId="102" xfId="19" applyNumberFormat="1" applyFont="1" applyFill="1" applyBorder="1" applyProtection="1"/>
    <xf numFmtId="1" fontId="86" fillId="11" borderId="103" xfId="19" applyNumberFormat="1" applyFont="1" applyFill="1" applyBorder="1" applyProtection="1"/>
    <xf numFmtId="167" fontId="87" fillId="11" borderId="103" xfId="19" applyNumberFormat="1" applyFont="1" applyFill="1" applyBorder="1" applyProtection="1"/>
    <xf numFmtId="167" fontId="86" fillId="14" borderId="103" xfId="19" applyNumberFormat="1" applyFont="1" applyFill="1" applyBorder="1" applyProtection="1"/>
    <xf numFmtId="0" fontId="149" fillId="11" borderId="102" xfId="0" applyFont="1" applyFill="1" applyBorder="1" applyAlignment="1">
      <alignment horizontal="right" vertical="center" wrapText="1"/>
    </xf>
    <xf numFmtId="167" fontId="76" fillId="14" borderId="102" xfId="19" applyNumberFormat="1" applyFont="1" applyFill="1" applyBorder="1" applyProtection="1">
      <protection locked="0"/>
    </xf>
    <xf numFmtId="0" fontId="149" fillId="23" borderId="102" xfId="0" applyFont="1" applyFill="1" applyBorder="1" applyAlignment="1">
      <alignment horizontal="right" vertical="top" wrapText="1"/>
    </xf>
    <xf numFmtId="0" fontId="47" fillId="0" borderId="0" xfId="43" quotePrefix="1" applyFont="1"/>
    <xf numFmtId="0" fontId="50" fillId="0" borderId="0" xfId="43" quotePrefix="1" applyFont="1"/>
    <xf numFmtId="0" fontId="57" fillId="0" borderId="0" xfId="43" quotePrefix="1" applyFont="1"/>
    <xf numFmtId="167" fontId="72" fillId="17" borderId="103" xfId="19" applyNumberFormat="1" applyFont="1" applyFill="1" applyBorder="1" applyProtection="1">
      <protection locked="0"/>
    </xf>
    <xf numFmtId="0" fontId="83" fillId="11" borderId="102" xfId="0" quotePrefix="1" applyFont="1" applyFill="1" applyBorder="1" applyAlignment="1">
      <alignment horizontal="left" vertical="center" wrapText="1"/>
    </xf>
    <xf numFmtId="167" fontId="83" fillId="11" borderId="102" xfId="144" applyNumberFormat="1" applyFont="1" applyFill="1" applyBorder="1" applyProtection="1">
      <protection locked="0"/>
    </xf>
    <xf numFmtId="167" fontId="83" fillId="11" borderId="103" xfId="144" applyNumberFormat="1" applyFont="1" applyFill="1" applyBorder="1" applyProtection="1">
      <protection locked="0"/>
    </xf>
    <xf numFmtId="167" fontId="87" fillId="14" borderId="102" xfId="19" applyNumberFormat="1" applyFont="1" applyFill="1" applyBorder="1" applyProtection="1">
      <protection locked="0"/>
    </xf>
    <xf numFmtId="167" fontId="87" fillId="14" borderId="103" xfId="19" applyNumberFormat="1" applyFont="1" applyFill="1" applyBorder="1" applyProtection="1">
      <protection locked="0"/>
    </xf>
    <xf numFmtId="0" fontId="81" fillId="11" borderId="102" xfId="0" applyFont="1" applyFill="1" applyBorder="1" applyAlignment="1">
      <alignment horizontal="center"/>
    </xf>
    <xf numFmtId="167" fontId="72" fillId="11" borderId="102" xfId="19" applyNumberFormat="1" applyFont="1" applyFill="1" applyBorder="1" applyProtection="1">
      <protection locked="0"/>
    </xf>
    <xf numFmtId="167" fontId="70" fillId="11" borderId="102" xfId="19" applyNumberFormat="1" applyFont="1" applyFill="1" applyBorder="1" applyProtection="1">
      <protection locked="0"/>
    </xf>
    <xf numFmtId="167" fontId="72" fillId="11" borderId="103" xfId="19" applyNumberFormat="1" applyFont="1" applyFill="1" applyBorder="1" applyProtection="1">
      <protection locked="0"/>
    </xf>
    <xf numFmtId="167" fontId="70" fillId="11" borderId="103" xfId="19" applyNumberFormat="1" applyFont="1" applyFill="1" applyBorder="1" applyProtection="1">
      <protection locked="0"/>
    </xf>
    <xf numFmtId="0" fontId="83" fillId="11" borderId="102" xfId="0" applyFont="1" applyFill="1" applyBorder="1" applyAlignment="1">
      <alignment horizontal="right" vertical="center" wrapText="1"/>
    </xf>
    <xf numFmtId="167" fontId="73" fillId="11" borderId="102" xfId="19" applyNumberFormat="1" applyFont="1" applyFill="1" applyBorder="1" applyProtection="1">
      <protection locked="0"/>
    </xf>
    <xf numFmtId="0" fontId="103" fillId="11" borderId="102" xfId="0" applyFont="1" applyFill="1" applyBorder="1"/>
    <xf numFmtId="167" fontId="73" fillId="11" borderId="103" xfId="19" applyNumberFormat="1" applyFont="1" applyFill="1" applyBorder="1" applyProtection="1">
      <protection locked="0"/>
    </xf>
    <xf numFmtId="0" fontId="149" fillId="11" borderId="102" xfId="0" applyFont="1" applyFill="1" applyBorder="1" applyAlignment="1">
      <alignment horizontal="left" vertical="center" wrapText="1"/>
    </xf>
    <xf numFmtId="167" fontId="149" fillId="11" borderId="103" xfId="19" applyNumberFormat="1" applyFont="1" applyFill="1" applyBorder="1" applyProtection="1">
      <protection locked="0"/>
    </xf>
    <xf numFmtId="167" fontId="149" fillId="11" borderId="102" xfId="19" applyNumberFormat="1" applyFont="1" applyFill="1" applyBorder="1" applyProtection="1">
      <protection locked="0"/>
    </xf>
    <xf numFmtId="0" fontId="72" fillId="0" borderId="102" xfId="0" applyFont="1" applyBorder="1" applyAlignment="1">
      <alignment vertical="center" wrapText="1"/>
    </xf>
    <xf numFmtId="0" fontId="82" fillId="0" borderId="102" xfId="0" applyFont="1" applyBorder="1"/>
    <xf numFmtId="0" fontId="82" fillId="11" borderId="102" xfId="0" applyFont="1" applyFill="1" applyBorder="1"/>
    <xf numFmtId="0" fontId="72" fillId="11" borderId="102" xfId="0" applyFont="1" applyFill="1" applyBorder="1" applyAlignment="1">
      <alignment horizontal="center"/>
    </xf>
    <xf numFmtId="0" fontId="89" fillId="6" borderId="102" xfId="0" applyFont="1" applyFill="1" applyBorder="1"/>
    <xf numFmtId="0" fontId="85" fillId="11" borderId="102" xfId="0" applyFont="1" applyFill="1" applyBorder="1"/>
    <xf numFmtId="0" fontId="84" fillId="11" borderId="102" xfId="0" applyFont="1" applyFill="1" applyBorder="1" applyAlignment="1">
      <alignment vertical="center" wrapText="1"/>
    </xf>
    <xf numFmtId="0" fontId="83" fillId="11" borderId="104" xfId="0" applyFont="1" applyFill="1" applyBorder="1" applyAlignment="1">
      <alignment horizontal="left" vertical="center" wrapText="1"/>
    </xf>
    <xf numFmtId="0" fontId="83" fillId="11" borderId="103" xfId="0" applyFont="1" applyFill="1" applyBorder="1" applyAlignment="1">
      <alignment horizontal="center"/>
    </xf>
    <xf numFmtId="0" fontId="89" fillId="11" borderId="104" xfId="0" applyFont="1" applyFill="1" applyBorder="1"/>
    <xf numFmtId="0" fontId="83" fillId="11" borderId="104" xfId="0" applyFont="1" applyFill="1" applyBorder="1"/>
    <xf numFmtId="0" fontId="83" fillId="11" borderId="104" xfId="0" applyFont="1" applyFill="1" applyBorder="1" applyAlignment="1">
      <alignment horizontal="center"/>
    </xf>
    <xf numFmtId="0" fontId="70" fillId="11" borderId="102" xfId="0" applyFont="1" applyFill="1" applyBorder="1" applyAlignment="1">
      <alignment horizontal="right" wrapText="1"/>
    </xf>
    <xf numFmtId="167" fontId="71" fillId="11" borderId="102" xfId="19" applyNumberFormat="1" applyFont="1" applyFill="1" applyBorder="1"/>
    <xf numFmtId="167" fontId="72" fillId="11" borderId="102" xfId="19" applyNumberFormat="1" applyFont="1" applyFill="1" applyBorder="1"/>
    <xf numFmtId="167" fontId="71" fillId="14" borderId="102" xfId="19" applyNumberFormat="1" applyFont="1" applyFill="1" applyBorder="1"/>
    <xf numFmtId="167" fontId="71" fillId="11" borderId="103" xfId="19" applyNumberFormat="1" applyFont="1" applyFill="1" applyBorder="1"/>
    <xf numFmtId="167" fontId="72" fillId="11" borderId="103" xfId="19" applyNumberFormat="1" applyFont="1" applyFill="1" applyBorder="1"/>
    <xf numFmtId="167" fontId="71" fillId="14" borderId="103" xfId="19" applyNumberFormat="1" applyFont="1" applyFill="1" applyBorder="1"/>
    <xf numFmtId="167" fontId="74" fillId="11" borderId="102" xfId="19" applyNumberFormat="1" applyFont="1" applyFill="1" applyBorder="1"/>
    <xf numFmtId="167" fontId="74" fillId="11" borderId="103" xfId="19" applyNumberFormat="1" applyFont="1" applyFill="1" applyBorder="1"/>
    <xf numFmtId="20" fontId="72" fillId="0" borderId="102" xfId="0" applyNumberFormat="1" applyFont="1" applyBorder="1"/>
    <xf numFmtId="0" fontId="80" fillId="11" borderId="102" xfId="0" applyFont="1" applyFill="1" applyBorder="1" applyAlignment="1">
      <alignment wrapText="1"/>
    </xf>
    <xf numFmtId="167" fontId="72" fillId="15" borderId="102" xfId="19" applyNumberFormat="1" applyFont="1" applyFill="1" applyBorder="1" applyAlignment="1" applyProtection="1">
      <protection locked="0"/>
    </xf>
    <xf numFmtId="167" fontId="70" fillId="15" borderId="102" xfId="19" applyNumberFormat="1" applyFont="1" applyFill="1" applyBorder="1" applyAlignment="1" applyProtection="1">
      <protection locked="0"/>
    </xf>
    <xf numFmtId="167" fontId="72" fillId="14" borderId="102" xfId="19" applyNumberFormat="1" applyFont="1" applyFill="1" applyBorder="1" applyAlignment="1" applyProtection="1">
      <protection locked="0"/>
    </xf>
    <xf numFmtId="0" fontId="72" fillId="11" borderId="102" xfId="0" applyFont="1" applyFill="1" applyBorder="1" applyAlignment="1">
      <alignment wrapText="1"/>
    </xf>
    <xf numFmtId="0" fontId="68" fillId="11" borderId="102" xfId="0" applyFont="1" applyFill="1" applyBorder="1" applyAlignment="1">
      <alignment wrapText="1"/>
    </xf>
    <xf numFmtId="167" fontId="70" fillId="11" borderId="102" xfId="19" applyNumberFormat="1" applyFont="1" applyFill="1" applyBorder="1"/>
    <xf numFmtId="167" fontId="72" fillId="9" borderId="102" xfId="19" applyNumberFormat="1" applyFont="1" applyFill="1" applyBorder="1"/>
    <xf numFmtId="167" fontId="72" fillId="9" borderId="103" xfId="19" applyNumberFormat="1" applyFont="1" applyFill="1" applyBorder="1" applyProtection="1">
      <protection locked="0"/>
    </xf>
    <xf numFmtId="167" fontId="72" fillId="24" borderId="103" xfId="19" applyNumberFormat="1" applyFont="1" applyFill="1" applyBorder="1" applyProtection="1">
      <protection locked="0"/>
    </xf>
    <xf numFmtId="167" fontId="72" fillId="39" borderId="103" xfId="19" applyNumberFormat="1" applyFont="1" applyFill="1" applyBorder="1" applyProtection="1">
      <protection locked="0"/>
    </xf>
    <xf numFmtId="167" fontId="72" fillId="20" borderId="103" xfId="19" applyNumberFormat="1" applyFont="1" applyFill="1" applyBorder="1" applyProtection="1">
      <protection locked="0"/>
    </xf>
    <xf numFmtId="167" fontId="72" fillId="21" borderId="103" xfId="19" applyNumberFormat="1" applyFont="1" applyFill="1" applyBorder="1" applyProtection="1">
      <protection locked="0"/>
    </xf>
    <xf numFmtId="9" fontId="83" fillId="14" borderId="0" xfId="31" applyFont="1" applyFill="1"/>
    <xf numFmtId="0" fontId="83" fillId="3" borderId="102" xfId="0" applyFont="1" applyFill="1" applyBorder="1"/>
    <xf numFmtId="0" fontId="83" fillId="3" borderId="102" xfId="0" applyFont="1" applyFill="1" applyBorder="1" applyAlignment="1">
      <alignment horizontal="center"/>
    </xf>
    <xf numFmtId="0" fontId="83" fillId="11" borderId="102" xfId="0" applyFont="1" applyFill="1" applyBorder="1" applyAlignment="1">
      <alignment horizontal="right"/>
    </xf>
    <xf numFmtId="167" fontId="72" fillId="17" borderId="102" xfId="19" applyNumberFormat="1" applyFont="1" applyFill="1" applyBorder="1"/>
    <xf numFmtId="167" fontId="72" fillId="14" borderId="102" xfId="19" applyNumberFormat="1" applyFont="1" applyFill="1" applyBorder="1"/>
    <xf numFmtId="167" fontId="72" fillId="20" borderId="102" xfId="19" applyNumberFormat="1" applyFont="1" applyFill="1" applyBorder="1"/>
    <xf numFmtId="0" fontId="68" fillId="11" borderId="102" xfId="0" applyFont="1" applyFill="1" applyBorder="1" applyAlignment="1">
      <alignment horizontal="justify" wrapText="1"/>
    </xf>
    <xf numFmtId="167" fontId="72" fillId="21" borderId="102" xfId="19" applyNumberFormat="1" applyFont="1" applyFill="1" applyBorder="1"/>
    <xf numFmtId="0" fontId="71" fillId="3" borderId="102" xfId="0" applyFont="1" applyFill="1" applyBorder="1" applyAlignment="1">
      <alignment wrapText="1"/>
    </xf>
    <xf numFmtId="0" fontId="72" fillId="11" borderId="102" xfId="0" applyFont="1" applyFill="1" applyBorder="1" applyAlignment="1">
      <alignment horizontal="justify" wrapText="1"/>
    </xf>
    <xf numFmtId="0" fontId="71" fillId="3" borderId="102" xfId="0" applyFont="1" applyFill="1" applyBorder="1" applyAlignment="1">
      <alignment horizontal="justify" wrapText="1"/>
    </xf>
    <xf numFmtId="0" fontId="83" fillId="3" borderId="102" xfId="0" applyFont="1" applyFill="1" applyBorder="1" applyAlignment="1">
      <alignment horizontal="right"/>
    </xf>
    <xf numFmtId="0" fontId="89" fillId="11" borderId="96" xfId="0" applyFont="1" applyFill="1" applyBorder="1"/>
    <xf numFmtId="0" fontId="83" fillId="11" borderId="96" xfId="0" applyFont="1" applyFill="1" applyBorder="1" applyAlignment="1">
      <alignment horizontal="right"/>
    </xf>
    <xf numFmtId="0" fontId="68" fillId="11" borderId="96" xfId="0" applyFont="1" applyFill="1" applyBorder="1" applyAlignment="1">
      <alignment horizontal="justify" wrapText="1"/>
    </xf>
    <xf numFmtId="167" fontId="72" fillId="11" borderId="96" xfId="19" applyNumberFormat="1" applyFont="1" applyFill="1" applyBorder="1"/>
    <xf numFmtId="167" fontId="72" fillId="9" borderId="96" xfId="19" applyNumberFormat="1" applyFont="1" applyFill="1" applyBorder="1"/>
    <xf numFmtId="167" fontId="70" fillId="11" borderId="96" xfId="19" applyNumberFormat="1" applyFont="1" applyFill="1" applyBorder="1"/>
    <xf numFmtId="167" fontId="72" fillId="14" borderId="96" xfId="19" applyNumberFormat="1" applyFont="1" applyFill="1" applyBorder="1"/>
    <xf numFmtId="0" fontId="89" fillId="0" borderId="102" xfId="0" applyFont="1" applyBorder="1"/>
    <xf numFmtId="167" fontId="72" fillId="11" borderId="99" xfId="19" applyNumberFormat="1" applyFont="1" applyFill="1" applyBorder="1"/>
    <xf numFmtId="167" fontId="70" fillId="11" borderId="99" xfId="19" applyNumberFormat="1" applyFont="1" applyFill="1" applyBorder="1"/>
    <xf numFmtId="167" fontId="72" fillId="14" borderId="99" xfId="19" applyNumberFormat="1" applyFont="1" applyFill="1" applyBorder="1"/>
    <xf numFmtId="167" fontId="70" fillId="11" borderId="103" xfId="19" applyNumberFormat="1" applyFont="1" applyFill="1" applyBorder="1"/>
    <xf numFmtId="167" fontId="72" fillId="14" borderId="103" xfId="19" applyNumberFormat="1" applyFont="1" applyFill="1" applyBorder="1"/>
    <xf numFmtId="167" fontId="87" fillId="11" borderId="102" xfId="19" applyNumberFormat="1" applyFont="1" applyFill="1" applyBorder="1"/>
    <xf numFmtId="0" fontId="83" fillId="11" borderId="91" xfId="0" applyFont="1" applyFill="1" applyBorder="1" applyAlignment="1">
      <alignment horizontal="left" vertical="center" wrapText="1"/>
    </xf>
    <xf numFmtId="167" fontId="83" fillId="11" borderId="102" xfId="19" applyNumberFormat="1" applyFont="1" applyFill="1" applyBorder="1"/>
    <xf numFmtId="167" fontId="83" fillId="14" borderId="102" xfId="19" applyNumberFormat="1" applyFont="1" applyFill="1" applyBorder="1"/>
    <xf numFmtId="167" fontId="83" fillId="14" borderId="103" xfId="19" applyNumberFormat="1" applyFont="1" applyFill="1" applyBorder="1"/>
    <xf numFmtId="43" fontId="83" fillId="11" borderId="102" xfId="19" applyFont="1" applyFill="1" applyBorder="1"/>
    <xf numFmtId="0" fontId="89" fillId="11" borderId="102" xfId="0" applyFont="1" applyFill="1" applyBorder="1" applyAlignment="1">
      <alignment horizontal="left" vertical="center" wrapText="1"/>
    </xf>
    <xf numFmtId="167" fontId="149" fillId="11" borderId="0" xfId="1" applyNumberFormat="1" applyFont="1" applyFill="1" applyBorder="1" applyProtection="1">
      <protection locked="0"/>
    </xf>
    <xf numFmtId="0" fontId="149" fillId="11" borderId="54" xfId="0" applyFont="1" applyFill="1" applyBorder="1" applyAlignment="1">
      <alignment horizontal="left" wrapText="1"/>
    </xf>
    <xf numFmtId="167" fontId="203" fillId="15" borderId="87" xfId="19" applyNumberFormat="1" applyFont="1" applyFill="1" applyBorder="1" applyProtection="1">
      <protection locked="0"/>
    </xf>
    <xf numFmtId="167" fontId="204" fillId="11" borderId="86" xfId="19" applyNumberFormat="1" applyFont="1" applyFill="1" applyBorder="1" applyProtection="1">
      <protection locked="0"/>
    </xf>
    <xf numFmtId="167" fontId="204" fillId="11" borderId="87" xfId="19" applyNumberFormat="1" applyFont="1" applyFill="1" applyBorder="1" applyProtection="1">
      <protection locked="0"/>
    </xf>
    <xf numFmtId="167" fontId="203" fillId="15" borderId="86" xfId="19" applyNumberFormat="1" applyFont="1" applyFill="1" applyBorder="1" applyProtection="1">
      <protection locked="0"/>
    </xf>
    <xf numFmtId="167" fontId="204" fillId="11" borderId="87" xfId="19" applyNumberFormat="1" applyFont="1" applyFill="1" applyBorder="1"/>
    <xf numFmtId="167" fontId="203" fillId="15" borderId="86" xfId="20" applyNumberFormat="1" applyFont="1" applyFill="1" applyBorder="1" applyProtection="1">
      <protection locked="0"/>
    </xf>
    <xf numFmtId="167" fontId="204" fillId="11" borderId="86" xfId="20" applyNumberFormat="1" applyFont="1" applyFill="1" applyBorder="1" applyProtection="1">
      <protection locked="0"/>
    </xf>
    <xf numFmtId="167" fontId="203" fillId="15" borderId="7" xfId="1" applyNumberFormat="1" applyFont="1" applyFill="1" applyBorder="1" applyProtection="1">
      <protection locked="0"/>
    </xf>
    <xf numFmtId="167" fontId="204" fillId="11" borderId="11" xfId="1" applyNumberFormat="1" applyFont="1" applyFill="1" applyBorder="1"/>
    <xf numFmtId="167" fontId="204" fillId="11" borderId="64" xfId="1" applyNumberFormat="1" applyFont="1" applyFill="1" applyBorder="1"/>
    <xf numFmtId="167" fontId="203" fillId="15" borderId="61" xfId="1" applyNumberFormat="1" applyFont="1" applyFill="1" applyBorder="1" applyProtection="1">
      <protection locked="0"/>
    </xf>
    <xf numFmtId="167" fontId="204" fillId="11" borderId="60" xfId="1" applyNumberFormat="1" applyFont="1" applyFill="1" applyBorder="1" applyProtection="1">
      <protection locked="0"/>
    </xf>
    <xf numFmtId="167" fontId="204" fillId="11" borderId="87" xfId="1" applyNumberFormat="1" applyFont="1" applyFill="1" applyBorder="1" applyProtection="1">
      <protection locked="0"/>
    </xf>
    <xf numFmtId="167" fontId="203" fillId="15" borderId="99" xfId="19" applyNumberFormat="1" applyFont="1" applyFill="1" applyBorder="1" applyProtection="1">
      <protection locked="0"/>
    </xf>
    <xf numFmtId="167" fontId="204" fillId="11" borderId="11" xfId="1" applyNumberFormat="1" applyFont="1" applyFill="1" applyBorder="1" applyProtection="1">
      <protection locked="0"/>
    </xf>
    <xf numFmtId="167" fontId="204" fillId="11" borderId="64" xfId="1" applyNumberFormat="1" applyFont="1" applyFill="1" applyBorder="1" applyProtection="1">
      <protection locked="0"/>
    </xf>
    <xf numFmtId="3" fontId="47" fillId="4" borderId="62" xfId="43" applyNumberFormat="1" applyFont="1" applyFill="1" applyBorder="1"/>
    <xf numFmtId="167" fontId="204" fillId="11" borderId="86" xfId="19" applyNumberFormat="1" applyFont="1" applyFill="1" applyBorder="1"/>
    <xf numFmtId="43" fontId="204" fillId="11" borderId="86" xfId="19" applyFont="1" applyFill="1" applyBorder="1"/>
    <xf numFmtId="167" fontId="204" fillId="11" borderId="99" xfId="19" applyNumberFormat="1" applyFont="1" applyFill="1" applyBorder="1"/>
    <xf numFmtId="167" fontId="203" fillId="15" borderId="99" xfId="1" applyNumberFormat="1" applyFont="1" applyFill="1" applyBorder="1" applyProtection="1">
      <protection locked="0"/>
    </xf>
    <xf numFmtId="167" fontId="204" fillId="11" borderId="99" xfId="1" applyNumberFormat="1" applyFont="1" applyFill="1" applyBorder="1" applyProtection="1">
      <protection locked="0"/>
    </xf>
    <xf numFmtId="167" fontId="203" fillId="22" borderId="99" xfId="1" applyNumberFormat="1" applyFont="1" applyFill="1" applyBorder="1" applyProtection="1">
      <protection locked="0"/>
    </xf>
    <xf numFmtId="167" fontId="204" fillId="11" borderId="85" xfId="23" applyNumberFormat="1" applyFont="1" applyFill="1" applyBorder="1"/>
    <xf numFmtId="167" fontId="203" fillId="15" borderId="64" xfId="23" applyNumberFormat="1" applyFont="1" applyFill="1" applyBorder="1" applyProtection="1">
      <protection locked="0"/>
    </xf>
    <xf numFmtId="167" fontId="204" fillId="11" borderId="64" xfId="23" applyNumberFormat="1" applyFont="1" applyFill="1" applyBorder="1" applyProtection="1">
      <protection locked="0"/>
    </xf>
    <xf numFmtId="167" fontId="204" fillId="11" borderId="67" xfId="23" applyNumberFormat="1" applyFont="1" applyFill="1" applyBorder="1" applyProtection="1">
      <protection locked="0"/>
    </xf>
    <xf numFmtId="167" fontId="203" fillId="15" borderId="7" xfId="23" applyNumberFormat="1" applyFont="1" applyFill="1" applyBorder="1" applyProtection="1">
      <protection locked="0"/>
    </xf>
    <xf numFmtId="167" fontId="204" fillId="11" borderId="11" xfId="23" applyNumberFormat="1" applyFont="1" applyFill="1" applyBorder="1" applyProtection="1">
      <protection locked="0"/>
    </xf>
    <xf numFmtId="167" fontId="204" fillId="11" borderId="7" xfId="23" applyNumberFormat="1" applyFont="1" applyFill="1" applyBorder="1" applyProtection="1">
      <protection locked="0"/>
    </xf>
    <xf numFmtId="167" fontId="203" fillId="9" borderId="99" xfId="24" applyNumberFormat="1" applyFont="1" applyFill="1" applyBorder="1" applyAlignment="1" applyProtection="1">
      <alignment horizontal="center"/>
      <protection locked="0"/>
    </xf>
    <xf numFmtId="43" fontId="204" fillId="11" borderId="99" xfId="24" applyFont="1" applyFill="1" applyBorder="1" applyAlignment="1" applyProtection="1">
      <alignment horizontal="center"/>
      <protection locked="0"/>
    </xf>
    <xf numFmtId="167" fontId="203" fillId="15" borderId="99" xfId="24" applyNumberFormat="1" applyFont="1" applyFill="1" applyBorder="1" applyAlignment="1" applyProtection="1">
      <alignment horizontal="center"/>
      <protection locked="0"/>
    </xf>
    <xf numFmtId="167" fontId="204" fillId="11" borderId="99" xfId="24" applyNumberFormat="1" applyFont="1" applyFill="1" applyBorder="1" applyAlignment="1" applyProtection="1">
      <alignment horizontal="center"/>
      <protection locked="0"/>
    </xf>
    <xf numFmtId="43" fontId="204" fillId="11" borderId="89" xfId="24" applyFont="1" applyFill="1" applyBorder="1" applyProtection="1">
      <protection locked="0"/>
    </xf>
    <xf numFmtId="167" fontId="204" fillId="11" borderId="99" xfId="19" applyNumberFormat="1" applyFont="1" applyFill="1" applyBorder="1" applyAlignment="1" applyProtection="1">
      <alignment horizontal="center"/>
      <protection locked="0"/>
    </xf>
    <xf numFmtId="43" fontId="204" fillId="11" borderId="89" xfId="24" applyFont="1" applyFill="1" applyBorder="1" applyAlignment="1" applyProtection="1">
      <alignment horizontal="center"/>
      <protection locked="0"/>
    </xf>
    <xf numFmtId="167" fontId="205" fillId="11" borderId="99" xfId="19" applyNumberFormat="1" applyFont="1" applyFill="1" applyBorder="1" applyAlignment="1" applyProtection="1">
      <alignment horizontal="center"/>
      <protection locked="0"/>
    </xf>
    <xf numFmtId="43" fontId="205" fillId="11" borderId="99" xfId="24" applyFont="1" applyFill="1" applyBorder="1" applyAlignment="1" applyProtection="1">
      <alignment horizontal="center"/>
      <protection locked="0"/>
    </xf>
    <xf numFmtId="167" fontId="203" fillId="15" borderId="99" xfId="19" applyNumberFormat="1" applyFont="1" applyFill="1" applyBorder="1" applyAlignment="1" applyProtection="1">
      <alignment horizontal="center"/>
      <protection locked="0"/>
    </xf>
    <xf numFmtId="167" fontId="203" fillId="15" borderId="13" xfId="1" applyNumberFormat="1" applyFont="1" applyFill="1" applyBorder="1"/>
    <xf numFmtId="167" fontId="203" fillId="15" borderId="11" xfId="1" applyNumberFormat="1" applyFont="1" applyFill="1" applyBorder="1"/>
    <xf numFmtId="167" fontId="204" fillId="11" borderId="63" xfId="1" applyNumberFormat="1" applyFont="1" applyFill="1" applyBorder="1" applyAlignment="1"/>
    <xf numFmtId="167" fontId="87" fillId="11" borderId="106" xfId="19" applyNumberFormat="1" applyFont="1" applyFill="1" applyBorder="1" applyProtection="1">
      <protection locked="0"/>
    </xf>
    <xf numFmtId="167" fontId="86" fillId="14" borderId="106" xfId="19" applyNumberFormat="1" applyFont="1" applyFill="1" applyBorder="1" applyProtection="1">
      <protection locked="0"/>
    </xf>
    <xf numFmtId="167" fontId="83" fillId="11" borderId="106" xfId="19" applyNumberFormat="1" applyFont="1" applyFill="1" applyBorder="1" applyProtection="1">
      <protection locked="0"/>
    </xf>
    <xf numFmtId="0" fontId="207" fillId="11" borderId="102" xfId="0" applyFont="1" applyFill="1" applyBorder="1" applyAlignment="1">
      <alignment horizontal="right" vertical="center" wrapText="1"/>
    </xf>
    <xf numFmtId="0" fontId="83" fillId="11" borderId="107" xfId="0" applyFont="1" applyFill="1" applyBorder="1"/>
    <xf numFmtId="0" fontId="76" fillId="0" borderId="86" xfId="0" applyFont="1" applyBorder="1"/>
    <xf numFmtId="0" fontId="70" fillId="11" borderId="102" xfId="0" applyFont="1" applyFill="1" applyBorder="1" applyAlignment="1">
      <alignment horizontal="right" vertical="center" wrapText="1"/>
    </xf>
    <xf numFmtId="167" fontId="86" fillId="11" borderId="106" xfId="19" applyNumberFormat="1" applyFont="1" applyFill="1" applyBorder="1" applyProtection="1">
      <protection locked="0"/>
    </xf>
    <xf numFmtId="0" fontId="201" fillId="11" borderId="86" xfId="0" applyFont="1" applyFill="1" applyBorder="1" applyAlignment="1">
      <alignment horizontal="left" vertical="center" wrapText="1"/>
    </xf>
    <xf numFmtId="167" fontId="71" fillId="15" borderId="102" xfId="1" applyNumberFormat="1" applyFont="1" applyFill="1" applyBorder="1" applyProtection="1">
      <protection locked="0"/>
    </xf>
    <xf numFmtId="0" fontId="83" fillId="11" borderId="108" xfId="0" applyFont="1" applyFill="1" applyBorder="1" applyAlignment="1">
      <alignment horizontal="left" vertical="center" wrapText="1"/>
    </xf>
    <xf numFmtId="167" fontId="83" fillId="11" borderId="106" xfId="1" applyNumberFormat="1" applyFont="1" applyFill="1" applyBorder="1"/>
    <xf numFmtId="167" fontId="83" fillId="11" borderId="102" xfId="1" applyNumberFormat="1" applyFont="1" applyFill="1" applyBorder="1"/>
    <xf numFmtId="167" fontId="83" fillId="14" borderId="106" xfId="1" applyNumberFormat="1" applyFont="1" applyFill="1" applyBorder="1"/>
    <xf numFmtId="49" fontId="72" fillId="0" borderId="102" xfId="0" applyNumberFormat="1" applyFont="1" applyBorder="1" applyAlignment="1">
      <alignment horizontal="center"/>
    </xf>
    <xf numFmtId="167" fontId="72" fillId="25" borderId="99" xfId="23" applyNumberFormat="1" applyFont="1" applyFill="1" applyBorder="1" applyProtection="1">
      <protection locked="0"/>
    </xf>
    <xf numFmtId="0" fontId="83" fillId="11" borderId="102" xfId="0" applyFont="1" applyFill="1" applyBorder="1" applyAlignment="1">
      <alignment wrapText="1"/>
    </xf>
    <xf numFmtId="49" fontId="83" fillId="11" borderId="102" xfId="0" applyNumberFormat="1" applyFont="1" applyFill="1" applyBorder="1" applyAlignment="1">
      <alignment horizontal="center"/>
    </xf>
    <xf numFmtId="167" fontId="83" fillId="25" borderId="0" xfId="23" applyNumberFormat="1" applyFont="1" applyFill="1" applyBorder="1"/>
    <xf numFmtId="49" fontId="83" fillId="11" borderId="107" xfId="0" applyNumberFormat="1" applyFont="1" applyFill="1" applyBorder="1" applyAlignment="1">
      <alignment horizontal="center"/>
    </xf>
    <xf numFmtId="0" fontId="72" fillId="0" borderId="102" xfId="0" applyFont="1" applyBorder="1" applyAlignment="1">
      <alignment wrapText="1"/>
    </xf>
    <xf numFmtId="0" fontId="72" fillId="0" borderId="109" xfId="0" applyFont="1" applyBorder="1" applyAlignment="1">
      <alignment horizontal="left" vertical="center" wrapText="1"/>
    </xf>
    <xf numFmtId="0" fontId="72" fillId="0" borderId="110" xfId="0" applyFont="1" applyBorder="1"/>
    <xf numFmtId="49" fontId="72" fillId="0" borderId="110" xfId="0" applyNumberFormat="1" applyFont="1" applyBorder="1" applyAlignment="1">
      <alignment horizontal="center"/>
    </xf>
    <xf numFmtId="0" fontId="72" fillId="0" borderId="110" xfId="0" applyFont="1" applyBorder="1" applyAlignment="1">
      <alignment horizontal="left" vertical="center" wrapText="1"/>
    </xf>
    <xf numFmtId="167" fontId="72" fillId="14" borderId="109" xfId="23" applyNumberFormat="1" applyFont="1" applyFill="1" applyBorder="1" applyProtection="1">
      <protection locked="0"/>
    </xf>
    <xf numFmtId="0" fontId="83" fillId="11" borderId="110" xfId="0" applyFont="1" applyFill="1" applyBorder="1"/>
    <xf numFmtId="49" fontId="83" fillId="11" borderId="110" xfId="0" applyNumberFormat="1" applyFont="1" applyFill="1" applyBorder="1" applyAlignment="1">
      <alignment horizontal="center"/>
    </xf>
    <xf numFmtId="0" fontId="87" fillId="11" borderId="110" xfId="0" applyFont="1" applyFill="1" applyBorder="1" applyAlignment="1">
      <alignment horizontal="right" vertical="center" wrapText="1"/>
    </xf>
    <xf numFmtId="0" fontId="72" fillId="0" borderId="110" xfId="0" applyFont="1" applyBorder="1" applyAlignment="1">
      <alignment wrapText="1"/>
    </xf>
    <xf numFmtId="0" fontId="83" fillId="11" borderId="110" xfId="0" applyFont="1" applyFill="1" applyBorder="1" applyAlignment="1">
      <alignment horizontal="left" vertical="center" wrapText="1"/>
    </xf>
    <xf numFmtId="167" fontId="83" fillId="11" borderId="110" xfId="23" applyNumberFormat="1" applyFont="1" applyFill="1" applyBorder="1" applyProtection="1">
      <protection locked="0"/>
    </xf>
    <xf numFmtId="0" fontId="83" fillId="0" borderId="110" xfId="0" applyFont="1" applyBorder="1"/>
    <xf numFmtId="49" fontId="83" fillId="0" borderId="110" xfId="0" applyNumberFormat="1" applyFont="1" applyBorder="1" applyAlignment="1">
      <alignment horizontal="center"/>
    </xf>
    <xf numFmtId="0" fontId="89" fillId="11" borderId="110" xfId="0" applyFont="1" applyFill="1" applyBorder="1"/>
    <xf numFmtId="0" fontId="83" fillId="11" borderId="110" xfId="0" applyFont="1" applyFill="1" applyBorder="1" applyAlignment="1">
      <alignment vertical="center"/>
    </xf>
    <xf numFmtId="0" fontId="82" fillId="11" borderId="110" xfId="0" applyFont="1" applyFill="1" applyBorder="1"/>
    <xf numFmtId="0" fontId="72" fillId="11" borderId="110" xfId="0" applyFont="1" applyFill="1" applyBorder="1"/>
    <xf numFmtId="167" fontId="86" fillId="11" borderId="109" xfId="23" applyNumberFormat="1" applyFont="1" applyFill="1" applyBorder="1" applyProtection="1">
      <protection locked="0"/>
    </xf>
    <xf numFmtId="167" fontId="83" fillId="11" borderId="109" xfId="23" applyNumberFormat="1" applyFont="1" applyFill="1" applyBorder="1" applyProtection="1">
      <protection locked="0"/>
    </xf>
    <xf numFmtId="167" fontId="87" fillId="11" borderId="109" xfId="23" applyNumberFormat="1" applyFont="1" applyFill="1" applyBorder="1" applyProtection="1">
      <protection locked="0"/>
    </xf>
    <xf numFmtId="0" fontId="83" fillId="11" borderId="110" xfId="0" applyFont="1" applyFill="1" applyBorder="1" applyAlignment="1">
      <alignment horizontal="left" wrapText="1"/>
    </xf>
    <xf numFmtId="0" fontId="83" fillId="11" borderId="110" xfId="0" applyFont="1" applyFill="1" applyBorder="1" applyAlignment="1">
      <alignment vertical="center" wrapText="1"/>
    </xf>
    <xf numFmtId="0" fontId="83" fillId="0" borderId="110" xfId="0" applyFont="1" applyBorder="1" applyAlignment="1">
      <alignment wrapText="1"/>
    </xf>
    <xf numFmtId="0" fontId="72" fillId="0" borderId="110" xfId="0" applyFont="1" applyBorder="1" applyAlignment="1">
      <alignment horizontal="center"/>
    </xf>
    <xf numFmtId="0" fontId="83" fillId="11" borderId="110" xfId="0" applyFont="1" applyFill="1" applyBorder="1" applyAlignment="1">
      <alignment horizontal="center"/>
    </xf>
    <xf numFmtId="0" fontId="82" fillId="0" borderId="110" xfId="0" applyFont="1" applyBorder="1"/>
    <xf numFmtId="0" fontId="72" fillId="11" borderId="110" xfId="0" applyFont="1" applyFill="1" applyBorder="1" applyAlignment="1">
      <alignment horizontal="left" vertical="center" wrapText="1"/>
    </xf>
    <xf numFmtId="0" fontId="83" fillId="11" borderId="110" xfId="0" applyFont="1" applyFill="1" applyBorder="1" applyAlignment="1">
      <alignment horizontal="right" vertical="center" wrapText="1"/>
    </xf>
    <xf numFmtId="0" fontId="47" fillId="7" borderId="0" xfId="43" quotePrefix="1" applyFont="1" applyFill="1"/>
    <xf numFmtId="167" fontId="201" fillId="15" borderId="99" xfId="24" applyNumberFormat="1" applyFont="1" applyFill="1" applyBorder="1" applyAlignment="1" applyProtection="1">
      <alignment horizontal="center"/>
      <protection locked="0"/>
    </xf>
    <xf numFmtId="0" fontId="149" fillId="11" borderId="11" xfId="0" applyFont="1" applyFill="1" applyBorder="1" applyAlignment="1">
      <alignment horizontal="right" vertical="center" wrapText="1"/>
    </xf>
    <xf numFmtId="167" fontId="90" fillId="11" borderId="106" xfId="19" applyNumberFormat="1" applyFont="1" applyFill="1" applyBorder="1" applyProtection="1">
      <protection locked="0"/>
    </xf>
    <xf numFmtId="167" fontId="86" fillId="11" borderId="110" xfId="19" applyNumberFormat="1" applyFont="1" applyFill="1" applyBorder="1" applyProtection="1">
      <protection locked="0"/>
    </xf>
    <xf numFmtId="167" fontId="83" fillId="11" borderId="110" xfId="19" applyNumberFormat="1" applyFont="1" applyFill="1" applyBorder="1" applyProtection="1">
      <protection locked="0"/>
    </xf>
    <xf numFmtId="0" fontId="83" fillId="11" borderId="0" xfId="0" applyFont="1" applyFill="1" applyAlignment="1">
      <alignment horizontal="left" wrapText="1"/>
    </xf>
    <xf numFmtId="0" fontId="71" fillId="0" borderId="102" xfId="0" applyFont="1" applyBorder="1"/>
    <xf numFmtId="0" fontId="83" fillId="23" borderId="89" xfId="0" applyFont="1" applyFill="1" applyBorder="1" applyAlignment="1">
      <alignment horizontal="left" vertical="top" wrapText="1"/>
    </xf>
    <xf numFmtId="167" fontId="194" fillId="11" borderId="89" xfId="19" applyNumberFormat="1" applyFont="1" applyFill="1" applyBorder="1" applyProtection="1">
      <protection locked="0"/>
    </xf>
    <xf numFmtId="0" fontId="86" fillId="0" borderId="0" xfId="0" applyFont="1"/>
    <xf numFmtId="0" fontId="83" fillId="0" borderId="110" xfId="0" applyFont="1" applyBorder="1" applyAlignment="1">
      <alignment horizontal="left" vertical="center" wrapText="1"/>
    </xf>
    <xf numFmtId="167" fontId="149" fillId="11" borderId="103" xfId="22" applyNumberFormat="1" applyFont="1" applyFill="1" applyBorder="1"/>
    <xf numFmtId="167" fontId="87" fillId="11" borderId="103" xfId="22" applyNumberFormat="1" applyFont="1" applyFill="1" applyBorder="1"/>
    <xf numFmtId="167" fontId="84" fillId="14" borderId="103" xfId="19" applyNumberFormat="1" applyFont="1" applyFill="1" applyBorder="1" applyProtection="1">
      <protection locked="0"/>
    </xf>
    <xf numFmtId="167" fontId="83" fillId="0" borderId="0" xfId="0" applyNumberFormat="1" applyFont="1"/>
    <xf numFmtId="167" fontId="83" fillId="11" borderId="109" xfId="19" applyNumberFormat="1" applyFont="1" applyFill="1" applyBorder="1" applyProtection="1">
      <protection locked="0"/>
    </xf>
    <xf numFmtId="0" fontId="84" fillId="11" borderId="102" xfId="0" applyFont="1" applyFill="1" applyBorder="1" applyAlignment="1">
      <alignment vertical="center"/>
    </xf>
    <xf numFmtId="167" fontId="84" fillId="11" borderId="109" xfId="19" applyNumberFormat="1" applyFont="1" applyFill="1" applyBorder="1" applyAlignment="1" applyProtection="1">
      <alignment horizontal="center"/>
      <protection locked="0"/>
    </xf>
    <xf numFmtId="167" fontId="84" fillId="11" borderId="109" xfId="24" applyNumberFormat="1" applyFont="1" applyFill="1" applyBorder="1" applyAlignment="1" applyProtection="1">
      <alignment horizontal="center"/>
      <protection locked="0"/>
    </xf>
    <xf numFmtId="167" fontId="87" fillId="11" borderId="109" xfId="24" applyNumberFormat="1" applyFont="1" applyFill="1" applyBorder="1" applyProtection="1">
      <protection locked="0"/>
    </xf>
    <xf numFmtId="167" fontId="86" fillId="14" borderId="109" xfId="24" applyNumberFormat="1" applyFont="1" applyFill="1" applyBorder="1" applyProtection="1">
      <protection locked="0"/>
    </xf>
    <xf numFmtId="43" fontId="98" fillId="11" borderId="109" xfId="24" applyFont="1" applyFill="1" applyBorder="1" applyAlignment="1" applyProtection="1">
      <alignment horizontal="center"/>
      <protection locked="0"/>
    </xf>
    <xf numFmtId="43" fontId="96" fillId="11" borderId="109" xfId="24" applyFont="1" applyFill="1" applyBorder="1" applyAlignment="1" applyProtection="1">
      <alignment horizontal="center"/>
      <protection locked="0"/>
    </xf>
    <xf numFmtId="0" fontId="83" fillId="11" borderId="110" xfId="0" applyFont="1" applyFill="1" applyBorder="1" applyAlignment="1">
      <alignment wrapText="1"/>
    </xf>
    <xf numFmtId="167" fontId="83" fillId="11" borderId="110" xfId="24" applyNumberFormat="1" applyFont="1" applyFill="1" applyBorder="1" applyProtection="1">
      <protection locked="0"/>
    </xf>
    <xf numFmtId="43" fontId="91" fillId="11" borderId="110" xfId="24" applyFont="1" applyFill="1" applyBorder="1" applyAlignment="1" applyProtection="1">
      <alignment horizontal="center"/>
      <protection locked="0"/>
    </xf>
    <xf numFmtId="167" fontId="87" fillId="11" borderId="110" xfId="24" applyNumberFormat="1" applyFont="1" applyFill="1" applyBorder="1" applyProtection="1">
      <protection locked="0"/>
    </xf>
    <xf numFmtId="167" fontId="86" fillId="14" borderId="110" xfId="24" applyNumberFormat="1" applyFont="1" applyFill="1" applyBorder="1" applyProtection="1">
      <protection locked="0"/>
    </xf>
    <xf numFmtId="0" fontId="84" fillId="11" borderId="110" xfId="0" applyFont="1" applyFill="1" applyBorder="1" applyAlignment="1">
      <alignment horizontal="left" vertical="center" wrapText="1"/>
    </xf>
    <xf numFmtId="43" fontId="91" fillId="11" borderId="109" xfId="24" applyFont="1" applyFill="1" applyBorder="1" applyAlignment="1" applyProtection="1">
      <alignment horizontal="center"/>
      <protection locked="0"/>
    </xf>
    <xf numFmtId="167" fontId="87" fillId="11" borderId="109" xfId="24" applyNumberFormat="1" applyFont="1" applyFill="1" applyBorder="1" applyAlignment="1" applyProtection="1">
      <alignment horizontal="center" vertical="center"/>
      <protection locked="0"/>
    </xf>
    <xf numFmtId="43" fontId="71" fillId="11" borderId="110" xfId="24" applyFont="1" applyFill="1" applyBorder="1" applyAlignment="1" applyProtection="1">
      <alignment horizontal="center"/>
      <protection locked="0"/>
    </xf>
    <xf numFmtId="43" fontId="75" fillId="11" borderId="110" xfId="24" applyFont="1" applyFill="1" applyBorder="1" applyAlignment="1" applyProtection="1">
      <alignment horizontal="center"/>
      <protection locked="0"/>
    </xf>
    <xf numFmtId="43" fontId="75" fillId="11" borderId="109" xfId="24" applyFont="1" applyFill="1" applyBorder="1" applyAlignment="1" applyProtection="1">
      <alignment horizontal="center"/>
      <protection locked="0"/>
    </xf>
    <xf numFmtId="43" fontId="96" fillId="11" borderId="110" xfId="24" applyFont="1" applyFill="1" applyBorder="1" applyAlignment="1" applyProtection="1">
      <alignment horizontal="center"/>
      <protection locked="0"/>
    </xf>
    <xf numFmtId="167" fontId="87" fillId="14" borderId="110" xfId="24" applyNumberFormat="1" applyFont="1" applyFill="1" applyBorder="1" applyProtection="1">
      <protection locked="0"/>
    </xf>
    <xf numFmtId="167" fontId="87" fillId="14" borderId="109" xfId="24" applyNumberFormat="1" applyFont="1" applyFill="1" applyBorder="1" applyProtection="1">
      <protection locked="0"/>
    </xf>
    <xf numFmtId="43" fontId="72" fillId="11" borderId="110" xfId="24" applyFont="1" applyFill="1" applyBorder="1" applyProtection="1">
      <protection locked="0"/>
    </xf>
    <xf numFmtId="0" fontId="92" fillId="11" borderId="110" xfId="0" applyFont="1" applyFill="1" applyBorder="1" applyAlignment="1">
      <alignment horizontal="left" vertical="center" wrapText="1"/>
    </xf>
    <xf numFmtId="0" fontId="87" fillId="11" borderId="110" xfId="0" applyFont="1" applyFill="1" applyBorder="1" applyAlignment="1">
      <alignment horizontal="left" vertical="center" wrapText="1"/>
    </xf>
    <xf numFmtId="167" fontId="91" fillId="11" borderId="110" xfId="19" applyNumberFormat="1" applyFont="1" applyFill="1" applyBorder="1" applyAlignment="1" applyProtection="1">
      <alignment horizontal="center"/>
      <protection locked="0"/>
    </xf>
    <xf numFmtId="167" fontId="87" fillId="11" borderId="110" xfId="19" applyNumberFormat="1" applyFont="1" applyFill="1" applyBorder="1" applyProtection="1">
      <protection locked="0"/>
    </xf>
    <xf numFmtId="167" fontId="86" fillId="14" borderId="110" xfId="19" applyNumberFormat="1" applyFont="1" applyFill="1" applyBorder="1" applyProtection="1">
      <protection locked="0"/>
    </xf>
    <xf numFmtId="167" fontId="96" fillId="11" borderId="110" xfId="19" applyNumberFormat="1" applyFont="1" applyFill="1" applyBorder="1" applyAlignment="1" applyProtection="1">
      <alignment horizontal="center"/>
      <protection locked="0"/>
    </xf>
    <xf numFmtId="167" fontId="83" fillId="11" borderId="110" xfId="19" applyNumberFormat="1" applyFont="1" applyFill="1" applyBorder="1" applyAlignment="1" applyProtection="1">
      <alignment horizontal="center"/>
      <protection locked="0"/>
    </xf>
    <xf numFmtId="167" fontId="86" fillId="11" borderId="109" xfId="19" applyNumberFormat="1" applyFont="1" applyFill="1" applyBorder="1" applyAlignment="1" applyProtection="1">
      <alignment horizontal="center"/>
      <protection locked="0"/>
    </xf>
    <xf numFmtId="167" fontId="84" fillId="11" borderId="102" xfId="19" applyNumberFormat="1" applyFont="1" applyFill="1" applyBorder="1" applyProtection="1">
      <protection locked="0"/>
    </xf>
    <xf numFmtId="167" fontId="84" fillId="11" borderId="102" xfId="19" applyNumberFormat="1" applyFont="1" applyFill="1" applyBorder="1" applyAlignment="1">
      <alignment horizontal="center"/>
    </xf>
    <xf numFmtId="167" fontId="84" fillId="14" borderId="102" xfId="19" applyNumberFormat="1" applyFont="1" applyFill="1" applyBorder="1" applyProtection="1">
      <protection locked="0"/>
    </xf>
    <xf numFmtId="167" fontId="87" fillId="11" borderId="109" xfId="19" applyNumberFormat="1" applyFont="1" applyFill="1" applyBorder="1" applyProtection="1">
      <protection locked="0"/>
    </xf>
    <xf numFmtId="167" fontId="86" fillId="14" borderId="109" xfId="19" applyNumberFormat="1" applyFont="1" applyFill="1" applyBorder="1" applyProtection="1">
      <protection locked="0"/>
    </xf>
    <xf numFmtId="167" fontId="83" fillId="14" borderId="109" xfId="19" applyNumberFormat="1" applyFont="1" applyFill="1" applyBorder="1" applyProtection="1">
      <protection locked="0"/>
    </xf>
    <xf numFmtId="167" fontId="86" fillId="11" borderId="109" xfId="19" applyNumberFormat="1" applyFont="1" applyFill="1" applyBorder="1" applyProtection="1">
      <protection locked="0"/>
    </xf>
    <xf numFmtId="167" fontId="83" fillId="14" borderId="102" xfId="23" applyNumberFormat="1" applyFont="1" applyFill="1" applyBorder="1" applyProtection="1">
      <protection locked="0"/>
    </xf>
    <xf numFmtId="167" fontId="149" fillId="11" borderId="109" xfId="23" applyNumberFormat="1" applyFont="1" applyFill="1" applyBorder="1" applyProtection="1">
      <protection locked="0"/>
    </xf>
    <xf numFmtId="0" fontId="87" fillId="11" borderId="69" xfId="0" applyFont="1" applyFill="1" applyBorder="1" applyAlignment="1">
      <alignment horizontal="left" vertical="center" wrapText="1"/>
    </xf>
    <xf numFmtId="0" fontId="83" fillId="0" borderId="54" xfId="0" applyFont="1" applyBorder="1"/>
    <xf numFmtId="167" fontId="86" fillId="14" borderId="106" xfId="19" applyNumberFormat="1" applyFont="1" applyFill="1" applyBorder="1"/>
    <xf numFmtId="0" fontId="84" fillId="11" borderId="110" xfId="0" applyFont="1" applyFill="1" applyBorder="1"/>
    <xf numFmtId="167" fontId="87" fillId="11" borderId="106" xfId="22" applyNumberFormat="1" applyFont="1" applyFill="1" applyBorder="1"/>
    <xf numFmtId="167" fontId="90" fillId="11" borderId="110" xfId="19" applyNumberFormat="1" applyFont="1" applyFill="1" applyBorder="1"/>
    <xf numFmtId="167" fontId="83" fillId="11" borderId="110" xfId="19" applyNumberFormat="1" applyFont="1" applyFill="1" applyBorder="1"/>
    <xf numFmtId="167" fontId="87" fillId="11" borderId="110" xfId="19" applyNumberFormat="1" applyFont="1" applyFill="1" applyBorder="1"/>
    <xf numFmtId="167" fontId="87" fillId="14" borderId="106" xfId="19" applyNumberFormat="1" applyFont="1" applyFill="1" applyBorder="1"/>
    <xf numFmtId="167" fontId="72" fillId="14" borderId="106" xfId="19" applyNumberFormat="1" applyFont="1" applyFill="1" applyBorder="1"/>
    <xf numFmtId="167" fontId="83" fillId="11" borderId="106" xfId="19" applyNumberFormat="1" applyFont="1" applyFill="1" applyBorder="1"/>
    <xf numFmtId="0" fontId="83" fillId="11" borderId="110" xfId="0" quotePrefix="1" applyFont="1" applyFill="1" applyBorder="1" applyAlignment="1">
      <alignment horizontal="left" vertical="center" wrapText="1"/>
    </xf>
    <xf numFmtId="0" fontId="201" fillId="11" borderId="110" xfId="0" applyFont="1" applyFill="1" applyBorder="1" applyAlignment="1">
      <alignment horizontal="left" vertical="center" wrapText="1"/>
    </xf>
    <xf numFmtId="167" fontId="86" fillId="11" borderId="106" xfId="19" applyNumberFormat="1" applyFont="1" applyFill="1" applyBorder="1"/>
    <xf numFmtId="0" fontId="84" fillId="11" borderId="110" xfId="0" applyFont="1" applyFill="1" applyBorder="1" applyAlignment="1">
      <alignment horizontal="right" vertical="center" wrapText="1"/>
    </xf>
    <xf numFmtId="0" fontId="214" fillId="0" borderId="0" xfId="0" applyFont="1"/>
    <xf numFmtId="0" fontId="214" fillId="0" borderId="0" xfId="0" applyFont="1" applyAlignment="1">
      <alignment wrapText="1"/>
    </xf>
    <xf numFmtId="43" fontId="91" fillId="11" borderId="112" xfId="24" applyFont="1" applyFill="1" applyBorder="1" applyAlignment="1" applyProtection="1">
      <alignment horizontal="center"/>
      <protection locked="0"/>
    </xf>
    <xf numFmtId="167" fontId="86" fillId="14" borderId="112" xfId="24" applyNumberFormat="1" applyFont="1" applyFill="1" applyBorder="1" applyProtection="1">
      <protection locked="0"/>
    </xf>
    <xf numFmtId="0" fontId="72" fillId="0" borderId="102" xfId="0" applyFont="1" applyBorder="1" applyAlignment="1">
      <alignment horizontal="center" vertical="center"/>
    </xf>
    <xf numFmtId="0" fontId="72" fillId="0" borderId="102" xfId="0" applyFont="1" applyBorder="1" applyAlignment="1">
      <alignment horizontal="left" vertical="center"/>
    </xf>
    <xf numFmtId="0" fontId="83" fillId="11" borderId="102" xfId="0" applyFont="1" applyFill="1" applyBorder="1" applyAlignment="1">
      <alignment horizontal="center" vertical="center"/>
    </xf>
    <xf numFmtId="0" fontId="100" fillId="11" borderId="102" xfId="0" applyFont="1" applyFill="1" applyBorder="1" applyAlignment="1">
      <alignment horizontal="center" vertical="center"/>
    </xf>
    <xf numFmtId="0" fontId="100" fillId="11" borderId="102" xfId="0" applyFont="1" applyFill="1" applyBorder="1"/>
    <xf numFmtId="0" fontId="101" fillId="0" borderId="102" xfId="0" applyFont="1" applyBorder="1" applyAlignment="1">
      <alignment horizontal="center" vertical="center"/>
    </xf>
    <xf numFmtId="0" fontId="101" fillId="0" borderId="102" xfId="0" applyFont="1" applyBorder="1"/>
    <xf numFmtId="0" fontId="100" fillId="11" borderId="103" xfId="0" applyFont="1" applyFill="1" applyBorder="1" applyAlignment="1">
      <alignment horizontal="center" vertical="center"/>
    </xf>
    <xf numFmtId="0" fontId="81" fillId="0" borderId="102" xfId="0" applyFont="1" applyBorder="1" applyAlignment="1">
      <alignment horizontal="center" vertical="center"/>
    </xf>
    <xf numFmtId="0" fontId="84" fillId="11" borderId="102" xfId="0" applyFont="1" applyFill="1" applyBorder="1" applyAlignment="1">
      <alignment horizontal="center" vertical="center"/>
    </xf>
    <xf numFmtId="167" fontId="72" fillId="15" borderId="112" xfId="1" applyNumberFormat="1" applyFont="1" applyFill="1" applyBorder="1" applyAlignment="1" applyProtection="1">
      <alignment horizontal="center" vertical="center"/>
      <protection locked="0"/>
    </xf>
    <xf numFmtId="167" fontId="71" fillId="15" borderId="102" xfId="1" applyNumberFormat="1" applyFont="1" applyFill="1" applyBorder="1" applyAlignment="1" applyProtection="1">
      <alignment horizontal="center" vertical="center"/>
      <protection locked="0"/>
    </xf>
    <xf numFmtId="167" fontId="83" fillId="11" borderId="112" xfId="1" applyNumberFormat="1" applyFont="1" applyFill="1" applyBorder="1" applyAlignment="1" applyProtection="1">
      <alignment horizontal="center" vertical="center"/>
      <protection locked="0"/>
    </xf>
    <xf numFmtId="167" fontId="70" fillId="11" borderId="112" xfId="1" applyNumberFormat="1" applyFont="1" applyFill="1" applyBorder="1" applyAlignment="1" applyProtection="1">
      <alignment horizontal="center" vertical="center"/>
      <protection locked="0"/>
    </xf>
    <xf numFmtId="167" fontId="70" fillId="15" borderId="102" xfId="1" applyNumberFormat="1" applyFont="1" applyFill="1" applyBorder="1" applyAlignment="1" applyProtection="1">
      <alignment horizontal="center" vertical="center"/>
      <protection locked="0"/>
    </xf>
    <xf numFmtId="167" fontId="72" fillId="14" borderId="102" xfId="1" applyNumberFormat="1" applyFont="1" applyFill="1" applyBorder="1" applyProtection="1">
      <protection locked="0"/>
    </xf>
    <xf numFmtId="167" fontId="87" fillId="11" borderId="112" xfId="1" applyNumberFormat="1" applyFont="1" applyFill="1" applyBorder="1" applyAlignment="1" applyProtection="1">
      <alignment horizontal="center" vertical="center"/>
      <protection locked="0"/>
    </xf>
    <xf numFmtId="167" fontId="72" fillId="15" borderId="102" xfId="1" applyNumberFormat="1" applyFont="1" applyFill="1" applyBorder="1" applyAlignment="1" applyProtection="1">
      <alignment vertical="center"/>
      <protection locked="0"/>
    </xf>
    <xf numFmtId="167" fontId="76" fillId="15" borderId="112" xfId="1" applyNumberFormat="1" applyFont="1" applyFill="1" applyBorder="1" applyAlignment="1" applyProtection="1">
      <alignment horizontal="center" vertical="center"/>
      <protection locked="0"/>
    </xf>
    <xf numFmtId="167" fontId="75" fillId="15" borderId="102" xfId="1" applyNumberFormat="1" applyFont="1" applyFill="1" applyBorder="1" applyAlignment="1" applyProtection="1">
      <alignment horizontal="center" vertical="center"/>
      <protection locked="0"/>
    </xf>
    <xf numFmtId="167" fontId="86" fillId="14" borderId="112" xfId="1" applyNumberFormat="1" applyFont="1" applyFill="1" applyBorder="1" applyProtection="1">
      <protection locked="0"/>
    </xf>
    <xf numFmtId="167" fontId="91" fillId="11" borderId="112" xfId="1" applyNumberFormat="1" applyFont="1" applyFill="1" applyBorder="1" applyAlignment="1" applyProtection="1">
      <alignment horizontal="center" vertical="center"/>
      <protection locked="0"/>
    </xf>
    <xf numFmtId="167" fontId="96" fillId="11" borderId="112" xfId="1" applyNumberFormat="1" applyFont="1" applyFill="1" applyBorder="1" applyAlignment="1" applyProtection="1">
      <alignment horizontal="center" vertical="center"/>
      <protection locked="0"/>
    </xf>
    <xf numFmtId="167" fontId="71" fillId="15" borderId="102" xfId="1" applyNumberFormat="1" applyFont="1" applyFill="1" applyBorder="1" applyAlignment="1" applyProtection="1">
      <alignment vertical="center"/>
      <protection locked="0"/>
    </xf>
    <xf numFmtId="167" fontId="201" fillId="15" borderId="102" xfId="1" applyNumberFormat="1" applyFont="1" applyFill="1" applyBorder="1" applyProtection="1">
      <protection locked="0"/>
    </xf>
    <xf numFmtId="167" fontId="149" fillId="11" borderId="106" xfId="1" applyNumberFormat="1" applyFont="1" applyFill="1" applyBorder="1"/>
    <xf numFmtId="0" fontId="149" fillId="11" borderId="110" xfId="0" applyFont="1" applyFill="1" applyBorder="1" applyAlignment="1">
      <alignment horizontal="left" vertical="center" wrapText="1"/>
    </xf>
    <xf numFmtId="167" fontId="149" fillId="11" borderId="106" xfId="22" applyNumberFormat="1" applyFont="1" applyFill="1" applyBorder="1"/>
    <xf numFmtId="167" fontId="84" fillId="14" borderId="106" xfId="19" applyNumberFormat="1" applyFont="1" applyFill="1" applyBorder="1" applyProtection="1">
      <protection locked="0"/>
    </xf>
    <xf numFmtId="0" fontId="86" fillId="11" borderId="110" xfId="0" applyFont="1" applyFill="1" applyBorder="1"/>
    <xf numFmtId="0" fontId="86" fillId="11" borderId="86" xfId="0" applyFont="1" applyFill="1" applyBorder="1" applyAlignment="1">
      <alignment vertical="top"/>
    </xf>
    <xf numFmtId="0" fontId="86" fillId="11" borderId="110" xfId="0" applyFont="1" applyFill="1" applyBorder="1" applyAlignment="1">
      <alignment vertical="top"/>
    </xf>
    <xf numFmtId="0" fontId="155" fillId="0" borderId="0" xfId="0" applyFont="1"/>
    <xf numFmtId="43" fontId="0" fillId="0" borderId="0" xfId="1" applyFont="1"/>
    <xf numFmtId="43" fontId="52" fillId="0" borderId="3" xfId="1" applyFont="1" applyBorder="1" applyAlignment="1">
      <alignment horizontal="center" vertical="center" wrapText="1"/>
    </xf>
    <xf numFmtId="43" fontId="111" fillId="0" borderId="0" xfId="1" applyFont="1" applyAlignment="1">
      <alignment horizontal="left" wrapText="1"/>
    </xf>
    <xf numFmtId="43" fontId="47" fillId="4" borderId="12" xfId="1" applyFont="1" applyFill="1" applyBorder="1"/>
    <xf numFmtId="43" fontId="55" fillId="0" borderId="3" xfId="1" applyFont="1" applyBorder="1" applyAlignment="1">
      <alignment horizontal="center" vertical="center" wrapText="1"/>
    </xf>
    <xf numFmtId="43" fontId="55" fillId="5" borderId="22" xfId="1" applyFont="1" applyFill="1" applyBorder="1"/>
    <xf numFmtId="43" fontId="49" fillId="4" borderId="12" xfId="1" applyFont="1" applyFill="1" applyBorder="1"/>
    <xf numFmtId="43" fontId="47" fillId="6" borderId="12" xfId="1" applyFont="1" applyFill="1" applyBorder="1"/>
    <xf numFmtId="43" fontId="148" fillId="6" borderId="12" xfId="1" applyFont="1" applyFill="1" applyBorder="1"/>
    <xf numFmtId="43" fontId="47" fillId="6" borderId="12" xfId="1" quotePrefix="1" applyFont="1" applyFill="1" applyBorder="1" applyAlignment="1">
      <alignment wrapText="1"/>
    </xf>
    <xf numFmtId="43" fontId="47" fillId="4" borderId="12" xfId="1" applyFont="1" applyFill="1" applyBorder="1" applyAlignment="1">
      <alignment wrapText="1"/>
    </xf>
    <xf numFmtId="43" fontId="55" fillId="5" borderId="12" xfId="1" applyFont="1" applyFill="1" applyBorder="1"/>
    <xf numFmtId="43" fontId="144" fillId="6" borderId="12" xfId="1" applyFont="1" applyFill="1" applyBorder="1"/>
    <xf numFmtId="43" fontId="154" fillId="6" borderId="12" xfId="1" applyFont="1" applyFill="1" applyBorder="1"/>
    <xf numFmtId="43" fontId="154" fillId="6" borderId="94" xfId="1" applyFont="1" applyFill="1" applyBorder="1"/>
    <xf numFmtId="43" fontId="55" fillId="4" borderId="12" xfId="1" applyFont="1" applyFill="1" applyBorder="1"/>
    <xf numFmtId="43" fontId="49" fillId="6" borderId="12" xfId="1" applyFont="1" applyFill="1" applyBorder="1"/>
    <xf numFmtId="43" fontId="49" fillId="6" borderId="94" xfId="1" applyFont="1" applyFill="1" applyBorder="1"/>
    <xf numFmtId="43" fontId="62" fillId="6" borderId="12" xfId="1" applyFont="1" applyFill="1" applyBorder="1"/>
    <xf numFmtId="43" fontId="148" fillId="6" borderId="62" xfId="1" applyFont="1" applyFill="1" applyBorder="1"/>
    <xf numFmtId="43" fontId="62" fillId="6" borderId="62" xfId="1" applyFont="1" applyFill="1" applyBorder="1"/>
    <xf numFmtId="43" fontId="49" fillId="6" borderId="62" xfId="1" applyFont="1" applyFill="1" applyBorder="1"/>
    <xf numFmtId="43" fontId="62" fillId="4" borderId="12" xfId="1" applyFont="1" applyFill="1" applyBorder="1"/>
    <xf numFmtId="43" fontId="62" fillId="6" borderId="94" xfId="1" applyFont="1" applyFill="1" applyBorder="1"/>
    <xf numFmtId="43" fontId="62" fillId="6" borderId="12" xfId="1" quotePrefix="1" applyFont="1" applyFill="1" applyBorder="1" applyAlignment="1">
      <alignment wrapText="1"/>
    </xf>
    <xf numFmtId="167" fontId="47" fillId="4" borderId="12" xfId="1" applyNumberFormat="1" applyFont="1" applyFill="1" applyBorder="1" applyAlignment="1">
      <alignment wrapText="1"/>
    </xf>
    <xf numFmtId="167" fontId="47" fillId="6" borderId="12" xfId="1" applyNumberFormat="1" applyFont="1" applyFill="1" applyBorder="1" applyAlignment="1">
      <alignment wrapText="1"/>
    </xf>
    <xf numFmtId="3" fontId="112" fillId="0" borderId="12" xfId="43" applyNumberFormat="1" applyFont="1" applyBorder="1"/>
    <xf numFmtId="43" fontId="218" fillId="0" borderId="0" xfId="173" applyNumberFormat="1" applyAlignment="1">
      <alignment wrapText="1"/>
    </xf>
    <xf numFmtId="43" fontId="104" fillId="0" borderId="0" xfId="1" applyFont="1" applyFill="1" applyAlignment="1">
      <alignment wrapText="1"/>
    </xf>
    <xf numFmtId="3" fontId="47" fillId="0" borderId="94" xfId="3" applyNumberFormat="1" applyFont="1" applyBorder="1"/>
    <xf numFmtId="167" fontId="87" fillId="11" borderId="112" xfId="24" applyNumberFormat="1" applyFont="1" applyFill="1" applyBorder="1" applyProtection="1">
      <protection locked="0"/>
    </xf>
    <xf numFmtId="167" fontId="87" fillId="11" borderId="112" xfId="19" applyNumberFormat="1" applyFont="1" applyFill="1" applyBorder="1" applyProtection="1">
      <protection locked="0"/>
    </xf>
    <xf numFmtId="167" fontId="87" fillId="11" borderId="112" xfId="19" applyNumberFormat="1" applyFont="1" applyFill="1" applyBorder="1" applyAlignment="1" applyProtection="1">
      <alignment wrapText="1"/>
      <protection locked="0"/>
    </xf>
    <xf numFmtId="167" fontId="87" fillId="14" borderId="112" xfId="19" applyNumberFormat="1" applyFont="1" applyFill="1" applyBorder="1" applyProtection="1">
      <protection locked="0"/>
    </xf>
    <xf numFmtId="167" fontId="87" fillId="11" borderId="60" xfId="19" applyNumberFormat="1" applyFont="1" applyFill="1" applyBorder="1" applyProtection="1">
      <protection locked="0"/>
    </xf>
    <xf numFmtId="0" fontId="68" fillId="11" borderId="110" xfId="0" applyFont="1" applyFill="1" applyBorder="1" applyAlignment="1">
      <alignment horizontal="justify" wrapText="1"/>
    </xf>
    <xf numFmtId="43" fontId="96" fillId="11" borderId="112" xfId="24" applyFont="1" applyFill="1" applyBorder="1" applyAlignment="1" applyProtection="1">
      <alignment horizontal="center"/>
      <protection locked="0"/>
    </xf>
    <xf numFmtId="167" fontId="70" fillId="11" borderId="112" xfId="24" applyNumberFormat="1" applyFont="1" applyFill="1" applyBorder="1" applyProtection="1">
      <protection locked="0"/>
    </xf>
    <xf numFmtId="49" fontId="52" fillId="0" borderId="0" xfId="43" applyNumberFormat="1" applyFont="1" applyAlignment="1">
      <alignment horizontal="left" indent="1"/>
    </xf>
    <xf numFmtId="49" fontId="52" fillId="0" borderId="0" xfId="43" applyNumberFormat="1" applyFont="1" applyAlignment="1">
      <alignment horizontal="left" wrapText="1" indent="2"/>
    </xf>
    <xf numFmtId="3" fontId="50" fillId="0" borderId="0" xfId="3" applyNumberFormat="1" applyFont="1"/>
    <xf numFmtId="3" fontId="56" fillId="0" borderId="0" xfId="3" applyNumberFormat="1" applyFont="1"/>
    <xf numFmtId="167" fontId="52" fillId="0" borderId="0" xfId="1" applyNumberFormat="1" applyFont="1" applyFill="1" applyBorder="1"/>
    <xf numFmtId="167" fontId="72" fillId="11" borderId="0" xfId="24" applyNumberFormat="1" applyFont="1" applyFill="1" applyBorder="1" applyProtection="1">
      <protection locked="0"/>
    </xf>
    <xf numFmtId="167" fontId="72" fillId="15" borderId="70" xfId="19" applyNumberFormat="1" applyFont="1" applyFill="1" applyBorder="1" applyProtection="1">
      <protection locked="0"/>
    </xf>
    <xf numFmtId="167" fontId="72" fillId="11" borderId="112" xfId="1" applyNumberFormat="1" applyFont="1" applyFill="1" applyBorder="1" applyAlignment="1" applyProtection="1">
      <alignment horizontal="center" vertical="center"/>
      <protection locked="0"/>
    </xf>
    <xf numFmtId="167" fontId="83" fillId="11" borderId="115" xfId="1" applyNumberFormat="1" applyFont="1" applyFill="1" applyBorder="1" applyProtection="1">
      <protection locked="0"/>
    </xf>
    <xf numFmtId="167" fontId="87" fillId="11" borderId="115" xfId="1" applyNumberFormat="1" applyFont="1" applyFill="1" applyBorder="1" applyProtection="1">
      <protection locked="0"/>
    </xf>
    <xf numFmtId="167" fontId="86" fillId="14" borderId="115" xfId="1" applyNumberFormat="1" applyFont="1" applyFill="1" applyBorder="1" applyProtection="1">
      <protection locked="0"/>
    </xf>
    <xf numFmtId="167" fontId="83" fillId="11" borderId="115" xfId="19" applyNumberFormat="1" applyFont="1" applyFill="1" applyBorder="1" applyProtection="1">
      <protection locked="0"/>
    </xf>
    <xf numFmtId="167" fontId="87" fillId="11" borderId="115" xfId="19" applyNumberFormat="1" applyFont="1" applyFill="1" applyBorder="1" applyProtection="1">
      <protection locked="0"/>
    </xf>
    <xf numFmtId="167" fontId="86" fillId="14" borderId="115" xfId="19" applyNumberFormat="1" applyFont="1" applyFill="1" applyBorder="1" applyProtection="1">
      <protection locked="0"/>
    </xf>
    <xf numFmtId="167" fontId="86" fillId="11" borderId="115" xfId="19" applyNumberFormat="1" applyFont="1" applyFill="1" applyBorder="1" applyProtection="1">
      <protection locked="0"/>
    </xf>
    <xf numFmtId="49" fontId="59" fillId="4" borderId="10" xfId="43" applyNumberFormat="1" applyFont="1" applyFill="1" applyBorder="1" applyAlignment="1">
      <alignment horizontal="right" indent="1"/>
    </xf>
    <xf numFmtId="170" fontId="83" fillId="18" borderId="103" xfId="19" applyNumberFormat="1" applyFont="1" applyFill="1" applyBorder="1" applyAlignment="1" applyProtection="1">
      <protection locked="0"/>
    </xf>
    <xf numFmtId="167" fontId="83" fillId="11" borderId="102" xfId="19" applyNumberFormat="1" applyFont="1" applyFill="1" applyBorder="1" applyAlignment="1" applyProtection="1">
      <alignment wrapText="1"/>
      <protection locked="0"/>
    </xf>
    <xf numFmtId="167" fontId="72" fillId="15" borderId="102" xfId="19" applyNumberFormat="1" applyFont="1" applyFill="1" applyBorder="1" applyAlignment="1" applyProtection="1">
      <alignment wrapText="1"/>
      <protection locked="0"/>
    </xf>
    <xf numFmtId="167" fontId="47" fillId="6" borderId="12" xfId="1" quotePrefix="1" applyNumberFormat="1" applyFont="1" applyFill="1" applyBorder="1" applyAlignment="1">
      <alignment wrapText="1"/>
    </xf>
    <xf numFmtId="0" fontId="83" fillId="11" borderId="113" xfId="0" applyFont="1" applyFill="1" applyBorder="1"/>
    <xf numFmtId="167" fontId="204" fillId="11" borderId="115" xfId="19" applyNumberFormat="1" applyFont="1" applyFill="1" applyBorder="1" applyProtection="1">
      <protection locked="0"/>
    </xf>
    <xf numFmtId="167" fontId="149" fillId="11" borderId="115" xfId="22" applyNumberFormat="1" applyFont="1" applyFill="1" applyBorder="1"/>
    <xf numFmtId="167" fontId="87" fillId="11" borderId="115" xfId="22" applyNumberFormat="1" applyFont="1" applyFill="1" applyBorder="1"/>
    <xf numFmtId="167" fontId="84" fillId="14" borderId="115" xfId="19" applyNumberFormat="1" applyFont="1" applyFill="1" applyBorder="1" applyProtection="1">
      <protection locked="0"/>
    </xf>
    <xf numFmtId="167" fontId="72" fillId="14" borderId="115" xfId="19" applyNumberFormat="1" applyFont="1" applyFill="1" applyBorder="1" applyProtection="1">
      <protection locked="0"/>
    </xf>
    <xf numFmtId="43" fontId="62" fillId="6" borderId="12" xfId="1" applyFont="1" applyFill="1" applyBorder="1" applyAlignment="1">
      <alignment wrapText="1"/>
    </xf>
    <xf numFmtId="167" fontId="112" fillId="6" borderId="12" xfId="1" applyNumberFormat="1" applyFont="1" applyFill="1" applyBorder="1" applyAlignment="1">
      <alignment wrapText="1"/>
    </xf>
    <xf numFmtId="167" fontId="62" fillId="6" borderId="12" xfId="1" quotePrefix="1" applyNumberFormat="1" applyFont="1" applyFill="1" applyBorder="1" applyAlignment="1">
      <alignment wrapText="1"/>
    </xf>
    <xf numFmtId="0" fontId="87" fillId="11" borderId="102" xfId="0" quotePrefix="1" applyFont="1" applyFill="1" applyBorder="1" applyAlignment="1">
      <alignment horizontal="right" vertical="center" wrapText="1"/>
    </xf>
    <xf numFmtId="43" fontId="111" fillId="0" borderId="0" xfId="1" applyFont="1" applyAlignment="1">
      <alignment wrapText="1"/>
    </xf>
    <xf numFmtId="49" fontId="61" fillId="4" borderId="11" xfId="43" applyNumberFormat="1" applyFont="1" applyFill="1" applyBorder="1" applyAlignment="1">
      <alignment horizontal="left" wrapText="1" indent="2"/>
    </xf>
    <xf numFmtId="0" fontId="52" fillId="4" borderId="98" xfId="43" applyFont="1" applyFill="1" applyBorder="1"/>
    <xf numFmtId="0" fontId="52" fillId="4" borderId="112" xfId="43" applyFont="1" applyFill="1" applyBorder="1" applyAlignment="1">
      <alignment wrapText="1"/>
    </xf>
    <xf numFmtId="0" fontId="52" fillId="5" borderId="98" xfId="43" quotePrefix="1" applyFont="1" applyFill="1" applyBorder="1"/>
    <xf numFmtId="0" fontId="52" fillId="5" borderId="112" xfId="43" applyFont="1" applyFill="1" applyBorder="1" applyAlignment="1">
      <alignment wrapText="1"/>
    </xf>
    <xf numFmtId="0" fontId="47" fillId="0" borderId="121" xfId="43" applyFont="1" applyBorder="1" applyAlignment="1">
      <alignment horizontal="left" indent="1"/>
    </xf>
    <xf numFmtId="0" fontId="47" fillId="0" borderId="102" xfId="43" applyFont="1" applyBorder="1" applyAlignment="1">
      <alignment horizontal="left" wrapText="1" indent="2"/>
    </xf>
    <xf numFmtId="0" fontId="52" fillId="5" borderId="121" xfId="43" applyFont="1" applyFill="1" applyBorder="1"/>
    <xf numFmtId="0" fontId="52" fillId="5" borderId="102" xfId="43" applyFont="1" applyFill="1" applyBorder="1" applyAlignment="1">
      <alignment wrapText="1"/>
    </xf>
    <xf numFmtId="0" fontId="58" fillId="0" borderId="121" xfId="43" applyFont="1" applyBorder="1" applyAlignment="1">
      <alignment horizontal="left" indent="2"/>
    </xf>
    <xf numFmtId="0" fontId="58" fillId="0" borderId="102" xfId="43" applyFont="1" applyBorder="1" applyAlignment="1">
      <alignment horizontal="left" wrapText="1" indent="3"/>
    </xf>
    <xf numFmtId="0" fontId="52" fillId="5" borderId="121" xfId="43" quotePrefix="1" applyFont="1" applyFill="1" applyBorder="1"/>
    <xf numFmtId="0" fontId="47" fillId="4" borderId="121" xfId="43" applyFont="1" applyFill="1" applyBorder="1" applyAlignment="1">
      <alignment horizontal="left" indent="1"/>
    </xf>
    <xf numFmtId="0" fontId="47" fillId="7" borderId="121" xfId="43" applyFont="1" applyFill="1" applyBorder="1" applyAlignment="1">
      <alignment horizontal="left" indent="2"/>
    </xf>
    <xf numFmtId="0" fontId="47" fillId="7" borderId="102" xfId="43" applyFont="1" applyFill="1" applyBorder="1" applyAlignment="1">
      <alignment horizontal="left" wrapText="1" indent="3"/>
    </xf>
    <xf numFmtId="0" fontId="52" fillId="0" borderId="95" xfId="43" quotePrefix="1" applyFont="1" applyBorder="1"/>
    <xf numFmtId="49" fontId="52" fillId="5" borderId="83" xfId="43" applyNumberFormat="1" applyFont="1" applyFill="1" applyBorder="1" applyAlignment="1">
      <alignment horizontal="left" indent="2"/>
    </xf>
    <xf numFmtId="49" fontId="47" fillId="4" borderId="121" xfId="43" applyNumberFormat="1" applyFont="1" applyFill="1" applyBorder="1" applyAlignment="1">
      <alignment horizontal="left" indent="1"/>
    </xf>
    <xf numFmtId="49" fontId="52" fillId="5" borderId="121" xfId="43" applyNumberFormat="1" applyFont="1" applyFill="1" applyBorder="1"/>
    <xf numFmtId="49" fontId="47" fillId="0" borderId="121" xfId="43" applyNumberFormat="1" applyFont="1" applyBorder="1" applyAlignment="1">
      <alignment horizontal="left" indent="2"/>
    </xf>
    <xf numFmtId="0" fontId="57" fillId="6" borderId="102" xfId="43" applyFont="1" applyFill="1" applyBorder="1" applyAlignment="1">
      <alignment horizontal="left" indent="2"/>
    </xf>
    <xf numFmtId="0" fontId="57" fillId="0" borderId="102" xfId="43" applyFont="1" applyBorder="1" applyAlignment="1">
      <alignment horizontal="left" indent="2"/>
    </xf>
    <xf numFmtId="49" fontId="52" fillId="4" borderId="121" xfId="43" applyNumberFormat="1" applyFont="1" applyFill="1" applyBorder="1" applyAlignment="1">
      <alignment horizontal="left" indent="1"/>
    </xf>
    <xf numFmtId="49" fontId="47" fillId="7" borderId="121" xfId="43" applyNumberFormat="1" applyFont="1" applyFill="1" applyBorder="1" applyAlignment="1">
      <alignment horizontal="left" indent="2"/>
    </xf>
    <xf numFmtId="49" fontId="47" fillId="0" borderId="121" xfId="43" applyNumberFormat="1" applyFont="1" applyBorder="1" applyAlignment="1">
      <alignment horizontal="left" indent="3"/>
    </xf>
    <xf numFmtId="49" fontId="134" fillId="4" borderId="121" xfId="43" applyNumberFormat="1" applyFont="1" applyFill="1" applyBorder="1" applyAlignment="1">
      <alignment horizontal="left" indent="1"/>
    </xf>
    <xf numFmtId="0" fontId="56" fillId="0" borderId="0" xfId="43" applyFont="1"/>
    <xf numFmtId="49" fontId="52" fillId="0" borderId="121" xfId="43" applyNumberFormat="1" applyFont="1" applyBorder="1" applyAlignment="1">
      <alignment horizontal="left" indent="2"/>
    </xf>
    <xf numFmtId="167" fontId="47" fillId="7" borderId="12" xfId="1" applyNumberFormat="1" applyFont="1" applyFill="1" applyBorder="1" applyAlignment="1">
      <alignment wrapText="1"/>
    </xf>
    <xf numFmtId="167" fontId="111" fillId="0" borderId="0" xfId="1" applyNumberFormat="1" applyFont="1"/>
    <xf numFmtId="167" fontId="87" fillId="14" borderId="110" xfId="19" applyNumberFormat="1" applyFont="1" applyFill="1" applyBorder="1" applyProtection="1">
      <protection locked="0"/>
    </xf>
    <xf numFmtId="49" fontId="144" fillId="0" borderId="11" xfId="43" applyNumberFormat="1" applyFont="1" applyBorder="1" applyAlignment="1">
      <alignment horizontal="right" wrapText="1" indent="2"/>
    </xf>
    <xf numFmtId="3" fontId="144" fillId="0" borderId="12" xfId="3" applyNumberFormat="1" applyFont="1" applyBorder="1"/>
    <xf numFmtId="3" fontId="144" fillId="0" borderId="12" xfId="43" applyNumberFormat="1" applyFont="1" applyBorder="1"/>
    <xf numFmtId="49" fontId="144" fillId="0" borderId="58" xfId="43" applyNumberFormat="1" applyFont="1" applyBorder="1" applyAlignment="1">
      <alignment horizontal="right" wrapText="1" indent="2"/>
    </xf>
    <xf numFmtId="49" fontId="197" fillId="0" borderId="11" xfId="43" applyNumberFormat="1" applyFont="1" applyBorder="1" applyAlignment="1">
      <alignment horizontal="right" wrapText="1" indent="2"/>
    </xf>
    <xf numFmtId="3" fontId="119" fillId="0" borderId="0" xfId="0" applyNumberFormat="1" applyFont="1"/>
    <xf numFmtId="49" fontId="154" fillId="6" borderId="121" xfId="43" applyNumberFormat="1" applyFont="1" applyFill="1" applyBorder="1" applyAlignment="1">
      <alignment horizontal="left" indent="1"/>
    </xf>
    <xf numFmtId="49" fontId="154" fillId="6" borderId="110" xfId="43" applyNumberFormat="1" applyFont="1" applyFill="1" applyBorder="1" applyAlignment="1">
      <alignment horizontal="right" wrapText="1" indent="2"/>
    </xf>
    <xf numFmtId="3" fontId="154" fillId="6" borderId="122" xfId="3" applyNumberFormat="1" applyFont="1" applyFill="1" applyBorder="1"/>
    <xf numFmtId="43" fontId="154" fillId="6" borderId="122" xfId="1" applyFont="1" applyFill="1" applyBorder="1"/>
    <xf numFmtId="49" fontId="196" fillId="6" borderId="121" xfId="43" applyNumberFormat="1" applyFont="1" applyFill="1" applyBorder="1" applyAlignment="1">
      <alignment horizontal="left" indent="1"/>
    </xf>
    <xf numFmtId="49" fontId="196" fillId="6" borderId="110" xfId="43" applyNumberFormat="1" applyFont="1" applyFill="1" applyBorder="1" applyAlignment="1">
      <alignment horizontal="right" wrapText="1" indent="2"/>
    </xf>
    <xf numFmtId="3" fontId="196" fillId="6" borderId="122" xfId="3" applyNumberFormat="1" applyFont="1" applyFill="1" applyBorder="1"/>
    <xf numFmtId="43" fontId="196" fillId="6" borderId="122" xfId="1" applyFont="1" applyFill="1" applyBorder="1"/>
    <xf numFmtId="3" fontId="50" fillId="4" borderId="12" xfId="43" applyNumberFormat="1" applyFont="1" applyFill="1" applyBorder="1"/>
    <xf numFmtId="3" fontId="50" fillId="0" borderId="12" xfId="3" applyNumberFormat="1" applyFont="1" applyBorder="1"/>
    <xf numFmtId="0" fontId="109" fillId="0" borderId="0" xfId="0" applyFont="1"/>
    <xf numFmtId="0" fontId="83" fillId="11" borderId="112" xfId="0" applyFont="1" applyFill="1" applyBorder="1" applyAlignment="1">
      <alignment horizontal="left" vertical="center" wrapText="1"/>
    </xf>
    <xf numFmtId="2" fontId="0" fillId="0" borderId="0" xfId="0" applyNumberFormat="1"/>
    <xf numFmtId="167" fontId="87" fillId="11" borderId="115" xfId="19" applyNumberFormat="1" applyFont="1" applyFill="1" applyBorder="1"/>
    <xf numFmtId="167" fontId="72" fillId="15" borderId="115" xfId="19" applyNumberFormat="1" applyFont="1" applyFill="1" applyBorder="1" applyProtection="1">
      <protection locked="0"/>
    </xf>
    <xf numFmtId="167" fontId="83" fillId="11" borderId="112" xfId="23" applyNumberFormat="1" applyFont="1" applyFill="1" applyBorder="1" applyProtection="1">
      <protection locked="0"/>
    </xf>
    <xf numFmtId="167" fontId="87" fillId="11" borderId="112" xfId="23" applyNumberFormat="1" applyFont="1" applyFill="1" applyBorder="1" applyProtection="1">
      <protection locked="0"/>
    </xf>
    <xf numFmtId="167" fontId="83" fillId="14" borderId="112" xfId="23" applyNumberFormat="1" applyFont="1" applyFill="1" applyBorder="1" applyProtection="1">
      <protection locked="0"/>
    </xf>
    <xf numFmtId="167" fontId="86" fillId="11" borderId="120" xfId="19" applyNumberFormat="1" applyFont="1" applyFill="1" applyBorder="1" applyProtection="1">
      <protection locked="0"/>
    </xf>
    <xf numFmtId="167" fontId="83" fillId="11" borderId="120" xfId="19" applyNumberFormat="1" applyFont="1" applyFill="1" applyBorder="1" applyProtection="1">
      <protection locked="0"/>
    </xf>
    <xf numFmtId="167" fontId="87" fillId="11" borderId="120" xfId="19" applyNumberFormat="1" applyFont="1" applyFill="1" applyBorder="1" applyProtection="1">
      <protection locked="0"/>
    </xf>
    <xf numFmtId="167" fontId="86" fillId="14" borderId="120" xfId="19" applyNumberFormat="1" applyFont="1" applyFill="1" applyBorder="1" applyProtection="1">
      <protection locked="0"/>
    </xf>
    <xf numFmtId="0" fontId="83" fillId="17" borderId="0" xfId="0" applyFont="1" applyFill="1"/>
    <xf numFmtId="167" fontId="83" fillId="14" borderId="115" xfId="19" applyNumberFormat="1" applyFont="1" applyFill="1" applyBorder="1" applyProtection="1">
      <protection locked="0"/>
    </xf>
    <xf numFmtId="0" fontId="91" fillId="11" borderId="0" xfId="0" applyFont="1" applyFill="1" applyAlignment="1">
      <alignment horizontal="left" vertical="center" wrapText="1"/>
    </xf>
    <xf numFmtId="167" fontId="96" fillId="11" borderId="110" xfId="19" applyNumberFormat="1" applyFont="1" applyFill="1" applyBorder="1" applyProtection="1">
      <protection locked="0"/>
    </xf>
    <xf numFmtId="3" fontId="102" fillId="0" borderId="0" xfId="0" applyNumberFormat="1" applyFont="1"/>
    <xf numFmtId="43" fontId="121" fillId="4" borderId="12" xfId="1" applyFont="1" applyFill="1" applyBorder="1"/>
    <xf numFmtId="3" fontId="56" fillId="4" borderId="8" xfId="3" applyNumberFormat="1" applyFont="1" applyFill="1" applyBorder="1"/>
    <xf numFmtId="3" fontId="56" fillId="5" borderId="8" xfId="3" applyNumberFormat="1" applyFont="1" applyFill="1" applyBorder="1"/>
    <xf numFmtId="167" fontId="50" fillId="0" borderId="12" xfId="5" applyNumberFormat="1" applyFont="1" applyFill="1" applyBorder="1"/>
    <xf numFmtId="167" fontId="50" fillId="0" borderId="8" xfId="5" applyNumberFormat="1" applyFont="1" applyFill="1" applyBorder="1"/>
    <xf numFmtId="3" fontId="50" fillId="0" borderId="14" xfId="3" applyNumberFormat="1" applyFont="1" applyBorder="1"/>
    <xf numFmtId="3" fontId="56" fillId="5" borderId="52" xfId="3" applyNumberFormat="1" applyFont="1" applyFill="1" applyBorder="1"/>
    <xf numFmtId="3" fontId="50" fillId="0" borderId="94" xfId="3" applyNumberFormat="1" applyFont="1" applyBorder="1"/>
    <xf numFmtId="3" fontId="56" fillId="0" borderId="17" xfId="3" applyNumberFormat="1" applyFont="1" applyBorder="1"/>
    <xf numFmtId="3" fontId="47" fillId="6" borderId="124" xfId="43" applyNumberFormat="1" applyFont="1" applyFill="1" applyBorder="1"/>
    <xf numFmtId="3" fontId="47" fillId="0" borderId="124" xfId="43" applyNumberFormat="1" applyFont="1" applyBorder="1"/>
    <xf numFmtId="0" fontId="83" fillId="11" borderId="123" xfId="0" applyFont="1" applyFill="1" applyBorder="1"/>
    <xf numFmtId="0" fontId="87" fillId="11" borderId="123" xfId="0" applyFont="1" applyFill="1" applyBorder="1" applyAlignment="1">
      <alignment horizontal="right" vertical="center" wrapText="1"/>
    </xf>
    <xf numFmtId="167" fontId="83" fillId="11" borderId="123" xfId="19" applyNumberFormat="1" applyFont="1" applyFill="1" applyBorder="1" applyProtection="1">
      <protection locked="0"/>
    </xf>
    <xf numFmtId="167" fontId="86" fillId="11" borderId="123" xfId="19" applyNumberFormat="1" applyFont="1" applyFill="1" applyBorder="1" applyProtection="1">
      <protection locked="0"/>
    </xf>
    <xf numFmtId="3" fontId="47" fillId="0" borderId="126" xfId="43" applyNumberFormat="1" applyFont="1" applyBorder="1"/>
    <xf numFmtId="0" fontId="83" fillId="11" borderId="123" xfId="0" applyFont="1" applyFill="1" applyBorder="1" applyAlignment="1">
      <alignment horizontal="left" vertical="center" wrapText="1"/>
    </xf>
    <xf numFmtId="49" fontId="47" fillId="6" borderId="125" xfId="43" applyNumberFormat="1" applyFont="1" applyFill="1" applyBorder="1" applyAlignment="1">
      <alignment horizontal="left" indent="1"/>
    </xf>
    <xf numFmtId="43" fontId="49" fillId="6" borderId="124" xfId="1" applyFont="1" applyFill="1" applyBorder="1"/>
    <xf numFmtId="3" fontId="47" fillId="4" borderId="124" xfId="43" applyNumberFormat="1" applyFont="1" applyFill="1" applyBorder="1"/>
    <xf numFmtId="43" fontId="83" fillId="11" borderId="102" xfId="24" applyFont="1" applyFill="1" applyBorder="1" applyAlignment="1" applyProtection="1">
      <alignment horizontal="left" vertical="center"/>
      <protection locked="0"/>
    </xf>
    <xf numFmtId="43" fontId="72" fillId="11" borderId="102" xfId="24" applyFont="1" applyFill="1" applyBorder="1" applyAlignment="1" applyProtection="1">
      <alignment horizontal="left" vertical="center"/>
      <protection locked="0"/>
    </xf>
    <xf numFmtId="3" fontId="192" fillId="6" borderId="12" xfId="3" applyNumberFormat="1" applyFont="1" applyFill="1" applyBorder="1"/>
    <xf numFmtId="3" fontId="221" fillId="6" borderId="12" xfId="3" applyNumberFormat="1" applyFont="1" applyFill="1" applyBorder="1"/>
    <xf numFmtId="3" fontId="192" fillId="6" borderId="94" xfId="3" applyNumberFormat="1" applyFont="1" applyFill="1" applyBorder="1"/>
    <xf numFmtId="3" fontId="214" fillId="0" borderId="0" xfId="0" applyNumberFormat="1" applyFont="1"/>
    <xf numFmtId="3" fontId="221" fillId="6" borderId="94" xfId="3" applyNumberFormat="1" applyFont="1" applyFill="1" applyBorder="1"/>
    <xf numFmtId="3" fontId="192" fillId="6" borderId="12" xfId="43" applyNumberFormat="1" applyFont="1" applyFill="1" applyBorder="1"/>
    <xf numFmtId="3" fontId="221" fillId="6" borderId="12" xfId="43" applyNumberFormat="1" applyFont="1" applyFill="1" applyBorder="1"/>
    <xf numFmtId="3" fontId="221" fillId="6" borderId="122" xfId="3" applyNumberFormat="1" applyFont="1" applyFill="1" applyBorder="1"/>
    <xf numFmtId="3" fontId="221" fillId="0" borderId="12" xfId="43" applyNumberFormat="1" applyFont="1" applyBorder="1"/>
    <xf numFmtId="3" fontId="221" fillId="0" borderId="94" xfId="43" applyNumberFormat="1" applyFont="1" applyBorder="1"/>
    <xf numFmtId="0" fontId="223" fillId="0" borderId="0" xfId="0" applyFont="1"/>
    <xf numFmtId="167" fontId="192" fillId="6" borderId="12" xfId="1" applyNumberFormat="1" applyFont="1" applyFill="1" applyBorder="1"/>
    <xf numFmtId="0" fontId="214" fillId="6" borderId="0" xfId="0" applyFont="1" applyFill="1"/>
    <xf numFmtId="3" fontId="221" fillId="0" borderId="12" xfId="3" applyNumberFormat="1" applyFont="1" applyBorder="1"/>
    <xf numFmtId="49" fontId="192" fillId="6" borderId="53" xfId="43" applyNumberFormat="1" applyFont="1" applyFill="1" applyBorder="1" applyAlignment="1">
      <alignment horizontal="left" indent="1"/>
    </xf>
    <xf numFmtId="49" fontId="221" fillId="6" borderId="11" xfId="43" applyNumberFormat="1" applyFont="1" applyFill="1" applyBorder="1" applyAlignment="1">
      <alignment horizontal="right" wrapText="1" indent="2"/>
    </xf>
    <xf numFmtId="3" fontId="192" fillId="6" borderId="62" xfId="3" applyNumberFormat="1" applyFont="1" applyFill="1" applyBorder="1"/>
    <xf numFmtId="43" fontId="192" fillId="6" borderId="62" xfId="1" applyFont="1" applyFill="1" applyBorder="1"/>
    <xf numFmtId="49" fontId="221" fillId="6" borderId="10" xfId="43" applyNumberFormat="1" applyFont="1" applyFill="1" applyBorder="1" applyAlignment="1">
      <alignment horizontal="left" indent="1"/>
    </xf>
    <xf numFmtId="43" fontId="192" fillId="6" borderId="12" xfId="1" applyFont="1" applyFill="1" applyBorder="1"/>
    <xf numFmtId="0" fontId="223" fillId="6" borderId="0" xfId="0" applyFont="1" applyFill="1"/>
    <xf numFmtId="43" fontId="221" fillId="6" borderId="12" xfId="1" applyFont="1" applyFill="1" applyBorder="1"/>
    <xf numFmtId="43" fontId="192" fillId="6" borderId="94" xfId="1" applyFont="1" applyFill="1" applyBorder="1"/>
    <xf numFmtId="49" fontId="221" fillId="6" borderId="53" xfId="43" applyNumberFormat="1" applyFont="1" applyFill="1" applyBorder="1" applyAlignment="1">
      <alignment horizontal="left" indent="1"/>
    </xf>
    <xf numFmtId="3" fontId="221" fillId="6" borderId="94" xfId="43" applyNumberFormat="1" applyFont="1" applyFill="1" applyBorder="1"/>
    <xf numFmtId="49" fontId="192" fillId="6" borderId="93" xfId="43" applyNumberFormat="1" applyFont="1" applyFill="1" applyBorder="1" applyAlignment="1">
      <alignment horizontal="left" indent="1"/>
    </xf>
    <xf numFmtId="49" fontId="192" fillId="6" borderId="89" xfId="43" applyNumberFormat="1" applyFont="1" applyFill="1" applyBorder="1" applyAlignment="1">
      <alignment horizontal="right" wrapText="1" indent="2"/>
    </xf>
    <xf numFmtId="49" fontId="222" fillId="6" borderId="53" xfId="43" applyNumberFormat="1" applyFont="1" applyFill="1" applyBorder="1" applyAlignment="1">
      <alignment horizontal="left" indent="1"/>
    </xf>
    <xf numFmtId="49" fontId="222" fillId="6" borderId="67" xfId="43" applyNumberFormat="1" applyFont="1" applyFill="1" applyBorder="1" applyAlignment="1">
      <alignment horizontal="right" wrapText="1" indent="2"/>
    </xf>
    <xf numFmtId="3" fontId="222" fillId="6" borderId="62" xfId="3" applyNumberFormat="1" applyFont="1" applyFill="1" applyBorder="1"/>
    <xf numFmtId="3" fontId="222" fillId="6" borderId="12" xfId="43" applyNumberFormat="1" applyFont="1" applyFill="1" applyBorder="1"/>
    <xf numFmtId="43" fontId="222" fillId="6" borderId="62" xfId="1" applyFont="1" applyFill="1" applyBorder="1"/>
    <xf numFmtId="0" fontId="224" fillId="6" borderId="0" xfId="0" applyFont="1" applyFill="1"/>
    <xf numFmtId="49" fontId="221" fillId="6" borderId="121" xfId="43" applyNumberFormat="1" applyFont="1" applyFill="1" applyBorder="1" applyAlignment="1">
      <alignment horizontal="left" indent="1"/>
    </xf>
    <xf numFmtId="49" fontId="221" fillId="6" borderId="110" xfId="43" applyNumberFormat="1" applyFont="1" applyFill="1" applyBorder="1" applyAlignment="1">
      <alignment horizontal="right" wrapText="1" indent="2"/>
    </xf>
    <xf numFmtId="43" fontId="221" fillId="6" borderId="122" xfId="1" applyFont="1" applyFill="1" applyBorder="1"/>
    <xf numFmtId="0" fontId="89" fillId="11" borderId="123" xfId="0" applyFont="1" applyFill="1" applyBorder="1"/>
    <xf numFmtId="167" fontId="72" fillId="11" borderId="115" xfId="19" applyNumberFormat="1" applyFont="1" applyFill="1" applyBorder="1"/>
    <xf numFmtId="167" fontId="70" fillId="11" borderId="115" xfId="19" applyNumberFormat="1" applyFont="1" applyFill="1" applyBorder="1"/>
    <xf numFmtId="167" fontId="71" fillId="14" borderId="115" xfId="19" applyNumberFormat="1" applyFont="1" applyFill="1" applyBorder="1"/>
    <xf numFmtId="167" fontId="63" fillId="0" borderId="0" xfId="0" applyNumberFormat="1" applyFont="1"/>
    <xf numFmtId="3" fontId="49" fillId="0" borderId="0" xfId="9" applyNumberFormat="1" applyFont="1"/>
    <xf numFmtId="167" fontId="86" fillId="11" borderId="112" xfId="19" applyNumberFormat="1" applyFont="1" applyFill="1" applyBorder="1" applyProtection="1">
      <protection locked="0"/>
    </xf>
    <xf numFmtId="167" fontId="86" fillId="14" borderId="112" xfId="19" applyNumberFormat="1" applyFont="1" applyFill="1" applyBorder="1" applyProtection="1">
      <protection locked="0"/>
    </xf>
    <xf numFmtId="167" fontId="49" fillId="0" borderId="0" xfId="1" applyNumberFormat="1" applyFont="1"/>
    <xf numFmtId="0" fontId="83" fillId="23" borderId="123" xfId="0" applyFont="1" applyFill="1" applyBorder="1" applyAlignment="1">
      <alignment horizontal="left" vertical="center" wrapText="1"/>
    </xf>
    <xf numFmtId="0" fontId="70" fillId="11" borderId="114" xfId="0" applyFont="1" applyFill="1" applyBorder="1" applyAlignment="1">
      <alignment horizontal="right" wrapText="1"/>
    </xf>
    <xf numFmtId="167" fontId="71" fillId="11" borderId="115" xfId="19" applyNumberFormat="1" applyFont="1" applyFill="1" applyBorder="1"/>
    <xf numFmtId="167" fontId="74" fillId="11" borderId="115" xfId="19" applyNumberFormat="1" applyFont="1" applyFill="1" applyBorder="1"/>
    <xf numFmtId="3" fontId="47" fillId="33" borderId="94" xfId="43" applyNumberFormat="1" applyFont="1" applyFill="1" applyBorder="1"/>
    <xf numFmtId="0" fontId="83" fillId="11" borderId="123" xfId="0" applyFont="1" applyFill="1" applyBorder="1" applyAlignment="1">
      <alignment horizontal="center"/>
    </xf>
    <xf numFmtId="0" fontId="72" fillId="0" borderId="123" xfId="0" applyFont="1" applyBorder="1"/>
    <xf numFmtId="0" fontId="72" fillId="0" borderId="123" xfId="0" applyFont="1" applyBorder="1" applyAlignment="1">
      <alignment horizontal="center"/>
    </xf>
    <xf numFmtId="0" fontId="81" fillId="0" borderId="123" xfId="0" applyFont="1" applyBorder="1" applyAlignment="1">
      <alignment horizontal="left" vertical="center" wrapText="1"/>
    </xf>
    <xf numFmtId="167" fontId="86" fillId="14" borderId="123" xfId="19" applyNumberFormat="1" applyFont="1" applyFill="1" applyBorder="1" applyProtection="1">
      <protection locked="0"/>
    </xf>
    <xf numFmtId="0" fontId="83" fillId="11" borderId="123" xfId="0" applyFont="1" applyFill="1" applyBorder="1" applyAlignment="1">
      <alignment horizontal="right" vertical="center" wrapText="1"/>
    </xf>
    <xf numFmtId="0" fontId="72" fillId="0" borderId="123" xfId="0" applyFont="1" applyBorder="1" applyAlignment="1">
      <alignment horizontal="left" vertical="center" wrapText="1"/>
    </xf>
    <xf numFmtId="167" fontId="83" fillId="11" borderId="123" xfId="1" applyNumberFormat="1" applyFont="1" applyFill="1" applyBorder="1" applyProtection="1">
      <protection locked="0"/>
    </xf>
    <xf numFmtId="167" fontId="86" fillId="14" borderId="123" xfId="1" applyNumberFormat="1" applyFont="1" applyFill="1" applyBorder="1" applyProtection="1">
      <protection locked="0"/>
    </xf>
    <xf numFmtId="0" fontId="86" fillId="11" borderId="123" xfId="0" applyFont="1" applyFill="1" applyBorder="1"/>
    <xf numFmtId="0" fontId="72" fillId="11" borderId="123" xfId="0" applyFont="1" applyFill="1" applyBorder="1"/>
    <xf numFmtId="43" fontId="204" fillId="11" borderId="112" xfId="24" applyFont="1" applyFill="1" applyBorder="1" applyAlignment="1" applyProtection="1">
      <alignment horizontal="center"/>
      <protection locked="0"/>
    </xf>
    <xf numFmtId="167" fontId="87" fillId="11" borderId="117" xfId="24" applyNumberFormat="1" applyFont="1" applyFill="1" applyBorder="1" applyProtection="1">
      <protection locked="0"/>
    </xf>
    <xf numFmtId="167" fontId="72" fillId="14" borderId="117" xfId="24" applyNumberFormat="1" applyFont="1" applyFill="1" applyBorder="1" applyAlignment="1" applyProtection="1">
      <alignment horizontal="center" vertical="center"/>
      <protection locked="0"/>
    </xf>
    <xf numFmtId="43" fontId="83" fillId="11" borderId="112" xfId="24" applyFont="1" applyFill="1" applyBorder="1" applyAlignment="1" applyProtection="1">
      <alignment horizontal="center"/>
      <protection locked="0"/>
    </xf>
    <xf numFmtId="0" fontId="84" fillId="11" borderId="123" xfId="0" applyFont="1" applyFill="1" applyBorder="1"/>
    <xf numFmtId="167" fontId="84" fillId="14" borderId="123" xfId="19" applyNumberFormat="1" applyFont="1" applyFill="1" applyBorder="1" applyProtection="1">
      <protection locked="0"/>
    </xf>
    <xf numFmtId="0" fontId="82" fillId="0" borderId="123" xfId="0" applyFont="1" applyBorder="1"/>
    <xf numFmtId="0" fontId="84" fillId="11" borderId="123" xfId="0" applyFont="1" applyFill="1" applyBorder="1" applyAlignment="1">
      <alignment horizontal="left" vertical="center" wrapText="1"/>
    </xf>
    <xf numFmtId="0" fontId="70" fillId="11" borderId="123" xfId="0" applyFont="1" applyFill="1" applyBorder="1" applyAlignment="1">
      <alignment horizontal="right" vertical="center" wrapText="1"/>
    </xf>
    <xf numFmtId="0" fontId="72" fillId="23" borderId="123" xfId="0" applyFont="1" applyFill="1" applyBorder="1"/>
    <xf numFmtId="167" fontId="70" fillId="23" borderId="123" xfId="19" applyNumberFormat="1" applyFont="1" applyFill="1" applyBorder="1" applyProtection="1">
      <protection locked="0"/>
    </xf>
    <xf numFmtId="167" fontId="72" fillId="14" borderId="123" xfId="19" applyNumberFormat="1" applyFont="1" applyFill="1" applyBorder="1" applyProtection="1">
      <protection locked="0"/>
    </xf>
    <xf numFmtId="167" fontId="75" fillId="23" borderId="123" xfId="19" applyNumberFormat="1" applyFont="1" applyFill="1" applyBorder="1" applyProtection="1">
      <protection locked="0"/>
    </xf>
    <xf numFmtId="167" fontId="147" fillId="23" borderId="123" xfId="19" applyNumberFormat="1" applyFont="1" applyFill="1" applyBorder="1" applyProtection="1">
      <protection locked="0"/>
    </xf>
    <xf numFmtId="0" fontId="218" fillId="0" borderId="0" xfId="173"/>
    <xf numFmtId="167" fontId="149" fillId="11" borderId="112" xfId="23" applyNumberFormat="1" applyFont="1" applyFill="1" applyBorder="1" applyProtection="1">
      <protection locked="0"/>
    </xf>
    <xf numFmtId="167" fontId="72" fillId="14" borderId="112" xfId="23" applyNumberFormat="1" applyFont="1" applyFill="1" applyBorder="1" applyProtection="1">
      <protection locked="0"/>
    </xf>
    <xf numFmtId="167" fontId="72" fillId="11" borderId="120" xfId="19" applyNumberFormat="1" applyFont="1" applyFill="1" applyBorder="1" applyProtection="1">
      <protection locked="0"/>
    </xf>
    <xf numFmtId="167" fontId="140" fillId="11" borderId="115" xfId="19" applyNumberFormat="1" applyFont="1" applyFill="1" applyBorder="1" applyAlignment="1" applyProtection="1">
      <alignment wrapText="1"/>
      <protection locked="0"/>
    </xf>
    <xf numFmtId="167" fontId="103" fillId="14" borderId="115" xfId="19" applyNumberFormat="1" applyFont="1" applyFill="1" applyBorder="1" applyProtection="1">
      <protection locked="0"/>
    </xf>
    <xf numFmtId="167" fontId="86" fillId="14" borderId="115" xfId="19" applyNumberFormat="1" applyFont="1" applyFill="1" applyBorder="1"/>
    <xf numFmtId="167" fontId="149" fillId="11" borderId="115" xfId="19" applyNumberFormat="1" applyFont="1" applyFill="1" applyBorder="1"/>
    <xf numFmtId="0" fontId="87" fillId="11" borderId="123" xfId="0" quotePrefix="1" applyFont="1" applyFill="1" applyBorder="1" applyAlignment="1">
      <alignment horizontal="left" vertical="center" wrapText="1"/>
    </xf>
    <xf numFmtId="0" fontId="99" fillId="11" borderId="86" xfId="0" applyFont="1" applyFill="1" applyBorder="1" applyAlignment="1">
      <alignment horizontal="left" vertical="center" wrapText="1"/>
    </xf>
    <xf numFmtId="0" fontId="73" fillId="11" borderId="102" xfId="0" applyFont="1" applyFill="1" applyBorder="1" applyAlignment="1">
      <alignment horizontal="right" vertical="center" wrapText="1"/>
    </xf>
    <xf numFmtId="167" fontId="72" fillId="14" borderId="117" xfId="24" applyNumberFormat="1" applyFont="1" applyFill="1" applyBorder="1" applyProtection="1">
      <protection locked="0"/>
    </xf>
    <xf numFmtId="0" fontId="99" fillId="11" borderId="123" xfId="0" applyFont="1" applyFill="1" applyBorder="1" applyAlignment="1">
      <alignment horizontal="right" vertical="center" wrapText="1"/>
    </xf>
    <xf numFmtId="167" fontId="70" fillId="11" borderId="117" xfId="24" applyNumberFormat="1" applyFont="1" applyFill="1" applyBorder="1" applyProtection="1">
      <protection locked="0"/>
    </xf>
    <xf numFmtId="0" fontId="99" fillId="11" borderId="89" xfId="0" applyFont="1" applyFill="1" applyBorder="1" applyAlignment="1">
      <alignment horizontal="right" vertical="center" wrapText="1"/>
    </xf>
    <xf numFmtId="0" fontId="83" fillId="11" borderId="130" xfId="0" applyFont="1" applyFill="1" applyBorder="1"/>
    <xf numFmtId="0" fontId="83" fillId="11" borderId="129" xfId="0" applyFont="1" applyFill="1" applyBorder="1"/>
    <xf numFmtId="167" fontId="84" fillId="14" borderId="129" xfId="19" applyNumberFormat="1" applyFont="1" applyFill="1" applyBorder="1" applyProtection="1">
      <protection locked="0"/>
    </xf>
    <xf numFmtId="167" fontId="83" fillId="11" borderId="129" xfId="19" applyNumberFormat="1" applyFont="1" applyFill="1" applyBorder="1" applyProtection="1">
      <protection locked="0"/>
    </xf>
    <xf numFmtId="167" fontId="87" fillId="11" borderId="129" xfId="19" applyNumberFormat="1" applyFont="1" applyFill="1" applyBorder="1" applyProtection="1">
      <protection locked="0"/>
    </xf>
    <xf numFmtId="0" fontId="83" fillId="11" borderId="129" xfId="0" applyFont="1" applyFill="1" applyBorder="1" applyAlignment="1">
      <alignment horizontal="left" vertical="center" wrapText="1"/>
    </xf>
    <xf numFmtId="167" fontId="83" fillId="11" borderId="131" xfId="19" applyNumberFormat="1" applyFont="1" applyFill="1" applyBorder="1" applyProtection="1">
      <protection locked="0"/>
    </xf>
    <xf numFmtId="0" fontId="89" fillId="11" borderId="129" xfId="0" applyFont="1" applyFill="1" applyBorder="1"/>
    <xf numFmtId="167" fontId="86" fillId="11" borderId="131" xfId="19" applyNumberFormat="1" applyFont="1" applyFill="1" applyBorder="1" applyProtection="1">
      <protection locked="0"/>
    </xf>
    <xf numFmtId="174" fontId="83" fillId="11" borderId="131" xfId="19" applyNumberFormat="1" applyFont="1" applyFill="1" applyBorder="1" applyProtection="1">
      <protection locked="0"/>
    </xf>
    <xf numFmtId="167" fontId="87" fillId="11" borderId="131" xfId="19" applyNumberFormat="1" applyFont="1" applyFill="1" applyBorder="1" applyProtection="1">
      <protection locked="0"/>
    </xf>
    <xf numFmtId="167" fontId="86" fillId="14" borderId="131" xfId="19" applyNumberFormat="1" applyFont="1" applyFill="1" applyBorder="1" applyProtection="1">
      <protection locked="0"/>
    </xf>
    <xf numFmtId="43" fontId="201" fillId="11" borderId="129" xfId="8" applyFont="1" applyFill="1" applyBorder="1" applyAlignment="1">
      <alignment horizontal="right" wrapText="1"/>
    </xf>
    <xf numFmtId="167" fontId="71" fillId="11" borderId="131" xfId="19" applyNumberFormat="1" applyFont="1" applyFill="1" applyBorder="1"/>
    <xf numFmtId="167" fontId="87" fillId="11" borderId="131" xfId="19" applyNumberFormat="1" applyFont="1" applyFill="1" applyBorder="1"/>
    <xf numFmtId="167" fontId="86" fillId="14" borderId="131" xfId="19" applyNumberFormat="1" applyFont="1" applyFill="1" applyBorder="1"/>
    <xf numFmtId="167" fontId="83" fillId="11" borderId="131" xfId="19" applyNumberFormat="1" applyFont="1" applyFill="1" applyBorder="1"/>
    <xf numFmtId="167" fontId="72" fillId="11" borderId="131" xfId="19" applyNumberFormat="1" applyFont="1" applyFill="1" applyBorder="1"/>
    <xf numFmtId="167" fontId="74" fillId="11" borderId="131" xfId="19" applyNumberFormat="1" applyFont="1" applyFill="1" applyBorder="1"/>
    <xf numFmtId="167" fontId="71" fillId="14" borderId="131" xfId="19" applyNumberFormat="1" applyFont="1" applyFill="1" applyBorder="1"/>
    <xf numFmtId="0" fontId="83" fillId="11" borderId="132" xfId="0" applyFont="1" applyFill="1" applyBorder="1"/>
    <xf numFmtId="167" fontId="87" fillId="11" borderId="132" xfId="19" applyNumberFormat="1" applyFont="1" applyFill="1" applyBorder="1" applyProtection="1">
      <protection locked="0"/>
    </xf>
    <xf numFmtId="0" fontId="84" fillId="11" borderId="129" xfId="0" applyFont="1" applyFill="1" applyBorder="1"/>
    <xf numFmtId="167" fontId="87" fillId="11" borderId="131" xfId="22" applyNumberFormat="1" applyFont="1" applyFill="1" applyBorder="1"/>
    <xf numFmtId="167" fontId="86" fillId="14" borderId="129" xfId="19" applyNumberFormat="1" applyFont="1" applyFill="1" applyBorder="1" applyProtection="1">
      <protection locked="0"/>
    </xf>
    <xf numFmtId="0" fontId="86" fillId="11" borderId="129" xfId="0" applyFont="1" applyFill="1" applyBorder="1"/>
    <xf numFmtId="0" fontId="87" fillId="11" borderId="129" xfId="0" quotePrefix="1" applyFont="1" applyFill="1" applyBorder="1" applyAlignment="1">
      <alignment horizontal="right" vertical="center" wrapText="1"/>
    </xf>
    <xf numFmtId="0" fontId="83" fillId="23" borderId="129" xfId="0" applyFont="1" applyFill="1" applyBorder="1" applyAlignment="1">
      <alignment horizontal="left" vertical="center" wrapText="1"/>
    </xf>
    <xf numFmtId="167" fontId="83" fillId="8" borderId="102" xfId="19" applyNumberFormat="1" applyFont="1" applyFill="1" applyBorder="1" applyProtection="1"/>
    <xf numFmtId="167" fontId="86" fillId="11" borderId="129" xfId="19" applyNumberFormat="1" applyFont="1" applyFill="1" applyBorder="1" applyProtection="1">
      <protection locked="0"/>
    </xf>
    <xf numFmtId="0" fontId="87" fillId="11" borderId="129" xfId="0" applyFont="1" applyFill="1" applyBorder="1" applyAlignment="1">
      <alignment horizontal="left" vertical="center" wrapText="1"/>
    </xf>
    <xf numFmtId="0" fontId="83" fillId="11" borderId="129" xfId="0" applyFont="1" applyFill="1" applyBorder="1" applyAlignment="1">
      <alignment horizontal="right" vertical="center" wrapText="1"/>
    </xf>
    <xf numFmtId="167" fontId="83" fillId="11" borderId="132" xfId="23" applyNumberFormat="1" applyFont="1" applyFill="1" applyBorder="1" applyProtection="1">
      <protection locked="0"/>
    </xf>
    <xf numFmtId="167" fontId="87" fillId="11" borderId="132" xfId="23" applyNumberFormat="1" applyFont="1" applyFill="1" applyBorder="1" applyProtection="1">
      <protection locked="0"/>
    </xf>
    <xf numFmtId="167" fontId="86" fillId="11" borderId="132" xfId="19" applyNumberFormat="1" applyFont="1" applyFill="1" applyBorder="1" applyProtection="1">
      <protection locked="0"/>
    </xf>
    <xf numFmtId="0" fontId="83" fillId="11" borderId="129" xfId="0" applyFont="1" applyFill="1" applyBorder="1" applyAlignment="1">
      <alignment horizontal="left" vertical="center"/>
    </xf>
    <xf numFmtId="0" fontId="83" fillId="11" borderId="129" xfId="0" applyFont="1" applyFill="1" applyBorder="1" applyAlignment="1">
      <alignment horizontal="center" vertical="center"/>
    </xf>
    <xf numFmtId="167" fontId="86" fillId="14" borderId="133" xfId="1" applyNumberFormat="1" applyFont="1" applyFill="1" applyBorder="1" applyProtection="1">
      <protection locked="0"/>
    </xf>
    <xf numFmtId="167" fontId="72" fillId="11" borderId="133" xfId="1" applyNumberFormat="1" applyFont="1" applyFill="1" applyBorder="1" applyAlignment="1" applyProtection="1">
      <alignment horizontal="center" vertical="center"/>
      <protection locked="0"/>
    </xf>
    <xf numFmtId="43" fontId="72" fillId="11" borderId="129" xfId="8" applyFont="1" applyFill="1" applyBorder="1" applyAlignment="1">
      <alignment wrapText="1"/>
    </xf>
    <xf numFmtId="167" fontId="86" fillId="11" borderId="131" xfId="19" applyNumberFormat="1" applyFont="1" applyFill="1" applyBorder="1"/>
    <xf numFmtId="0" fontId="72" fillId="11" borderId="129" xfId="0" applyFont="1" applyFill="1" applyBorder="1"/>
    <xf numFmtId="0" fontId="87" fillId="11" borderId="129" xfId="0" applyFont="1" applyFill="1" applyBorder="1" applyAlignment="1">
      <alignment horizontal="right" vertical="center" wrapText="1"/>
    </xf>
    <xf numFmtId="0" fontId="72" fillId="23" borderId="129" xfId="0" applyFont="1" applyFill="1" applyBorder="1"/>
    <xf numFmtId="167" fontId="72" fillId="23" borderId="131" xfId="19" applyNumberFormat="1" applyFont="1" applyFill="1" applyBorder="1" applyProtection="1">
      <protection locked="0"/>
    </xf>
    <xf numFmtId="167" fontId="83" fillId="23" borderId="131" xfId="19" applyNumberFormat="1" applyFont="1" applyFill="1" applyBorder="1" applyProtection="1">
      <protection locked="0"/>
    </xf>
    <xf numFmtId="167" fontId="70" fillId="23" borderId="131" xfId="19" applyNumberFormat="1" applyFont="1" applyFill="1" applyBorder="1" applyProtection="1">
      <protection locked="0"/>
    </xf>
    <xf numFmtId="167" fontId="72" fillId="14" borderId="131" xfId="19" applyNumberFormat="1" applyFont="1" applyFill="1" applyBorder="1" applyProtection="1">
      <protection locked="0"/>
    </xf>
    <xf numFmtId="167" fontId="149" fillId="11" borderId="131" xfId="22" applyNumberFormat="1" applyFont="1" applyFill="1" applyBorder="1"/>
    <xf numFmtId="0" fontId="149" fillId="11" borderId="129" xfId="0" applyFont="1" applyFill="1" applyBorder="1" applyAlignment="1">
      <alignment horizontal="left" vertical="center" wrapText="1"/>
    </xf>
    <xf numFmtId="0" fontId="76" fillId="11" borderId="129" xfId="0" applyFont="1" applyFill="1" applyBorder="1"/>
    <xf numFmtId="167" fontId="140" fillId="11" borderId="131" xfId="19" applyNumberFormat="1" applyFont="1" applyFill="1" applyBorder="1" applyAlignment="1" applyProtection="1">
      <alignment wrapText="1"/>
      <protection locked="0"/>
    </xf>
    <xf numFmtId="0" fontId="83" fillId="11" borderId="129" xfId="0" applyFont="1" applyFill="1" applyBorder="1" applyAlignment="1">
      <alignment horizontal="center"/>
    </xf>
    <xf numFmtId="167" fontId="84" fillId="11" borderId="131" xfId="19" applyNumberFormat="1" applyFont="1" applyFill="1" applyBorder="1" applyProtection="1">
      <protection locked="0"/>
    </xf>
    <xf numFmtId="0" fontId="95" fillId="0" borderId="54" xfId="0" applyFont="1" applyBorder="1" applyAlignment="1">
      <alignment horizontal="left" vertical="center" wrapText="1"/>
    </xf>
    <xf numFmtId="0" fontId="92" fillId="11" borderId="54" xfId="0" applyFont="1" applyFill="1" applyBorder="1" applyAlignment="1">
      <alignment horizontal="left" vertical="center" wrapText="1"/>
    </xf>
    <xf numFmtId="0" fontId="92" fillId="11" borderId="86" xfId="0" applyFont="1" applyFill="1" applyBorder="1" applyAlignment="1">
      <alignment horizontal="right" vertical="center" wrapText="1"/>
    </xf>
    <xf numFmtId="0" fontId="92" fillId="11" borderId="102" xfId="0" quotePrefix="1" applyFont="1" applyFill="1" applyBorder="1" applyAlignment="1">
      <alignment horizontal="right" vertical="center" wrapText="1"/>
    </xf>
    <xf numFmtId="0" fontId="92" fillId="11" borderId="129" xfId="0" quotePrefix="1" applyFont="1" applyFill="1" applyBorder="1" applyAlignment="1">
      <alignment horizontal="right" vertical="center" wrapText="1"/>
    </xf>
    <xf numFmtId="0" fontId="95" fillId="0" borderId="11" xfId="0" applyFont="1" applyBorder="1" applyAlignment="1">
      <alignment horizontal="left" vertical="center" wrapText="1"/>
    </xf>
    <xf numFmtId="0" fontId="92" fillId="11" borderId="54" xfId="0" applyFont="1" applyFill="1" applyBorder="1" applyAlignment="1">
      <alignment horizontal="right" vertical="center" wrapText="1"/>
    </xf>
    <xf numFmtId="0" fontId="92" fillId="11" borderId="110" xfId="0" applyFont="1" applyFill="1" applyBorder="1" applyAlignment="1">
      <alignment horizontal="right" vertical="center" wrapText="1"/>
    </xf>
    <xf numFmtId="0" fontId="92" fillId="23" borderId="110" xfId="0" applyFont="1" applyFill="1" applyBorder="1" applyAlignment="1">
      <alignment horizontal="left" vertical="center" wrapText="1"/>
    </xf>
    <xf numFmtId="0" fontId="92" fillId="23" borderId="86" xfId="0" applyFont="1" applyFill="1" applyBorder="1" applyAlignment="1">
      <alignment horizontal="left" vertical="center" wrapText="1"/>
    </xf>
    <xf numFmtId="0" fontId="92" fillId="11" borderId="129" xfId="0" applyFont="1" applyFill="1" applyBorder="1" applyAlignment="1">
      <alignment horizontal="left" vertical="center" wrapText="1"/>
    </xf>
    <xf numFmtId="43" fontId="95" fillId="0" borderId="86" xfId="8" applyFont="1" applyBorder="1"/>
    <xf numFmtId="0" fontId="92" fillId="11" borderId="110" xfId="0" applyFont="1" applyFill="1" applyBorder="1" applyAlignment="1">
      <alignment vertical="center" wrapText="1"/>
    </xf>
    <xf numFmtId="167" fontId="83" fillId="11" borderId="133" xfId="19" applyNumberFormat="1" applyFont="1" applyFill="1" applyBorder="1" applyProtection="1">
      <protection locked="0"/>
    </xf>
    <xf numFmtId="167" fontId="87" fillId="11" borderId="133" xfId="19" applyNumberFormat="1" applyFont="1" applyFill="1" applyBorder="1" applyProtection="1">
      <protection locked="0"/>
    </xf>
    <xf numFmtId="167" fontId="86" fillId="14" borderId="133" xfId="19" applyNumberFormat="1" applyFont="1" applyFill="1" applyBorder="1" applyProtection="1">
      <protection locked="0"/>
    </xf>
    <xf numFmtId="0" fontId="87" fillId="23" borderId="129" xfId="0" applyFont="1" applyFill="1" applyBorder="1" applyAlignment="1">
      <alignment horizontal="right" vertical="top" wrapText="1"/>
    </xf>
    <xf numFmtId="167" fontId="76" fillId="14" borderId="129" xfId="19" applyNumberFormat="1" applyFont="1" applyFill="1" applyBorder="1" applyProtection="1">
      <protection locked="0"/>
    </xf>
    <xf numFmtId="167" fontId="96" fillId="11" borderId="129" xfId="19" applyNumberFormat="1" applyFont="1" applyFill="1" applyBorder="1" applyProtection="1">
      <protection locked="0"/>
    </xf>
    <xf numFmtId="0" fontId="100" fillId="23" borderId="134" xfId="0" applyFont="1" applyFill="1" applyBorder="1" applyAlignment="1">
      <alignment vertical="top" wrapText="1"/>
    </xf>
    <xf numFmtId="0" fontId="100" fillId="23" borderId="129" xfId="0" applyFont="1" applyFill="1" applyBorder="1" applyAlignment="1">
      <alignment vertical="top" wrapText="1"/>
    </xf>
    <xf numFmtId="0" fontId="83" fillId="11" borderId="129" xfId="0" applyFont="1" applyFill="1" applyBorder="1" applyAlignment="1">
      <alignment wrapText="1"/>
    </xf>
    <xf numFmtId="0" fontId="82" fillId="11" borderId="129" xfId="0" applyFont="1" applyFill="1" applyBorder="1"/>
    <xf numFmtId="0" fontId="83" fillId="11" borderId="129" xfId="0" applyFont="1" applyFill="1" applyBorder="1" applyAlignment="1">
      <alignment vertical="center" wrapText="1"/>
    </xf>
    <xf numFmtId="167" fontId="83" fillId="14" borderId="132" xfId="23" applyNumberFormat="1" applyFont="1" applyFill="1" applyBorder="1" applyProtection="1">
      <protection locked="0"/>
    </xf>
    <xf numFmtId="0" fontId="70" fillId="11" borderId="129" xfId="0" applyFont="1" applyFill="1" applyBorder="1" applyAlignment="1">
      <alignment horizontal="right" vertical="center" wrapText="1"/>
    </xf>
    <xf numFmtId="0" fontId="73" fillId="11" borderId="129" xfId="0" applyFont="1" applyFill="1" applyBorder="1" applyAlignment="1">
      <alignment horizontal="right" vertical="center" wrapText="1"/>
    </xf>
    <xf numFmtId="167" fontId="90" fillId="11" borderId="112" xfId="23" applyNumberFormat="1" applyFont="1" applyFill="1" applyBorder="1" applyProtection="1">
      <protection locked="0"/>
    </xf>
    <xf numFmtId="167" fontId="87" fillId="11" borderId="107" xfId="24" applyNumberFormat="1" applyFont="1" applyFill="1" applyBorder="1" applyAlignment="1" applyProtection="1">
      <alignment horizontal="center" vertical="center"/>
      <protection locked="0"/>
    </xf>
    <xf numFmtId="167" fontId="87" fillId="11" borderId="132" xfId="19" applyNumberFormat="1" applyFont="1" applyFill="1" applyBorder="1" applyAlignment="1" applyProtection="1">
      <alignment wrapText="1"/>
      <protection locked="0"/>
    </xf>
    <xf numFmtId="167" fontId="87" fillId="14" borderId="132" xfId="19" applyNumberFormat="1" applyFont="1" applyFill="1" applyBorder="1" applyProtection="1">
      <protection locked="0"/>
    </xf>
    <xf numFmtId="0" fontId="87" fillId="11" borderId="114" xfId="0" applyFont="1" applyFill="1" applyBorder="1" applyAlignment="1">
      <alignment horizontal="right" vertical="center" wrapText="1"/>
    </xf>
    <xf numFmtId="167" fontId="83" fillId="11" borderId="129" xfId="24" applyNumberFormat="1" applyFont="1" applyFill="1" applyBorder="1" applyProtection="1">
      <protection locked="0"/>
    </xf>
    <xf numFmtId="167" fontId="87" fillId="11" borderId="112" xfId="24" applyNumberFormat="1" applyFont="1" applyFill="1" applyBorder="1" applyAlignment="1" applyProtection="1">
      <alignment horizontal="center" wrapText="1"/>
      <protection locked="0"/>
    </xf>
    <xf numFmtId="43" fontId="204" fillId="11" borderId="112" xfId="24" applyFont="1" applyFill="1" applyBorder="1" applyProtection="1">
      <protection locked="0"/>
    </xf>
    <xf numFmtId="167" fontId="123" fillId="11" borderId="129" xfId="19" applyNumberFormat="1" applyFont="1" applyFill="1" applyBorder="1" applyProtection="1">
      <protection locked="0"/>
    </xf>
    <xf numFmtId="167" fontId="87" fillId="11" borderId="129" xfId="24" applyNumberFormat="1" applyFont="1" applyFill="1" applyBorder="1" applyProtection="1">
      <protection locked="0"/>
    </xf>
    <xf numFmtId="0" fontId="72" fillId="11" borderId="129" xfId="0" applyFont="1" applyFill="1" applyBorder="1" applyAlignment="1">
      <alignment horizontal="right" vertical="center" wrapText="1"/>
    </xf>
    <xf numFmtId="167" fontId="83" fillId="11" borderId="133" xfId="1" applyNumberFormat="1" applyFont="1" applyFill="1" applyBorder="1" applyAlignment="1" applyProtection="1">
      <alignment horizontal="center" vertical="center"/>
      <protection locked="0"/>
    </xf>
    <xf numFmtId="167" fontId="83" fillId="11" borderId="131" xfId="144" applyNumberFormat="1" applyFont="1" applyFill="1" applyBorder="1" applyProtection="1">
      <protection locked="0"/>
    </xf>
    <xf numFmtId="167" fontId="87" fillId="11" borderId="64" xfId="1" applyNumberFormat="1" applyFont="1" applyFill="1" applyBorder="1" applyProtection="1">
      <protection locked="0"/>
    </xf>
    <xf numFmtId="0" fontId="58" fillId="0" borderId="125" xfId="43" applyFont="1" applyBorder="1" applyAlignment="1">
      <alignment horizontal="left" indent="2"/>
    </xf>
    <xf numFmtId="0" fontId="83" fillId="11" borderId="135" xfId="0" applyFont="1" applyFill="1" applyBorder="1"/>
    <xf numFmtId="0" fontId="87" fillId="11" borderId="135" xfId="0" applyFont="1" applyFill="1" applyBorder="1" applyAlignment="1">
      <alignment horizontal="right" vertical="center" wrapText="1"/>
    </xf>
    <xf numFmtId="167" fontId="204" fillId="11" borderId="137" xfId="1" applyNumberFormat="1" applyFont="1" applyFill="1" applyBorder="1" applyProtection="1">
      <protection locked="0"/>
    </xf>
    <xf numFmtId="167" fontId="83" fillId="11" borderId="137" xfId="1" applyNumberFormat="1" applyFont="1" applyFill="1" applyBorder="1" applyProtection="1">
      <protection locked="0"/>
    </xf>
    <xf numFmtId="167" fontId="87" fillId="11" borderId="137" xfId="1" applyNumberFormat="1" applyFont="1" applyFill="1" applyBorder="1" applyProtection="1">
      <protection locked="0"/>
    </xf>
    <xf numFmtId="167" fontId="72" fillId="14" borderId="137" xfId="1" applyNumberFormat="1" applyFont="1" applyFill="1" applyBorder="1" applyProtection="1">
      <protection locked="0"/>
    </xf>
    <xf numFmtId="0" fontId="86" fillId="11" borderId="135" xfId="0" applyFont="1" applyFill="1" applyBorder="1"/>
    <xf numFmtId="0" fontId="72" fillId="11" borderId="135" xfId="0" applyFont="1" applyFill="1" applyBorder="1" applyAlignment="1">
      <alignment horizontal="right" vertical="center" wrapText="1"/>
    </xf>
    <xf numFmtId="0" fontId="72" fillId="11" borderId="135" xfId="0" applyFont="1" applyFill="1" applyBorder="1"/>
    <xf numFmtId="43" fontId="204" fillId="11" borderId="137" xfId="24" applyFont="1" applyFill="1" applyBorder="1" applyAlignment="1" applyProtection="1">
      <alignment horizontal="center"/>
      <protection locked="0"/>
    </xf>
    <xf numFmtId="43" fontId="204" fillId="11" borderId="137" xfId="24" applyFont="1" applyFill="1" applyBorder="1" applyProtection="1">
      <protection locked="0"/>
    </xf>
    <xf numFmtId="167" fontId="123" fillId="11" borderId="135" xfId="19" applyNumberFormat="1" applyFont="1" applyFill="1" applyBorder="1" applyProtection="1">
      <protection locked="0"/>
    </xf>
    <xf numFmtId="167" fontId="87" fillId="11" borderId="135" xfId="24" applyNumberFormat="1" applyFont="1" applyFill="1" applyBorder="1" applyProtection="1">
      <protection locked="0"/>
    </xf>
    <xf numFmtId="0" fontId="84" fillId="11" borderId="135" xfId="0" applyFont="1" applyFill="1" applyBorder="1"/>
    <xf numFmtId="167" fontId="83" fillId="11" borderId="135" xfId="19" applyNumberFormat="1" applyFont="1" applyFill="1" applyBorder="1" applyProtection="1">
      <protection locked="0"/>
    </xf>
    <xf numFmtId="167" fontId="86" fillId="11" borderId="0" xfId="19" applyNumberFormat="1" applyFont="1" applyFill="1"/>
    <xf numFmtId="167" fontId="76" fillId="15" borderId="89" xfId="19" applyNumberFormat="1" applyFont="1" applyFill="1" applyBorder="1" applyProtection="1">
      <protection locked="0"/>
    </xf>
    <xf numFmtId="167" fontId="86" fillId="11" borderId="135" xfId="19" applyNumberFormat="1" applyFont="1" applyFill="1" applyBorder="1" applyProtection="1">
      <protection locked="0"/>
    </xf>
    <xf numFmtId="0" fontId="229" fillId="23" borderId="0" xfId="0" applyFont="1" applyFill="1" applyAlignment="1">
      <alignment wrapText="1"/>
    </xf>
    <xf numFmtId="0" fontId="89" fillId="11" borderId="135" xfId="0" applyFont="1" applyFill="1" applyBorder="1"/>
    <xf numFmtId="167" fontId="87" fillId="11" borderId="135" xfId="19" applyNumberFormat="1" applyFont="1" applyFill="1" applyBorder="1" applyProtection="1">
      <protection locked="0"/>
    </xf>
    <xf numFmtId="167" fontId="87" fillId="11" borderId="135" xfId="19" applyNumberFormat="1" applyFont="1" applyFill="1" applyBorder="1" applyAlignment="1" applyProtection="1">
      <protection locked="0"/>
    </xf>
    <xf numFmtId="167" fontId="72" fillId="15" borderId="135" xfId="19" applyNumberFormat="1" applyFont="1" applyFill="1" applyBorder="1" applyProtection="1">
      <protection locked="0"/>
    </xf>
    <xf numFmtId="170" fontId="83" fillId="18" borderId="135" xfId="19" applyNumberFormat="1" applyFont="1" applyFill="1" applyBorder="1" applyAlignment="1" applyProtection="1">
      <protection locked="0"/>
    </xf>
    <xf numFmtId="3" fontId="83" fillId="11" borderId="135" xfId="19" applyNumberFormat="1" applyFont="1" applyFill="1" applyBorder="1" applyProtection="1">
      <protection locked="0"/>
    </xf>
    <xf numFmtId="0" fontId="72" fillId="0" borderId="135" xfId="0" applyFont="1" applyBorder="1"/>
    <xf numFmtId="43" fontId="72" fillId="11" borderId="135" xfId="8" applyFont="1" applyFill="1" applyBorder="1" applyAlignment="1">
      <alignment wrapText="1"/>
    </xf>
    <xf numFmtId="167" fontId="76" fillId="15" borderId="86" xfId="20" applyNumberFormat="1" applyFont="1" applyFill="1" applyBorder="1" applyProtection="1">
      <protection locked="0"/>
    </xf>
    <xf numFmtId="167" fontId="86" fillId="11" borderId="86" xfId="20" applyNumberFormat="1" applyFont="1" applyFill="1" applyBorder="1" applyProtection="1">
      <protection locked="0"/>
    </xf>
    <xf numFmtId="167" fontId="86" fillId="3" borderId="0" xfId="0" applyNumberFormat="1" applyFont="1" applyFill="1"/>
    <xf numFmtId="0" fontId="86" fillId="3" borderId="0" xfId="0" applyFont="1" applyFill="1"/>
    <xf numFmtId="167" fontId="86" fillId="11" borderId="132" xfId="23" applyNumberFormat="1" applyFont="1" applyFill="1" applyBorder="1" applyProtection="1">
      <protection locked="0"/>
    </xf>
    <xf numFmtId="167" fontId="86" fillId="11" borderId="132" xfId="19" applyNumberFormat="1" applyFont="1" applyFill="1" applyBorder="1" applyAlignment="1" applyProtection="1">
      <alignment wrapText="1"/>
      <protection locked="0"/>
    </xf>
    <xf numFmtId="167" fontId="76" fillId="23" borderId="86" xfId="19" applyNumberFormat="1" applyFont="1" applyFill="1" applyBorder="1" applyProtection="1">
      <protection locked="0"/>
    </xf>
    <xf numFmtId="167" fontId="76" fillId="23" borderId="123" xfId="19" applyNumberFormat="1" applyFont="1" applyFill="1" applyBorder="1" applyProtection="1">
      <protection locked="0"/>
    </xf>
    <xf numFmtId="167" fontId="86" fillId="15" borderId="89" xfId="19" applyNumberFormat="1" applyFont="1" applyFill="1" applyBorder="1" applyProtection="1">
      <protection locked="0"/>
    </xf>
    <xf numFmtId="167" fontId="75" fillId="15" borderId="89" xfId="19" applyNumberFormat="1" applyFont="1" applyFill="1" applyBorder="1" applyProtection="1">
      <protection locked="0"/>
    </xf>
    <xf numFmtId="167" fontId="91" fillId="11" borderId="89" xfId="19" applyNumberFormat="1" applyFont="1" applyFill="1" applyBorder="1" applyProtection="1">
      <protection locked="0"/>
    </xf>
    <xf numFmtId="167" fontId="91" fillId="11" borderId="129" xfId="19" applyNumberFormat="1" applyFont="1" applyFill="1" applyBorder="1" applyProtection="1">
      <protection locked="0"/>
    </xf>
    <xf numFmtId="167" fontId="76" fillId="15" borderId="99" xfId="24" applyNumberFormat="1" applyFont="1" applyFill="1" applyBorder="1" applyAlignment="1" applyProtection="1">
      <alignment horizontal="center"/>
      <protection locked="0"/>
    </xf>
    <xf numFmtId="43" fontId="86" fillId="11" borderId="99" xfId="24" applyFont="1" applyFill="1" applyBorder="1" applyAlignment="1" applyProtection="1">
      <alignment horizontal="center"/>
      <protection locked="0"/>
    </xf>
    <xf numFmtId="167" fontId="76" fillId="11" borderId="89" xfId="24" applyNumberFormat="1" applyFont="1" applyFill="1" applyBorder="1" applyProtection="1">
      <protection locked="0"/>
    </xf>
    <xf numFmtId="167" fontId="75" fillId="15" borderId="89" xfId="1" applyNumberFormat="1" applyFont="1" applyFill="1" applyBorder="1" applyProtection="1">
      <protection locked="0"/>
    </xf>
    <xf numFmtId="167" fontId="76" fillId="11" borderId="89" xfId="1" applyNumberFormat="1" applyFont="1" applyFill="1" applyBorder="1" applyProtection="1">
      <protection locked="0"/>
    </xf>
    <xf numFmtId="167" fontId="76" fillId="11" borderId="129" xfId="24" applyNumberFormat="1" applyFont="1" applyFill="1" applyBorder="1" applyProtection="1">
      <protection locked="0"/>
    </xf>
    <xf numFmtId="43" fontId="86" fillId="11" borderId="89" xfId="24" applyFont="1" applyFill="1" applyBorder="1" applyProtection="1">
      <protection locked="0"/>
    </xf>
    <xf numFmtId="43" fontId="86" fillId="11" borderId="137" xfId="24" applyFont="1" applyFill="1" applyBorder="1" applyProtection="1">
      <protection locked="0"/>
    </xf>
    <xf numFmtId="167" fontId="86" fillId="11" borderId="137" xfId="19" applyNumberFormat="1" applyFont="1" applyFill="1" applyBorder="1" applyProtection="1">
      <protection locked="0"/>
    </xf>
    <xf numFmtId="43" fontId="86" fillId="11" borderId="112" xfId="24" applyFont="1" applyFill="1" applyBorder="1" applyProtection="1">
      <protection locked="0"/>
    </xf>
    <xf numFmtId="167" fontId="86" fillId="11" borderId="109" xfId="1" applyNumberFormat="1" applyFont="1" applyFill="1" applyBorder="1" applyAlignment="1" applyProtection="1">
      <alignment horizontal="center"/>
      <protection locked="0"/>
    </xf>
    <xf numFmtId="167" fontId="76" fillId="11" borderId="110" xfId="24" applyNumberFormat="1" applyFont="1" applyFill="1" applyBorder="1" applyProtection="1">
      <protection locked="0"/>
    </xf>
    <xf numFmtId="167" fontId="76" fillId="11" borderId="99" xfId="24" applyNumberFormat="1" applyFont="1" applyFill="1" applyBorder="1" applyProtection="1">
      <protection locked="0"/>
    </xf>
    <xf numFmtId="167" fontId="91" fillId="11" borderId="99" xfId="19" applyNumberFormat="1" applyFont="1" applyFill="1" applyBorder="1" applyAlignment="1" applyProtection="1">
      <alignment horizontal="center"/>
      <protection locked="0"/>
    </xf>
    <xf numFmtId="167" fontId="76" fillId="11" borderId="89" xfId="19" applyNumberFormat="1" applyFont="1" applyFill="1" applyBorder="1" applyProtection="1">
      <protection locked="0"/>
    </xf>
    <xf numFmtId="167" fontId="86" fillId="11" borderId="99" xfId="1" applyNumberFormat="1" applyFont="1" applyFill="1" applyBorder="1" applyAlignment="1" applyProtection="1">
      <alignment horizontal="center"/>
      <protection locked="0"/>
    </xf>
    <xf numFmtId="167" fontId="86" fillId="11" borderId="64" xfId="1" applyNumberFormat="1" applyFont="1" applyFill="1" applyBorder="1" applyProtection="1">
      <protection locked="0"/>
    </xf>
    <xf numFmtId="167" fontId="86" fillId="11" borderId="86" xfId="19" applyNumberFormat="1" applyFont="1" applyFill="1" applyBorder="1" applyAlignment="1">
      <alignment horizontal="center"/>
    </xf>
    <xf numFmtId="167" fontId="86" fillId="75" borderId="102" xfId="19" applyNumberFormat="1" applyFont="1" applyFill="1" applyBorder="1" applyProtection="1">
      <protection locked="0"/>
    </xf>
    <xf numFmtId="167" fontId="76" fillId="11" borderId="112" xfId="1" applyNumberFormat="1" applyFont="1" applyFill="1" applyBorder="1" applyAlignment="1" applyProtection="1">
      <alignment horizontal="center" vertical="center"/>
      <protection locked="0"/>
    </xf>
    <xf numFmtId="167" fontId="71" fillId="15" borderId="135" xfId="19" applyNumberFormat="1" applyFont="1" applyFill="1" applyBorder="1" applyProtection="1">
      <protection locked="0"/>
    </xf>
    <xf numFmtId="43" fontId="83" fillId="11" borderId="86" xfId="19" applyFont="1" applyFill="1" applyBorder="1"/>
    <xf numFmtId="0" fontId="91" fillId="11" borderId="0" xfId="0" applyFont="1" applyFill="1"/>
    <xf numFmtId="0" fontId="83" fillId="11" borderId="135" xfId="0" applyFont="1" applyFill="1" applyBorder="1" applyAlignment="1">
      <alignment horizontal="center"/>
    </xf>
    <xf numFmtId="0" fontId="92" fillId="11" borderId="135" xfId="0" applyFont="1" applyFill="1" applyBorder="1" applyAlignment="1">
      <alignment horizontal="left" vertical="center" wrapText="1"/>
    </xf>
    <xf numFmtId="0" fontId="83" fillId="11" borderId="135" xfId="0" applyFont="1" applyFill="1" applyBorder="1" applyAlignment="1">
      <alignment horizontal="left" vertical="center" wrapText="1"/>
    </xf>
    <xf numFmtId="0" fontId="72" fillId="0" borderId="135" xfId="0" applyFont="1" applyBorder="1" applyAlignment="1">
      <alignment horizontal="center"/>
    </xf>
    <xf numFmtId="0" fontId="72" fillId="0" borderId="135" xfId="0" applyFont="1" applyBorder="1" applyAlignment="1">
      <alignment horizontal="left" vertical="center" wrapText="1"/>
    </xf>
    <xf numFmtId="167" fontId="76" fillId="14" borderId="135" xfId="19" applyNumberFormat="1" applyFont="1" applyFill="1" applyBorder="1" applyProtection="1">
      <protection locked="0"/>
    </xf>
    <xf numFmtId="0" fontId="87" fillId="23" borderId="135" xfId="0" applyFont="1" applyFill="1" applyBorder="1" applyAlignment="1">
      <alignment horizontal="right" vertical="top" wrapText="1"/>
    </xf>
    <xf numFmtId="167" fontId="72" fillId="15" borderId="131" xfId="19" applyNumberFormat="1" applyFont="1" applyFill="1" applyBorder="1" applyProtection="1">
      <protection locked="0"/>
    </xf>
    <xf numFmtId="167" fontId="70" fillId="15" borderId="131" xfId="19" applyNumberFormat="1" applyFont="1" applyFill="1" applyBorder="1" applyProtection="1">
      <protection locked="0"/>
    </xf>
    <xf numFmtId="0" fontId="72" fillId="11" borderId="135" xfId="0" applyFont="1" applyFill="1" applyBorder="1" applyAlignment="1">
      <alignment horizontal="left" vertical="center" wrapText="1"/>
    </xf>
    <xf numFmtId="0" fontId="83" fillId="11" borderId="136" xfId="0" applyFont="1" applyFill="1" applyBorder="1"/>
    <xf numFmtId="0" fontId="86" fillId="0" borderId="0" xfId="0" applyFont="1" applyAlignment="1">
      <alignment wrapText="1"/>
    </xf>
    <xf numFmtId="0" fontId="230" fillId="0" borderId="0" xfId="0" applyFont="1"/>
    <xf numFmtId="167" fontId="91" fillId="11" borderId="135" xfId="19" applyNumberFormat="1" applyFont="1" applyFill="1" applyBorder="1" applyProtection="1">
      <protection locked="0"/>
    </xf>
    <xf numFmtId="167" fontId="86" fillId="14" borderId="135" xfId="19" applyNumberFormat="1" applyFont="1" applyFill="1" applyBorder="1" applyProtection="1">
      <protection locked="0"/>
    </xf>
    <xf numFmtId="0" fontId="83" fillId="11" borderId="135" xfId="0" applyFont="1" applyFill="1" applyBorder="1" applyAlignment="1">
      <alignment vertical="center"/>
    </xf>
    <xf numFmtId="0" fontId="84" fillId="11" borderId="135" xfId="0" applyFont="1" applyFill="1" applyBorder="1" applyAlignment="1">
      <alignment horizontal="center" vertical="center"/>
    </xf>
    <xf numFmtId="0" fontId="123" fillId="11" borderId="135" xfId="0" applyFont="1" applyFill="1" applyBorder="1" applyAlignment="1">
      <alignment horizontal="left" vertical="center" wrapText="1"/>
    </xf>
    <xf numFmtId="0" fontId="84" fillId="11" borderId="135" xfId="0" applyFont="1" applyFill="1" applyBorder="1" applyAlignment="1">
      <alignment horizontal="left" wrapText="1"/>
    </xf>
    <xf numFmtId="167" fontId="96" fillId="11" borderId="135" xfId="19" applyNumberFormat="1" applyFont="1" applyFill="1" applyBorder="1" applyProtection="1">
      <protection locked="0"/>
    </xf>
    <xf numFmtId="0" fontId="84" fillId="23" borderId="0" xfId="0" applyFont="1" applyFill="1" applyAlignment="1">
      <alignment vertical="top" wrapText="1"/>
    </xf>
    <xf numFmtId="0" fontId="83" fillId="23" borderId="135" xfId="0" applyFont="1" applyFill="1" applyBorder="1" applyAlignment="1">
      <alignment horizontal="left" vertical="top" wrapText="1"/>
    </xf>
    <xf numFmtId="0" fontId="87" fillId="23" borderId="0" xfId="0" applyFont="1" applyFill="1" applyAlignment="1">
      <alignment horizontal="left" vertical="top" wrapText="1"/>
    </xf>
    <xf numFmtId="167" fontId="87" fillId="11" borderId="130" xfId="19" applyNumberFormat="1" applyFont="1" applyFill="1" applyBorder="1" applyAlignment="1" applyProtection="1">
      <alignment horizontal="center" vertical="center"/>
    </xf>
    <xf numFmtId="0" fontId="83" fillId="23" borderId="135" xfId="0" applyFont="1" applyFill="1" applyBorder="1" applyAlignment="1">
      <alignment horizontal="left" vertical="center" wrapText="1"/>
    </xf>
    <xf numFmtId="1" fontId="86" fillId="23" borderId="131" xfId="19" applyNumberFormat="1" applyFont="1" applyFill="1" applyBorder="1" applyProtection="1"/>
    <xf numFmtId="167" fontId="83" fillId="23" borderId="131" xfId="19" applyNumberFormat="1" applyFont="1" applyFill="1" applyBorder="1" applyProtection="1"/>
    <xf numFmtId="167" fontId="87" fillId="23" borderId="131" xfId="19" applyNumberFormat="1" applyFont="1" applyFill="1" applyBorder="1" applyProtection="1"/>
    <xf numFmtId="167" fontId="86" fillId="14" borderId="131" xfId="19" applyNumberFormat="1" applyFont="1" applyFill="1" applyBorder="1" applyProtection="1"/>
    <xf numFmtId="0" fontId="209" fillId="6" borderId="141" xfId="10" applyFont="1" applyFill="1" applyBorder="1" applyAlignment="1">
      <alignment vertical="center" wrapText="1"/>
    </xf>
    <xf numFmtId="0" fontId="84" fillId="11" borderId="135" xfId="0" applyFont="1" applyFill="1" applyBorder="1" applyAlignment="1">
      <alignment vertical="center" wrapText="1"/>
    </xf>
    <xf numFmtId="0" fontId="86" fillId="11" borderId="0" xfId="0" applyFont="1" applyFill="1" applyAlignment="1">
      <alignment horizontal="left" wrapText="1"/>
    </xf>
    <xf numFmtId="0" fontId="83" fillId="11" borderId="135" xfId="0" applyFont="1" applyFill="1" applyBorder="1" applyAlignment="1">
      <alignment vertical="center" wrapText="1"/>
    </xf>
    <xf numFmtId="167" fontId="83" fillId="11" borderId="145" xfId="23" applyNumberFormat="1" applyFont="1" applyFill="1" applyBorder="1" applyProtection="1">
      <protection locked="0"/>
    </xf>
    <xf numFmtId="0" fontId="83" fillId="11" borderId="145" xfId="0" applyFont="1" applyFill="1" applyBorder="1" applyAlignment="1">
      <alignment horizontal="left" vertical="top" wrapText="1"/>
    </xf>
    <xf numFmtId="0" fontId="83" fillId="11" borderId="145" xfId="0" applyFont="1" applyFill="1" applyBorder="1" applyAlignment="1">
      <alignment vertical="top" wrapText="1"/>
    </xf>
    <xf numFmtId="0" fontId="83" fillId="11" borderId="145" xfId="0" applyFont="1" applyFill="1" applyBorder="1"/>
    <xf numFmtId="0" fontId="72" fillId="11" borderId="145" xfId="0" applyFont="1" applyFill="1" applyBorder="1" applyAlignment="1">
      <alignment horizontal="left" vertical="top" wrapText="1"/>
    </xf>
    <xf numFmtId="0" fontId="82" fillId="11" borderId="145" xfId="0" applyFont="1" applyFill="1" applyBorder="1"/>
    <xf numFmtId="0" fontId="72" fillId="11" borderId="145" xfId="0" applyFont="1" applyFill="1" applyBorder="1"/>
    <xf numFmtId="0" fontId="83" fillId="11" borderId="145" xfId="0" applyFont="1" applyFill="1" applyBorder="1" applyAlignment="1">
      <alignment horizontal="left" vertical="center" wrapText="1"/>
    </xf>
    <xf numFmtId="0" fontId="83" fillId="11" borderId="145" xfId="0" applyFont="1" applyFill="1" applyBorder="1" applyAlignment="1">
      <alignment horizontal="center" vertical="center"/>
    </xf>
    <xf numFmtId="0" fontId="84" fillId="0" borderId="0" xfId="0" applyFont="1"/>
    <xf numFmtId="0" fontId="83" fillId="11" borderId="145" xfId="0" applyFont="1" applyFill="1" applyBorder="1" applyAlignment="1">
      <alignment vertical="center" wrapText="1"/>
    </xf>
    <xf numFmtId="167" fontId="87" fillId="11" borderId="146" xfId="19" applyNumberFormat="1" applyFont="1" applyFill="1" applyBorder="1" applyProtection="1">
      <protection locked="0"/>
    </xf>
    <xf numFmtId="167" fontId="87" fillId="11" borderId="144" xfId="19" applyNumberFormat="1" applyFont="1" applyFill="1" applyBorder="1" applyProtection="1">
      <protection locked="0"/>
    </xf>
    <xf numFmtId="167" fontId="86" fillId="14" borderId="144" xfId="19" applyNumberFormat="1" applyFont="1" applyFill="1" applyBorder="1" applyProtection="1">
      <protection locked="0"/>
    </xf>
    <xf numFmtId="167" fontId="83" fillId="11" borderId="144" xfId="19" applyNumberFormat="1" applyFont="1" applyFill="1" applyBorder="1" applyProtection="1">
      <protection locked="0"/>
    </xf>
    <xf numFmtId="167" fontId="86" fillId="11" borderId="145" xfId="19" applyNumberFormat="1" applyFont="1" applyFill="1" applyBorder="1" applyProtection="1">
      <protection locked="0"/>
    </xf>
    <xf numFmtId="167" fontId="83" fillId="11" borderId="145" xfId="19" applyNumberFormat="1" applyFont="1" applyFill="1" applyBorder="1" applyProtection="1">
      <protection locked="0"/>
    </xf>
    <xf numFmtId="0" fontId="83" fillId="11" borderId="145" xfId="0" applyFont="1" applyFill="1" applyBorder="1" applyAlignment="1">
      <alignment vertical="center"/>
    </xf>
    <xf numFmtId="167" fontId="76" fillId="15" borderId="145" xfId="19" applyNumberFormat="1" applyFont="1" applyFill="1" applyBorder="1" applyProtection="1">
      <protection locked="0"/>
    </xf>
    <xf numFmtId="167" fontId="86" fillId="11" borderId="145" xfId="144" applyNumberFormat="1" applyFont="1" applyFill="1" applyBorder="1" applyProtection="1">
      <protection locked="0"/>
    </xf>
    <xf numFmtId="167" fontId="72" fillId="15" borderId="145" xfId="19" applyNumberFormat="1" applyFont="1" applyFill="1" applyBorder="1" applyProtection="1">
      <protection locked="0"/>
    </xf>
    <xf numFmtId="0" fontId="72" fillId="0" borderId="145" xfId="201" applyFont="1" applyBorder="1"/>
    <xf numFmtId="0" fontId="72" fillId="0" borderId="145" xfId="201" applyFont="1" applyBorder="1" applyAlignment="1">
      <alignment horizontal="left" vertical="center" wrapText="1"/>
    </xf>
    <xf numFmtId="0" fontId="83" fillId="11" borderId="145" xfId="201" applyFont="1" applyFill="1" applyBorder="1"/>
    <xf numFmtId="0" fontId="83" fillId="11" borderId="145" xfId="201" applyFont="1" applyFill="1" applyBorder="1" applyAlignment="1">
      <alignment horizontal="center"/>
    </xf>
    <xf numFmtId="0" fontId="87" fillId="11" borderId="145" xfId="201" applyFont="1" applyFill="1" applyBorder="1" applyAlignment="1">
      <alignment horizontal="right" vertical="center" wrapText="1"/>
    </xf>
    <xf numFmtId="0" fontId="72" fillId="23" borderId="145" xfId="201" applyFont="1" applyFill="1" applyBorder="1"/>
    <xf numFmtId="0" fontId="83" fillId="23" borderId="145" xfId="201" applyFont="1" applyFill="1" applyBorder="1" applyAlignment="1">
      <alignment horizontal="center"/>
    </xf>
    <xf numFmtId="167" fontId="86" fillId="14" borderId="145" xfId="19" applyNumberFormat="1" applyFont="1" applyFill="1" applyBorder="1" applyProtection="1">
      <protection locked="0"/>
    </xf>
    <xf numFmtId="49" fontId="72" fillId="0" borderId="86" xfId="0" applyNumberFormat="1" applyFont="1" applyBorder="1"/>
    <xf numFmtId="49" fontId="83" fillId="11" borderId="86" xfId="0" applyNumberFormat="1" applyFont="1" applyFill="1" applyBorder="1"/>
    <xf numFmtId="49" fontId="83" fillId="11" borderId="86" xfId="0" applyNumberFormat="1" applyFont="1" applyFill="1" applyBorder="1" applyAlignment="1">
      <alignment vertical="top"/>
    </xf>
    <xf numFmtId="49" fontId="72" fillId="0" borderId="11" xfId="0" applyNumberFormat="1" applyFont="1" applyBorder="1"/>
    <xf numFmtId="49" fontId="83" fillId="11" borderId="11" xfId="0" applyNumberFormat="1" applyFont="1" applyFill="1" applyBorder="1"/>
    <xf numFmtId="49" fontId="83" fillId="11" borderId="71" xfId="0" applyNumberFormat="1" applyFont="1" applyFill="1" applyBorder="1"/>
    <xf numFmtId="49" fontId="72" fillId="0" borderId="60" xfId="0" applyNumberFormat="1" applyFont="1" applyBorder="1"/>
    <xf numFmtId="49" fontId="83" fillId="11" borderId="60" xfId="0" applyNumberFormat="1" applyFont="1" applyFill="1" applyBorder="1"/>
    <xf numFmtId="49" fontId="72" fillId="0" borderId="89" xfId="0" applyNumberFormat="1" applyFont="1" applyBorder="1"/>
    <xf numFmtId="49" fontId="83" fillId="11" borderId="89" xfId="0" applyNumberFormat="1" applyFont="1" applyFill="1" applyBorder="1"/>
    <xf numFmtId="49" fontId="83" fillId="11" borderId="102" xfId="0" applyNumberFormat="1" applyFont="1" applyFill="1" applyBorder="1"/>
    <xf numFmtId="49" fontId="72" fillId="0" borderId="102" xfId="0" applyNumberFormat="1" applyFont="1" applyBorder="1"/>
    <xf numFmtId="49" fontId="83" fillId="23" borderId="102" xfId="0" applyNumberFormat="1" applyFont="1" applyFill="1" applyBorder="1"/>
    <xf numFmtId="49" fontId="83" fillId="11" borderId="135" xfId="0" applyNumberFormat="1" applyFont="1" applyFill="1" applyBorder="1"/>
    <xf numFmtId="49" fontId="72" fillId="0" borderId="54" xfId="0" applyNumberFormat="1" applyFont="1" applyBorder="1"/>
    <xf numFmtId="49" fontId="83" fillId="11" borderId="54" xfId="0" applyNumberFormat="1" applyFont="1" applyFill="1" applyBorder="1"/>
    <xf numFmtId="49" fontId="72" fillId="0" borderId="123" xfId="0" applyNumberFormat="1" applyFont="1" applyBorder="1"/>
    <xf numFmtId="49" fontId="83" fillId="11" borderId="123" xfId="0" applyNumberFormat="1" applyFont="1" applyFill="1" applyBorder="1"/>
    <xf numFmtId="49" fontId="83" fillId="11" borderId="69" xfId="0" applyNumberFormat="1" applyFont="1" applyFill="1" applyBorder="1"/>
    <xf numFmtId="49" fontId="72" fillId="11" borderId="102" xfId="0" applyNumberFormat="1" applyFont="1" applyFill="1" applyBorder="1"/>
    <xf numFmtId="49" fontId="83" fillId="11" borderId="104" xfId="0" applyNumberFormat="1" applyFont="1" applyFill="1" applyBorder="1"/>
    <xf numFmtId="49" fontId="83" fillId="0" borderId="86" xfId="0" applyNumberFormat="1" applyFont="1" applyBorder="1"/>
    <xf numFmtId="49" fontId="83" fillId="3" borderId="102" xfId="0" applyNumberFormat="1" applyFont="1" applyFill="1" applyBorder="1"/>
    <xf numFmtId="49" fontId="83" fillId="11" borderId="96" xfId="0" applyNumberFormat="1" applyFont="1" applyFill="1" applyBorder="1"/>
    <xf numFmtId="49" fontId="83" fillId="11" borderId="99" xfId="0" applyNumberFormat="1" applyFont="1" applyFill="1" applyBorder="1"/>
    <xf numFmtId="49" fontId="72" fillId="11" borderId="86" xfId="0" applyNumberFormat="1" applyFont="1" applyFill="1" applyBorder="1"/>
    <xf numFmtId="49" fontId="83" fillId="11" borderId="88" xfId="0" applyNumberFormat="1" applyFont="1" applyFill="1" applyBorder="1"/>
    <xf numFmtId="49" fontId="72" fillId="11" borderId="54" xfId="0" applyNumberFormat="1" applyFont="1" applyFill="1" applyBorder="1"/>
    <xf numFmtId="49" fontId="72" fillId="11" borderId="57" xfId="0" applyNumberFormat="1" applyFont="1" applyFill="1" applyBorder="1"/>
    <xf numFmtId="49" fontId="83" fillId="11" borderId="57" xfId="0" applyNumberFormat="1" applyFont="1" applyFill="1" applyBorder="1"/>
    <xf numFmtId="49" fontId="72" fillId="0" borderId="110" xfId="0" applyNumberFormat="1" applyFont="1" applyBorder="1"/>
    <xf numFmtId="49" fontId="83" fillId="11" borderId="110" xfId="0" applyNumberFormat="1" applyFont="1" applyFill="1" applyBorder="1"/>
    <xf numFmtId="49" fontId="72" fillId="11" borderId="110" xfId="0" applyNumberFormat="1" applyFont="1" applyFill="1" applyBorder="1"/>
    <xf numFmtId="49" fontId="83" fillId="11" borderId="58" xfId="0" applyNumberFormat="1" applyFont="1" applyFill="1" applyBorder="1"/>
    <xf numFmtId="49" fontId="72" fillId="0" borderId="58" xfId="0" applyNumberFormat="1" applyFont="1" applyBorder="1"/>
    <xf numFmtId="49" fontId="72" fillId="0" borderId="86" xfId="0" quotePrefix="1" applyNumberFormat="1" applyFont="1" applyBorder="1" applyAlignment="1">
      <alignment horizontal="right"/>
    </xf>
    <xf numFmtId="49" fontId="83" fillId="11" borderId="86" xfId="0" applyNumberFormat="1" applyFont="1" applyFill="1" applyBorder="1" applyAlignment="1">
      <alignment horizontal="right"/>
    </xf>
    <xf numFmtId="49" fontId="72" fillId="23" borderId="86" xfId="0" applyNumberFormat="1" applyFont="1" applyFill="1" applyBorder="1" applyAlignment="1">
      <alignment horizontal="right"/>
    </xf>
    <xf numFmtId="49" fontId="96" fillId="4" borderId="86" xfId="0" applyNumberFormat="1" applyFont="1" applyFill="1" applyBorder="1" applyAlignment="1">
      <alignment horizontal="right"/>
    </xf>
    <xf numFmtId="49" fontId="83" fillId="11" borderId="135" xfId="0" applyNumberFormat="1" applyFont="1" applyFill="1" applyBorder="1" applyAlignment="1">
      <alignment horizontal="right"/>
    </xf>
    <xf numFmtId="49" fontId="83" fillId="11" borderId="135" xfId="0" applyNumberFormat="1" applyFont="1" applyFill="1" applyBorder="1" applyAlignment="1">
      <alignment horizontal="right" vertical="center"/>
    </xf>
    <xf numFmtId="49" fontId="83" fillId="11" borderId="67" xfId="0" applyNumberFormat="1" applyFont="1" applyFill="1" applyBorder="1"/>
    <xf numFmtId="49" fontId="72" fillId="0" borderId="135" xfId="0" applyNumberFormat="1" applyFont="1" applyBorder="1"/>
    <xf numFmtId="49" fontId="72" fillId="0" borderId="86" xfId="0" quotePrefix="1" applyNumberFormat="1" applyFont="1" applyBorder="1"/>
    <xf numFmtId="49" fontId="72" fillId="0" borderId="7" xfId="0" applyNumberFormat="1" applyFont="1" applyBorder="1"/>
    <xf numFmtId="49" fontId="83" fillId="11" borderId="107" xfId="0" applyNumberFormat="1" applyFont="1" applyFill="1" applyBorder="1"/>
    <xf numFmtId="49" fontId="83" fillId="0" borderId="110" xfId="0" applyNumberFormat="1" applyFont="1" applyBorder="1"/>
    <xf numFmtId="49" fontId="83" fillId="11" borderId="145" xfId="0" applyNumberFormat="1" applyFont="1" applyFill="1" applyBorder="1"/>
    <xf numFmtId="49" fontId="72" fillId="0" borderId="102" xfId="0" quotePrefix="1" applyNumberFormat="1" applyFont="1" applyBorder="1" applyAlignment="1">
      <alignment horizontal="center" vertical="center"/>
    </xf>
    <xf numFmtId="49" fontId="83" fillId="11" borderId="102" xfId="0" applyNumberFormat="1" applyFont="1" applyFill="1" applyBorder="1" applyAlignment="1">
      <alignment horizontal="center" vertical="center"/>
    </xf>
    <xf numFmtId="49" fontId="72" fillId="0" borderId="102" xfId="0" applyNumberFormat="1" applyFont="1" applyBorder="1" applyAlignment="1">
      <alignment horizontal="center" vertical="center"/>
    </xf>
    <xf numFmtId="49" fontId="83" fillId="11" borderId="129" xfId="0" applyNumberFormat="1" applyFont="1" applyFill="1" applyBorder="1" applyAlignment="1">
      <alignment horizontal="center" vertical="center"/>
    </xf>
    <xf numFmtId="49" fontId="111" fillId="0" borderId="0" xfId="0" applyNumberFormat="1" applyFont="1" applyAlignment="1">
      <alignment horizontal="right"/>
    </xf>
    <xf numFmtId="0" fontId="83" fillId="11" borderId="145" xfId="0" applyFont="1" applyFill="1" applyBorder="1" applyAlignment="1">
      <alignment horizontal="center"/>
    </xf>
    <xf numFmtId="0" fontId="84" fillId="11" borderId="145" xfId="0" applyFont="1" applyFill="1" applyBorder="1" applyAlignment="1">
      <alignment horizontal="left" vertical="center" wrapText="1"/>
    </xf>
    <xf numFmtId="167" fontId="83" fillId="11" borderId="146" xfId="19" applyNumberFormat="1" applyFont="1" applyFill="1" applyBorder="1" applyProtection="1">
      <protection locked="0"/>
    </xf>
    <xf numFmtId="167" fontId="86" fillId="14" borderId="146" xfId="19" applyNumberFormat="1" applyFont="1" applyFill="1" applyBorder="1" applyProtection="1">
      <protection locked="0"/>
    </xf>
    <xf numFmtId="167" fontId="83" fillId="11" borderId="145" xfId="1" applyNumberFormat="1" applyFont="1" applyFill="1" applyBorder="1" applyProtection="1">
      <protection locked="0"/>
    </xf>
    <xf numFmtId="167" fontId="72" fillId="15" borderId="145" xfId="1" applyNumberFormat="1" applyFont="1" applyFill="1" applyBorder="1" applyProtection="1">
      <protection locked="0"/>
    </xf>
    <xf numFmtId="167" fontId="86" fillId="11" borderId="144" xfId="19" applyNumberFormat="1" applyFont="1" applyFill="1" applyBorder="1" applyProtection="1">
      <protection locked="0"/>
    </xf>
    <xf numFmtId="167" fontId="96" fillId="11" borderId="147" xfId="19" applyNumberFormat="1" applyFont="1" applyFill="1" applyBorder="1" applyProtection="1">
      <protection locked="0"/>
    </xf>
    <xf numFmtId="167" fontId="83" fillId="11" borderId="147" xfId="19" applyNumberFormat="1" applyFont="1" applyFill="1" applyBorder="1" applyProtection="1">
      <protection locked="0"/>
    </xf>
    <xf numFmtId="167" fontId="87" fillId="11" borderId="147" xfId="19" applyNumberFormat="1" applyFont="1" applyFill="1" applyBorder="1" applyProtection="1">
      <protection locked="0"/>
    </xf>
    <xf numFmtId="167" fontId="86" fillId="14" borderId="147" xfId="19" applyNumberFormat="1" applyFont="1" applyFill="1" applyBorder="1" applyProtection="1">
      <protection locked="0"/>
    </xf>
    <xf numFmtId="0" fontId="149" fillId="23" borderId="145" xfId="0" applyFont="1" applyFill="1" applyBorder="1" applyAlignment="1">
      <alignment horizontal="left" vertical="top" wrapText="1"/>
    </xf>
    <xf numFmtId="0" fontId="94" fillId="11" borderId="145" xfId="201" applyFont="1" applyFill="1" applyBorder="1" applyAlignment="1">
      <alignment horizontal="left" vertical="center" wrapText="1"/>
    </xf>
    <xf numFmtId="0" fontId="83" fillId="0" borderId="145" xfId="201" applyFont="1" applyBorder="1" applyAlignment="1">
      <alignment horizontal="center"/>
    </xf>
    <xf numFmtId="0" fontId="83" fillId="11" borderId="145" xfId="0" applyFont="1" applyFill="1" applyBorder="1" applyAlignment="1">
      <alignment horizontal="right" vertical="center" wrapText="1"/>
    </xf>
    <xf numFmtId="167" fontId="86" fillId="11" borderId="147" xfId="19" applyNumberFormat="1" applyFont="1" applyFill="1" applyBorder="1" applyProtection="1">
      <protection locked="0"/>
    </xf>
    <xf numFmtId="0" fontId="89" fillId="11" borderId="145" xfId="0" applyFont="1" applyFill="1" applyBorder="1"/>
    <xf numFmtId="167" fontId="83" fillId="11" borderId="67" xfId="19" applyNumberFormat="1" applyFont="1" applyFill="1" applyBorder="1" applyProtection="1">
      <protection locked="0"/>
    </xf>
    <xf numFmtId="167" fontId="83" fillId="11" borderId="60" xfId="19" applyNumberFormat="1" applyFont="1" applyFill="1" applyBorder="1" applyProtection="1">
      <protection locked="0"/>
    </xf>
    <xf numFmtId="174" fontId="83" fillId="11" borderId="145" xfId="19" applyNumberFormat="1" applyFont="1" applyFill="1" applyBorder="1" applyProtection="1">
      <protection locked="0"/>
    </xf>
    <xf numFmtId="167" fontId="76" fillId="15" borderId="145" xfId="1" applyNumberFormat="1" applyFont="1" applyFill="1" applyBorder="1" applyProtection="1">
      <protection locked="0"/>
    </xf>
    <xf numFmtId="174" fontId="86" fillId="11" borderId="145" xfId="19" applyNumberFormat="1" applyFont="1" applyFill="1" applyBorder="1" applyProtection="1">
      <protection locked="0"/>
    </xf>
    <xf numFmtId="0" fontId="72" fillId="0" borderId="89" xfId="0" applyFont="1" applyBorder="1" applyAlignment="1">
      <alignment wrapText="1"/>
    </xf>
    <xf numFmtId="0" fontId="248" fillId="0" borderId="0" xfId="0" quotePrefix="1" applyFont="1"/>
    <xf numFmtId="49" fontId="60" fillId="6" borderId="125" xfId="43" applyNumberFormat="1" applyFont="1" applyFill="1" applyBorder="1" applyAlignment="1">
      <alignment horizontal="left" indent="1"/>
    </xf>
    <xf numFmtId="43" fontId="60" fillId="6" borderId="124" xfId="1" applyFont="1" applyFill="1" applyBorder="1"/>
    <xf numFmtId="0" fontId="87" fillId="11" borderId="145" xfId="0" applyFont="1" applyFill="1" applyBorder="1" applyAlignment="1">
      <alignment horizontal="right" vertical="center" wrapText="1"/>
    </xf>
    <xf numFmtId="0" fontId="249" fillId="11" borderId="145" xfId="0" applyFont="1" applyFill="1" applyBorder="1" applyAlignment="1">
      <alignment horizontal="left" vertical="center" wrapText="1"/>
    </xf>
    <xf numFmtId="167" fontId="86" fillId="11" borderId="145" xfId="19" applyNumberFormat="1" applyFont="1" applyFill="1" applyBorder="1"/>
    <xf numFmtId="167" fontId="83" fillId="11" borderId="145" xfId="19" applyNumberFormat="1" applyFont="1" applyFill="1" applyBorder="1"/>
    <xf numFmtId="0" fontId="149" fillId="11" borderId="145" xfId="0" applyFont="1" applyFill="1" applyBorder="1" applyAlignment="1">
      <alignment horizontal="right" vertical="center" wrapText="1"/>
    </xf>
    <xf numFmtId="43" fontId="98" fillId="11" borderId="146" xfId="24" applyFont="1" applyFill="1" applyBorder="1" applyAlignment="1" applyProtection="1">
      <alignment horizontal="center"/>
      <protection locked="0"/>
    </xf>
    <xf numFmtId="167" fontId="84" fillId="11" borderId="146" xfId="19" applyNumberFormat="1" applyFont="1" applyFill="1" applyBorder="1" applyAlignment="1" applyProtection="1">
      <alignment horizontal="center"/>
      <protection locked="0"/>
    </xf>
    <xf numFmtId="167" fontId="87" fillId="11" borderId="146" xfId="24" applyNumberFormat="1" applyFont="1" applyFill="1" applyBorder="1" applyProtection="1">
      <protection locked="0"/>
    </xf>
    <xf numFmtId="167" fontId="86" fillId="14" borderId="146" xfId="24" applyNumberFormat="1" applyFont="1" applyFill="1" applyBorder="1" applyProtection="1">
      <protection locked="0"/>
    </xf>
    <xf numFmtId="43" fontId="91" fillId="11" borderId="146" xfId="24" applyFont="1" applyFill="1" applyBorder="1" applyAlignment="1" applyProtection="1">
      <alignment horizontal="center"/>
      <protection locked="0"/>
    </xf>
    <xf numFmtId="0" fontId="83" fillId="11" borderId="146" xfId="0" applyFont="1" applyFill="1" applyBorder="1" applyAlignment="1">
      <alignment horizontal="right" vertical="center" wrapText="1"/>
    </xf>
    <xf numFmtId="167" fontId="84" fillId="11" borderId="146" xfId="19" applyNumberFormat="1" applyFont="1" applyFill="1" applyBorder="1" applyAlignment="1" applyProtection="1">
      <alignment horizontal="right" wrapText="1"/>
      <protection locked="0"/>
    </xf>
    <xf numFmtId="43" fontId="96" fillId="11" borderId="146" xfId="24" applyFont="1" applyFill="1" applyBorder="1" applyAlignment="1" applyProtection="1">
      <alignment horizontal="center"/>
      <protection locked="0"/>
    </xf>
    <xf numFmtId="0" fontId="101" fillId="11" borderId="145" xfId="0" applyFont="1" applyFill="1" applyBorder="1" applyAlignment="1">
      <alignment wrapText="1"/>
    </xf>
    <xf numFmtId="0" fontId="101" fillId="11" borderId="145" xfId="0" applyFont="1" applyFill="1" applyBorder="1" applyAlignment="1">
      <alignment horizontal="left" vertical="center" wrapText="1"/>
    </xf>
    <xf numFmtId="43" fontId="91" fillId="15" borderId="89" xfId="24" applyFont="1" applyFill="1" applyBorder="1" applyProtection="1">
      <protection locked="0"/>
    </xf>
    <xf numFmtId="43" fontId="86" fillId="15" borderId="89" xfId="24" applyFont="1" applyFill="1" applyBorder="1" applyProtection="1">
      <protection locked="0"/>
    </xf>
    <xf numFmtId="43" fontId="83" fillId="15" borderId="89" xfId="24" applyFont="1" applyFill="1" applyBorder="1" applyProtection="1">
      <protection locked="0"/>
    </xf>
    <xf numFmtId="43" fontId="96" fillId="15" borderId="89" xfId="24" applyFont="1" applyFill="1" applyBorder="1" applyProtection="1">
      <protection locked="0"/>
    </xf>
    <xf numFmtId="167" fontId="83" fillId="15" borderId="89" xfId="24" applyNumberFormat="1" applyFont="1" applyFill="1" applyBorder="1" applyProtection="1">
      <protection locked="0"/>
    </xf>
    <xf numFmtId="43" fontId="91" fillId="15" borderId="99" xfId="24" applyFont="1" applyFill="1" applyBorder="1" applyAlignment="1" applyProtection="1">
      <alignment horizontal="center"/>
      <protection locked="0"/>
    </xf>
    <xf numFmtId="167" fontId="87" fillId="11" borderId="123" xfId="24" applyNumberFormat="1" applyFont="1" applyFill="1" applyBorder="1" applyProtection="1">
      <protection locked="0"/>
    </xf>
    <xf numFmtId="167" fontId="87" fillId="11" borderId="0" xfId="24" applyNumberFormat="1" applyFont="1" applyFill="1" applyBorder="1" applyProtection="1">
      <protection locked="0"/>
    </xf>
    <xf numFmtId="167" fontId="84" fillId="15" borderId="89" xfId="24" applyNumberFormat="1" applyFont="1" applyFill="1" applyBorder="1" applyProtection="1">
      <protection locked="0"/>
    </xf>
    <xf numFmtId="167" fontId="84" fillId="11" borderId="89" xfId="1" applyNumberFormat="1" applyFont="1" applyFill="1" applyBorder="1" applyProtection="1">
      <protection locked="0"/>
    </xf>
    <xf numFmtId="167" fontId="83" fillId="11" borderId="109" xfId="24" applyNumberFormat="1" applyFont="1" applyFill="1" applyBorder="1" applyProtection="1">
      <protection locked="0"/>
    </xf>
    <xf numFmtId="167" fontId="83" fillId="11" borderId="112" xfId="24" applyNumberFormat="1" applyFont="1" applyFill="1" applyBorder="1" applyProtection="1">
      <protection locked="0"/>
    </xf>
    <xf numFmtId="167" fontId="83" fillId="11" borderId="99" xfId="24" applyNumberFormat="1" applyFont="1" applyFill="1" applyBorder="1" applyProtection="1">
      <protection locked="0"/>
    </xf>
    <xf numFmtId="167" fontId="96" fillId="15" borderId="89" xfId="19" applyNumberFormat="1" applyFont="1" applyFill="1" applyBorder="1" applyProtection="1">
      <protection locked="0"/>
    </xf>
    <xf numFmtId="43" fontId="194" fillId="15" borderId="89" xfId="24" applyFont="1" applyFill="1" applyBorder="1" applyProtection="1">
      <protection locked="0"/>
    </xf>
    <xf numFmtId="167" fontId="72" fillId="0" borderId="0" xfId="0" applyNumberFormat="1" applyFont="1"/>
    <xf numFmtId="43" fontId="91" fillId="11" borderId="145" xfId="24" applyFont="1" applyFill="1" applyBorder="1" applyAlignment="1" applyProtection="1">
      <alignment horizontal="center"/>
      <protection locked="0"/>
    </xf>
    <xf numFmtId="167" fontId="83" fillId="11" borderId="145" xfId="24" applyNumberFormat="1" applyFont="1" applyFill="1" applyBorder="1" applyProtection="1">
      <protection locked="0"/>
    </xf>
    <xf numFmtId="167" fontId="87" fillId="11" borderId="136" xfId="24" applyNumberFormat="1" applyFont="1" applyFill="1" applyBorder="1" applyProtection="1">
      <protection locked="0"/>
    </xf>
    <xf numFmtId="167" fontId="86" fillId="14" borderId="145" xfId="24" applyNumberFormat="1" applyFont="1" applyFill="1" applyBorder="1" applyProtection="1">
      <protection locked="0"/>
    </xf>
    <xf numFmtId="167" fontId="70" fillId="15" borderId="145" xfId="24" applyNumberFormat="1" applyFont="1" applyFill="1" applyBorder="1" applyProtection="1">
      <protection locked="0"/>
    </xf>
    <xf numFmtId="167" fontId="87" fillId="11" borderId="145" xfId="24" applyNumberFormat="1" applyFont="1" applyFill="1" applyBorder="1" applyProtection="1">
      <protection locked="0"/>
    </xf>
    <xf numFmtId="0" fontId="72" fillId="11" borderId="145" xfId="0" applyFont="1" applyFill="1" applyBorder="1" applyAlignment="1">
      <alignment horizontal="left" vertical="center" wrapText="1"/>
    </xf>
    <xf numFmtId="167" fontId="83" fillId="11" borderId="110" xfId="24" applyNumberFormat="1" applyFont="1" applyFill="1" applyBorder="1" applyAlignment="1" applyProtection="1">
      <alignment horizontal="center"/>
      <protection locked="0"/>
    </xf>
    <xf numFmtId="0" fontId="83" fillId="11" borderId="145" xfId="0" applyFont="1" applyFill="1" applyBorder="1" applyAlignment="1">
      <alignment wrapText="1"/>
    </xf>
    <xf numFmtId="167" fontId="83" fillId="11" borderId="146" xfId="19" applyNumberFormat="1" applyFont="1" applyFill="1" applyBorder="1" applyAlignment="1" applyProtection="1">
      <alignment horizontal="center"/>
      <protection locked="0"/>
    </xf>
    <xf numFmtId="43" fontId="70" fillId="11" borderId="146" xfId="24" applyFont="1" applyFill="1" applyBorder="1" applyProtection="1">
      <protection locked="0"/>
    </xf>
    <xf numFmtId="0" fontId="95" fillId="11" borderId="145" xfId="0" applyFont="1" applyFill="1" applyBorder="1" applyAlignment="1">
      <alignment horizontal="left" vertical="center" wrapText="1"/>
    </xf>
    <xf numFmtId="167" fontId="87" fillId="11" borderId="107" xfId="24" applyNumberFormat="1" applyFont="1" applyFill="1" applyBorder="1" applyAlignment="1" applyProtection="1">
      <alignment wrapText="1"/>
      <protection locked="0"/>
    </xf>
    <xf numFmtId="167" fontId="87" fillId="11" borderId="145" xfId="24" applyNumberFormat="1" applyFont="1" applyFill="1" applyBorder="1" applyAlignment="1" applyProtection="1">
      <alignment wrapText="1"/>
      <protection locked="0"/>
    </xf>
    <xf numFmtId="0" fontId="72" fillId="11" borderId="145" xfId="0" applyFont="1" applyFill="1" applyBorder="1" applyAlignment="1">
      <alignment horizontal="right" vertical="center" wrapText="1"/>
    </xf>
    <xf numFmtId="167" fontId="84" fillId="11" borderId="110" xfId="19" applyNumberFormat="1" applyFont="1" applyFill="1" applyBorder="1" applyAlignment="1" applyProtection="1">
      <alignment horizontal="center"/>
      <protection locked="0"/>
    </xf>
    <xf numFmtId="43" fontId="172" fillId="11" borderId="146" xfId="24" applyFont="1" applyFill="1" applyBorder="1" applyAlignment="1" applyProtection="1">
      <alignment horizontal="center"/>
      <protection locked="0"/>
    </xf>
    <xf numFmtId="167" fontId="173" fillId="11" borderId="146" xfId="24" applyNumberFormat="1" applyFont="1" applyFill="1" applyBorder="1" applyProtection="1">
      <protection locked="0"/>
    </xf>
    <xf numFmtId="167" fontId="174" fillId="14" borderId="146" xfId="24" applyNumberFormat="1" applyFont="1" applyFill="1" applyBorder="1" applyProtection="1">
      <protection locked="0"/>
    </xf>
    <xf numFmtId="167" fontId="84" fillId="14" borderId="145" xfId="19" applyNumberFormat="1" applyFont="1" applyFill="1" applyBorder="1" applyProtection="1">
      <protection locked="0"/>
    </xf>
    <xf numFmtId="167" fontId="76" fillId="15" borderId="147" xfId="19" applyNumberFormat="1" applyFont="1" applyFill="1" applyBorder="1" applyProtection="1">
      <protection locked="0"/>
    </xf>
    <xf numFmtId="167" fontId="76" fillId="11" borderId="147" xfId="19" applyNumberFormat="1" applyFont="1" applyFill="1" applyBorder="1" applyProtection="1">
      <protection locked="0"/>
    </xf>
    <xf numFmtId="167" fontId="76" fillId="11" borderId="144" xfId="19" applyNumberFormat="1" applyFont="1" applyFill="1" applyBorder="1" applyProtection="1">
      <protection locked="0"/>
    </xf>
    <xf numFmtId="167" fontId="72" fillId="15" borderId="144" xfId="19" applyNumberFormat="1" applyFont="1" applyFill="1" applyBorder="1" applyProtection="1">
      <protection locked="0"/>
    </xf>
    <xf numFmtId="167" fontId="149" fillId="11" borderId="147" xfId="19" applyNumberFormat="1" applyFont="1" applyFill="1" applyBorder="1" applyProtection="1">
      <protection locked="0"/>
    </xf>
    <xf numFmtId="167" fontId="72" fillId="14" borderId="147" xfId="19" applyNumberFormat="1" applyFont="1" applyFill="1" applyBorder="1" applyProtection="1">
      <protection locked="0"/>
    </xf>
    <xf numFmtId="167" fontId="76" fillId="14" borderId="147" xfId="19" applyNumberFormat="1" applyFont="1" applyFill="1" applyBorder="1" applyProtection="1">
      <protection locked="0"/>
    </xf>
    <xf numFmtId="167" fontId="83" fillId="14" borderId="145" xfId="19" applyNumberFormat="1" applyFont="1" applyFill="1" applyBorder="1"/>
    <xf numFmtId="167" fontId="72" fillId="11" borderId="145" xfId="19" applyNumberFormat="1" applyFont="1" applyFill="1" applyBorder="1"/>
    <xf numFmtId="167" fontId="72" fillId="17" borderId="145" xfId="19" applyNumberFormat="1" applyFont="1" applyFill="1" applyBorder="1"/>
    <xf numFmtId="167" fontId="70" fillId="11" borderId="145" xfId="19" applyNumberFormat="1" applyFont="1" applyFill="1" applyBorder="1"/>
    <xf numFmtId="167" fontId="72" fillId="14" borderId="145" xfId="19" applyNumberFormat="1" applyFont="1" applyFill="1" applyBorder="1"/>
    <xf numFmtId="167" fontId="72" fillId="20" borderId="145" xfId="19" applyNumberFormat="1" applyFont="1" applyFill="1" applyBorder="1"/>
    <xf numFmtId="167" fontId="72" fillId="9" borderId="145" xfId="19" applyNumberFormat="1" applyFont="1" applyFill="1" applyBorder="1"/>
    <xf numFmtId="167" fontId="72" fillId="9" borderId="145" xfId="1" applyNumberFormat="1" applyFont="1" applyFill="1" applyBorder="1"/>
    <xf numFmtId="167" fontId="72" fillId="21" borderId="145" xfId="19" applyNumberFormat="1" applyFont="1" applyFill="1" applyBorder="1"/>
    <xf numFmtId="167" fontId="72" fillId="39" borderId="145" xfId="19" applyNumberFormat="1" applyFont="1" applyFill="1" applyBorder="1"/>
    <xf numFmtId="167" fontId="72" fillId="24" borderId="145" xfId="19" applyNumberFormat="1" applyFont="1" applyFill="1" applyBorder="1" applyProtection="1">
      <protection locked="0"/>
    </xf>
    <xf numFmtId="167" fontId="72" fillId="24" borderId="145" xfId="19" applyNumberFormat="1" applyFont="1" applyFill="1" applyBorder="1"/>
    <xf numFmtId="49" fontId="72" fillId="0" borderId="146" xfId="0" applyNumberFormat="1" applyFont="1" applyBorder="1"/>
    <xf numFmtId="0" fontId="72" fillId="0" borderId="146" xfId="0" applyFont="1" applyBorder="1"/>
    <xf numFmtId="167" fontId="70" fillId="15" borderId="144" xfId="19" applyNumberFormat="1" applyFont="1" applyFill="1" applyBorder="1" applyProtection="1">
      <protection locked="0"/>
    </xf>
    <xf numFmtId="167" fontId="72" fillId="14" borderId="144" xfId="19" applyNumberFormat="1" applyFont="1" applyFill="1" applyBorder="1" applyProtection="1">
      <protection locked="0"/>
    </xf>
    <xf numFmtId="0" fontId="68" fillId="11" borderId="146" xfId="0" applyFont="1" applyFill="1" applyBorder="1" applyAlignment="1">
      <alignment wrapText="1"/>
    </xf>
    <xf numFmtId="0" fontId="83" fillId="11" borderId="148" xfId="0" applyFont="1" applyFill="1" applyBorder="1" applyAlignment="1">
      <alignment horizontal="left" vertical="center" wrapText="1"/>
    </xf>
    <xf numFmtId="167" fontId="83" fillId="11" borderId="147" xfId="19" applyNumberFormat="1" applyFont="1" applyFill="1" applyBorder="1"/>
    <xf numFmtId="167" fontId="87" fillId="11" borderId="147" xfId="19" applyNumberFormat="1" applyFont="1" applyFill="1" applyBorder="1"/>
    <xf numFmtId="167" fontId="83" fillId="14" borderId="147" xfId="19" applyNumberFormat="1" applyFont="1" applyFill="1" applyBorder="1"/>
    <xf numFmtId="167" fontId="86" fillId="11" borderId="147" xfId="1" applyNumberFormat="1" applyFont="1" applyFill="1" applyBorder="1"/>
    <xf numFmtId="0" fontId="87" fillId="11" borderId="148" xfId="0" applyFont="1" applyFill="1" applyBorder="1" applyAlignment="1">
      <alignment horizontal="right" vertical="center" wrapText="1"/>
    </xf>
    <xf numFmtId="167" fontId="75" fillId="11" borderId="147" xfId="1" applyNumberFormat="1" applyFont="1" applyFill="1" applyBorder="1"/>
    <xf numFmtId="167" fontId="76" fillId="11" borderId="147" xfId="1" applyNumberFormat="1" applyFont="1" applyFill="1" applyBorder="1"/>
    <xf numFmtId="167" fontId="76" fillId="11" borderId="119" xfId="1" applyNumberFormat="1" applyFont="1" applyFill="1" applyBorder="1"/>
    <xf numFmtId="167" fontId="76" fillId="11" borderId="144" xfId="1" applyNumberFormat="1" applyFont="1" applyFill="1" applyBorder="1"/>
    <xf numFmtId="0" fontId="89" fillId="3" borderId="146" xfId="0" applyFont="1" applyFill="1" applyBorder="1"/>
    <xf numFmtId="0" fontId="83" fillId="3" borderId="146" xfId="0" applyFont="1" applyFill="1" applyBorder="1"/>
    <xf numFmtId="49" fontId="83" fillId="3" borderId="146" xfId="0" applyNumberFormat="1" applyFont="1" applyFill="1" applyBorder="1"/>
    <xf numFmtId="0" fontId="83" fillId="3" borderId="146" xfId="0" applyFont="1" applyFill="1" applyBorder="1" applyAlignment="1">
      <alignment horizontal="center"/>
    </xf>
    <xf numFmtId="0" fontId="69" fillId="3" borderId="146" xfId="0" applyFont="1" applyFill="1" applyBorder="1" applyAlignment="1">
      <alignment wrapText="1"/>
    </xf>
    <xf numFmtId="0" fontId="82" fillId="0" borderId="146" xfId="0" applyFont="1" applyBorder="1"/>
    <xf numFmtId="0" fontId="72" fillId="0" borderId="146" xfId="0" applyFont="1" applyBorder="1" applyAlignment="1">
      <alignment horizontal="center"/>
    </xf>
    <xf numFmtId="0" fontId="72" fillId="0" borderId="149" xfId="0" applyFont="1" applyBorder="1" applyAlignment="1">
      <alignment horizontal="left" vertical="center" wrapText="1"/>
    </xf>
    <xf numFmtId="168" fontId="0" fillId="0" borderId="0" xfId="2" applyNumberFormat="1" applyFont="1"/>
    <xf numFmtId="167" fontId="76" fillId="15" borderId="147" xfId="22" applyNumberFormat="1" applyFont="1" applyFill="1" applyBorder="1"/>
    <xf numFmtId="167" fontId="86" fillId="11" borderId="147" xfId="22" applyNumberFormat="1" applyFont="1" applyFill="1" applyBorder="1"/>
    <xf numFmtId="167" fontId="83" fillId="11" borderId="147" xfId="22" applyNumberFormat="1" applyFont="1" applyFill="1" applyBorder="1"/>
    <xf numFmtId="167" fontId="86" fillId="11" borderId="147" xfId="19" applyNumberFormat="1" applyFont="1" applyFill="1" applyBorder="1"/>
    <xf numFmtId="167" fontId="76" fillId="15" borderId="145" xfId="22" applyNumberFormat="1" applyFont="1" applyFill="1" applyBorder="1"/>
    <xf numFmtId="167" fontId="86" fillId="11" borderId="145" xfId="22" applyNumberFormat="1" applyFont="1" applyFill="1" applyBorder="1"/>
    <xf numFmtId="0" fontId="149" fillId="11" borderId="145" xfId="0" applyFont="1" applyFill="1" applyBorder="1" applyAlignment="1">
      <alignment horizontal="left" vertical="center" wrapText="1"/>
    </xf>
    <xf numFmtId="0" fontId="84" fillId="11" borderId="145" xfId="0" applyFont="1" applyFill="1" applyBorder="1"/>
    <xf numFmtId="167" fontId="149" fillId="11" borderId="145" xfId="22" applyNumberFormat="1" applyFont="1" applyFill="1" applyBorder="1"/>
    <xf numFmtId="167" fontId="84" fillId="14" borderId="145" xfId="19" applyNumberFormat="1" applyFont="1" applyFill="1" applyBorder="1"/>
    <xf numFmtId="167" fontId="87" fillId="11" borderId="147" xfId="22" applyNumberFormat="1" applyFont="1" applyFill="1" applyBorder="1"/>
    <xf numFmtId="0" fontId="85" fillId="0" borderId="0" xfId="0" applyFont="1" applyAlignment="1">
      <alignment horizontal="center"/>
    </xf>
    <xf numFmtId="167" fontId="83" fillId="0" borderId="0" xfId="1" applyNumberFormat="1" applyFont="1" applyFill="1" applyBorder="1" applyProtection="1">
      <protection locked="0"/>
    </xf>
    <xf numFmtId="167" fontId="83" fillId="0" borderId="0" xfId="1" applyNumberFormat="1" applyFont="1" applyFill="1" applyBorder="1"/>
    <xf numFmtId="0" fontId="83" fillId="0" borderId="11" xfId="0" applyFont="1" applyBorder="1"/>
    <xf numFmtId="167" fontId="83" fillId="0" borderId="11" xfId="1" applyNumberFormat="1" applyFont="1" applyFill="1" applyBorder="1" applyProtection="1">
      <protection locked="0"/>
    </xf>
    <xf numFmtId="167" fontId="83" fillId="0" borderId="42" xfId="1" applyNumberFormat="1" applyFont="1" applyFill="1" applyBorder="1"/>
    <xf numFmtId="0" fontId="89" fillId="0" borderId="0" xfId="0" applyFont="1"/>
    <xf numFmtId="166" fontId="89" fillId="0" borderId="0" xfId="21" applyFont="1" applyFill="1"/>
    <xf numFmtId="166" fontId="53" fillId="0" borderId="0" xfId="21" applyFont="1" applyFill="1"/>
    <xf numFmtId="0" fontId="83" fillId="0" borderId="0" xfId="0" applyFont="1" applyAlignment="1">
      <alignment horizontal="center"/>
    </xf>
    <xf numFmtId="0" fontId="83" fillId="0" borderId="0" xfId="0" applyFont="1" applyAlignment="1">
      <alignment horizontal="left" vertical="center" wrapText="1"/>
    </xf>
    <xf numFmtId="167" fontId="83" fillId="0" borderId="41" xfId="0" applyNumberFormat="1" applyFont="1" applyBorder="1"/>
    <xf numFmtId="0" fontId="83" fillId="0" borderId="43" xfId="0" applyFont="1" applyBorder="1"/>
    <xf numFmtId="167" fontId="83" fillId="0" borderId="0" xfId="19" applyNumberFormat="1" applyFont="1" applyFill="1" applyBorder="1" applyProtection="1">
      <protection locked="0"/>
    </xf>
    <xf numFmtId="167" fontId="86" fillId="0" borderId="0" xfId="22" applyNumberFormat="1" applyFont="1" applyFill="1" applyBorder="1" applyProtection="1">
      <protection locked="0"/>
    </xf>
    <xf numFmtId="167" fontId="86" fillId="0" borderId="0" xfId="22" applyNumberFormat="1" applyFont="1" applyFill="1" applyBorder="1" applyAlignment="1" applyProtection="1">
      <alignment wrapText="1"/>
      <protection locked="0"/>
    </xf>
    <xf numFmtId="0" fontId="87" fillId="0" borderId="0" xfId="0" applyFont="1" applyAlignment="1">
      <alignment horizontal="left" vertical="center" wrapText="1"/>
    </xf>
    <xf numFmtId="167" fontId="87" fillId="0" borderId="0" xfId="22" applyNumberFormat="1" applyFont="1" applyFill="1" applyBorder="1" applyProtection="1">
      <protection locked="0"/>
    </xf>
    <xf numFmtId="0" fontId="85" fillId="0" borderId="0" xfId="0" applyFont="1"/>
    <xf numFmtId="0" fontId="89" fillId="0" borderId="33" xfId="0" applyFont="1" applyBorder="1"/>
    <xf numFmtId="0" fontId="0" fillId="0" borderId="33" xfId="0" applyBorder="1"/>
    <xf numFmtId="167" fontId="83" fillId="0" borderId="99" xfId="1" applyNumberFormat="1" applyFont="1" applyFill="1" applyBorder="1" applyProtection="1">
      <protection locked="0"/>
    </xf>
    <xf numFmtId="0" fontId="88" fillId="0" borderId="0" xfId="0" applyFont="1"/>
    <xf numFmtId="0" fontId="96" fillId="0" borderId="0" xfId="0" applyFont="1"/>
    <xf numFmtId="0" fontId="93" fillId="0" borderId="0" xfId="0" applyFont="1"/>
    <xf numFmtId="0" fontId="83" fillId="0" borderId="0" xfId="0" applyFont="1" applyAlignment="1">
      <alignment vertical="top"/>
    </xf>
    <xf numFmtId="0" fontId="81" fillId="0" borderId="0" xfId="0" applyFont="1" applyAlignment="1">
      <alignment vertical="top"/>
    </xf>
    <xf numFmtId="167" fontId="89" fillId="0" borderId="0" xfId="1" applyNumberFormat="1" applyFont="1" applyFill="1" applyBorder="1"/>
    <xf numFmtId="0" fontId="72" fillId="0" borderId="0" xfId="0" applyFont="1" applyAlignment="1">
      <alignment vertical="top"/>
    </xf>
    <xf numFmtId="0" fontId="82" fillId="0" borderId="0" xfId="0" applyFont="1" applyAlignment="1">
      <alignment vertical="top"/>
    </xf>
    <xf numFmtId="0" fontId="83" fillId="0" borderId="0" xfId="0" applyFont="1" applyAlignment="1">
      <alignment horizontal="left" vertical="center"/>
    </xf>
    <xf numFmtId="0" fontId="0" fillId="0" borderId="0" xfId="0" applyAlignment="1">
      <alignment horizontal="left" vertical="center"/>
    </xf>
    <xf numFmtId="0" fontId="46" fillId="0" borderId="0" xfId="0" applyFont="1"/>
    <xf numFmtId="0" fontId="129" fillId="0" borderId="0" xfId="0" applyFont="1" applyAlignment="1">
      <alignment vertical="top"/>
    </xf>
    <xf numFmtId="0" fontId="248" fillId="12" borderId="0" xfId="0" quotePrefix="1" applyFont="1" applyFill="1"/>
    <xf numFmtId="49" fontId="60" fillId="6" borderId="145" xfId="43" applyNumberFormat="1" applyFont="1" applyFill="1" applyBorder="1" applyAlignment="1">
      <alignment horizontal="right" wrapText="1" indent="2"/>
    </xf>
    <xf numFmtId="0" fontId="225" fillId="0" borderId="0" xfId="0" applyFont="1"/>
    <xf numFmtId="166" fontId="83" fillId="0" borderId="0" xfId="21" applyFont="1" applyFill="1"/>
    <xf numFmtId="0" fontId="83" fillId="0" borderId="33" xfId="0" applyFont="1" applyBorder="1"/>
    <xf numFmtId="0" fontId="175" fillId="0" borderId="0" xfId="0" applyFont="1"/>
    <xf numFmtId="0" fontId="254" fillId="0" borderId="0" xfId="0" applyFont="1"/>
    <xf numFmtId="0" fontId="252" fillId="0" borderId="0" xfId="0" applyFont="1"/>
    <xf numFmtId="0" fontId="64" fillId="0" borderId="0" xfId="0" applyFont="1"/>
    <xf numFmtId="0" fontId="149" fillId="11" borderId="102" xfId="0" applyFont="1" applyFill="1" applyBorder="1" applyAlignment="1">
      <alignment horizontal="center"/>
    </xf>
    <xf numFmtId="0" fontId="255" fillId="0" borderId="0" xfId="0" applyFont="1"/>
    <xf numFmtId="0" fontId="256" fillId="0" borderId="0" xfId="0" applyFont="1"/>
    <xf numFmtId="49" fontId="221" fillId="0" borderId="11" xfId="43" applyNumberFormat="1" applyFont="1" applyBorder="1" applyAlignment="1">
      <alignment horizontal="right" wrapText="1" indent="2"/>
    </xf>
    <xf numFmtId="9" fontId="52" fillId="4" borderId="8" xfId="2" applyFont="1" applyFill="1" applyBorder="1" applyAlignment="1">
      <alignment horizontal="right"/>
    </xf>
    <xf numFmtId="9" fontId="52" fillId="5" borderId="8" xfId="2" applyFont="1" applyFill="1" applyBorder="1" applyAlignment="1">
      <alignment horizontal="right"/>
    </xf>
    <xf numFmtId="9" fontId="47" fillId="0" borderId="12" xfId="2" applyFont="1" applyFill="1" applyBorder="1" applyAlignment="1">
      <alignment horizontal="right"/>
    </xf>
    <xf numFmtId="9" fontId="52" fillId="5" borderId="12" xfId="2" applyFont="1" applyFill="1" applyBorder="1" applyAlignment="1">
      <alignment horizontal="right"/>
    </xf>
    <xf numFmtId="9" fontId="47" fillId="0" borderId="12" xfId="2" applyFont="1" applyBorder="1" applyAlignment="1">
      <alignment horizontal="right"/>
    </xf>
    <xf numFmtId="9" fontId="47" fillId="0" borderId="14" xfId="2" applyFont="1" applyFill="1" applyBorder="1" applyAlignment="1">
      <alignment horizontal="right"/>
    </xf>
    <xf numFmtId="9" fontId="47" fillId="4" borderId="12" xfId="2" applyFont="1" applyFill="1" applyBorder="1" applyAlignment="1">
      <alignment horizontal="right"/>
    </xf>
    <xf numFmtId="9" fontId="47" fillId="0" borderId="94" xfId="2" applyFont="1" applyFill="1" applyBorder="1" applyAlignment="1">
      <alignment horizontal="right"/>
    </xf>
    <xf numFmtId="9" fontId="52" fillId="0" borderId="17" xfId="2" applyFont="1" applyBorder="1" applyAlignment="1">
      <alignment horizontal="right"/>
    </xf>
    <xf numFmtId="43" fontId="0" fillId="0" borderId="0" xfId="1" applyFont="1" applyAlignment="1">
      <alignment horizontal="right"/>
    </xf>
    <xf numFmtId="43" fontId="49" fillId="0" borderId="0" xfId="1" applyFont="1" applyAlignment="1">
      <alignment horizontal="right"/>
    </xf>
    <xf numFmtId="9" fontId="144" fillId="6" borderId="12" xfId="2" applyFont="1" applyFill="1" applyBorder="1" applyAlignment="1">
      <alignment horizontal="right"/>
    </xf>
    <xf numFmtId="9" fontId="154" fillId="6" borderId="12" xfId="2" applyFont="1" applyFill="1" applyBorder="1" applyAlignment="1">
      <alignment horizontal="right"/>
    </xf>
    <xf numFmtId="9" fontId="196" fillId="6" borderId="12" xfId="2" applyFont="1" applyFill="1" applyBorder="1" applyAlignment="1">
      <alignment horizontal="right"/>
    </xf>
    <xf numFmtId="9" fontId="221" fillId="6" borderId="12" xfId="2" applyFont="1" applyFill="1" applyBorder="1" applyAlignment="1">
      <alignment horizontal="right"/>
    </xf>
    <xf numFmtId="9" fontId="52" fillId="5" borderId="22" xfId="2" applyFont="1" applyFill="1" applyBorder="1" applyAlignment="1">
      <alignment horizontal="right"/>
    </xf>
    <xf numFmtId="9" fontId="47" fillId="6" borderId="12" xfId="2" applyFont="1" applyFill="1" applyBorder="1" applyAlignment="1">
      <alignment horizontal="right"/>
    </xf>
    <xf numFmtId="9" fontId="60" fillId="6" borderId="12" xfId="2" applyFont="1" applyFill="1" applyBorder="1" applyAlignment="1">
      <alignment horizontal="right"/>
    </xf>
    <xf numFmtId="9" fontId="192" fillId="6" borderId="12" xfId="2" applyFont="1" applyFill="1" applyBorder="1" applyAlignment="1">
      <alignment horizontal="right"/>
    </xf>
    <xf numFmtId="9" fontId="222" fillId="6" borderId="12" xfId="2" applyFont="1" applyFill="1" applyBorder="1" applyAlignment="1">
      <alignment horizontal="right"/>
    </xf>
    <xf numFmtId="9" fontId="52" fillId="4" borderId="12" xfId="2" applyFont="1" applyFill="1" applyBorder="1" applyAlignment="1">
      <alignment horizontal="right"/>
    </xf>
    <xf numFmtId="9" fontId="146" fillId="4" borderId="12" xfId="2" applyFont="1" applyFill="1" applyBorder="1" applyAlignment="1">
      <alignment horizontal="right"/>
    </xf>
    <xf numFmtId="9" fontId="62" fillId="6" borderId="12" xfId="2" applyFont="1" applyFill="1" applyBorder="1" applyAlignment="1">
      <alignment horizontal="right"/>
    </xf>
    <xf numFmtId="9" fontId="191" fillId="6" borderId="12" xfId="2" applyFont="1" applyFill="1" applyBorder="1" applyAlignment="1">
      <alignment horizontal="right"/>
    </xf>
    <xf numFmtId="9" fontId="221" fillId="6" borderId="94" xfId="2" applyFont="1" applyFill="1" applyBorder="1" applyAlignment="1">
      <alignment horizontal="right"/>
    </xf>
    <xf numFmtId="9" fontId="62" fillId="6" borderId="62" xfId="2" applyFont="1" applyFill="1" applyBorder="1" applyAlignment="1">
      <alignment horizontal="right"/>
    </xf>
    <xf numFmtId="9" fontId="62" fillId="4" borderId="12" xfId="2" applyFont="1" applyFill="1" applyBorder="1" applyAlignment="1">
      <alignment horizontal="right"/>
    </xf>
    <xf numFmtId="9" fontId="47" fillId="6" borderId="62" xfId="2" applyFont="1" applyFill="1" applyBorder="1" applyAlignment="1">
      <alignment horizontal="right"/>
    </xf>
    <xf numFmtId="9" fontId="144" fillId="0" borderId="12" xfId="2" applyFont="1" applyBorder="1" applyAlignment="1">
      <alignment horizontal="right"/>
    </xf>
    <xf numFmtId="9" fontId="221" fillId="0" borderId="12" xfId="2" applyFont="1" applyBorder="1" applyAlignment="1">
      <alignment horizontal="right"/>
    </xf>
    <xf numFmtId="9" fontId="61" fillId="4" borderId="12" xfId="2" applyFont="1" applyFill="1" applyBorder="1" applyAlignment="1">
      <alignment horizontal="right"/>
    </xf>
    <xf numFmtId="9" fontId="112" fillId="0" borderId="12" xfId="2" applyFont="1" applyBorder="1" applyAlignment="1">
      <alignment horizontal="right"/>
    </xf>
    <xf numFmtId="9" fontId="52" fillId="0" borderId="0" xfId="2" applyFont="1" applyFill="1" applyBorder="1" applyAlignment="1">
      <alignment horizontal="right"/>
    </xf>
    <xf numFmtId="0" fontId="87" fillId="11" borderId="145" xfId="0" applyFont="1" applyFill="1" applyBorder="1" applyAlignment="1">
      <alignment horizontal="left" vertical="center" wrapText="1"/>
    </xf>
    <xf numFmtId="167" fontId="248" fillId="0" borderId="0" xfId="1" quotePrefix="1" applyNumberFormat="1" applyFont="1"/>
    <xf numFmtId="0" fontId="86" fillId="11" borderId="145" xfId="0" applyFont="1" applyFill="1" applyBorder="1"/>
    <xf numFmtId="49" fontId="49" fillId="6" borderId="89" xfId="43" applyNumberFormat="1" applyFont="1" applyFill="1" applyBorder="1" applyAlignment="1">
      <alignment horizontal="right" wrapText="1" indent="2"/>
    </xf>
    <xf numFmtId="167" fontId="258" fillId="0" borderId="0" xfId="0" quotePrefix="1" applyNumberFormat="1" applyFont="1"/>
    <xf numFmtId="167" fontId="258" fillId="0" borderId="0" xfId="1" quotePrefix="1" applyNumberFormat="1" applyFont="1"/>
    <xf numFmtId="167" fontId="83" fillId="14" borderId="147" xfId="19" applyNumberFormat="1" applyFont="1" applyFill="1" applyBorder="1" applyProtection="1">
      <protection locked="0"/>
    </xf>
    <xf numFmtId="0" fontId="130" fillId="0" borderId="0" xfId="0" applyFont="1"/>
    <xf numFmtId="0" fontId="119" fillId="0" borderId="0" xfId="0" applyFont="1"/>
    <xf numFmtId="0" fontId="224" fillId="0" borderId="0" xfId="0" applyFont="1"/>
    <xf numFmtId="167" fontId="204" fillId="11" borderId="146" xfId="1" applyNumberFormat="1" applyFont="1" applyFill="1" applyBorder="1"/>
    <xf numFmtId="167" fontId="83" fillId="11" borderId="146" xfId="1" applyNumberFormat="1" applyFont="1" applyFill="1" applyBorder="1"/>
    <xf numFmtId="167" fontId="87" fillId="11" borderId="146" xfId="1" applyNumberFormat="1" applyFont="1" applyFill="1" applyBorder="1"/>
    <xf numFmtId="167" fontId="86" fillId="14" borderId="146" xfId="1" applyNumberFormat="1" applyFont="1" applyFill="1" applyBorder="1"/>
    <xf numFmtId="0" fontId="72" fillId="11" borderId="91" xfId="0" applyFont="1" applyFill="1" applyBorder="1" applyAlignment="1">
      <alignment horizontal="right" wrapText="1"/>
    </xf>
    <xf numFmtId="3" fontId="49" fillId="4" borderId="12" xfId="3" applyNumberFormat="1" applyFont="1" applyFill="1" applyBorder="1"/>
    <xf numFmtId="3" fontId="55" fillId="4" borderId="12" xfId="3" applyNumberFormat="1" applyFont="1" applyFill="1" applyBorder="1"/>
    <xf numFmtId="3" fontId="148" fillId="6" borderId="12" xfId="3" applyNumberFormat="1" applyFont="1" applyFill="1" applyBorder="1"/>
    <xf numFmtId="3" fontId="49" fillId="6" borderId="94" xfId="3" applyNumberFormat="1" applyFont="1" applyFill="1" applyBorder="1"/>
    <xf numFmtId="0" fontId="113" fillId="0" borderId="0" xfId="0" applyFont="1"/>
    <xf numFmtId="0" fontId="113" fillId="0" borderId="148" xfId="0" applyFont="1" applyBorder="1"/>
    <xf numFmtId="0" fontId="72" fillId="0" borderId="145" xfId="0" applyFont="1" applyBorder="1" applyAlignment="1">
      <alignment vertical="center" wrapText="1"/>
    </xf>
    <xf numFmtId="0" fontId="83" fillId="18" borderId="145" xfId="0" applyFont="1" applyFill="1" applyBorder="1" applyAlignment="1">
      <alignment vertical="center" wrapText="1"/>
    </xf>
    <xf numFmtId="171" fontId="133" fillId="23" borderId="46" xfId="54" applyFont="1" applyFill="1" applyBorder="1" applyAlignment="1">
      <alignment vertical="center" wrapText="1"/>
    </xf>
    <xf numFmtId="167" fontId="83" fillId="14" borderId="61" xfId="1" applyNumberFormat="1" applyFont="1" applyFill="1" applyBorder="1" applyProtection="1">
      <protection locked="0"/>
    </xf>
    <xf numFmtId="0" fontId="83" fillId="11" borderId="69" xfId="0" applyFont="1" applyFill="1" applyBorder="1" applyAlignment="1">
      <alignment horizontal="right" vertical="center" wrapText="1"/>
    </xf>
    <xf numFmtId="167" fontId="83" fillId="14" borderId="65" xfId="1" applyNumberFormat="1" applyFont="1" applyFill="1" applyBorder="1" applyProtection="1">
      <protection locked="0"/>
    </xf>
    <xf numFmtId="167" fontId="83" fillId="14" borderId="133" xfId="19" applyNumberFormat="1" applyFont="1" applyFill="1" applyBorder="1" applyProtection="1">
      <protection locked="0"/>
    </xf>
    <xf numFmtId="167" fontId="83" fillId="14" borderId="99" xfId="19" applyNumberFormat="1" applyFont="1" applyFill="1" applyBorder="1"/>
    <xf numFmtId="0" fontId="83" fillId="11" borderId="151" xfId="0" applyFont="1" applyFill="1" applyBorder="1"/>
    <xf numFmtId="0" fontId="83" fillId="11" borderId="151" xfId="0" applyFont="1" applyFill="1" applyBorder="1" applyAlignment="1">
      <alignment horizontal="left"/>
    </xf>
    <xf numFmtId="0" fontId="83" fillId="11" borderId="151" xfId="0" applyFont="1" applyFill="1" applyBorder="1" applyAlignment="1">
      <alignment horizontal="left" vertical="center" wrapText="1"/>
    </xf>
    <xf numFmtId="0" fontId="83" fillId="11" borderId="151" xfId="0" applyFont="1" applyFill="1" applyBorder="1" applyAlignment="1">
      <alignment vertical="center" wrapText="1"/>
    </xf>
    <xf numFmtId="0" fontId="92" fillId="11" borderId="151" xfId="0" applyFont="1" applyFill="1" applyBorder="1" applyAlignment="1">
      <alignment horizontal="left" vertical="center" wrapText="1"/>
    </xf>
    <xf numFmtId="0" fontId="83" fillId="11" borderId="146" xfId="0" applyFont="1" applyFill="1" applyBorder="1" applyAlignment="1">
      <alignment horizontal="left" vertical="center" wrapText="1"/>
    </xf>
    <xf numFmtId="167" fontId="47" fillId="6" borderId="124" xfId="1" quotePrefix="1" applyNumberFormat="1" applyFont="1" applyFill="1" applyBorder="1" applyAlignment="1">
      <alignment wrapText="1"/>
    </xf>
    <xf numFmtId="0" fontId="72" fillId="11" borderId="151" xfId="0" applyFont="1" applyFill="1" applyBorder="1"/>
    <xf numFmtId="0" fontId="83" fillId="11" borderId="151" xfId="0" applyFont="1" applyFill="1" applyBorder="1" applyAlignment="1">
      <alignment horizontal="left" vertical="top" wrapText="1"/>
    </xf>
    <xf numFmtId="0" fontId="82" fillId="11" borderId="151" xfId="0" applyFont="1" applyFill="1" applyBorder="1"/>
    <xf numFmtId="167" fontId="83" fillId="11" borderId="151" xfId="19" applyNumberFormat="1" applyFont="1" applyFill="1" applyBorder="1" applyProtection="1">
      <protection locked="0"/>
    </xf>
    <xf numFmtId="43" fontId="96" fillId="11" borderId="152" xfId="24" applyFont="1" applyFill="1" applyBorder="1" applyAlignment="1" applyProtection="1">
      <alignment horizontal="center"/>
      <protection locked="0"/>
    </xf>
    <xf numFmtId="167" fontId="83" fillId="11" borderId="151" xfId="24" applyNumberFormat="1" applyFont="1" applyFill="1" applyBorder="1" applyProtection="1">
      <protection locked="0"/>
    </xf>
    <xf numFmtId="167" fontId="87" fillId="11" borderId="152" xfId="24" applyNumberFormat="1" applyFont="1" applyFill="1" applyBorder="1" applyProtection="1">
      <protection locked="0"/>
    </xf>
    <xf numFmtId="167" fontId="86" fillId="14" borderId="152" xfId="24" applyNumberFormat="1" applyFont="1" applyFill="1" applyBorder="1" applyProtection="1">
      <protection locked="0"/>
    </xf>
    <xf numFmtId="0" fontId="86" fillId="11" borderId="151" xfId="0" applyFont="1" applyFill="1" applyBorder="1"/>
    <xf numFmtId="0" fontId="92" fillId="23" borderId="151" xfId="0" applyFont="1" applyFill="1" applyBorder="1" applyAlignment="1">
      <alignment horizontal="left" vertical="center" wrapText="1"/>
    </xf>
    <xf numFmtId="0" fontId="70" fillId="11" borderId="151" xfId="0" applyFont="1" applyFill="1" applyBorder="1" applyAlignment="1">
      <alignment horizontal="right" vertical="center" wrapText="1"/>
    </xf>
    <xf numFmtId="0" fontId="72" fillId="11" borderId="151" xfId="0" applyFont="1" applyFill="1" applyBorder="1" applyAlignment="1">
      <alignment horizontal="right" vertical="center" wrapText="1"/>
    </xf>
    <xf numFmtId="167" fontId="258" fillId="12" borderId="0" xfId="1" quotePrefix="1" applyNumberFormat="1" applyFont="1" applyFill="1"/>
    <xf numFmtId="43" fontId="47" fillId="6" borderId="124" xfId="1" applyFont="1" applyFill="1" applyBorder="1"/>
    <xf numFmtId="167" fontId="258" fillId="0" borderId="0" xfId="1" quotePrefix="1" applyNumberFormat="1" applyFont="1" applyFill="1"/>
    <xf numFmtId="0" fontId="83" fillId="11" borderId="135" xfId="0" applyFont="1" applyFill="1" applyBorder="1" applyAlignment="1">
      <alignment horizontal="right" vertical="center" wrapText="1"/>
    </xf>
    <xf numFmtId="49" fontId="47" fillId="6" borderId="151" xfId="43" applyNumberFormat="1" applyFont="1" applyFill="1" applyBorder="1" applyAlignment="1">
      <alignment horizontal="right" wrapText="1" indent="2"/>
    </xf>
    <xf numFmtId="167" fontId="71" fillId="11" borderId="147" xfId="19" applyNumberFormat="1" applyFont="1" applyFill="1" applyBorder="1"/>
    <xf numFmtId="167" fontId="72" fillId="0" borderId="0" xfId="19" applyNumberFormat="1" applyFont="1" applyFill="1" applyBorder="1"/>
    <xf numFmtId="0" fontId="47" fillId="4" borderId="125" xfId="43" applyFont="1" applyFill="1" applyBorder="1" applyAlignment="1">
      <alignment horizontal="left" indent="1"/>
    </xf>
    <xf numFmtId="0" fontId="47" fillId="4" borderId="151" xfId="43" applyFont="1" applyFill="1" applyBorder="1" applyAlignment="1">
      <alignment horizontal="left" wrapText="1" indent="2"/>
    </xf>
    <xf numFmtId="9" fontId="47" fillId="4" borderId="124" xfId="2" applyFont="1" applyFill="1" applyBorder="1" applyAlignment="1">
      <alignment horizontal="right"/>
    </xf>
    <xf numFmtId="0" fontId="87" fillId="11" borderId="151" xfId="0" applyFont="1" applyFill="1" applyBorder="1" applyAlignment="1">
      <alignment horizontal="right" vertical="center" wrapText="1"/>
    </xf>
    <xf numFmtId="167" fontId="86" fillId="11" borderId="151" xfId="19" applyNumberFormat="1" applyFont="1" applyFill="1" applyBorder="1"/>
    <xf numFmtId="0" fontId="83" fillId="11" borderId="151" xfId="0" applyFont="1" applyFill="1" applyBorder="1" applyAlignment="1">
      <alignment horizontal="right" vertical="center" wrapText="1"/>
    </xf>
    <xf numFmtId="0" fontId="89" fillId="11" borderId="151" xfId="0" applyFont="1" applyFill="1" applyBorder="1"/>
    <xf numFmtId="0" fontId="83" fillId="11" borderId="151" xfId="0" applyFont="1" applyFill="1" applyBorder="1" applyAlignment="1">
      <alignment wrapText="1"/>
    </xf>
    <xf numFmtId="167" fontId="87" fillId="11" borderId="151" xfId="19" applyNumberFormat="1" applyFont="1" applyFill="1" applyBorder="1" applyProtection="1">
      <protection locked="0"/>
    </xf>
    <xf numFmtId="167" fontId="86" fillId="14" borderId="151" xfId="19" applyNumberFormat="1" applyFont="1" applyFill="1" applyBorder="1" applyProtection="1">
      <protection locked="0"/>
    </xf>
    <xf numFmtId="167" fontId="96" fillId="11" borderId="151" xfId="19" applyNumberFormat="1" applyFont="1" applyFill="1" applyBorder="1" applyProtection="1">
      <protection locked="0"/>
    </xf>
    <xf numFmtId="0" fontId="149" fillId="23" borderId="151" xfId="0" applyFont="1" applyFill="1" applyBorder="1" applyAlignment="1">
      <alignment horizontal="right" vertical="top" wrapText="1"/>
    </xf>
    <xf numFmtId="0" fontId="83" fillId="11" borderId="147" xfId="0" applyFont="1" applyFill="1" applyBorder="1"/>
    <xf numFmtId="0" fontId="83" fillId="11" borderId="150" xfId="0" applyFont="1" applyFill="1" applyBorder="1"/>
    <xf numFmtId="49" fontId="83" fillId="11" borderId="150" xfId="0" applyNumberFormat="1" applyFont="1" applyFill="1" applyBorder="1"/>
    <xf numFmtId="0" fontId="83" fillId="11" borderId="150" xfId="0" applyFont="1" applyFill="1" applyBorder="1" applyAlignment="1">
      <alignment horizontal="center"/>
    </xf>
    <xf numFmtId="167" fontId="96" fillId="11" borderId="150" xfId="19" applyNumberFormat="1" applyFont="1" applyFill="1" applyBorder="1" applyProtection="1">
      <protection locked="0"/>
    </xf>
    <xf numFmtId="167" fontId="83" fillId="11" borderId="150" xfId="19" applyNumberFormat="1" applyFont="1" applyFill="1" applyBorder="1" applyProtection="1">
      <protection locked="0"/>
    </xf>
    <xf numFmtId="167" fontId="87" fillId="11" borderId="150" xfId="19" applyNumberFormat="1" applyFont="1" applyFill="1" applyBorder="1" applyProtection="1">
      <protection locked="0"/>
    </xf>
    <xf numFmtId="167" fontId="86" fillId="14" borderId="150" xfId="19" applyNumberFormat="1" applyFont="1" applyFill="1" applyBorder="1" applyProtection="1">
      <protection locked="0"/>
    </xf>
    <xf numFmtId="0" fontId="83" fillId="11" borderId="152" xfId="0" applyFont="1" applyFill="1" applyBorder="1"/>
    <xf numFmtId="49" fontId="83" fillId="11" borderId="152" xfId="0" applyNumberFormat="1" applyFont="1" applyFill="1" applyBorder="1"/>
    <xf numFmtId="0" fontId="83" fillId="11" borderId="152" xfId="0" applyFont="1" applyFill="1" applyBorder="1" applyAlignment="1">
      <alignment horizontal="center"/>
    </xf>
    <xf numFmtId="167" fontId="96" fillId="11" borderId="152" xfId="19" applyNumberFormat="1" applyFont="1" applyFill="1" applyBorder="1" applyProtection="1">
      <protection locked="0"/>
    </xf>
    <xf numFmtId="167" fontId="83" fillId="11" borderId="152" xfId="19" applyNumberFormat="1" applyFont="1" applyFill="1" applyBorder="1" applyProtection="1">
      <protection locked="0"/>
    </xf>
    <xf numFmtId="167" fontId="87" fillId="11" borderId="152" xfId="19" applyNumberFormat="1" applyFont="1" applyFill="1" applyBorder="1" applyProtection="1">
      <protection locked="0"/>
    </xf>
    <xf numFmtId="167" fontId="86" fillId="14" borderId="152" xfId="19" applyNumberFormat="1" applyFont="1" applyFill="1" applyBorder="1" applyProtection="1">
      <protection locked="0"/>
    </xf>
    <xf numFmtId="49" fontId="83" fillId="11" borderId="151" xfId="0" applyNumberFormat="1" applyFont="1" applyFill="1" applyBorder="1"/>
    <xf numFmtId="0" fontId="83" fillId="11" borderId="151" xfId="0" applyFont="1" applyFill="1" applyBorder="1" applyAlignment="1">
      <alignment horizontal="center"/>
    </xf>
    <xf numFmtId="167" fontId="91" fillId="11" borderId="151" xfId="19" applyNumberFormat="1" applyFont="1" applyFill="1" applyBorder="1" applyProtection="1">
      <protection locked="0"/>
    </xf>
    <xf numFmtId="0" fontId="84" fillId="11" borderId="151" xfId="0" applyFont="1" applyFill="1" applyBorder="1"/>
    <xf numFmtId="0" fontId="149" fillId="11" borderId="151" xfId="0" applyFont="1" applyFill="1" applyBorder="1" applyAlignment="1">
      <alignment horizontal="left" vertical="center" wrapText="1"/>
    </xf>
    <xf numFmtId="167" fontId="149" fillId="11" borderId="147" xfId="22" applyNumberFormat="1" applyFont="1" applyFill="1" applyBorder="1"/>
    <xf numFmtId="167" fontId="84" fillId="14" borderId="151" xfId="19" applyNumberFormat="1" applyFont="1" applyFill="1" applyBorder="1"/>
    <xf numFmtId="167" fontId="83" fillId="11" borderId="151" xfId="19" applyNumberFormat="1" applyFont="1" applyFill="1" applyBorder="1"/>
    <xf numFmtId="167" fontId="84" fillId="11" borderId="147" xfId="19" applyNumberFormat="1" applyFont="1" applyFill="1" applyBorder="1"/>
    <xf numFmtId="167" fontId="89" fillId="14" borderId="147" xfId="19" applyNumberFormat="1" applyFont="1" applyFill="1" applyBorder="1"/>
    <xf numFmtId="0" fontId="72" fillId="0" borderId="151" xfId="0" applyFont="1" applyBorder="1" applyAlignment="1">
      <alignment horizontal="center"/>
    </xf>
    <xf numFmtId="0" fontId="72" fillId="0" borderId="151" xfId="0" applyFont="1" applyBorder="1" applyAlignment="1">
      <alignment horizontal="left" vertical="center" wrapText="1"/>
    </xf>
    <xf numFmtId="167" fontId="72" fillId="15" borderId="151" xfId="22" applyNumberFormat="1" applyFont="1" applyFill="1" applyBorder="1"/>
    <xf numFmtId="167" fontId="72" fillId="14" borderId="151" xfId="19" applyNumberFormat="1" applyFont="1" applyFill="1" applyBorder="1" applyProtection="1">
      <protection locked="0"/>
    </xf>
    <xf numFmtId="167" fontId="83" fillId="11" borderId="151" xfId="22" applyNumberFormat="1" applyFont="1" applyFill="1" applyBorder="1"/>
    <xf numFmtId="167" fontId="83" fillId="14" borderId="151" xfId="19" applyNumberFormat="1" applyFont="1" applyFill="1" applyBorder="1" applyProtection="1">
      <protection locked="0"/>
    </xf>
    <xf numFmtId="167" fontId="72" fillId="14" borderId="151" xfId="19" applyNumberFormat="1" applyFont="1" applyFill="1" applyBorder="1"/>
    <xf numFmtId="167" fontId="83" fillId="14" borderId="151" xfId="19" applyNumberFormat="1" applyFont="1" applyFill="1" applyBorder="1"/>
    <xf numFmtId="0" fontId="84" fillId="36" borderId="151" xfId="0" applyFont="1" applyFill="1" applyBorder="1" applyAlignment="1">
      <alignment horizontal="left" vertical="center" wrapText="1"/>
    </xf>
    <xf numFmtId="167" fontId="86" fillId="11" borderId="151" xfId="22" applyNumberFormat="1" applyFont="1" applyFill="1" applyBorder="1"/>
    <xf numFmtId="0" fontId="84" fillId="11" borderId="151" xfId="0" applyFont="1" applyFill="1" applyBorder="1" applyAlignment="1">
      <alignment horizontal="left" vertical="center" wrapText="1"/>
    </xf>
    <xf numFmtId="0" fontId="265" fillId="0" borderId="0" xfId="0" quotePrefix="1" applyFont="1"/>
    <xf numFmtId="167" fontId="76" fillId="14" borderId="151" xfId="19" applyNumberFormat="1" applyFont="1" applyFill="1" applyBorder="1" applyProtection="1">
      <protection locked="0"/>
    </xf>
    <xf numFmtId="0" fontId="83" fillId="23" borderId="0" xfId="0" applyFont="1" applyFill="1" applyAlignment="1">
      <alignment vertical="top" wrapText="1"/>
    </xf>
    <xf numFmtId="0" fontId="83" fillId="23" borderId="151" xfId="0" applyFont="1" applyFill="1" applyBorder="1" applyAlignment="1">
      <alignment vertical="top" wrapText="1"/>
    </xf>
    <xf numFmtId="0" fontId="83" fillId="23" borderId="151" xfId="0" applyFont="1" applyFill="1" applyBorder="1" applyAlignment="1">
      <alignment horizontal="left" vertical="center" wrapText="1"/>
    </xf>
    <xf numFmtId="0" fontId="75" fillId="0" borderId="151" xfId="0" applyFont="1" applyBorder="1" applyAlignment="1">
      <alignment wrapText="1"/>
    </xf>
    <xf numFmtId="0" fontId="71" fillId="0" borderId="151" xfId="0" applyFont="1" applyBorder="1"/>
    <xf numFmtId="0" fontId="71" fillId="0" borderId="151" xfId="0" applyFont="1" applyBorder="1" applyAlignment="1">
      <alignment horizontal="left"/>
    </xf>
    <xf numFmtId="49" fontId="71" fillId="0" borderId="151" xfId="0" applyNumberFormat="1" applyFont="1" applyBorder="1" applyAlignment="1">
      <alignment horizontal="right"/>
    </xf>
    <xf numFmtId="0" fontId="71" fillId="0" borderId="151" xfId="1" applyNumberFormat="1" applyFont="1" applyFill="1" applyBorder="1" applyAlignment="1" applyProtection="1">
      <alignment horizontal="center" vertical="center" wrapText="1"/>
    </xf>
    <xf numFmtId="0" fontId="120" fillId="0" borderId="151" xfId="0" applyFont="1" applyBorder="1" applyAlignment="1">
      <alignment horizontal="center" vertical="center" wrapText="1"/>
    </xf>
    <xf numFmtId="167" fontId="65" fillId="14" borderId="151" xfId="1" applyNumberFormat="1" applyFont="1" applyFill="1" applyBorder="1" applyAlignment="1" applyProtection="1">
      <alignment horizontal="center" vertical="center" wrapText="1"/>
    </xf>
    <xf numFmtId="167" fontId="86" fillId="11" borderId="151" xfId="19" applyNumberFormat="1" applyFont="1" applyFill="1" applyBorder="1" applyProtection="1">
      <protection locked="0"/>
    </xf>
    <xf numFmtId="0" fontId="83" fillId="8" borderId="151" xfId="0" applyFont="1" applyFill="1" applyBorder="1" applyAlignment="1">
      <alignment horizontal="center"/>
    </xf>
    <xf numFmtId="167" fontId="204" fillId="11" borderId="151" xfId="1" applyNumberFormat="1" applyFont="1" applyFill="1" applyBorder="1"/>
    <xf numFmtId="167" fontId="195" fillId="11" borderId="151" xfId="1" applyNumberFormat="1" applyFont="1" applyFill="1" applyBorder="1"/>
    <xf numFmtId="167" fontId="87" fillId="11" borderId="151" xfId="1" applyNumberFormat="1" applyFont="1" applyFill="1" applyBorder="1"/>
    <xf numFmtId="167" fontId="86" fillId="14" borderId="151" xfId="1" applyNumberFormat="1" applyFont="1" applyFill="1" applyBorder="1"/>
    <xf numFmtId="167" fontId="204" fillId="11" borderId="151" xfId="1" applyNumberFormat="1" applyFont="1" applyFill="1" applyBorder="1" applyProtection="1">
      <protection locked="0"/>
    </xf>
    <xf numFmtId="167" fontId="83" fillId="23" borderId="151" xfId="1" applyNumberFormat="1" applyFont="1" applyFill="1" applyBorder="1" applyProtection="1">
      <protection locked="0"/>
    </xf>
    <xf numFmtId="167" fontId="87" fillId="11" borderId="151" xfId="1" applyNumberFormat="1" applyFont="1" applyFill="1" applyBorder="1" applyProtection="1">
      <protection locked="0"/>
    </xf>
    <xf numFmtId="167" fontId="86" fillId="14" borderId="151" xfId="1" applyNumberFormat="1" applyFont="1" applyFill="1" applyBorder="1" applyProtection="1">
      <protection locked="0"/>
    </xf>
    <xf numFmtId="167" fontId="149" fillId="11" borderId="151" xfId="22" applyNumberFormat="1" applyFont="1" applyFill="1" applyBorder="1"/>
    <xf numFmtId="167" fontId="87" fillId="11" borderId="151" xfId="19" applyNumberFormat="1" applyFont="1" applyFill="1" applyBorder="1"/>
    <xf numFmtId="3" fontId="0" fillId="0" borderId="153" xfId="0" applyNumberFormat="1" applyBorder="1"/>
    <xf numFmtId="0" fontId="0" fillId="19" borderId="0" xfId="0" applyFill="1"/>
    <xf numFmtId="0" fontId="0" fillId="24" borderId="0" xfId="0" applyFill="1" applyAlignment="1">
      <alignment horizontal="right"/>
    </xf>
    <xf numFmtId="0" fontId="246" fillId="11" borderId="102" xfId="0" applyFont="1" applyFill="1" applyBorder="1" applyAlignment="1">
      <alignment horizontal="left" vertical="center" wrapText="1"/>
    </xf>
    <xf numFmtId="0" fontId="0" fillId="0" borderId="156" xfId="0" applyBorder="1"/>
    <xf numFmtId="0" fontId="0" fillId="0" borderId="156" xfId="0" applyBorder="1" applyAlignment="1">
      <alignment wrapText="1"/>
    </xf>
    <xf numFmtId="0" fontId="111" fillId="0" borderId="0" xfId="0" applyFont="1" applyAlignment="1">
      <alignment wrapText="1"/>
    </xf>
    <xf numFmtId="0" fontId="246" fillId="11" borderId="151" xfId="0" applyFont="1" applyFill="1" applyBorder="1" applyAlignment="1">
      <alignment horizontal="right" vertical="center" wrapText="1"/>
    </xf>
    <xf numFmtId="0" fontId="0" fillId="0" borderId="156" xfId="0" applyBorder="1" applyAlignment="1">
      <alignment horizontal="left"/>
    </xf>
    <xf numFmtId="167" fontId="86" fillId="11" borderId="152" xfId="19" applyNumberFormat="1" applyFont="1" applyFill="1" applyBorder="1" applyProtection="1">
      <protection locked="0"/>
    </xf>
    <xf numFmtId="49" fontId="0" fillId="0" borderId="0" xfId="0" applyNumberFormat="1" applyAlignment="1">
      <alignment horizontal="left"/>
    </xf>
    <xf numFmtId="167" fontId="0" fillId="0" borderId="0" xfId="1" applyNumberFormat="1" applyFont="1" applyBorder="1"/>
    <xf numFmtId="0" fontId="0" fillId="29" borderId="156" xfId="0" applyFill="1" applyBorder="1"/>
    <xf numFmtId="0" fontId="87" fillId="11" borderId="151" xfId="0" applyFont="1" applyFill="1" applyBorder="1" applyAlignment="1">
      <alignment horizontal="left" vertical="center" wrapText="1"/>
    </xf>
    <xf numFmtId="43" fontId="91" fillId="11" borderId="152" xfId="24" applyFont="1" applyFill="1" applyBorder="1" applyAlignment="1" applyProtection="1">
      <alignment horizontal="center"/>
      <protection locked="0"/>
    </xf>
    <xf numFmtId="0" fontId="268" fillId="29" borderId="156" xfId="0" applyFont="1" applyFill="1" applyBorder="1" applyAlignment="1">
      <alignment wrapText="1"/>
    </xf>
    <xf numFmtId="167" fontId="104" fillId="0" borderId="156" xfId="1" applyNumberFormat="1" applyFont="1" applyBorder="1"/>
    <xf numFmtId="0" fontId="63" fillId="0" borderId="158" xfId="0" applyFont="1" applyBorder="1" applyAlignment="1">
      <alignment horizontal="right"/>
    </xf>
    <xf numFmtId="0" fontId="63" fillId="14" borderId="156" xfId="0" applyFont="1" applyFill="1" applyBorder="1" applyAlignment="1">
      <alignment horizontal="center" wrapText="1"/>
    </xf>
    <xf numFmtId="0" fontId="63" fillId="0" borderId="0" xfId="0" applyFont="1" applyAlignment="1">
      <alignment horizontal="center" wrapText="1"/>
    </xf>
    <xf numFmtId="0" fontId="58" fillId="0" borderId="156" xfId="28" applyFont="1" applyBorder="1"/>
    <xf numFmtId="0" fontId="63" fillId="0" borderId="157" xfId="0" applyFont="1" applyBorder="1" applyAlignment="1">
      <alignment horizontal="right" wrapText="1"/>
    </xf>
    <xf numFmtId="0" fontId="270" fillId="0" borderId="0" xfId="0" quotePrefix="1" applyFont="1"/>
    <xf numFmtId="167" fontId="270" fillId="0" borderId="0" xfId="1" quotePrefix="1" applyNumberFormat="1" applyFont="1"/>
    <xf numFmtId="49" fontId="221" fillId="6" borderId="58" xfId="43" applyNumberFormat="1" applyFont="1" applyFill="1" applyBorder="1" applyAlignment="1">
      <alignment horizontal="right" wrapText="1" indent="2"/>
    </xf>
    <xf numFmtId="0" fontId="0" fillId="0" borderId="156" xfId="0" applyBorder="1" applyAlignment="1">
      <alignment horizontal="center" wrapText="1"/>
    </xf>
    <xf numFmtId="167" fontId="111" fillId="0" borderId="156" xfId="1" applyNumberFormat="1" applyFont="1" applyBorder="1"/>
    <xf numFmtId="49" fontId="111" fillId="0" borderId="156" xfId="0" applyNumberFormat="1" applyFont="1" applyBorder="1" applyAlignment="1">
      <alignment wrapText="1"/>
    </xf>
    <xf numFmtId="49" fontId="111" fillId="0" borderId="156" xfId="0" applyNumberFormat="1" applyFont="1" applyBorder="1" applyAlignment="1">
      <alignment horizontal="left"/>
    </xf>
    <xf numFmtId="9" fontId="0" fillId="0" borderId="0" xfId="0" applyNumberFormat="1"/>
    <xf numFmtId="0" fontId="111" fillId="0" borderId="156" xfId="0" applyFont="1" applyBorder="1" applyAlignment="1">
      <alignment wrapText="1"/>
    </xf>
    <xf numFmtId="167" fontId="0" fillId="0" borderId="0" xfId="0" applyNumberFormat="1" applyAlignment="1">
      <alignment wrapText="1"/>
    </xf>
    <xf numFmtId="0" fontId="143" fillId="0" borderId="0" xfId="0" applyFont="1" applyAlignment="1">
      <alignment wrapText="1"/>
    </xf>
    <xf numFmtId="0" fontId="130" fillId="0" borderId="0" xfId="0" applyFont="1" applyAlignment="1">
      <alignment wrapText="1"/>
    </xf>
    <xf numFmtId="0" fontId="223" fillId="0" borderId="0" xfId="0" applyFont="1" applyAlignment="1">
      <alignment wrapText="1"/>
    </xf>
    <xf numFmtId="0" fontId="224" fillId="0" borderId="0" xfId="0" applyFont="1" applyAlignment="1">
      <alignment wrapText="1"/>
    </xf>
    <xf numFmtId="0" fontId="155" fillId="0" borderId="0" xfId="0" applyFont="1" applyAlignment="1">
      <alignment wrapText="1"/>
    </xf>
    <xf numFmtId="0" fontId="119" fillId="0" borderId="0" xfId="0" applyFont="1" applyAlignment="1">
      <alignment wrapText="1"/>
    </xf>
    <xf numFmtId="0" fontId="131" fillId="0" borderId="0" xfId="0" applyFont="1" applyAlignment="1">
      <alignment wrapText="1"/>
    </xf>
    <xf numFmtId="167" fontId="0" fillId="0" borderId="0" xfId="1" applyNumberFormat="1" applyFont="1" applyFill="1"/>
    <xf numFmtId="167" fontId="111" fillId="0" borderId="156" xfId="1" applyNumberFormat="1" applyFont="1" applyFill="1" applyBorder="1"/>
    <xf numFmtId="0" fontId="104" fillId="0" borderId="156" xfId="0" applyFont="1" applyBorder="1"/>
    <xf numFmtId="43" fontId="47" fillId="6" borderId="124" xfId="1" quotePrefix="1" applyFont="1" applyFill="1" applyBorder="1" applyAlignment="1">
      <alignment wrapText="1"/>
    </xf>
    <xf numFmtId="43" fontId="47" fillId="6" borderId="124" xfId="1" applyFont="1" applyFill="1" applyBorder="1" applyAlignment="1">
      <alignment wrapText="1"/>
    </xf>
    <xf numFmtId="43" fontId="47" fillId="4" borderId="124" xfId="1" applyFont="1" applyFill="1" applyBorder="1"/>
    <xf numFmtId="43" fontId="49" fillId="6" borderId="124" xfId="1" applyFont="1" applyFill="1" applyBorder="1" applyAlignment="1">
      <alignment wrapText="1"/>
    </xf>
    <xf numFmtId="43" fontId="148" fillId="6" borderId="124" xfId="1" applyFont="1" applyFill="1" applyBorder="1"/>
    <xf numFmtId="43" fontId="47" fillId="4" borderId="124" xfId="1" applyFont="1" applyFill="1" applyBorder="1" applyAlignment="1">
      <alignment wrapText="1"/>
    </xf>
    <xf numFmtId="43" fontId="55" fillId="5" borderId="124" xfId="1" applyFont="1" applyFill="1" applyBorder="1"/>
    <xf numFmtId="43" fontId="52" fillId="5" borderId="124" xfId="1" applyFont="1" applyFill="1" applyBorder="1"/>
    <xf numFmtId="43" fontId="55" fillId="4" borderId="124" xfId="1" applyFont="1" applyFill="1" applyBorder="1"/>
    <xf numFmtId="43" fontId="221" fillId="6" borderId="124" xfId="1" applyFont="1" applyFill="1" applyBorder="1"/>
    <xf numFmtId="43" fontId="146" fillId="4" borderId="124" xfId="1" applyFont="1" applyFill="1" applyBorder="1"/>
    <xf numFmtId="0" fontId="111" fillId="0" borderId="156" xfId="0" applyFont="1" applyBorder="1"/>
    <xf numFmtId="0" fontId="111" fillId="0" borderId="156" xfId="0" applyFont="1" applyBorder="1" applyAlignment="1">
      <alignment horizontal="left"/>
    </xf>
    <xf numFmtId="167" fontId="111" fillId="0" borderId="0" xfId="1" applyNumberFormat="1" applyFont="1" applyFill="1" applyBorder="1"/>
    <xf numFmtId="167" fontId="149" fillId="11" borderId="102" xfId="19" applyNumberFormat="1" applyFont="1" applyFill="1" applyBorder="1" applyProtection="1"/>
    <xf numFmtId="167" fontId="149" fillId="11" borderId="103" xfId="19" applyNumberFormat="1" applyFont="1" applyFill="1" applyBorder="1" applyProtection="1"/>
    <xf numFmtId="9" fontId="50" fillId="6" borderId="12" xfId="2" applyFont="1" applyFill="1" applyBorder="1" applyAlignment="1">
      <alignment horizontal="right"/>
    </xf>
    <xf numFmtId="49" fontId="50" fillId="6" borderId="102" xfId="43" applyNumberFormat="1" applyFont="1" applyFill="1" applyBorder="1" applyAlignment="1">
      <alignment horizontal="right" wrapText="1" indent="2"/>
    </xf>
    <xf numFmtId="49" fontId="111" fillId="29" borderId="156" xfId="0" applyNumberFormat="1" applyFont="1" applyFill="1" applyBorder="1" applyAlignment="1">
      <alignment horizontal="left"/>
    </xf>
    <xf numFmtId="43" fontId="62" fillId="0" borderId="12" xfId="1" applyFont="1" applyFill="1" applyBorder="1" applyAlignment="1">
      <alignment wrapText="1"/>
    </xf>
    <xf numFmtId="167" fontId="0" fillId="0" borderId="0" xfId="1" applyNumberFormat="1" applyFont="1" applyAlignment="1">
      <alignment wrapText="1"/>
    </xf>
    <xf numFmtId="0" fontId="85" fillId="11" borderId="151" xfId="0" applyFont="1" applyFill="1" applyBorder="1" applyAlignment="1">
      <alignment horizontal="right" vertical="center" wrapText="1"/>
    </xf>
    <xf numFmtId="0" fontId="111" fillId="0" borderId="156" xfId="0" applyFont="1" applyBorder="1" applyAlignment="1">
      <alignment horizontal="left" wrapText="1"/>
    </xf>
    <xf numFmtId="167" fontId="204" fillId="11" borderId="147" xfId="19" applyNumberFormat="1" applyFont="1" applyFill="1" applyBorder="1" applyProtection="1">
      <protection locked="0"/>
    </xf>
    <xf numFmtId="0" fontId="47" fillId="0" borderId="151" xfId="43" applyFont="1" applyBorder="1" applyAlignment="1">
      <alignment horizontal="left" wrapText="1" indent="2"/>
    </xf>
    <xf numFmtId="49" fontId="47" fillId="4" borderId="125" xfId="43" applyNumberFormat="1" applyFont="1" applyFill="1" applyBorder="1" applyAlignment="1">
      <alignment horizontal="left" indent="1"/>
    </xf>
    <xf numFmtId="0" fontId="273" fillId="0" borderId="0" xfId="0" applyFont="1"/>
    <xf numFmtId="167" fontId="104" fillId="0" borderId="0" xfId="0" applyNumberFormat="1" applyFont="1"/>
    <xf numFmtId="3" fontId="52" fillId="4" borderId="122" xfId="43" applyNumberFormat="1" applyFont="1" applyFill="1" applyBorder="1"/>
    <xf numFmtId="3" fontId="52" fillId="0" borderId="12" xfId="43" applyNumberFormat="1" applyFont="1" applyBorder="1"/>
    <xf numFmtId="167" fontId="111" fillId="0" borderId="0" xfId="1" applyNumberFormat="1" applyFont="1" applyFill="1"/>
    <xf numFmtId="49" fontId="47" fillId="31" borderId="121" xfId="43" applyNumberFormat="1" applyFont="1" applyFill="1" applyBorder="1" applyAlignment="1">
      <alignment horizontal="left" indent="2"/>
    </xf>
    <xf numFmtId="49" fontId="47" fillId="31" borderId="125" xfId="43" applyNumberFormat="1" applyFont="1" applyFill="1" applyBorder="1" applyAlignment="1">
      <alignment horizontal="left" indent="2"/>
    </xf>
    <xf numFmtId="49" fontId="47" fillId="31" borderId="121" xfId="43" applyNumberFormat="1" applyFont="1" applyFill="1" applyBorder="1" applyAlignment="1">
      <alignment horizontal="left" indent="1"/>
    </xf>
    <xf numFmtId="0" fontId="57" fillId="31" borderId="102" xfId="43" applyFont="1" applyFill="1" applyBorder="1" applyAlignment="1">
      <alignment horizontal="left" indent="2"/>
    </xf>
    <xf numFmtId="0" fontId="47" fillId="7" borderId="125" xfId="43" applyFont="1" applyFill="1" applyBorder="1" applyAlignment="1">
      <alignment horizontal="left" indent="2"/>
    </xf>
    <xf numFmtId="3" fontId="47" fillId="0" borderId="122" xfId="43" applyNumberFormat="1" applyFont="1" applyBorder="1"/>
    <xf numFmtId="0" fontId="126" fillId="14" borderId="156" xfId="0" applyFont="1" applyFill="1" applyBorder="1" applyAlignment="1">
      <alignment horizontal="center" wrapText="1"/>
    </xf>
    <xf numFmtId="167" fontId="83" fillId="11" borderId="135" xfId="24" applyNumberFormat="1" applyFont="1" applyFill="1" applyBorder="1" applyProtection="1">
      <protection locked="0"/>
    </xf>
    <xf numFmtId="0" fontId="257" fillId="72" borderId="0" xfId="0" applyFont="1" applyFill="1"/>
    <xf numFmtId="0" fontId="84" fillId="36" borderId="135" xfId="0" applyFont="1" applyFill="1" applyBorder="1" applyAlignment="1">
      <alignment horizontal="left" vertical="center" wrapText="1"/>
    </xf>
    <xf numFmtId="167" fontId="83" fillId="11" borderId="135" xfId="22" applyNumberFormat="1" applyFont="1" applyFill="1" applyBorder="1"/>
    <xf numFmtId="167" fontId="83" fillId="14" borderId="135" xfId="19" applyNumberFormat="1" applyFont="1" applyFill="1" applyBorder="1" applyProtection="1">
      <protection locked="0"/>
    </xf>
    <xf numFmtId="0" fontId="47" fillId="7" borderId="151" xfId="43" applyFont="1" applyFill="1" applyBorder="1" applyAlignment="1">
      <alignment horizontal="left" wrapText="1" indent="3"/>
    </xf>
    <xf numFmtId="3" fontId="50" fillId="0" borderId="124" xfId="43" applyNumberFormat="1" applyFont="1" applyBorder="1"/>
    <xf numFmtId="0" fontId="47" fillId="0" borderId="151" xfId="43" applyFont="1" applyBorder="1" applyAlignment="1">
      <alignment horizontal="left" wrapText="1" indent="3"/>
    </xf>
    <xf numFmtId="43" fontId="111" fillId="0" borderId="0" xfId="1" applyFont="1" applyFill="1" applyAlignment="1">
      <alignment wrapText="1"/>
    </xf>
    <xf numFmtId="167" fontId="91" fillId="13" borderId="151" xfId="19" applyNumberFormat="1" applyFont="1" applyFill="1" applyBorder="1" applyProtection="1">
      <protection locked="0"/>
    </xf>
    <xf numFmtId="0" fontId="158" fillId="11" borderId="151" xfId="0" applyFont="1" applyFill="1" applyBorder="1"/>
    <xf numFmtId="0" fontId="84" fillId="11" borderId="151" xfId="0" applyFont="1" applyFill="1" applyBorder="1" applyAlignment="1">
      <alignment vertical="center"/>
    </xf>
    <xf numFmtId="0" fontId="83" fillId="11" borderId="146" xfId="0" applyFont="1" applyFill="1" applyBorder="1"/>
    <xf numFmtId="0" fontId="84" fillId="11" borderId="146" xfId="0" applyFont="1" applyFill="1" applyBorder="1" applyAlignment="1">
      <alignment horizontal="left" vertical="center" wrapText="1"/>
    </xf>
    <xf numFmtId="167" fontId="131" fillId="0" borderId="0" xfId="1" applyNumberFormat="1" applyFont="1"/>
    <xf numFmtId="0" fontId="149" fillId="11" borderId="151" xfId="0" applyFont="1" applyFill="1" applyBorder="1" applyAlignment="1">
      <alignment horizontal="right" vertical="center" wrapText="1"/>
    </xf>
    <xf numFmtId="167" fontId="143" fillId="0" borderId="0" xfId="1" applyNumberFormat="1" applyFont="1"/>
    <xf numFmtId="167" fontId="274" fillId="0" borderId="0" xfId="1" applyNumberFormat="1" applyFont="1" applyFill="1"/>
    <xf numFmtId="0" fontId="275" fillId="0" borderId="0" xfId="0" applyFont="1"/>
    <xf numFmtId="9" fontId="0" fillId="0" borderId="153" xfId="2" applyFont="1" applyBorder="1"/>
    <xf numFmtId="167" fontId="0" fillId="0" borderId="153" xfId="1" applyNumberFormat="1" applyFont="1" applyBorder="1"/>
    <xf numFmtId="174" fontId="0" fillId="0" borderId="0" xfId="1" applyNumberFormat="1" applyFont="1"/>
    <xf numFmtId="10" fontId="0" fillId="0" borderId="0" xfId="2" applyNumberFormat="1" applyFont="1"/>
    <xf numFmtId="167" fontId="83" fillId="33" borderId="103" xfId="19" applyNumberFormat="1" applyFont="1" applyFill="1" applyBorder="1"/>
    <xf numFmtId="167" fontId="83" fillId="33" borderId="110" xfId="19" applyNumberFormat="1" applyFont="1" applyFill="1" applyBorder="1" applyProtection="1">
      <protection locked="0"/>
    </xf>
    <xf numFmtId="167" fontId="84" fillId="11" borderId="147" xfId="19" applyNumberFormat="1" applyFont="1" applyFill="1" applyBorder="1" applyProtection="1">
      <protection locked="0"/>
    </xf>
    <xf numFmtId="167" fontId="83" fillId="11" borderId="147" xfId="1" applyNumberFormat="1" applyFont="1" applyFill="1" applyBorder="1" applyProtection="1">
      <protection locked="0"/>
    </xf>
    <xf numFmtId="43" fontId="49" fillId="4" borderId="12" xfId="1" quotePrefix="1" applyFont="1" applyFill="1" applyBorder="1"/>
    <xf numFmtId="167" fontId="72" fillId="17" borderId="99" xfId="24" applyNumberFormat="1" applyFont="1" applyFill="1" applyBorder="1" applyAlignment="1" applyProtection="1">
      <alignment horizontal="center"/>
      <protection locked="0"/>
    </xf>
    <xf numFmtId="167" fontId="72" fillId="15" borderId="68" xfId="24" applyNumberFormat="1" applyFont="1" applyFill="1" applyBorder="1" applyAlignment="1" applyProtection="1">
      <alignment horizontal="center" vertical="center"/>
      <protection locked="0"/>
    </xf>
    <xf numFmtId="167" fontId="83" fillId="11" borderId="68" xfId="24" applyNumberFormat="1" applyFont="1" applyFill="1" applyBorder="1" applyProtection="1">
      <protection locked="0"/>
    </xf>
    <xf numFmtId="43" fontId="83" fillId="11" borderId="137" xfId="24" applyFont="1" applyFill="1" applyBorder="1" applyAlignment="1" applyProtection="1">
      <alignment horizontal="center"/>
      <protection locked="0"/>
    </xf>
    <xf numFmtId="167" fontId="83" fillId="11" borderId="117" xfId="24" applyNumberFormat="1" applyFont="1" applyFill="1" applyBorder="1" applyProtection="1">
      <protection locked="0"/>
    </xf>
    <xf numFmtId="0" fontId="95" fillId="0" borderId="89" xfId="0" applyFont="1" applyBorder="1"/>
    <xf numFmtId="49" fontId="95" fillId="0" borderId="89" xfId="0" applyNumberFormat="1" applyFont="1" applyBorder="1"/>
    <xf numFmtId="0" fontId="95" fillId="0" borderId="89" xfId="0" applyFont="1" applyBorder="1" applyAlignment="1">
      <alignment horizontal="center"/>
    </xf>
    <xf numFmtId="0" fontId="95" fillId="0" borderId="91" xfId="0" applyFont="1" applyBorder="1" applyAlignment="1">
      <alignment horizontal="left" vertical="center" wrapText="1"/>
    </xf>
    <xf numFmtId="167" fontId="95" fillId="17" borderId="99" xfId="24" applyNumberFormat="1" applyFont="1" applyFill="1" applyBorder="1" applyAlignment="1" applyProtection="1">
      <alignment horizontal="center"/>
      <protection locked="0"/>
    </xf>
    <xf numFmtId="43" fontId="120" fillId="15" borderId="89" xfId="24" applyFont="1" applyFill="1" applyBorder="1" applyProtection="1">
      <protection locked="0"/>
    </xf>
    <xf numFmtId="167" fontId="95" fillId="15" borderId="89" xfId="24" applyNumberFormat="1" applyFont="1" applyFill="1" applyBorder="1" applyAlignment="1" applyProtection="1">
      <alignment vertical="center"/>
      <protection locked="0"/>
    </xf>
    <xf numFmtId="167" fontId="95" fillId="14" borderId="99" xfId="24" applyNumberFormat="1" applyFont="1" applyFill="1" applyBorder="1" applyAlignment="1" applyProtection="1">
      <alignment horizontal="center" vertical="center"/>
      <protection locked="0"/>
    </xf>
    <xf numFmtId="167" fontId="95" fillId="0" borderId="0" xfId="0" applyNumberFormat="1" applyFont="1"/>
    <xf numFmtId="0" fontId="92" fillId="0" borderId="0" xfId="0" applyFont="1"/>
    <xf numFmtId="0" fontId="128" fillId="0" borderId="0" xfId="0" applyFont="1"/>
    <xf numFmtId="0" fontId="92" fillId="11" borderId="89" xfId="0" applyFont="1" applyFill="1" applyBorder="1"/>
    <xf numFmtId="49" fontId="92" fillId="11" borderId="89" xfId="0" applyNumberFormat="1" applyFont="1" applyFill="1" applyBorder="1"/>
    <xf numFmtId="0" fontId="92" fillId="11" borderId="89" xfId="0" applyFont="1" applyFill="1" applyBorder="1" applyAlignment="1">
      <alignment horizontal="center"/>
    </xf>
    <xf numFmtId="0" fontId="92" fillId="11" borderId="89" xfId="0" applyFont="1" applyFill="1" applyBorder="1" applyAlignment="1">
      <alignment horizontal="right" vertical="center" wrapText="1"/>
    </xf>
    <xf numFmtId="43" fontId="92" fillId="11" borderId="89" xfId="24" applyFont="1" applyFill="1" applyBorder="1" applyProtection="1">
      <protection locked="0"/>
    </xf>
    <xf numFmtId="167" fontId="92" fillId="11" borderId="89" xfId="24" applyNumberFormat="1" applyFont="1" applyFill="1" applyBorder="1" applyProtection="1">
      <protection locked="0"/>
    </xf>
    <xf numFmtId="167" fontId="95" fillId="14" borderId="68" xfId="24" applyNumberFormat="1" applyFont="1" applyFill="1" applyBorder="1" applyAlignment="1" applyProtection="1">
      <alignment horizontal="center" vertical="center"/>
      <protection locked="0"/>
    </xf>
    <xf numFmtId="43" fontId="92" fillId="11" borderId="99" xfId="24" applyFont="1" applyFill="1" applyBorder="1" applyProtection="1">
      <protection locked="0"/>
    </xf>
    <xf numFmtId="167" fontId="92" fillId="11" borderId="99" xfId="24" applyNumberFormat="1" applyFont="1" applyFill="1" applyBorder="1" applyProtection="1">
      <protection locked="0"/>
    </xf>
    <xf numFmtId="167" fontId="276" fillId="0" borderId="0" xfId="1" applyNumberFormat="1" applyFont="1" applyBorder="1"/>
    <xf numFmtId="167" fontId="276" fillId="0" borderId="0" xfId="1" applyNumberFormat="1" applyFont="1" applyFill="1" applyBorder="1" applyAlignment="1">
      <alignment horizontal="left"/>
    </xf>
    <xf numFmtId="0" fontId="91" fillId="11" borderId="123" xfId="0" applyFont="1" applyFill="1" applyBorder="1" applyAlignment="1">
      <alignment horizontal="right" vertical="center" wrapText="1"/>
    </xf>
    <xf numFmtId="49" fontId="47" fillId="0" borderId="125" xfId="43" applyNumberFormat="1" applyFont="1" applyBorder="1" applyAlignment="1">
      <alignment horizontal="left" indent="2"/>
    </xf>
    <xf numFmtId="49" fontId="49" fillId="0" borderId="121" xfId="43" applyNumberFormat="1" applyFont="1" applyBorder="1" applyAlignment="1">
      <alignment horizontal="left" indent="2"/>
    </xf>
    <xf numFmtId="0" fontId="49" fillId="6" borderId="102" xfId="43" applyFont="1" applyFill="1" applyBorder="1" applyAlignment="1">
      <alignment horizontal="left" wrapText="1" indent="3"/>
    </xf>
    <xf numFmtId="167" fontId="111" fillId="0" borderId="0" xfId="1" applyNumberFormat="1" applyFont="1" applyAlignment="1">
      <alignment wrapText="1"/>
    </xf>
    <xf numFmtId="9" fontId="275" fillId="0" borderId="0" xfId="0" applyNumberFormat="1" applyFont="1" applyAlignment="1">
      <alignment horizontal="left"/>
    </xf>
    <xf numFmtId="3" fontId="104" fillId="0" borderId="0" xfId="0" applyNumberFormat="1" applyFont="1"/>
    <xf numFmtId="167" fontId="277" fillId="0" borderId="0" xfId="1" quotePrefix="1" applyNumberFormat="1" applyFont="1"/>
    <xf numFmtId="3" fontId="277" fillId="0" borderId="0" xfId="0" quotePrefix="1" applyNumberFormat="1" applyFont="1"/>
    <xf numFmtId="0" fontId="277" fillId="0" borderId="0" xfId="0" quotePrefix="1" applyFont="1"/>
    <xf numFmtId="0" fontId="278" fillId="0" borderId="0" xfId="0" quotePrefix="1" applyFont="1"/>
    <xf numFmtId="167" fontId="279" fillId="0" borderId="0" xfId="1" quotePrefix="1" applyNumberFormat="1" applyFont="1"/>
    <xf numFmtId="0" fontId="280" fillId="0" borderId="0" xfId="0" quotePrefix="1" applyFont="1"/>
    <xf numFmtId="167" fontId="280" fillId="0" borderId="0" xfId="1" quotePrefix="1" applyNumberFormat="1" applyFont="1"/>
    <xf numFmtId="3" fontId="223" fillId="0" borderId="0" xfId="0" applyNumberFormat="1" applyFont="1"/>
    <xf numFmtId="43" fontId="221" fillId="6" borderId="94" xfId="1" applyFont="1" applyFill="1" applyBorder="1"/>
    <xf numFmtId="49" fontId="221" fillId="6" borderId="63" xfId="43" applyNumberFormat="1" applyFont="1" applyFill="1" applyBorder="1" applyAlignment="1">
      <alignment horizontal="right" wrapText="1" indent="2"/>
    </xf>
    <xf numFmtId="3" fontId="221" fillId="6" borderId="62" xfId="43" applyNumberFormat="1" applyFont="1" applyFill="1" applyBorder="1"/>
    <xf numFmtId="43" fontId="221" fillId="6" borderId="62" xfId="1" applyFont="1" applyFill="1" applyBorder="1"/>
    <xf numFmtId="49" fontId="221" fillId="6" borderId="145" xfId="43" applyNumberFormat="1" applyFont="1" applyFill="1" applyBorder="1" applyAlignment="1">
      <alignment horizontal="right" wrapText="1" indent="2"/>
    </xf>
    <xf numFmtId="167" fontId="280" fillId="0" borderId="0" xfId="1" quotePrefix="1" applyNumberFormat="1" applyFont="1" applyFill="1"/>
    <xf numFmtId="49" fontId="221" fillId="0" borderId="53" xfId="43" applyNumberFormat="1" applyFont="1" applyBorder="1" applyAlignment="1">
      <alignment horizontal="left" indent="1"/>
    </xf>
    <xf numFmtId="49" fontId="221" fillId="0" borderId="145" xfId="43" applyNumberFormat="1" applyFont="1" applyBorder="1" applyAlignment="1">
      <alignment horizontal="right" wrapText="1" indent="2"/>
    </xf>
    <xf numFmtId="9" fontId="221" fillId="0" borderId="12" xfId="2" applyFont="1" applyFill="1" applyBorder="1" applyAlignment="1">
      <alignment horizontal="right"/>
    </xf>
    <xf numFmtId="43" fontId="221" fillId="0" borderId="124" xfId="1" applyFont="1" applyFill="1" applyBorder="1"/>
    <xf numFmtId="49" fontId="221" fillId="6" borderId="102" xfId="43" applyNumberFormat="1" applyFont="1" applyFill="1" applyBorder="1" applyAlignment="1">
      <alignment horizontal="right" wrapText="1" indent="2"/>
    </xf>
    <xf numFmtId="0" fontId="221" fillId="6" borderId="45" xfId="43" applyFont="1" applyFill="1" applyBorder="1" applyAlignment="1">
      <alignment horizontal="left" indent="3"/>
    </xf>
    <xf numFmtId="43" fontId="221" fillId="6" borderId="124" xfId="1" applyFont="1" applyFill="1" applyBorder="1" applyAlignment="1">
      <alignment wrapText="1"/>
    </xf>
    <xf numFmtId="3" fontId="60" fillId="0" borderId="12" xfId="3" applyNumberFormat="1" applyFont="1" applyBorder="1"/>
    <xf numFmtId="49" fontId="281" fillId="6" borderId="53" xfId="43" applyNumberFormat="1" applyFont="1" applyFill="1" applyBorder="1" applyAlignment="1">
      <alignment horizontal="left" indent="1"/>
    </xf>
    <xf numFmtId="3" fontId="281" fillId="6" borderId="12" xfId="43" applyNumberFormat="1" applyFont="1" applyFill="1" applyBorder="1"/>
    <xf numFmtId="9" fontId="281" fillId="6" borderId="12" xfId="2" applyFont="1" applyFill="1" applyBorder="1" applyAlignment="1">
      <alignment horizontal="right"/>
    </xf>
    <xf numFmtId="43" fontId="281" fillId="6" borderId="12" xfId="1" applyFont="1" applyFill="1" applyBorder="1"/>
    <xf numFmtId="0" fontId="282" fillId="0" borderId="0" xfId="0" applyFont="1" applyAlignment="1">
      <alignment wrapText="1"/>
    </xf>
    <xf numFmtId="0" fontId="282" fillId="0" borderId="0" xfId="0" applyFont="1"/>
    <xf numFmtId="0" fontId="282" fillId="6" borderId="0" xfId="0" applyFont="1" applyFill="1"/>
    <xf numFmtId="0" fontId="283" fillId="0" borderId="0" xfId="0" quotePrefix="1" applyFont="1"/>
    <xf numFmtId="167" fontId="283" fillId="0" borderId="0" xfId="1" quotePrefix="1" applyNumberFormat="1" applyFont="1"/>
    <xf numFmtId="3" fontId="281" fillId="6" borderId="12" xfId="3" applyNumberFormat="1" applyFont="1" applyFill="1" applyBorder="1"/>
    <xf numFmtId="3" fontId="282" fillId="0" borderId="0" xfId="0" applyNumberFormat="1" applyFont="1"/>
    <xf numFmtId="49" fontId="281" fillId="6" borderId="10" xfId="43" applyNumberFormat="1" applyFont="1" applyFill="1" applyBorder="1" applyAlignment="1">
      <alignment horizontal="left" indent="1"/>
    </xf>
    <xf numFmtId="49" fontId="281" fillId="6" borderId="11" xfId="43" applyNumberFormat="1" applyFont="1" applyFill="1" applyBorder="1" applyAlignment="1">
      <alignment horizontal="right" wrapText="1" indent="2"/>
    </xf>
    <xf numFmtId="49" fontId="144" fillId="5" borderId="10" xfId="43" applyNumberFormat="1" applyFont="1" applyFill="1" applyBorder="1"/>
    <xf numFmtId="49" fontId="144" fillId="5" borderId="11" xfId="43" applyNumberFormat="1" applyFont="1" applyFill="1" applyBorder="1" applyAlignment="1">
      <alignment wrapText="1"/>
    </xf>
    <xf numFmtId="3" fontId="144" fillId="5" borderId="12" xfId="3" applyNumberFormat="1" applyFont="1" applyFill="1" applyBorder="1"/>
    <xf numFmtId="9" fontId="144" fillId="5" borderId="12" xfId="2" applyFont="1" applyFill="1" applyBorder="1" applyAlignment="1">
      <alignment horizontal="right"/>
    </xf>
    <xf numFmtId="167" fontId="144" fillId="5" borderId="12" xfId="1" applyNumberFormat="1" applyFont="1" applyFill="1" applyBorder="1"/>
    <xf numFmtId="49" fontId="222" fillId="6" borderId="10" xfId="43" applyNumberFormat="1" applyFont="1" applyFill="1" applyBorder="1" applyAlignment="1">
      <alignment horizontal="left" indent="1"/>
    </xf>
    <xf numFmtId="49" fontId="222" fillId="0" borderId="11" xfId="43" applyNumberFormat="1" applyFont="1" applyBorder="1" applyAlignment="1">
      <alignment horizontal="right" wrapText="1" indent="2"/>
    </xf>
    <xf numFmtId="3" fontId="222" fillId="0" borderId="12" xfId="3" applyNumberFormat="1" applyFont="1" applyBorder="1"/>
    <xf numFmtId="3" fontId="222" fillId="0" borderId="12" xfId="43" applyNumberFormat="1" applyFont="1" applyBorder="1"/>
    <xf numFmtId="9" fontId="222" fillId="0" borderId="12" xfId="2" applyFont="1" applyBorder="1" applyAlignment="1">
      <alignment horizontal="right"/>
    </xf>
    <xf numFmtId="167" fontId="222" fillId="6" borderId="12" xfId="1" applyNumberFormat="1" applyFont="1" applyFill="1" applyBorder="1"/>
    <xf numFmtId="167" fontId="221" fillId="6" borderId="12" xfId="1" applyNumberFormat="1" applyFont="1" applyFill="1" applyBorder="1"/>
    <xf numFmtId="49" fontId="221" fillId="6" borderId="93" xfId="43" applyNumberFormat="1" applyFont="1" applyFill="1" applyBorder="1" applyAlignment="1">
      <alignment horizontal="left" indent="1"/>
    </xf>
    <xf numFmtId="9" fontId="221" fillId="0" borderId="94" xfId="2" applyFont="1" applyBorder="1" applyAlignment="1">
      <alignment horizontal="right"/>
    </xf>
    <xf numFmtId="167" fontId="221" fillId="6" borderId="94" xfId="1" applyNumberFormat="1" applyFont="1" applyFill="1" applyBorder="1"/>
    <xf numFmtId="49" fontId="221" fillId="6" borderId="125" xfId="43" applyNumberFormat="1" applyFont="1" applyFill="1" applyBorder="1" applyAlignment="1">
      <alignment horizontal="left" indent="1"/>
    </xf>
    <xf numFmtId="167" fontId="192" fillId="6" borderId="124" xfId="1" applyNumberFormat="1" applyFont="1" applyFill="1" applyBorder="1"/>
    <xf numFmtId="167" fontId="221" fillId="6" borderId="122" xfId="1" applyNumberFormat="1" applyFont="1" applyFill="1" applyBorder="1"/>
    <xf numFmtId="167" fontId="221" fillId="6" borderId="124" xfId="1" applyNumberFormat="1" applyFont="1" applyFill="1" applyBorder="1"/>
    <xf numFmtId="3" fontId="221" fillId="6" borderId="124" xfId="43" applyNumberFormat="1" applyFont="1" applyFill="1" applyBorder="1"/>
    <xf numFmtId="167" fontId="111" fillId="0" borderId="156" xfId="0" applyNumberFormat="1" applyFont="1" applyBorder="1" applyAlignment="1">
      <alignment horizontal="center" wrapText="1"/>
    </xf>
    <xf numFmtId="167" fontId="126" fillId="14" borderId="156" xfId="1" applyNumberFormat="1" applyFont="1" applyFill="1" applyBorder="1"/>
    <xf numFmtId="167" fontId="126" fillId="0" borderId="0" xfId="1" applyNumberFormat="1" applyFont="1" applyFill="1" applyBorder="1"/>
    <xf numFmtId="0" fontId="126" fillId="0" borderId="0" xfId="0" applyFont="1" applyAlignment="1">
      <alignment horizontal="center" wrapText="1"/>
    </xf>
    <xf numFmtId="167" fontId="126" fillId="14" borderId="156" xfId="1" applyNumberFormat="1" applyFont="1" applyFill="1" applyBorder="1" applyAlignment="1">
      <alignment horizontal="center" wrapText="1"/>
    </xf>
    <xf numFmtId="167" fontId="111" fillId="0" borderId="0" xfId="1" applyNumberFormat="1" applyFont="1" applyFill="1" applyBorder="1" applyAlignment="1">
      <alignment horizontal="center" wrapText="1"/>
    </xf>
    <xf numFmtId="167" fontId="126" fillId="14" borderId="156" xfId="0" applyNumberFormat="1" applyFont="1" applyFill="1" applyBorder="1"/>
    <xf numFmtId="167" fontId="63" fillId="0" borderId="0" xfId="1" applyNumberFormat="1" applyFont="1" applyAlignment="1">
      <alignment vertical="center" wrapText="1"/>
    </xf>
    <xf numFmtId="167" fontId="63" fillId="14" borderId="156" xfId="1" applyNumberFormat="1" applyFont="1" applyFill="1" applyBorder="1" applyAlignment="1">
      <alignment horizontal="center" wrapText="1"/>
    </xf>
    <xf numFmtId="0" fontId="63" fillId="0" borderId="0" xfId="0" applyFont="1" applyAlignment="1">
      <alignment horizontal="right"/>
    </xf>
    <xf numFmtId="0" fontId="126" fillId="34" borderId="156" xfId="0" applyFont="1" applyFill="1" applyBorder="1" applyAlignment="1">
      <alignment horizontal="center" wrapText="1"/>
    </xf>
    <xf numFmtId="167" fontId="126" fillId="34" borderId="156" xfId="1" applyNumberFormat="1" applyFont="1" applyFill="1" applyBorder="1" applyAlignment="1">
      <alignment horizontal="center" wrapText="1"/>
    </xf>
    <xf numFmtId="0" fontId="126" fillId="0" borderId="0" xfId="0" applyFont="1"/>
    <xf numFmtId="0" fontId="0" fillId="12" borderId="0" xfId="0" applyFill="1"/>
    <xf numFmtId="167" fontId="0" fillId="12" borderId="0" xfId="1" applyNumberFormat="1" applyFont="1" applyFill="1"/>
    <xf numFmtId="0" fontId="285" fillId="0" borderId="156" xfId="0" applyFont="1" applyBorder="1"/>
    <xf numFmtId="0" fontId="285" fillId="0" borderId="156" xfId="0" applyFont="1" applyBorder="1" applyAlignment="1">
      <alignment wrapText="1"/>
    </xf>
    <xf numFmtId="49" fontId="285" fillId="0" borderId="156" xfId="0" applyNumberFormat="1" applyFont="1" applyBorder="1" applyAlignment="1">
      <alignment wrapText="1"/>
    </xf>
    <xf numFmtId="167" fontId="285" fillId="0" borderId="156" xfId="1" applyNumberFormat="1" applyFont="1" applyBorder="1" applyAlignment="1">
      <alignment wrapText="1"/>
    </xf>
    <xf numFmtId="167" fontId="285" fillId="0" borderId="0" xfId="1" applyNumberFormat="1" applyFont="1" applyFill="1" applyBorder="1" applyAlignment="1">
      <alignment wrapText="1"/>
    </xf>
    <xf numFmtId="167" fontId="285" fillId="0" borderId="156" xfId="1" applyNumberFormat="1" applyFont="1" applyFill="1" applyBorder="1" applyAlignment="1">
      <alignment wrapText="1"/>
    </xf>
    <xf numFmtId="49" fontId="285" fillId="0" borderId="156" xfId="0" applyNumberFormat="1" applyFont="1" applyBorder="1" applyAlignment="1">
      <alignment horizontal="left"/>
    </xf>
    <xf numFmtId="167" fontId="285" fillId="0" borderId="0" xfId="1" applyNumberFormat="1" applyFont="1" applyFill="1" applyBorder="1"/>
    <xf numFmtId="167" fontId="285" fillId="0" borderId="156" xfId="1" applyNumberFormat="1" applyFont="1" applyFill="1" applyBorder="1"/>
    <xf numFmtId="167" fontId="285" fillId="0" borderId="156" xfId="1" applyNumberFormat="1" applyFont="1" applyBorder="1"/>
    <xf numFmtId="0" fontId="285" fillId="0" borderId="156" xfId="0" applyFont="1" applyBorder="1" applyAlignment="1">
      <alignment horizontal="left" wrapText="1" indent="2"/>
    </xf>
    <xf numFmtId="0" fontId="285" fillId="0" borderId="0" xfId="0" applyFont="1"/>
    <xf numFmtId="167" fontId="284" fillId="14" borderId="156" xfId="0" applyNumberFormat="1" applyFont="1" applyFill="1" applyBorder="1"/>
    <xf numFmtId="0" fontId="284" fillId="17" borderId="156" xfId="0" applyFont="1" applyFill="1" applyBorder="1" applyAlignment="1">
      <alignment horizontal="center" wrapText="1"/>
    </xf>
    <xf numFmtId="0" fontId="284" fillId="17" borderId="0" xfId="0" applyFont="1" applyFill="1" applyAlignment="1">
      <alignment horizontal="center" wrapText="1"/>
    </xf>
    <xf numFmtId="167" fontId="284" fillId="17" borderId="156" xfId="1" applyNumberFormat="1" applyFont="1" applyFill="1" applyBorder="1" applyAlignment="1">
      <alignment horizontal="center" wrapText="1"/>
    </xf>
    <xf numFmtId="167" fontId="87" fillId="11" borderId="147" xfId="1" applyNumberFormat="1" applyFont="1" applyFill="1" applyBorder="1" applyProtection="1">
      <protection locked="0"/>
    </xf>
    <xf numFmtId="167" fontId="86" fillId="14" borderId="147" xfId="1" applyNumberFormat="1" applyFont="1" applyFill="1" applyBorder="1" applyProtection="1">
      <protection locked="0"/>
    </xf>
    <xf numFmtId="0" fontId="95" fillId="0" borderId="151" xfId="0" applyFont="1" applyBorder="1" applyAlignment="1">
      <alignment horizontal="left" vertical="center" wrapText="1"/>
    </xf>
    <xf numFmtId="0" fontId="104" fillId="0" borderId="156" xfId="0" applyFont="1" applyBorder="1" applyAlignment="1">
      <alignment wrapText="1"/>
    </xf>
    <xf numFmtId="0" fontId="104" fillId="29" borderId="156" xfId="0" applyFont="1" applyFill="1" applyBorder="1"/>
    <xf numFmtId="49" fontId="0" fillId="0" borderId="156" xfId="0" applyNumberFormat="1" applyBorder="1" applyAlignment="1">
      <alignment horizontal="left"/>
    </xf>
    <xf numFmtId="0" fontId="0" fillId="0" borderId="156" xfId="0" quotePrefix="1" applyBorder="1" applyAlignment="1">
      <alignment horizontal="left"/>
    </xf>
    <xf numFmtId="0" fontId="266" fillId="11" borderId="110" xfId="0" applyFont="1" applyFill="1" applyBorder="1" applyAlignment="1">
      <alignment horizontal="right" vertical="center" wrapText="1"/>
    </xf>
    <xf numFmtId="0" fontId="115" fillId="11" borderId="151" xfId="0" applyFont="1" applyFill="1" applyBorder="1"/>
    <xf numFmtId="0" fontId="120" fillId="0" borderId="151" xfId="0" applyFont="1" applyBorder="1" applyAlignment="1">
      <alignment wrapText="1"/>
    </xf>
    <xf numFmtId="0" fontId="95" fillId="0" borderId="11" xfId="0" quotePrefix="1" applyFont="1" applyBorder="1"/>
    <xf numFmtId="0" fontId="95" fillId="11" borderId="11" xfId="0" applyFont="1" applyFill="1" applyBorder="1"/>
    <xf numFmtId="0" fontId="95" fillId="0" borderId="11" xfId="0" applyFont="1" applyBorder="1"/>
    <xf numFmtId="0" fontId="95" fillId="11" borderId="71" xfId="0" applyFont="1" applyFill="1" applyBorder="1"/>
    <xf numFmtId="0" fontId="92" fillId="11" borderId="11" xfId="0" applyFont="1" applyFill="1" applyBorder="1"/>
    <xf numFmtId="0" fontId="95" fillId="0" borderId="86" xfId="0" applyFont="1" applyBorder="1"/>
    <xf numFmtId="0" fontId="92" fillId="11" borderId="86" xfId="0" applyFont="1" applyFill="1" applyBorder="1"/>
    <xf numFmtId="0" fontId="95" fillId="0" borderId="60" xfId="0" quotePrefix="1" applyFont="1" applyBorder="1"/>
    <xf numFmtId="0" fontId="92" fillId="11" borderId="60" xfId="0" applyFont="1" applyFill="1" applyBorder="1"/>
    <xf numFmtId="0" fontId="95" fillId="0" borderId="60" xfId="0" applyFont="1" applyBorder="1"/>
    <xf numFmtId="0" fontId="95" fillId="32" borderId="11" xfId="0" quotePrefix="1" applyFont="1" applyFill="1" applyBorder="1"/>
    <xf numFmtId="0" fontId="92" fillId="11" borderId="151" xfId="0" applyFont="1" applyFill="1" applyBorder="1"/>
    <xf numFmtId="0" fontId="95" fillId="32" borderId="11" xfId="0" applyFont="1" applyFill="1" applyBorder="1"/>
    <xf numFmtId="49" fontId="60" fillId="0" borderId="125" xfId="43" applyNumberFormat="1" applyFont="1" applyBorder="1" applyAlignment="1">
      <alignment horizontal="left" indent="3"/>
    </xf>
    <xf numFmtId="0" fontId="95" fillId="0" borderId="86" xfId="0" quotePrefix="1" applyFont="1" applyBorder="1"/>
    <xf numFmtId="0" fontId="84" fillId="11" borderId="151" xfId="0" applyFont="1" applyFill="1" applyBorder="1" applyAlignment="1">
      <alignment horizontal="right" vertical="center" wrapText="1"/>
    </xf>
    <xf numFmtId="0" fontId="76" fillId="11" borderId="151" xfId="0" applyFont="1" applyFill="1" applyBorder="1"/>
    <xf numFmtId="0" fontId="72" fillId="11" borderId="151" xfId="0" applyFont="1" applyFill="1" applyBorder="1" applyAlignment="1">
      <alignment horizontal="left" vertical="center" wrapText="1"/>
    </xf>
    <xf numFmtId="167" fontId="86" fillId="14" borderId="147" xfId="19" applyNumberFormat="1" applyFont="1" applyFill="1" applyBorder="1"/>
    <xf numFmtId="0" fontId="76" fillId="0" borderId="151" xfId="0" applyFont="1" applyBorder="1"/>
    <xf numFmtId="0" fontId="72" fillId="0" borderId="151" xfId="0" applyFont="1" applyBorder="1"/>
    <xf numFmtId="49" fontId="72" fillId="0" borderId="151" xfId="0" applyNumberFormat="1" applyFont="1" applyBorder="1"/>
    <xf numFmtId="167" fontId="72" fillId="15" borderId="147" xfId="19" applyNumberFormat="1" applyFont="1" applyFill="1" applyBorder="1"/>
    <xf numFmtId="167" fontId="76" fillId="15" borderId="147" xfId="19" applyNumberFormat="1" applyFont="1" applyFill="1" applyBorder="1"/>
    <xf numFmtId="167" fontId="70" fillId="15" borderId="147" xfId="19" applyNumberFormat="1" applyFont="1" applyFill="1" applyBorder="1"/>
    <xf numFmtId="167" fontId="72" fillId="14" borderId="147" xfId="19" applyNumberFormat="1" applyFont="1" applyFill="1" applyBorder="1"/>
    <xf numFmtId="0" fontId="95" fillId="0" borderId="89" xfId="0" quotePrefix="1" applyFont="1" applyBorder="1"/>
    <xf numFmtId="0" fontId="92" fillId="11" borderId="102" xfId="0" applyFont="1" applyFill="1" applyBorder="1"/>
    <xf numFmtId="0" fontId="92" fillId="11" borderId="110" xfId="0" applyFont="1" applyFill="1" applyBorder="1"/>
    <xf numFmtId="0" fontId="95" fillId="0" borderId="102" xfId="0" applyFont="1" applyBorder="1"/>
    <xf numFmtId="0" fontId="95" fillId="0" borderId="102" xfId="0" quotePrefix="1" applyFont="1" applyBorder="1"/>
    <xf numFmtId="0" fontId="92" fillId="23" borderId="102" xfId="0" applyFont="1" applyFill="1" applyBorder="1"/>
    <xf numFmtId="0" fontId="95" fillId="0" borderId="54" xfId="0" quotePrefix="1" applyFont="1" applyBorder="1"/>
    <xf numFmtId="0" fontId="92" fillId="11" borderId="54" xfId="0" applyFont="1" applyFill="1" applyBorder="1"/>
    <xf numFmtId="0" fontId="95" fillId="0" borderId="54" xfId="0" applyFont="1" applyBorder="1"/>
    <xf numFmtId="0" fontId="95" fillId="0" borderId="151" xfId="0" applyFont="1" applyBorder="1"/>
    <xf numFmtId="0" fontId="95" fillId="0" borderId="123" xfId="0" applyFont="1" applyBorder="1"/>
    <xf numFmtId="0" fontId="92" fillId="11" borderId="123" xfId="0" applyFont="1" applyFill="1" applyBorder="1"/>
    <xf numFmtId="0" fontId="92" fillId="11" borderId="69" xfId="0" applyFont="1" applyFill="1" applyBorder="1"/>
    <xf numFmtId="0" fontId="95" fillId="6" borderId="86" xfId="0" applyFont="1" applyFill="1" applyBorder="1"/>
    <xf numFmtId="0" fontId="92" fillId="0" borderId="102" xfId="0" applyFont="1" applyBorder="1"/>
    <xf numFmtId="0" fontId="92" fillId="11" borderId="58" xfId="0" applyFont="1" applyFill="1" applyBorder="1"/>
    <xf numFmtId="0" fontId="92" fillId="8" borderId="11" xfId="0" applyFont="1" applyFill="1" applyBorder="1"/>
    <xf numFmtId="0" fontId="92" fillId="8" borderId="151" xfId="0" applyFont="1" applyFill="1" applyBorder="1"/>
    <xf numFmtId="0" fontId="95" fillId="0" borderId="151" xfId="0" applyFont="1" applyBorder="1" applyAlignment="1">
      <alignment horizontal="left"/>
    </xf>
    <xf numFmtId="0" fontId="92" fillId="11" borderId="151" xfId="0" applyFont="1" applyFill="1" applyBorder="1" applyAlignment="1">
      <alignment horizontal="left"/>
    </xf>
    <xf numFmtId="0" fontId="92" fillId="11" borderId="135" xfId="0" applyFont="1" applyFill="1" applyBorder="1" applyAlignment="1">
      <alignment horizontal="left"/>
    </xf>
    <xf numFmtId="0" fontId="92" fillId="11" borderId="135" xfId="0" applyFont="1" applyFill="1" applyBorder="1"/>
    <xf numFmtId="0" fontId="92" fillId="11" borderId="86" xfId="0" applyFont="1" applyFill="1" applyBorder="1" applyAlignment="1">
      <alignment vertical="top"/>
    </xf>
    <xf numFmtId="0" fontId="95" fillId="11" borderId="102" xfId="0" applyFont="1" applyFill="1" applyBorder="1"/>
    <xf numFmtId="0" fontId="92" fillId="11" borderId="104" xfId="0" applyFont="1" applyFill="1" applyBorder="1"/>
    <xf numFmtId="0" fontId="92" fillId="0" borderId="86" xfId="0" applyFont="1" applyBorder="1"/>
    <xf numFmtId="0" fontId="95" fillId="23" borderId="86" xfId="0" applyFont="1" applyFill="1" applyBorder="1"/>
    <xf numFmtId="0" fontId="92" fillId="23" borderId="86" xfId="0" applyFont="1" applyFill="1" applyBorder="1"/>
    <xf numFmtId="0" fontId="92" fillId="13" borderId="86" xfId="0" applyFont="1" applyFill="1" applyBorder="1"/>
    <xf numFmtId="0" fontId="247" fillId="4" borderId="86" xfId="0" applyFont="1" applyFill="1" applyBorder="1"/>
    <xf numFmtId="0" fontId="92" fillId="11" borderId="135" xfId="0" applyFont="1" applyFill="1" applyBorder="1" applyAlignment="1">
      <alignment vertical="center"/>
    </xf>
    <xf numFmtId="0" fontId="92" fillId="11" borderId="150" xfId="0" applyFont="1" applyFill="1" applyBorder="1"/>
    <xf numFmtId="0" fontId="92" fillId="11" borderId="96" xfId="0" applyFont="1" applyFill="1" applyBorder="1"/>
    <xf numFmtId="0" fontId="92" fillId="11" borderId="152" xfId="0" applyFont="1" applyFill="1" applyBorder="1"/>
    <xf numFmtId="0" fontId="92" fillId="6" borderId="89" xfId="0" applyFont="1" applyFill="1" applyBorder="1"/>
    <xf numFmtId="0" fontId="92" fillId="11" borderId="145" xfId="0" applyFont="1" applyFill="1" applyBorder="1"/>
    <xf numFmtId="0" fontId="92" fillId="11" borderId="57" xfId="0" applyFont="1" applyFill="1" applyBorder="1"/>
    <xf numFmtId="0" fontId="95" fillId="0" borderId="110" xfId="0" applyFont="1" applyBorder="1"/>
    <xf numFmtId="0" fontId="92" fillId="0" borderId="110" xfId="0" applyFont="1" applyBorder="1"/>
    <xf numFmtId="0" fontId="92" fillId="11" borderId="107" xfId="0" applyFont="1" applyFill="1" applyBorder="1"/>
    <xf numFmtId="0" fontId="95" fillId="0" borderId="7" xfId="0" quotePrefix="1" applyFont="1" applyBorder="1"/>
    <xf numFmtId="0" fontId="95" fillId="0" borderId="99" xfId="0" applyFont="1" applyBorder="1"/>
    <xf numFmtId="0" fontId="92" fillId="3" borderId="146" xfId="0" applyFont="1" applyFill="1" applyBorder="1"/>
    <xf numFmtId="0" fontId="92" fillId="3" borderId="102" xfId="0" applyFont="1" applyFill="1" applyBorder="1"/>
    <xf numFmtId="0" fontId="95" fillId="0" borderId="146" xfId="0" applyFont="1" applyBorder="1"/>
    <xf numFmtId="0" fontId="92" fillId="11" borderId="99" xfId="0" applyFont="1" applyFill="1" applyBorder="1"/>
    <xf numFmtId="0" fontId="95" fillId="0" borderId="102" xfId="0" quotePrefix="1" applyFont="1" applyBorder="1" applyAlignment="1">
      <alignment horizontal="left" vertical="center"/>
    </xf>
    <xf numFmtId="0" fontId="92" fillId="11" borderId="102" xfId="0" applyFont="1" applyFill="1" applyBorder="1" applyAlignment="1">
      <alignment horizontal="left" vertical="center"/>
    </xf>
    <xf numFmtId="0" fontId="95" fillId="0" borderId="102" xfId="0" applyFont="1" applyBorder="1" applyAlignment="1">
      <alignment horizontal="left" vertical="center"/>
    </xf>
    <xf numFmtId="0" fontId="92" fillId="11" borderId="129" xfId="0" applyFont="1" applyFill="1" applyBorder="1" applyAlignment="1">
      <alignment horizontal="left" vertical="center"/>
    </xf>
    <xf numFmtId="0" fontId="95" fillId="0" borderId="11" xfId="0" applyFont="1" applyBorder="1" applyAlignment="1">
      <alignment horizontal="left"/>
    </xf>
    <xf numFmtId="0" fontId="95" fillId="13" borderId="102" xfId="0" applyFont="1" applyFill="1" applyBorder="1"/>
    <xf numFmtId="0" fontId="92" fillId="13" borderId="102" xfId="0" applyFont="1" applyFill="1" applyBorder="1"/>
    <xf numFmtId="0" fontId="95" fillId="0" borderId="58" xfId="0" applyFont="1" applyBorder="1"/>
    <xf numFmtId="0" fontId="58" fillId="0" borderId="165" xfId="43" applyFont="1" applyBorder="1" applyAlignment="1">
      <alignment horizontal="left" indent="2"/>
    </xf>
    <xf numFmtId="3" fontId="47" fillId="0" borderId="166" xfId="43" applyNumberFormat="1" applyFont="1" applyBorder="1"/>
    <xf numFmtId="167" fontId="84" fillId="14" borderId="151" xfId="19" applyNumberFormat="1" applyFont="1" applyFill="1" applyBorder="1" applyProtection="1">
      <protection locked="0"/>
    </xf>
    <xf numFmtId="167" fontId="87" fillId="11" borderId="146" xfId="24" applyNumberFormat="1" applyFont="1" applyFill="1" applyBorder="1" applyAlignment="1" applyProtection="1">
      <alignment horizontal="center" vertical="center"/>
      <protection locked="0"/>
    </xf>
    <xf numFmtId="167" fontId="86" fillId="11" borderId="146" xfId="19" applyNumberFormat="1" applyFont="1" applyFill="1" applyBorder="1" applyAlignment="1" applyProtection="1">
      <alignment horizontal="center"/>
      <protection locked="0"/>
    </xf>
    <xf numFmtId="167" fontId="72" fillId="11" borderId="151" xfId="19" applyNumberFormat="1" applyFont="1" applyFill="1" applyBorder="1" applyProtection="1">
      <protection locked="0"/>
    </xf>
    <xf numFmtId="0" fontId="249" fillId="11" borderId="150" xfId="0" applyFont="1" applyFill="1" applyBorder="1" applyAlignment="1">
      <alignment horizontal="left" vertical="center" wrapText="1"/>
    </xf>
    <xf numFmtId="0" fontId="84" fillId="11" borderId="151" xfId="0" applyFont="1" applyFill="1" applyBorder="1" applyAlignment="1">
      <alignment vertical="center" wrapText="1"/>
    </xf>
    <xf numFmtId="0" fontId="85" fillId="11" borderId="151" xfId="0" applyFont="1" applyFill="1" applyBorder="1"/>
    <xf numFmtId="167" fontId="204" fillId="11" borderId="152" xfId="1" applyNumberFormat="1" applyFont="1" applyFill="1" applyBorder="1" applyProtection="1">
      <protection locked="0"/>
    </xf>
    <xf numFmtId="167" fontId="83" fillId="11" borderId="152" xfId="1" applyNumberFormat="1" applyFont="1" applyFill="1" applyBorder="1" applyProtection="1">
      <protection locked="0"/>
    </xf>
    <xf numFmtId="167" fontId="87" fillId="11" borderId="152" xfId="1" applyNumberFormat="1" applyFont="1" applyFill="1" applyBorder="1" applyProtection="1">
      <protection locked="0"/>
    </xf>
    <xf numFmtId="167" fontId="72" fillId="14" borderId="152" xfId="1" applyNumberFormat="1" applyFont="1" applyFill="1" applyBorder="1" applyProtection="1">
      <protection locked="0"/>
    </xf>
    <xf numFmtId="167" fontId="83" fillId="11" borderId="152" xfId="23" applyNumberFormat="1" applyFont="1" applyFill="1" applyBorder="1" applyProtection="1">
      <protection locked="0"/>
    </xf>
    <xf numFmtId="167" fontId="87" fillId="11" borderId="152" xfId="23" applyNumberFormat="1" applyFont="1" applyFill="1" applyBorder="1" applyProtection="1">
      <protection locked="0"/>
    </xf>
    <xf numFmtId="167" fontId="83" fillId="14" borderId="152" xfId="23" applyNumberFormat="1" applyFont="1" applyFill="1" applyBorder="1" applyProtection="1">
      <protection locked="0"/>
    </xf>
    <xf numFmtId="167" fontId="87" fillId="11" borderId="152" xfId="19" applyNumberFormat="1" applyFont="1" applyFill="1" applyBorder="1" applyAlignment="1" applyProtection="1">
      <alignment wrapText="1"/>
      <protection locked="0"/>
    </xf>
    <xf numFmtId="167" fontId="87" fillId="14" borderId="152" xfId="19" applyNumberFormat="1" applyFont="1" applyFill="1" applyBorder="1" applyProtection="1">
      <protection locked="0"/>
    </xf>
    <xf numFmtId="0" fontId="87" fillId="11" borderId="151" xfId="0" applyFont="1" applyFill="1" applyBorder="1" applyAlignment="1">
      <alignment horizontal="right" wrapText="1"/>
    </xf>
    <xf numFmtId="167" fontId="91" fillId="11" borderId="152" xfId="1" applyNumberFormat="1" applyFont="1" applyFill="1" applyBorder="1" applyAlignment="1" applyProtection="1">
      <alignment horizontal="center"/>
      <protection locked="0"/>
    </xf>
    <xf numFmtId="167" fontId="114" fillId="11" borderId="151" xfId="1" applyNumberFormat="1" applyFont="1" applyFill="1" applyBorder="1" applyAlignment="1" applyProtection="1">
      <alignment horizontal="center"/>
      <protection locked="0"/>
    </xf>
    <xf numFmtId="167" fontId="87" fillId="11" borderId="168" xfId="1" applyNumberFormat="1" applyFont="1" applyFill="1" applyBorder="1" applyProtection="1">
      <protection locked="0"/>
    </xf>
    <xf numFmtId="167" fontId="83" fillId="11" borderId="168" xfId="1" applyNumberFormat="1" applyFont="1" applyFill="1" applyBorder="1" applyProtection="1">
      <protection locked="0"/>
    </xf>
    <xf numFmtId="167" fontId="86" fillId="14" borderId="168" xfId="1" applyNumberFormat="1" applyFont="1" applyFill="1" applyBorder="1" applyProtection="1">
      <protection locked="0"/>
    </xf>
    <xf numFmtId="167" fontId="204" fillId="11" borderId="152" xfId="1" applyNumberFormat="1" applyFont="1" applyFill="1" applyBorder="1"/>
    <xf numFmtId="167" fontId="83" fillId="11" borderId="152" xfId="1" applyNumberFormat="1" applyFont="1" applyFill="1" applyBorder="1"/>
    <xf numFmtId="167" fontId="87" fillId="11" borderId="152" xfId="1" applyNumberFormat="1" applyFont="1" applyFill="1" applyBorder="1"/>
    <xf numFmtId="167" fontId="86" fillId="14" borderId="152" xfId="1" applyNumberFormat="1" applyFont="1" applyFill="1" applyBorder="1"/>
    <xf numFmtId="167" fontId="204" fillId="11" borderId="152" xfId="19" applyNumberFormat="1" applyFont="1" applyFill="1" applyBorder="1"/>
    <xf numFmtId="167" fontId="84" fillId="11" borderId="152" xfId="19" applyNumberFormat="1" applyFont="1" applyFill="1" applyBorder="1"/>
    <xf numFmtId="167" fontId="87" fillId="11" borderId="152" xfId="19" applyNumberFormat="1" applyFont="1" applyFill="1" applyBorder="1"/>
    <xf numFmtId="167" fontId="86" fillId="14" borderId="152" xfId="19" applyNumberFormat="1" applyFont="1" applyFill="1" applyBorder="1"/>
    <xf numFmtId="167" fontId="72" fillId="11" borderId="147" xfId="19" applyNumberFormat="1" applyFont="1" applyFill="1" applyBorder="1"/>
    <xf numFmtId="167" fontId="74" fillId="11" borderId="147" xfId="19" applyNumberFormat="1" applyFont="1" applyFill="1" applyBorder="1"/>
    <xf numFmtId="167" fontId="71" fillId="14" borderId="147" xfId="19" applyNumberFormat="1" applyFont="1" applyFill="1" applyBorder="1"/>
    <xf numFmtId="0" fontId="89" fillId="11" borderId="152" xfId="0" applyFont="1" applyFill="1" applyBorder="1"/>
    <xf numFmtId="0" fontId="68" fillId="11" borderId="152" xfId="0" applyFont="1" applyFill="1" applyBorder="1" applyAlignment="1">
      <alignment wrapText="1"/>
    </xf>
    <xf numFmtId="167" fontId="72" fillId="11" borderId="168" xfId="19" applyNumberFormat="1" applyFont="1" applyFill="1" applyBorder="1"/>
    <xf numFmtId="167" fontId="70" fillId="11" borderId="168" xfId="19" applyNumberFormat="1" applyFont="1" applyFill="1" applyBorder="1"/>
    <xf numFmtId="167" fontId="72" fillId="14" borderId="168" xfId="19" applyNumberFormat="1" applyFont="1" applyFill="1" applyBorder="1"/>
    <xf numFmtId="167" fontId="72" fillId="14" borderId="146" xfId="1" applyNumberFormat="1" applyFont="1" applyFill="1" applyBorder="1" applyProtection="1">
      <protection locked="0"/>
    </xf>
    <xf numFmtId="167" fontId="86" fillId="11" borderId="168" xfId="19" applyNumberFormat="1" applyFont="1" applyFill="1" applyBorder="1" applyProtection="1">
      <protection locked="0"/>
    </xf>
    <xf numFmtId="167" fontId="84" fillId="11" borderId="146" xfId="24" applyNumberFormat="1" applyFont="1" applyFill="1" applyBorder="1" applyAlignment="1" applyProtection="1">
      <alignment horizontal="center"/>
      <protection locked="0"/>
    </xf>
    <xf numFmtId="167" fontId="83" fillId="11" borderId="168" xfId="1" applyNumberFormat="1" applyFont="1" applyFill="1" applyBorder="1" applyAlignment="1" applyProtection="1">
      <alignment horizontal="center" vertical="center"/>
      <protection locked="0"/>
    </xf>
    <xf numFmtId="167" fontId="72" fillId="11" borderId="168" xfId="1" applyNumberFormat="1" applyFont="1" applyFill="1" applyBorder="1" applyAlignment="1" applyProtection="1">
      <alignment horizontal="center" vertical="center"/>
      <protection locked="0"/>
    </xf>
    <xf numFmtId="0" fontId="83" fillId="18" borderId="151" xfId="0" applyFont="1" applyFill="1" applyBorder="1" applyAlignment="1">
      <alignment horizontal="left" vertical="center" wrapText="1"/>
    </xf>
    <xf numFmtId="170" fontId="87" fillId="18" borderId="147" xfId="19" applyNumberFormat="1" applyFont="1" applyFill="1" applyBorder="1" applyAlignment="1" applyProtection="1">
      <protection locked="0"/>
    </xf>
    <xf numFmtId="0" fontId="100" fillId="23" borderId="169" xfId="0" applyFont="1" applyFill="1" applyBorder="1" applyAlignment="1">
      <alignment vertical="top" wrapText="1"/>
    </xf>
    <xf numFmtId="167" fontId="204" fillId="11" borderId="146" xfId="19" applyNumberFormat="1" applyFont="1" applyFill="1" applyBorder="1"/>
    <xf numFmtId="167" fontId="84" fillId="11" borderId="146" xfId="19" applyNumberFormat="1" applyFont="1" applyFill="1" applyBorder="1"/>
    <xf numFmtId="167" fontId="87" fillId="11" borderId="146" xfId="19" applyNumberFormat="1" applyFont="1" applyFill="1" applyBorder="1"/>
    <xf numFmtId="167" fontId="86" fillId="14" borderId="146" xfId="19" applyNumberFormat="1" applyFont="1" applyFill="1" applyBorder="1"/>
    <xf numFmtId="167" fontId="204" fillId="11" borderId="151" xfId="19" applyNumberFormat="1" applyFont="1" applyFill="1" applyBorder="1"/>
    <xf numFmtId="167" fontId="63" fillId="0" borderId="0" xfId="0" applyNumberFormat="1" applyFont="1" applyAlignment="1">
      <alignment horizontal="right"/>
    </xf>
    <xf numFmtId="43" fontId="201" fillId="11" borderId="151" xfId="8" applyFont="1" applyFill="1" applyBorder="1" applyAlignment="1">
      <alignment horizontal="right" wrapText="1"/>
    </xf>
    <xf numFmtId="167" fontId="149" fillId="11" borderId="147" xfId="19" applyNumberFormat="1" applyFont="1" applyFill="1" applyBorder="1"/>
    <xf numFmtId="0" fontId="149" fillId="23" borderId="151" xfId="0" applyFont="1" applyFill="1" applyBorder="1" applyAlignment="1">
      <alignment horizontal="left" vertical="top" wrapText="1"/>
    </xf>
    <xf numFmtId="0" fontId="83" fillId="11" borderId="151" xfId="0" applyFont="1" applyFill="1" applyBorder="1" applyAlignment="1">
      <alignment vertical="top"/>
    </xf>
    <xf numFmtId="167" fontId="204" fillId="11" borderId="168" xfId="19" applyNumberFormat="1" applyFont="1" applyFill="1" applyBorder="1" applyProtection="1">
      <protection locked="0"/>
    </xf>
    <xf numFmtId="167" fontId="83" fillId="11" borderId="168" xfId="19" applyNumberFormat="1" applyFont="1" applyFill="1" applyBorder="1" applyProtection="1">
      <protection locked="0"/>
    </xf>
    <xf numFmtId="167" fontId="87" fillId="11" borderId="168" xfId="19" applyNumberFormat="1" applyFont="1" applyFill="1" applyBorder="1" applyProtection="1">
      <protection locked="0"/>
    </xf>
    <xf numFmtId="167" fontId="86" fillId="14" borderId="168" xfId="19" applyNumberFormat="1" applyFont="1" applyFill="1" applyBorder="1" applyProtection="1">
      <protection locked="0"/>
    </xf>
    <xf numFmtId="49" fontId="72" fillId="11" borderId="151" xfId="0" applyNumberFormat="1" applyFont="1" applyFill="1" applyBorder="1"/>
    <xf numFmtId="167" fontId="87" fillId="11" borderId="146" xfId="19" applyNumberFormat="1" applyFont="1" applyFill="1" applyBorder="1" applyAlignment="1" applyProtection="1">
      <alignment wrapText="1"/>
      <protection locked="0"/>
    </xf>
    <xf numFmtId="167" fontId="87" fillId="14" borderId="146" xfId="19" applyNumberFormat="1" applyFont="1" applyFill="1" applyBorder="1" applyProtection="1">
      <protection locked="0"/>
    </xf>
    <xf numFmtId="0" fontId="149" fillId="11" borderId="151" xfId="0" applyFont="1" applyFill="1" applyBorder="1" applyAlignment="1">
      <alignment horizontal="center"/>
    </xf>
    <xf numFmtId="167" fontId="72" fillId="11" borderId="168" xfId="19" applyNumberFormat="1" applyFont="1" applyFill="1" applyBorder="1" applyProtection="1">
      <protection locked="0"/>
    </xf>
    <xf numFmtId="167" fontId="76" fillId="11" borderId="168" xfId="19" applyNumberFormat="1" applyFont="1" applyFill="1" applyBorder="1" applyProtection="1">
      <protection locked="0"/>
    </xf>
    <xf numFmtId="0" fontId="96" fillId="11" borderId="151" xfId="0" applyFont="1" applyFill="1" applyBorder="1" applyAlignment="1">
      <alignment horizontal="left" vertical="center" wrapText="1"/>
    </xf>
    <xf numFmtId="167" fontId="98" fillId="13" borderId="151" xfId="19" applyNumberFormat="1" applyFont="1" applyFill="1" applyBorder="1" applyProtection="1">
      <protection locked="0"/>
    </xf>
    <xf numFmtId="167" fontId="205" fillId="11" borderId="146" xfId="19" applyNumberFormat="1" applyFont="1" applyFill="1" applyBorder="1" applyAlignment="1" applyProtection="1">
      <alignment horizontal="center"/>
      <protection locked="0"/>
    </xf>
    <xf numFmtId="167" fontId="47" fillId="0" borderId="0" xfId="1" applyNumberFormat="1" applyFont="1" applyAlignment="1">
      <alignment wrapText="1"/>
    </xf>
    <xf numFmtId="167" fontId="47" fillId="0" borderId="126" xfId="1" applyNumberFormat="1" applyFont="1" applyBorder="1"/>
    <xf numFmtId="1" fontId="86" fillId="11" borderId="147" xfId="19" applyNumberFormat="1" applyFont="1" applyFill="1" applyBorder="1" applyProtection="1"/>
    <xf numFmtId="167" fontId="149" fillId="11" borderId="147" xfId="19" applyNumberFormat="1" applyFont="1" applyFill="1" applyBorder="1" applyProtection="1"/>
    <xf numFmtId="167" fontId="87" fillId="11" borderId="147" xfId="19" applyNumberFormat="1" applyFont="1" applyFill="1" applyBorder="1" applyProtection="1"/>
    <xf numFmtId="167" fontId="86" fillId="14" borderId="147" xfId="19" applyNumberFormat="1" applyFont="1" applyFill="1" applyBorder="1" applyProtection="1"/>
    <xf numFmtId="167" fontId="84" fillId="14" borderId="147" xfId="19" applyNumberFormat="1" applyFont="1" applyFill="1" applyBorder="1" applyProtection="1">
      <protection locked="0"/>
    </xf>
    <xf numFmtId="167" fontId="86" fillId="11" borderId="152" xfId="23" applyNumberFormat="1" applyFont="1" applyFill="1" applyBorder="1" applyProtection="1">
      <protection locked="0"/>
    </xf>
    <xf numFmtId="167" fontId="140" fillId="11" borderId="147" xfId="19" applyNumberFormat="1" applyFont="1" applyFill="1" applyBorder="1" applyAlignment="1" applyProtection="1">
      <alignment wrapText="1"/>
      <protection locked="0"/>
    </xf>
    <xf numFmtId="43" fontId="204" fillId="11" borderId="152" xfId="19" applyFont="1" applyFill="1" applyBorder="1"/>
    <xf numFmtId="43" fontId="86" fillId="14" borderId="152" xfId="19" applyFont="1" applyFill="1" applyBorder="1"/>
    <xf numFmtId="167" fontId="86" fillId="11" borderId="172" xfId="19" applyNumberFormat="1" applyFont="1" applyFill="1" applyBorder="1" applyProtection="1">
      <protection locked="0"/>
    </xf>
    <xf numFmtId="167" fontId="83" fillId="11" borderId="172" xfId="19" applyNumberFormat="1" applyFont="1" applyFill="1" applyBorder="1" applyProtection="1">
      <protection locked="0"/>
    </xf>
    <xf numFmtId="167" fontId="87" fillId="11" borderId="172" xfId="19" applyNumberFormat="1" applyFont="1" applyFill="1" applyBorder="1" applyProtection="1">
      <protection locked="0"/>
    </xf>
    <xf numFmtId="167" fontId="86" fillId="14" borderId="172" xfId="19" applyNumberFormat="1" applyFont="1" applyFill="1" applyBorder="1" applyProtection="1">
      <protection locked="0"/>
    </xf>
    <xf numFmtId="0" fontId="244" fillId="11" borderId="151" xfId="0" applyFont="1" applyFill="1" applyBorder="1" applyAlignment="1">
      <alignment horizontal="left" vertical="center" wrapText="1"/>
    </xf>
    <xf numFmtId="0" fontId="83" fillId="11" borderId="152" xfId="0" applyFont="1" applyFill="1" applyBorder="1" applyAlignment="1">
      <alignment horizontal="left" vertical="center" wrapText="1"/>
    </xf>
    <xf numFmtId="167" fontId="86" fillId="11" borderId="152" xfId="1" applyNumberFormat="1" applyFont="1" applyFill="1" applyBorder="1" applyProtection="1">
      <protection locked="0"/>
    </xf>
    <xf numFmtId="167" fontId="75" fillId="0" borderId="143" xfId="1" applyNumberFormat="1" applyFont="1" applyFill="1" applyBorder="1" applyAlignment="1" applyProtection="1">
      <alignment horizontal="center" vertical="center" wrapText="1"/>
    </xf>
    <xf numFmtId="167" fontId="76" fillId="15" borderId="58" xfId="75" applyNumberFormat="1" applyFont="1" applyFill="1" applyBorder="1" applyProtection="1">
      <protection locked="0"/>
    </xf>
    <xf numFmtId="167" fontId="76" fillId="0" borderId="0" xfId="0" applyNumberFormat="1" applyFont="1"/>
    <xf numFmtId="0" fontId="226" fillId="0" borderId="0" xfId="0" applyFont="1"/>
    <xf numFmtId="0" fontId="291" fillId="0" borderId="0" xfId="0" applyFont="1" applyAlignment="1">
      <alignment wrapText="1"/>
    </xf>
    <xf numFmtId="167" fontId="75" fillId="11" borderId="115" xfId="19" applyNumberFormat="1" applyFont="1" applyFill="1" applyBorder="1"/>
    <xf numFmtId="167" fontId="75" fillId="11" borderId="131" xfId="19" applyNumberFormat="1" applyFont="1" applyFill="1" applyBorder="1"/>
    <xf numFmtId="0" fontId="76" fillId="0" borderId="0" xfId="0" quotePrefix="1" applyFont="1"/>
    <xf numFmtId="0" fontId="76" fillId="23" borderId="0" xfId="0" quotePrefix="1" applyFont="1" applyFill="1"/>
    <xf numFmtId="0" fontId="86" fillId="23" borderId="0" xfId="0" applyFont="1" applyFill="1" applyAlignment="1">
      <alignment wrapText="1"/>
    </xf>
    <xf numFmtId="167" fontId="91" fillId="11" borderId="102" xfId="19" applyNumberFormat="1" applyFont="1" applyFill="1" applyBorder="1" applyProtection="1">
      <protection locked="0"/>
    </xf>
    <xf numFmtId="170" fontId="86" fillId="18" borderId="103" xfId="19" applyNumberFormat="1" applyFont="1" applyFill="1" applyBorder="1" applyAlignment="1" applyProtection="1">
      <protection locked="0"/>
    </xf>
    <xf numFmtId="0" fontId="86" fillId="0" borderId="0" xfId="0" applyFont="1" applyAlignment="1">
      <alignment vertical="center" wrapText="1"/>
    </xf>
    <xf numFmtId="1" fontId="86" fillId="11" borderId="151" xfId="19" applyNumberFormat="1" applyFont="1" applyFill="1" applyBorder="1" applyProtection="1">
      <protection locked="0"/>
    </xf>
    <xf numFmtId="0" fontId="86" fillId="11" borderId="0" xfId="0" applyFont="1" applyFill="1" applyAlignment="1">
      <alignment horizontal="left"/>
    </xf>
    <xf numFmtId="0" fontId="86" fillId="11" borderId="0" xfId="0" applyFont="1" applyFill="1" applyAlignment="1">
      <alignment vertical="center" wrapText="1"/>
    </xf>
    <xf numFmtId="0" fontId="260" fillId="0" borderId="0" xfId="0" applyFont="1"/>
    <xf numFmtId="167" fontId="76" fillId="15" borderId="147" xfId="1" applyNumberFormat="1" applyFont="1" applyFill="1" applyBorder="1" applyProtection="1">
      <protection locked="0"/>
    </xf>
    <xf numFmtId="167" fontId="76" fillId="11" borderId="145" xfId="1" applyNumberFormat="1" applyFont="1" applyFill="1" applyBorder="1"/>
    <xf numFmtId="167" fontId="76" fillId="16" borderId="106" xfId="1" applyNumberFormat="1" applyFont="1" applyFill="1" applyBorder="1" applyProtection="1">
      <protection locked="0"/>
    </xf>
    <xf numFmtId="167" fontId="76" fillId="15" borderId="106" xfId="1" applyNumberFormat="1" applyFont="1" applyFill="1" applyBorder="1" applyProtection="1">
      <protection locked="0"/>
    </xf>
    <xf numFmtId="167" fontId="75" fillId="11" borderId="102" xfId="19" applyNumberFormat="1" applyFont="1" applyFill="1" applyBorder="1"/>
    <xf numFmtId="167" fontId="76" fillId="11" borderId="106" xfId="1" applyNumberFormat="1" applyFont="1" applyFill="1" applyBorder="1"/>
    <xf numFmtId="167" fontId="76" fillId="11" borderId="115" xfId="1" applyNumberFormat="1" applyFont="1" applyFill="1" applyBorder="1"/>
    <xf numFmtId="167" fontId="76" fillId="11" borderId="131" xfId="1" applyNumberFormat="1" applyFont="1" applyFill="1" applyBorder="1"/>
    <xf numFmtId="167" fontId="75" fillId="11" borderId="110" xfId="1" applyNumberFormat="1" applyFont="1" applyFill="1" applyBorder="1"/>
    <xf numFmtId="167" fontId="76" fillId="11" borderId="110" xfId="1" applyNumberFormat="1" applyFont="1" applyFill="1" applyBorder="1"/>
    <xf numFmtId="167" fontId="76" fillId="11" borderId="145" xfId="19" applyNumberFormat="1" applyFont="1" applyFill="1" applyBorder="1"/>
    <xf numFmtId="167" fontId="86" fillId="11" borderId="145" xfId="1" applyNumberFormat="1" applyFont="1" applyFill="1" applyBorder="1"/>
    <xf numFmtId="167" fontId="76" fillId="11" borderId="168" xfId="1" applyNumberFormat="1" applyFont="1" applyFill="1" applyBorder="1"/>
    <xf numFmtId="167" fontId="76" fillId="11" borderId="151" xfId="19" applyNumberFormat="1" applyFont="1" applyFill="1" applyBorder="1"/>
    <xf numFmtId="167" fontId="86" fillId="11" borderId="137" xfId="1" applyNumberFormat="1" applyFont="1" applyFill="1" applyBorder="1" applyProtection="1">
      <protection locked="0"/>
    </xf>
    <xf numFmtId="167" fontId="76" fillId="15" borderId="86" xfId="1" applyNumberFormat="1" applyFont="1" applyFill="1" applyBorder="1" applyProtection="1">
      <protection locked="0"/>
    </xf>
    <xf numFmtId="167" fontId="76" fillId="14" borderId="86" xfId="1" applyNumberFormat="1" applyFont="1" applyFill="1" applyBorder="1" applyProtection="1">
      <protection locked="0"/>
    </xf>
    <xf numFmtId="0" fontId="91" fillId="11" borderId="0" xfId="0" applyFont="1" applyFill="1" applyAlignment="1">
      <alignment wrapText="1"/>
    </xf>
    <xf numFmtId="167" fontId="86" fillId="11" borderId="85" xfId="23" applyNumberFormat="1" applyFont="1" applyFill="1" applyBorder="1"/>
    <xf numFmtId="167" fontId="76" fillId="15" borderId="64" xfId="23" applyNumberFormat="1" applyFont="1" applyFill="1" applyBorder="1" applyProtection="1">
      <protection locked="0"/>
    </xf>
    <xf numFmtId="167" fontId="86" fillId="11" borderId="64" xfId="23" applyNumberFormat="1" applyFont="1" applyFill="1" applyBorder="1" applyProtection="1">
      <protection locked="0"/>
    </xf>
    <xf numFmtId="167" fontId="86" fillId="11" borderId="67" xfId="23" applyNumberFormat="1" applyFont="1" applyFill="1" applyBorder="1" applyProtection="1">
      <protection locked="0"/>
    </xf>
    <xf numFmtId="167" fontId="86" fillId="11" borderId="0" xfId="23" applyNumberFormat="1" applyFont="1" applyFill="1" applyBorder="1" applyProtection="1">
      <protection locked="0"/>
    </xf>
    <xf numFmtId="167" fontId="86" fillId="11" borderId="152" xfId="19" applyNumberFormat="1" applyFont="1" applyFill="1" applyBorder="1" applyAlignment="1" applyProtection="1">
      <alignment wrapText="1"/>
      <protection locked="0"/>
    </xf>
    <xf numFmtId="167" fontId="86" fillId="11" borderId="112" xfId="19" applyNumberFormat="1" applyFont="1" applyFill="1" applyBorder="1" applyAlignment="1" applyProtection="1">
      <alignment wrapText="1"/>
      <protection locked="0"/>
    </xf>
    <xf numFmtId="167" fontId="86" fillId="11" borderId="99" xfId="19" applyNumberFormat="1" applyFont="1" applyFill="1" applyBorder="1" applyAlignment="1" applyProtection="1">
      <alignment wrapText="1"/>
      <protection locked="0"/>
    </xf>
    <xf numFmtId="167" fontId="76" fillId="15" borderId="7" xfId="23" applyNumberFormat="1" applyFont="1" applyFill="1" applyBorder="1" applyProtection="1">
      <protection locked="0"/>
    </xf>
    <xf numFmtId="167" fontId="86" fillId="11" borderId="11" xfId="23" applyNumberFormat="1" applyFont="1" applyFill="1" applyBorder="1" applyProtection="1">
      <protection locked="0"/>
    </xf>
    <xf numFmtId="167" fontId="86" fillId="11" borderId="7" xfId="23" applyNumberFormat="1" applyFont="1" applyFill="1" applyBorder="1" applyProtection="1">
      <protection locked="0"/>
    </xf>
    <xf numFmtId="0" fontId="86" fillId="23" borderId="0" xfId="0" applyFont="1" applyFill="1" applyAlignment="1">
      <alignment vertical="top" wrapText="1"/>
    </xf>
    <xf numFmtId="167" fontId="91" fillId="11" borderId="150" xfId="19" applyNumberFormat="1" applyFont="1" applyFill="1" applyBorder="1" applyProtection="1">
      <protection locked="0"/>
    </xf>
    <xf numFmtId="167" fontId="91" fillId="11" borderId="152" xfId="19" applyNumberFormat="1" applyFont="1" applyFill="1" applyBorder="1" applyProtection="1">
      <protection locked="0"/>
    </xf>
    <xf numFmtId="167" fontId="91" fillId="11" borderId="110" xfId="19" applyNumberFormat="1" applyFont="1" applyFill="1" applyBorder="1" applyProtection="1">
      <protection locked="0"/>
    </xf>
    <xf numFmtId="167" fontId="91" fillId="11" borderId="147" xfId="19" applyNumberFormat="1" applyFont="1" applyFill="1" applyBorder="1" applyProtection="1">
      <protection locked="0"/>
    </xf>
    <xf numFmtId="43" fontId="86" fillId="11" borderId="112" xfId="24" applyFont="1" applyFill="1" applyBorder="1" applyAlignment="1" applyProtection="1">
      <alignment horizontal="center"/>
      <protection locked="0"/>
    </xf>
    <xf numFmtId="167" fontId="76" fillId="9" borderId="99" xfId="1" applyNumberFormat="1" applyFont="1" applyFill="1" applyBorder="1" applyAlignment="1" applyProtection="1">
      <alignment horizontal="center"/>
      <protection locked="0"/>
    </xf>
    <xf numFmtId="167" fontId="76" fillId="9" borderId="99" xfId="24" applyNumberFormat="1" applyFont="1" applyFill="1" applyBorder="1" applyAlignment="1" applyProtection="1">
      <alignment horizontal="center"/>
      <protection locked="0"/>
    </xf>
    <xf numFmtId="43" fontId="76" fillId="11" borderId="123" xfId="1" applyFont="1" applyFill="1" applyBorder="1" applyProtection="1">
      <protection locked="0"/>
    </xf>
    <xf numFmtId="167" fontId="76" fillId="11" borderId="0" xfId="24" applyNumberFormat="1" applyFont="1" applyFill="1" applyBorder="1" applyProtection="1">
      <protection locked="0"/>
    </xf>
    <xf numFmtId="43" fontId="86" fillId="11" borderId="137" xfId="24" applyFont="1" applyFill="1" applyBorder="1" applyAlignment="1" applyProtection="1">
      <alignment horizontal="center"/>
      <protection locked="0"/>
    </xf>
    <xf numFmtId="167" fontId="76" fillId="17" borderId="99" xfId="24" applyNumberFormat="1" applyFont="1" applyFill="1" applyBorder="1" applyAlignment="1" applyProtection="1">
      <alignment horizontal="center"/>
      <protection locked="0"/>
    </xf>
    <xf numFmtId="43" fontId="76" fillId="11" borderId="0" xfId="1" applyFont="1" applyFill="1" applyBorder="1" applyProtection="1">
      <protection locked="0"/>
    </xf>
    <xf numFmtId="167" fontId="76" fillId="11" borderId="0" xfId="1" applyNumberFormat="1" applyFont="1" applyFill="1" applyBorder="1" applyProtection="1">
      <protection locked="0"/>
    </xf>
    <xf numFmtId="167" fontId="76" fillId="11" borderId="0" xfId="19" applyNumberFormat="1" applyFont="1" applyFill="1" applyBorder="1" applyProtection="1">
      <protection locked="0"/>
    </xf>
    <xf numFmtId="167" fontId="86" fillId="11" borderId="89" xfId="24" applyNumberFormat="1" applyFont="1" applyFill="1" applyBorder="1" applyProtection="1">
      <protection locked="0"/>
    </xf>
    <xf numFmtId="167" fontId="76" fillId="15" borderId="89" xfId="24" applyNumberFormat="1" applyFont="1" applyFill="1" applyBorder="1" applyAlignment="1" applyProtection="1">
      <alignment horizontal="center"/>
      <protection locked="0"/>
    </xf>
    <xf numFmtId="167" fontId="215" fillId="17" borderId="99" xfId="24" applyNumberFormat="1" applyFont="1" applyFill="1" applyBorder="1" applyAlignment="1" applyProtection="1">
      <alignment horizontal="center"/>
      <protection locked="0"/>
    </xf>
    <xf numFmtId="43" fontId="115" fillId="11" borderId="89" xfId="24" applyFont="1" applyFill="1" applyBorder="1" applyProtection="1">
      <protection locked="0"/>
    </xf>
    <xf numFmtId="167" fontId="115" fillId="11" borderId="89" xfId="24" applyNumberFormat="1" applyFont="1" applyFill="1" applyBorder="1" applyProtection="1">
      <protection locked="0"/>
    </xf>
    <xf numFmtId="43" fontId="115" fillId="11" borderId="99" xfId="24" applyFont="1" applyFill="1" applyBorder="1" applyProtection="1">
      <protection locked="0"/>
    </xf>
    <xf numFmtId="167" fontId="86" fillId="11" borderId="99" xfId="24" applyNumberFormat="1" applyFont="1" applyFill="1" applyBorder="1" applyAlignment="1" applyProtection="1">
      <alignment horizontal="center"/>
      <protection locked="0"/>
    </xf>
    <xf numFmtId="43" fontId="86" fillId="11" borderId="89" xfId="24" applyFont="1" applyFill="1" applyBorder="1" applyAlignment="1" applyProtection="1">
      <alignment horizontal="center"/>
      <protection locked="0"/>
    </xf>
    <xf numFmtId="167" fontId="76" fillId="11" borderId="145" xfId="24" applyNumberFormat="1" applyFont="1" applyFill="1" applyBorder="1" applyProtection="1">
      <protection locked="0"/>
    </xf>
    <xf numFmtId="167" fontId="76" fillId="11" borderId="146" xfId="1" applyNumberFormat="1" applyFont="1" applyFill="1" applyBorder="1" applyAlignment="1" applyProtection="1">
      <alignment horizontal="center"/>
      <protection locked="0"/>
    </xf>
    <xf numFmtId="167" fontId="76" fillId="11" borderId="151" xfId="24" applyNumberFormat="1" applyFont="1" applyFill="1" applyBorder="1" applyProtection="1">
      <protection locked="0"/>
    </xf>
    <xf numFmtId="167" fontId="76" fillId="11" borderId="110" xfId="24" applyNumberFormat="1" applyFont="1" applyFill="1" applyBorder="1" applyAlignment="1" applyProtection="1">
      <alignment horizontal="center"/>
      <protection locked="0"/>
    </xf>
    <xf numFmtId="167" fontId="91" fillId="11" borderId="110" xfId="24" applyNumberFormat="1" applyFont="1" applyFill="1" applyBorder="1" applyAlignment="1" applyProtection="1">
      <alignment horizontal="center"/>
      <protection locked="0"/>
    </xf>
    <xf numFmtId="167" fontId="91" fillId="11" borderId="109" xfId="24" applyNumberFormat="1" applyFont="1" applyFill="1" applyBorder="1" applyAlignment="1" applyProtection="1">
      <alignment horizontal="center"/>
      <protection locked="0"/>
    </xf>
    <xf numFmtId="167" fontId="76" fillId="11" borderId="109" xfId="24" applyNumberFormat="1" applyFont="1" applyFill="1" applyBorder="1" applyProtection="1">
      <protection locked="0"/>
    </xf>
    <xf numFmtId="167" fontId="76" fillId="11" borderId="146" xfId="24" applyNumberFormat="1" applyFont="1" applyFill="1" applyBorder="1" applyProtection="1">
      <protection locked="0"/>
    </xf>
    <xf numFmtId="167" fontId="86" fillId="11" borderId="110" xfId="19" applyNumberFormat="1" applyFont="1" applyFill="1" applyBorder="1" applyAlignment="1" applyProtection="1">
      <alignment horizontal="center"/>
      <protection locked="0"/>
    </xf>
    <xf numFmtId="43" fontId="86" fillId="11" borderId="109" xfId="24" applyFont="1" applyFill="1" applyBorder="1" applyAlignment="1" applyProtection="1">
      <alignment horizontal="center"/>
      <protection locked="0"/>
    </xf>
    <xf numFmtId="167" fontId="91" fillId="11" borderId="146" xfId="19" applyNumberFormat="1" applyFont="1" applyFill="1" applyBorder="1" applyAlignment="1" applyProtection="1">
      <alignment horizontal="center"/>
      <protection locked="0"/>
    </xf>
    <xf numFmtId="167" fontId="76" fillId="11" borderId="151" xfId="19" applyNumberFormat="1" applyFont="1" applyFill="1" applyBorder="1" applyProtection="1">
      <protection locked="0"/>
    </xf>
    <xf numFmtId="167" fontId="174" fillId="11" borderId="146" xfId="24" applyNumberFormat="1" applyFont="1" applyFill="1" applyBorder="1" applyProtection="1">
      <protection locked="0"/>
    </xf>
    <xf numFmtId="167" fontId="76" fillId="15" borderId="7" xfId="24" applyNumberFormat="1" applyFont="1" applyFill="1" applyBorder="1" applyAlignment="1" applyProtection="1">
      <alignment horizontal="center"/>
      <protection locked="0"/>
    </xf>
    <xf numFmtId="167" fontId="86" fillId="11" borderId="54" xfId="1" applyNumberFormat="1" applyFont="1" applyFill="1" applyBorder="1" applyAlignment="1" applyProtection="1">
      <alignment horizontal="center"/>
      <protection locked="0"/>
    </xf>
    <xf numFmtId="167" fontId="86" fillId="11" borderId="69" xfId="1" applyNumberFormat="1" applyFont="1" applyFill="1" applyBorder="1" applyAlignment="1" applyProtection="1">
      <alignment horizontal="center"/>
      <protection locked="0"/>
    </xf>
    <xf numFmtId="167" fontId="86" fillId="11" borderId="67" xfId="1" applyNumberFormat="1" applyFont="1" applyFill="1" applyBorder="1" applyAlignment="1" applyProtection="1">
      <alignment horizontal="center"/>
      <protection locked="0"/>
    </xf>
    <xf numFmtId="167" fontId="86" fillId="11" borderId="145" xfId="19" applyNumberFormat="1" applyFont="1" applyFill="1" applyBorder="1" applyAlignment="1" applyProtection="1">
      <alignment wrapText="1"/>
      <protection locked="0"/>
    </xf>
    <xf numFmtId="167" fontId="76" fillId="15" borderId="13" xfId="1" applyNumberFormat="1" applyFont="1" applyFill="1" applyBorder="1"/>
    <xf numFmtId="167" fontId="86" fillId="11" borderId="99" xfId="19" applyNumberFormat="1" applyFont="1" applyFill="1" applyBorder="1" applyAlignment="1">
      <alignment vertical="center" wrapText="1"/>
    </xf>
    <xf numFmtId="167" fontId="86" fillId="11" borderId="151" xfId="1" applyNumberFormat="1" applyFont="1" applyFill="1" applyBorder="1" applyAlignment="1" applyProtection="1">
      <alignment horizontal="center"/>
      <protection locked="0"/>
    </xf>
    <xf numFmtId="0" fontId="104" fillId="6" borderId="0" xfId="0" applyFont="1" applyFill="1"/>
    <xf numFmtId="0" fontId="86" fillId="11" borderId="151" xfId="0" applyFont="1" applyFill="1" applyBorder="1" applyAlignment="1">
      <alignment horizontal="center"/>
    </xf>
    <xf numFmtId="167" fontId="292" fillId="15" borderId="151" xfId="19" applyNumberFormat="1" applyFont="1" applyFill="1" applyBorder="1" applyProtection="1">
      <protection locked="0"/>
    </xf>
    <xf numFmtId="167" fontId="246" fillId="15" borderId="151" xfId="19" applyNumberFormat="1" applyFont="1" applyFill="1" applyBorder="1" applyProtection="1">
      <protection locked="0"/>
    </xf>
    <xf numFmtId="167" fontId="72" fillId="15" borderId="151" xfId="19" applyNumberFormat="1" applyFont="1" applyFill="1" applyBorder="1" applyProtection="1">
      <protection locked="0"/>
    </xf>
    <xf numFmtId="167" fontId="76" fillId="15" borderId="151" xfId="19" applyNumberFormat="1" applyFont="1" applyFill="1" applyBorder="1" applyProtection="1">
      <protection locked="0"/>
    </xf>
    <xf numFmtId="167" fontId="86" fillId="15" borderId="151" xfId="19" applyNumberFormat="1" applyFont="1" applyFill="1" applyBorder="1" applyProtection="1">
      <protection locked="0"/>
    </xf>
    <xf numFmtId="167" fontId="246" fillId="11" borderId="151" xfId="19" applyNumberFormat="1" applyFont="1" applyFill="1" applyBorder="1" applyProtection="1">
      <protection locked="0"/>
    </xf>
    <xf numFmtId="167" fontId="246" fillId="11" borderId="151" xfId="19" applyNumberFormat="1" applyFont="1" applyFill="1" applyBorder="1"/>
    <xf numFmtId="167" fontId="85" fillId="14" borderId="151" xfId="19" applyNumberFormat="1" applyFont="1" applyFill="1" applyBorder="1"/>
    <xf numFmtId="0" fontId="85" fillId="11" borderId="151" xfId="0" applyFont="1" applyFill="1" applyBorder="1" applyAlignment="1">
      <alignment horizontal="left" vertical="center" wrapText="1"/>
    </xf>
    <xf numFmtId="0" fontId="72" fillId="0" borderId="151" xfId="0" applyFont="1" applyBorder="1" applyAlignment="1">
      <alignment horizontal="left"/>
    </xf>
    <xf numFmtId="43" fontId="72" fillId="0" borderId="151" xfId="8" applyFont="1" applyBorder="1"/>
    <xf numFmtId="0" fontId="96" fillId="17" borderId="0" xfId="0" applyFont="1" applyFill="1"/>
    <xf numFmtId="167" fontId="246" fillId="13" borderId="151" xfId="19" applyNumberFormat="1" applyFont="1" applyFill="1" applyBorder="1" applyProtection="1">
      <protection locked="0"/>
    </xf>
    <xf numFmtId="167" fontId="246" fillId="11" borderId="151" xfId="22" applyNumberFormat="1" applyFont="1" applyFill="1" applyBorder="1"/>
    <xf numFmtId="0" fontId="207" fillId="11" borderId="151" xfId="0" applyFont="1" applyFill="1" applyBorder="1" applyAlignment="1">
      <alignment horizontal="right" vertical="center" wrapText="1"/>
    </xf>
    <xf numFmtId="167" fontId="83" fillId="11" borderId="151" xfId="19" applyNumberFormat="1" applyFont="1" applyFill="1" applyBorder="1" applyAlignment="1" applyProtection="1">
      <alignment vertical="center"/>
      <protection locked="0"/>
    </xf>
    <xf numFmtId="0" fontId="83" fillId="17" borderId="168" xfId="0" applyFont="1" applyFill="1" applyBorder="1"/>
    <xf numFmtId="0" fontId="83" fillId="17" borderId="0" xfId="0" applyFont="1" applyFill="1" applyAlignment="1">
      <alignment vertical="center" wrapText="1"/>
    </xf>
    <xf numFmtId="0" fontId="86" fillId="11" borderId="151" xfId="0" applyFont="1" applyFill="1" applyBorder="1" applyAlignment="1">
      <alignment vertical="top"/>
    </xf>
    <xf numFmtId="49" fontId="83" fillId="11" borderId="151" xfId="0" applyNumberFormat="1" applyFont="1" applyFill="1" applyBorder="1" applyAlignment="1">
      <alignment vertical="top"/>
    </xf>
    <xf numFmtId="0" fontId="83" fillId="11" borderId="151" xfId="0" applyFont="1" applyFill="1" applyBorder="1" applyAlignment="1">
      <alignment horizontal="center" vertical="top"/>
    </xf>
    <xf numFmtId="167" fontId="246" fillId="11" borderId="151" xfId="19" applyNumberFormat="1" applyFont="1" applyFill="1" applyBorder="1" applyAlignment="1">
      <alignment vertical="top"/>
    </xf>
    <xf numFmtId="167" fontId="83" fillId="11" borderId="151" xfId="19" applyNumberFormat="1" applyFont="1" applyFill="1" applyBorder="1" applyAlignment="1">
      <alignment vertical="top"/>
    </xf>
    <xf numFmtId="167" fontId="89" fillId="14" borderId="151" xfId="19" applyNumberFormat="1" applyFont="1" applyFill="1" applyBorder="1" applyAlignment="1">
      <alignment vertical="top"/>
    </xf>
    <xf numFmtId="167" fontId="86" fillId="11" borderId="151" xfId="19" applyNumberFormat="1" applyFont="1" applyFill="1" applyBorder="1" applyAlignment="1">
      <alignment vertical="top"/>
    </xf>
    <xf numFmtId="0" fontId="72" fillId="3" borderId="151" xfId="0" applyFont="1" applyFill="1" applyBorder="1"/>
    <xf numFmtId="49" fontId="72" fillId="3" borderId="151" xfId="0" applyNumberFormat="1" applyFont="1" applyFill="1" applyBorder="1"/>
    <xf numFmtId="0" fontId="95" fillId="3" borderId="151" xfId="0" applyFont="1" applyFill="1" applyBorder="1"/>
    <xf numFmtId="0" fontId="72" fillId="3" borderId="151" xfId="0" applyFont="1" applyFill="1" applyBorder="1" applyAlignment="1">
      <alignment horizontal="center"/>
    </xf>
    <xf numFmtId="0" fontId="72" fillId="3" borderId="151" xfId="0" applyFont="1" applyFill="1" applyBorder="1" applyAlignment="1">
      <alignment horizontal="left" vertical="center" wrapText="1"/>
    </xf>
    <xf numFmtId="0" fontId="83" fillId="17" borderId="147" xfId="0" applyFont="1" applyFill="1" applyBorder="1" applyAlignment="1">
      <alignment vertical="center" wrapText="1"/>
    </xf>
    <xf numFmtId="167" fontId="245" fillId="15" borderId="151" xfId="19" applyNumberFormat="1" applyFont="1" applyFill="1" applyBorder="1" applyProtection="1">
      <protection locked="0"/>
    </xf>
    <xf numFmtId="167" fontId="83" fillId="11" borderId="151" xfId="19" applyNumberFormat="1" applyFont="1" applyFill="1" applyBorder="1" applyAlignment="1" applyProtection="1">
      <alignment horizontal="right"/>
      <protection locked="0"/>
    </xf>
    <xf numFmtId="167" fontId="246" fillId="11" borderId="151" xfId="19" applyNumberFormat="1" applyFont="1" applyFill="1" applyBorder="1" applyAlignment="1" applyProtection="1">
      <alignment vertical="center"/>
      <protection locked="0"/>
    </xf>
    <xf numFmtId="0" fontId="83" fillId="11" borderId="147" xfId="0" applyFont="1" applyFill="1" applyBorder="1" applyAlignment="1">
      <alignment vertical="center" wrapText="1"/>
    </xf>
    <xf numFmtId="0" fontId="266" fillId="11" borderId="0" xfId="0" applyFont="1" applyFill="1"/>
    <xf numFmtId="0" fontId="266" fillId="11" borderId="0" xfId="0" applyFont="1" applyFill="1" applyAlignment="1">
      <alignment wrapText="1"/>
    </xf>
    <xf numFmtId="0" fontId="83" fillId="11" borderId="147" xfId="0" applyFont="1" applyFill="1" applyBorder="1" applyAlignment="1">
      <alignment horizontal="left" vertical="center" wrapText="1"/>
    </xf>
    <xf numFmtId="9" fontId="83" fillId="11" borderId="0" xfId="2" applyFont="1" applyFill="1"/>
    <xf numFmtId="0" fontId="86" fillId="11" borderId="145" xfId="0" applyFont="1" applyFill="1" applyBorder="1" applyAlignment="1">
      <alignment horizontal="left" vertical="center" wrapText="1"/>
    </xf>
    <xf numFmtId="167" fontId="72" fillId="0" borderId="54" xfId="1" applyNumberFormat="1" applyFont="1" applyBorder="1"/>
    <xf numFmtId="167" fontId="293" fillId="15" borderId="51" xfId="19" applyNumberFormat="1" applyFont="1" applyFill="1" applyBorder="1" applyProtection="1">
      <protection locked="0"/>
    </xf>
    <xf numFmtId="167" fontId="147" fillId="11" borderId="51" xfId="19" applyNumberFormat="1" applyFont="1" applyFill="1" applyBorder="1" applyProtection="1">
      <protection locked="0"/>
    </xf>
    <xf numFmtId="167" fontId="147" fillId="11" borderId="87" xfId="19" applyNumberFormat="1" applyFont="1" applyFill="1" applyBorder="1" applyProtection="1">
      <protection locked="0"/>
    </xf>
    <xf numFmtId="167" fontId="147" fillId="11" borderId="61" xfId="1" applyNumberFormat="1" applyFont="1" applyFill="1" applyBorder="1" applyProtection="1">
      <protection locked="0"/>
    </xf>
    <xf numFmtId="167" fontId="147" fillId="11" borderId="54" xfId="19" applyNumberFormat="1" applyFont="1" applyFill="1" applyBorder="1" applyProtection="1">
      <protection locked="0"/>
    </xf>
    <xf numFmtId="167" fontId="147" fillId="11" borderId="123" xfId="19" applyNumberFormat="1" applyFont="1" applyFill="1" applyBorder="1" applyProtection="1">
      <protection locked="0"/>
    </xf>
    <xf numFmtId="167" fontId="147" fillId="11" borderId="115" xfId="19" applyNumberFormat="1" applyFont="1" applyFill="1" applyBorder="1" applyProtection="1">
      <protection locked="0"/>
    </xf>
    <xf numFmtId="167" fontId="147" fillId="11" borderId="123" xfId="1" applyNumberFormat="1" applyFont="1" applyFill="1" applyBorder="1" applyProtection="1">
      <protection locked="0"/>
    </xf>
    <xf numFmtId="167" fontId="147" fillId="11" borderId="106" xfId="19" applyNumberFormat="1" applyFont="1" applyFill="1" applyBorder="1" applyProtection="1">
      <protection locked="0"/>
    </xf>
    <xf numFmtId="167" fontId="147" fillId="11" borderId="70" xfId="19" applyNumberFormat="1" applyFont="1" applyFill="1" applyBorder="1" applyProtection="1">
      <protection locked="0"/>
    </xf>
    <xf numFmtId="167" fontId="147" fillId="11" borderId="147" xfId="19" applyNumberFormat="1" applyFont="1" applyFill="1" applyBorder="1" applyProtection="1">
      <protection locked="0"/>
    </xf>
    <xf numFmtId="167" fontId="147" fillId="11" borderId="145" xfId="19" applyNumberFormat="1" applyFont="1" applyFill="1" applyBorder="1" applyProtection="1">
      <protection locked="0"/>
    </xf>
    <xf numFmtId="167" fontId="147" fillId="11" borderId="60" xfId="19" applyNumberFormat="1" applyFont="1" applyFill="1" applyBorder="1" applyProtection="1">
      <protection locked="0"/>
    </xf>
    <xf numFmtId="167" fontId="147" fillId="11" borderId="66" xfId="19" applyNumberFormat="1" applyFont="1" applyFill="1" applyBorder="1" applyProtection="1">
      <protection locked="0"/>
    </xf>
    <xf numFmtId="167" fontId="294" fillId="0" borderId="151" xfId="19" applyNumberFormat="1" applyFont="1" applyFill="1" applyBorder="1" applyAlignment="1" applyProtection="1">
      <alignment horizontal="center" vertical="center" wrapText="1"/>
    </xf>
    <xf numFmtId="167" fontId="292" fillId="15" borderId="51" xfId="19" applyNumberFormat="1" applyFont="1" applyFill="1" applyBorder="1" applyProtection="1">
      <protection locked="0"/>
    </xf>
    <xf numFmtId="167" fontId="246" fillId="11" borderId="51" xfId="19" applyNumberFormat="1" applyFont="1" applyFill="1" applyBorder="1" applyProtection="1">
      <protection locked="0"/>
    </xf>
    <xf numFmtId="167" fontId="246" fillId="11" borderId="87" xfId="19" applyNumberFormat="1" applyFont="1" applyFill="1" applyBorder="1" applyProtection="1">
      <protection locked="0"/>
    </xf>
    <xf numFmtId="167" fontId="292" fillId="15" borderId="70" xfId="19" applyNumberFormat="1" applyFont="1" applyFill="1" applyBorder="1" applyProtection="1">
      <protection locked="0"/>
    </xf>
    <xf numFmtId="167" fontId="292" fillId="15" borderId="13" xfId="1" applyNumberFormat="1" applyFont="1" applyFill="1" applyBorder="1" applyProtection="1">
      <protection locked="0"/>
    </xf>
    <xf numFmtId="167" fontId="246" fillId="11" borderId="61" xfId="1" applyNumberFormat="1" applyFont="1" applyFill="1" applyBorder="1" applyProtection="1">
      <protection locked="0"/>
    </xf>
    <xf numFmtId="167" fontId="246" fillId="11" borderId="54" xfId="19" applyNumberFormat="1" applyFont="1" applyFill="1" applyBorder="1" applyProtection="1">
      <protection locked="0"/>
    </xf>
    <xf numFmtId="167" fontId="292" fillId="15" borderId="115" xfId="19" applyNumberFormat="1" applyFont="1" applyFill="1" applyBorder="1" applyProtection="1">
      <protection locked="0"/>
    </xf>
    <xf numFmtId="167" fontId="246" fillId="11" borderId="123" xfId="19" applyNumberFormat="1" applyFont="1" applyFill="1" applyBorder="1" applyProtection="1">
      <protection locked="0"/>
    </xf>
    <xf numFmtId="167" fontId="246" fillId="11" borderId="115" xfId="19" applyNumberFormat="1" applyFont="1" applyFill="1" applyBorder="1" applyProtection="1">
      <protection locked="0"/>
    </xf>
    <xf numFmtId="167" fontId="246" fillId="11" borderId="123" xfId="1" applyNumberFormat="1" applyFont="1" applyFill="1" applyBorder="1" applyProtection="1">
      <protection locked="0"/>
    </xf>
    <xf numFmtId="167" fontId="246" fillId="11" borderId="106" xfId="19" applyNumberFormat="1" applyFont="1" applyFill="1" applyBorder="1" applyProtection="1">
      <protection locked="0"/>
    </xf>
    <xf numFmtId="167" fontId="246" fillId="11" borderId="60" xfId="1" applyNumberFormat="1" applyFont="1" applyFill="1" applyBorder="1" applyProtection="1">
      <protection locked="0"/>
    </xf>
    <xf numFmtId="167" fontId="246" fillId="11" borderId="70" xfId="19" applyNumberFormat="1" applyFont="1" applyFill="1" applyBorder="1" applyProtection="1">
      <protection locked="0"/>
    </xf>
    <xf numFmtId="167" fontId="246" fillId="11" borderId="147" xfId="19" applyNumberFormat="1" applyFont="1" applyFill="1" applyBorder="1" applyProtection="1">
      <protection locked="0"/>
    </xf>
    <xf numFmtId="167" fontId="246" fillId="11" borderId="145" xfId="19" applyNumberFormat="1" applyFont="1" applyFill="1" applyBorder="1" applyProtection="1">
      <protection locked="0"/>
    </xf>
    <xf numFmtId="167" fontId="246" fillId="11" borderId="60" xfId="19" applyNumberFormat="1" applyFont="1" applyFill="1" applyBorder="1" applyProtection="1">
      <protection locked="0"/>
    </xf>
    <xf numFmtId="174" fontId="246" fillId="11" borderId="60" xfId="19" applyNumberFormat="1" applyFont="1" applyFill="1" applyBorder="1" applyProtection="1">
      <protection locked="0"/>
    </xf>
    <xf numFmtId="167" fontId="246" fillId="11" borderId="66" xfId="19" applyNumberFormat="1" applyFont="1" applyFill="1" applyBorder="1" applyProtection="1">
      <protection locked="0"/>
    </xf>
    <xf numFmtId="167" fontId="267" fillId="0" borderId="0" xfId="0" applyNumberFormat="1" applyFont="1"/>
    <xf numFmtId="0" fontId="267" fillId="0" borderId="0" xfId="0" applyFont="1"/>
    <xf numFmtId="0" fontId="253" fillId="36" borderId="46" xfId="0" applyFont="1" applyFill="1" applyBorder="1" applyAlignment="1">
      <alignment horizontal="right" vertical="center" wrapText="1"/>
    </xf>
    <xf numFmtId="0" fontId="84" fillId="36" borderId="46" xfId="0" applyFont="1" applyFill="1" applyBorder="1" applyAlignment="1">
      <alignment horizontal="left" vertical="center" wrapText="1"/>
    </xf>
    <xf numFmtId="179" fontId="83" fillId="36" borderId="46" xfId="0" applyNumberFormat="1" applyFont="1" applyFill="1" applyBorder="1"/>
    <xf numFmtId="167" fontId="72" fillId="0" borderId="0" xfId="22" applyNumberFormat="1" applyFont="1" applyFill="1" applyBorder="1"/>
    <xf numFmtId="167" fontId="83" fillId="0" borderId="0" xfId="22" applyNumberFormat="1" applyFont="1" applyFill="1" applyBorder="1"/>
    <xf numFmtId="0" fontId="83" fillId="0" borderId="0" xfId="0" applyFont="1" applyAlignment="1">
      <alignment wrapText="1"/>
    </xf>
    <xf numFmtId="167" fontId="83" fillId="0" borderId="0" xfId="19" applyNumberFormat="1" applyFont="1" applyFill="1" applyBorder="1"/>
    <xf numFmtId="167" fontId="86" fillId="0" borderId="0" xfId="22" applyNumberFormat="1" applyFont="1" applyFill="1" applyBorder="1"/>
    <xf numFmtId="0" fontId="83" fillId="0" borderId="0" xfId="0" applyFont="1" applyAlignment="1">
      <alignment horizontal="right" vertical="center" wrapText="1"/>
    </xf>
    <xf numFmtId="0" fontId="86" fillId="11" borderId="147" xfId="0" applyFont="1" applyFill="1" applyBorder="1"/>
    <xf numFmtId="0" fontId="83" fillId="0" borderId="0" xfId="0" applyFont="1" applyAlignment="1">
      <alignment horizontal="right"/>
    </xf>
    <xf numFmtId="3" fontId="55" fillId="5" borderId="12" xfId="43" applyNumberFormat="1" applyFont="1" applyFill="1" applyBorder="1"/>
    <xf numFmtId="3" fontId="49" fillId="4" borderId="12" xfId="43" applyNumberFormat="1" applyFont="1" applyFill="1" applyBorder="1"/>
    <xf numFmtId="3" fontId="49" fillId="4" borderId="124" xfId="43" applyNumberFormat="1" applyFont="1" applyFill="1" applyBorder="1"/>
    <xf numFmtId="3" fontId="49" fillId="0" borderId="124" xfId="43" applyNumberFormat="1" applyFont="1" applyBorder="1"/>
    <xf numFmtId="3" fontId="148" fillId="6" borderId="122" xfId="3" applyNumberFormat="1" applyFont="1" applyFill="1" applyBorder="1"/>
    <xf numFmtId="3" fontId="49" fillId="6" borderId="12" xfId="3" applyNumberFormat="1" applyFont="1" applyFill="1" applyBorder="1"/>
    <xf numFmtId="3" fontId="55" fillId="0" borderId="0" xfId="3" applyNumberFormat="1" applyFont="1"/>
    <xf numFmtId="3" fontId="49" fillId="0" borderId="0" xfId="3" applyNumberFormat="1" applyFont="1"/>
    <xf numFmtId="0" fontId="271" fillId="0" borderId="0" xfId="0" applyFont="1"/>
    <xf numFmtId="167" fontId="119" fillId="0" borderId="0" xfId="0" applyNumberFormat="1" applyFont="1"/>
    <xf numFmtId="167" fontId="130" fillId="0" borderId="0" xfId="0" applyNumberFormat="1" applyFont="1"/>
    <xf numFmtId="167" fontId="214" fillId="0" borderId="0" xfId="0" applyNumberFormat="1" applyFont="1"/>
    <xf numFmtId="167" fontId="217" fillId="0" borderId="0" xfId="0" applyNumberFormat="1" applyFont="1"/>
    <xf numFmtId="0" fontId="271" fillId="0" borderId="0" xfId="0" applyFont="1" applyAlignment="1">
      <alignment wrapText="1"/>
    </xf>
    <xf numFmtId="0" fontId="190" fillId="0" borderId="0" xfId="0" applyFont="1" applyAlignment="1">
      <alignment wrapText="1"/>
    </xf>
    <xf numFmtId="167" fontId="83" fillId="15" borderId="151" xfId="19" applyNumberFormat="1" applyFont="1" applyFill="1" applyBorder="1" applyProtection="1">
      <protection locked="0"/>
    </xf>
    <xf numFmtId="43" fontId="295" fillId="0" borderId="0" xfId="1" applyFont="1" applyAlignment="1">
      <alignment wrapText="1"/>
    </xf>
    <xf numFmtId="0" fontId="87" fillId="11" borderId="173" xfId="0" applyFont="1" applyFill="1" applyBorder="1" applyAlignment="1">
      <alignment horizontal="left" vertical="center" wrapText="1"/>
    </xf>
    <xf numFmtId="167" fontId="83" fillId="11" borderId="99" xfId="19" applyNumberFormat="1" applyFont="1" applyFill="1" applyBorder="1" applyAlignment="1" applyProtection="1">
      <alignment wrapText="1"/>
      <protection locked="0"/>
    </xf>
    <xf numFmtId="0" fontId="87" fillId="23" borderId="173" xfId="0" applyFont="1" applyFill="1" applyBorder="1" applyAlignment="1">
      <alignment horizontal="left" vertical="center" wrapText="1"/>
    </xf>
    <xf numFmtId="0" fontId="83" fillId="11" borderId="173" xfId="0" applyFont="1" applyFill="1" applyBorder="1"/>
    <xf numFmtId="167" fontId="83" fillId="11" borderId="146" xfId="19" applyNumberFormat="1" applyFont="1" applyFill="1" applyBorder="1" applyAlignment="1" applyProtection="1">
      <alignment wrapText="1"/>
      <protection locked="0"/>
    </xf>
    <xf numFmtId="0" fontId="89" fillId="11" borderId="173" xfId="0" applyFont="1" applyFill="1" applyBorder="1"/>
    <xf numFmtId="0" fontId="83" fillId="11" borderId="173" xfId="0" applyFont="1" applyFill="1" applyBorder="1" applyAlignment="1">
      <alignment horizontal="left" vertical="center" wrapText="1"/>
    </xf>
    <xf numFmtId="167" fontId="246" fillId="11" borderId="173" xfId="19" applyNumberFormat="1" applyFont="1" applyFill="1" applyBorder="1" applyProtection="1">
      <protection locked="0"/>
    </xf>
    <xf numFmtId="167" fontId="83" fillId="11" borderId="173" xfId="19" applyNumberFormat="1" applyFont="1" applyFill="1" applyBorder="1" applyProtection="1">
      <protection locked="0"/>
    </xf>
    <xf numFmtId="167" fontId="86" fillId="14" borderId="173" xfId="19" applyNumberFormat="1" applyFont="1" applyFill="1" applyBorder="1" applyProtection="1">
      <protection locked="0"/>
    </xf>
    <xf numFmtId="167" fontId="86" fillId="11" borderId="173" xfId="19" applyNumberFormat="1" applyFont="1" applyFill="1" applyBorder="1" applyProtection="1">
      <protection locked="0"/>
    </xf>
    <xf numFmtId="167" fontId="83" fillId="11" borderId="173" xfId="22" applyNumberFormat="1" applyFont="1" applyFill="1" applyBorder="1"/>
    <xf numFmtId="0" fontId="84" fillId="36" borderId="151" xfId="0" applyFont="1" applyFill="1" applyBorder="1" applyAlignment="1">
      <alignment horizontal="left" wrapText="1"/>
    </xf>
    <xf numFmtId="167" fontId="83" fillId="11" borderId="173" xfId="19" applyNumberFormat="1" applyFont="1" applyFill="1" applyBorder="1"/>
    <xf numFmtId="167" fontId="76" fillId="15" borderId="173" xfId="19" applyNumberFormat="1" applyFont="1" applyFill="1" applyBorder="1"/>
    <xf numFmtId="167" fontId="104" fillId="15" borderId="173" xfId="19" applyNumberFormat="1" applyFont="1" applyFill="1" applyBorder="1"/>
    <xf numFmtId="167" fontId="86" fillId="11" borderId="173" xfId="19" applyNumberFormat="1" applyFont="1" applyFill="1" applyBorder="1"/>
    <xf numFmtId="167" fontId="76" fillId="15" borderId="173" xfId="1" applyNumberFormat="1" applyFont="1" applyFill="1" applyBorder="1" applyProtection="1">
      <protection locked="0"/>
    </xf>
    <xf numFmtId="167" fontId="72" fillId="15" borderId="173" xfId="1" applyNumberFormat="1" applyFont="1" applyFill="1" applyBorder="1" applyProtection="1">
      <protection locked="0"/>
    </xf>
    <xf numFmtId="167" fontId="83" fillId="11" borderId="173" xfId="1" applyNumberFormat="1" applyFont="1" applyFill="1" applyBorder="1" applyProtection="1">
      <protection locked="0"/>
    </xf>
    <xf numFmtId="167" fontId="72" fillId="15" borderId="173" xfId="19" applyNumberFormat="1" applyFont="1" applyFill="1" applyBorder="1" applyProtection="1">
      <protection locked="0"/>
    </xf>
    <xf numFmtId="167" fontId="83" fillId="11" borderId="173" xfId="1" applyNumberFormat="1" applyFont="1" applyFill="1" applyBorder="1"/>
    <xf numFmtId="167" fontId="76" fillId="15" borderId="173" xfId="19" applyNumberFormat="1" applyFont="1" applyFill="1" applyBorder="1" applyProtection="1">
      <protection locked="0"/>
    </xf>
    <xf numFmtId="43" fontId="83" fillId="11" borderId="173" xfId="19" applyFont="1" applyFill="1" applyBorder="1"/>
    <xf numFmtId="43" fontId="86" fillId="11" borderId="173" xfId="19" applyFont="1" applyFill="1" applyBorder="1"/>
    <xf numFmtId="0" fontId="92" fillId="23" borderId="173" xfId="0" applyFont="1" applyFill="1" applyBorder="1" applyAlignment="1">
      <alignment horizontal="left" vertical="center" wrapText="1"/>
    </xf>
    <xf numFmtId="0" fontId="92" fillId="11" borderId="173" xfId="0" applyFont="1" applyFill="1" applyBorder="1" applyAlignment="1">
      <alignment horizontal="left" vertical="center" wrapText="1"/>
    </xf>
    <xf numFmtId="167" fontId="72" fillId="15" borderId="173" xfId="19" applyNumberFormat="1" applyFont="1" applyFill="1" applyBorder="1"/>
    <xf numFmtId="167" fontId="86" fillId="11" borderId="173" xfId="19" applyNumberFormat="1" applyFont="1" applyFill="1" applyBorder="1" applyAlignment="1" applyProtection="1">
      <alignment horizontal="left"/>
      <protection locked="0"/>
    </xf>
    <xf numFmtId="167" fontId="83" fillId="11" borderId="173" xfId="19" applyNumberFormat="1" applyFont="1" applyFill="1" applyBorder="1" applyAlignment="1" applyProtection="1">
      <alignment horizontal="left"/>
      <protection locked="0"/>
    </xf>
    <xf numFmtId="167" fontId="86" fillId="11" borderId="173" xfId="19" applyNumberFormat="1" applyFont="1" applyFill="1" applyBorder="1" applyAlignment="1" applyProtection="1">
      <alignment vertical="top"/>
      <protection locked="0"/>
    </xf>
    <xf numFmtId="167" fontId="83" fillId="12" borderId="173" xfId="19" applyNumberFormat="1" applyFont="1" applyFill="1" applyBorder="1" applyAlignment="1" applyProtection="1">
      <alignment horizontal="left"/>
      <protection locked="0"/>
    </xf>
    <xf numFmtId="167" fontId="111" fillId="15" borderId="173" xfId="19" applyNumberFormat="1" applyFont="1" applyFill="1" applyBorder="1"/>
    <xf numFmtId="167" fontId="111" fillId="11" borderId="173" xfId="19" applyNumberFormat="1" applyFont="1" applyFill="1" applyBorder="1" applyProtection="1">
      <protection locked="0"/>
    </xf>
    <xf numFmtId="167" fontId="104" fillId="11" borderId="173" xfId="19" applyNumberFormat="1" applyFont="1" applyFill="1" applyBorder="1" applyProtection="1">
      <protection locked="0"/>
    </xf>
    <xf numFmtId="167" fontId="72" fillId="15" borderId="173" xfId="22" applyNumberFormat="1" applyFont="1" applyFill="1" applyBorder="1"/>
    <xf numFmtId="167" fontId="76" fillId="15" borderId="173" xfId="22" applyNumberFormat="1" applyFont="1" applyFill="1" applyBorder="1"/>
    <xf numFmtId="167" fontId="86" fillId="11" borderId="173" xfId="22" applyNumberFormat="1" applyFont="1" applyFill="1" applyBorder="1"/>
    <xf numFmtId="167" fontId="83" fillId="11" borderId="173" xfId="19" applyNumberFormat="1" applyFont="1" applyFill="1" applyBorder="1" applyAlignment="1">
      <alignment vertical="top"/>
    </xf>
    <xf numFmtId="167" fontId="72" fillId="14" borderId="170" xfId="19" applyNumberFormat="1" applyFont="1" applyFill="1" applyBorder="1" applyProtection="1">
      <protection locked="0"/>
    </xf>
    <xf numFmtId="167" fontId="72" fillId="14" borderId="170" xfId="1" applyNumberFormat="1" applyFont="1" applyFill="1" applyBorder="1" applyProtection="1">
      <protection locked="0"/>
    </xf>
    <xf numFmtId="167" fontId="86" fillId="14" borderId="170" xfId="1" applyNumberFormat="1" applyFont="1" applyFill="1" applyBorder="1" applyProtection="1">
      <protection locked="0"/>
    </xf>
    <xf numFmtId="167" fontId="72" fillId="14" borderId="170" xfId="19" applyNumberFormat="1" applyFont="1" applyFill="1" applyBorder="1"/>
    <xf numFmtId="167" fontId="89" fillId="14" borderId="170" xfId="19" applyNumberFormat="1" applyFont="1" applyFill="1" applyBorder="1" applyProtection="1">
      <protection locked="0"/>
    </xf>
    <xf numFmtId="167" fontId="85" fillId="14" borderId="170" xfId="19" applyNumberFormat="1" applyFont="1" applyFill="1" applyBorder="1" applyProtection="1">
      <protection locked="0"/>
    </xf>
    <xf numFmtId="167" fontId="86" fillId="14" borderId="170" xfId="19" applyNumberFormat="1" applyFont="1" applyFill="1" applyBorder="1" applyProtection="1">
      <protection locked="0"/>
    </xf>
    <xf numFmtId="167" fontId="89" fillId="14" borderId="170" xfId="19" applyNumberFormat="1" applyFont="1" applyFill="1" applyBorder="1"/>
    <xf numFmtId="167" fontId="84" fillId="14" borderId="170" xfId="19" applyNumberFormat="1" applyFont="1" applyFill="1" applyBorder="1" applyProtection="1">
      <protection locked="0"/>
    </xf>
    <xf numFmtId="167" fontId="89" fillId="14" borderId="170" xfId="19" applyNumberFormat="1" applyFont="1" applyFill="1" applyBorder="1" applyAlignment="1">
      <alignment vertical="top"/>
    </xf>
    <xf numFmtId="167" fontId="83" fillId="14" borderId="170" xfId="19" applyNumberFormat="1" applyFont="1" applyFill="1" applyBorder="1" applyProtection="1">
      <protection locked="0"/>
    </xf>
    <xf numFmtId="167" fontId="83" fillId="14" borderId="170" xfId="19" applyNumberFormat="1" applyFont="1" applyFill="1" applyBorder="1"/>
    <xf numFmtId="167" fontId="70" fillId="15" borderId="173" xfId="19" applyNumberFormat="1" applyFont="1" applyFill="1" applyBorder="1" applyProtection="1">
      <protection locked="0"/>
    </xf>
    <xf numFmtId="167" fontId="87" fillId="11" borderId="173" xfId="19" applyNumberFormat="1" applyFont="1" applyFill="1" applyBorder="1" applyProtection="1">
      <protection locked="0"/>
    </xf>
    <xf numFmtId="167" fontId="87" fillId="11" borderId="173" xfId="1" applyNumberFormat="1" applyFont="1" applyFill="1" applyBorder="1" applyProtection="1">
      <protection locked="0"/>
    </xf>
    <xf numFmtId="167" fontId="87" fillId="11" borderId="173" xfId="19" applyNumberFormat="1" applyFont="1" applyFill="1" applyBorder="1"/>
    <xf numFmtId="167" fontId="70" fillId="15" borderId="173" xfId="19" applyNumberFormat="1" applyFont="1" applyFill="1" applyBorder="1"/>
    <xf numFmtId="167" fontId="83" fillId="11" borderId="173" xfId="19" applyNumberFormat="1" applyFont="1" applyFill="1" applyBorder="1" applyAlignment="1" applyProtection="1">
      <alignment vertical="top"/>
      <protection locked="0"/>
    </xf>
    <xf numFmtId="167" fontId="87" fillId="11" borderId="173" xfId="19" applyNumberFormat="1" applyFont="1" applyFill="1" applyBorder="1" applyAlignment="1" applyProtection="1">
      <alignment horizontal="center" wrapText="1"/>
      <protection locked="0"/>
    </xf>
    <xf numFmtId="167" fontId="70" fillId="15" borderId="173" xfId="22" applyNumberFormat="1" applyFont="1" applyFill="1" applyBorder="1"/>
    <xf numFmtId="167" fontId="87" fillId="11" borderId="173" xfId="22" applyNumberFormat="1" applyFont="1" applyFill="1" applyBorder="1"/>
    <xf numFmtId="167" fontId="87" fillId="11" borderId="173" xfId="19" applyNumberFormat="1" applyFont="1" applyFill="1" applyBorder="1" applyAlignment="1">
      <alignment vertical="top"/>
    </xf>
    <xf numFmtId="167" fontId="72" fillId="9" borderId="173" xfId="25" applyNumberFormat="1" applyFont="1" applyFill="1" applyBorder="1"/>
    <xf numFmtId="0" fontId="87" fillId="11" borderId="173" xfId="0" applyFont="1" applyFill="1" applyBorder="1" applyAlignment="1">
      <alignment horizontal="right" vertical="center" wrapText="1"/>
    </xf>
    <xf numFmtId="167" fontId="72" fillId="14" borderId="173" xfId="19" applyNumberFormat="1" applyFont="1" applyFill="1" applyBorder="1" applyProtection="1">
      <protection locked="0"/>
    </xf>
    <xf numFmtId="167" fontId="70" fillId="15" borderId="173" xfId="1" applyNumberFormat="1" applyFont="1" applyFill="1" applyBorder="1" applyProtection="1">
      <protection locked="0"/>
    </xf>
    <xf numFmtId="167" fontId="72" fillId="14" borderId="173" xfId="1" applyNumberFormat="1" applyFont="1" applyFill="1" applyBorder="1" applyProtection="1">
      <protection locked="0"/>
    </xf>
    <xf numFmtId="167" fontId="86" fillId="14" borderId="173" xfId="1" applyNumberFormat="1" applyFont="1" applyFill="1" applyBorder="1" applyProtection="1">
      <protection locked="0"/>
    </xf>
    <xf numFmtId="167" fontId="149" fillId="11" borderId="173" xfId="19" applyNumberFormat="1" applyFont="1" applyFill="1" applyBorder="1" applyProtection="1">
      <protection locked="0"/>
    </xf>
    <xf numFmtId="0" fontId="86" fillId="11" borderId="173" xfId="0" applyFont="1" applyFill="1" applyBorder="1"/>
    <xf numFmtId="167" fontId="72" fillId="15" borderId="146" xfId="1" applyNumberFormat="1" applyFont="1" applyFill="1" applyBorder="1" applyProtection="1">
      <protection locked="0"/>
    </xf>
    <xf numFmtId="167" fontId="149" fillId="11" borderId="173" xfId="19" applyNumberFormat="1" applyFont="1" applyFill="1" applyBorder="1"/>
    <xf numFmtId="167" fontId="207" fillId="11" borderId="173" xfId="19" applyNumberFormat="1" applyFont="1" applyFill="1" applyBorder="1"/>
    <xf numFmtId="167" fontId="85" fillId="14" borderId="173" xfId="19" applyNumberFormat="1" applyFont="1" applyFill="1" applyBorder="1"/>
    <xf numFmtId="167" fontId="83" fillId="11" borderId="173" xfId="22" applyNumberFormat="1" applyFont="1" applyFill="1" applyBorder="1" applyProtection="1">
      <protection locked="0"/>
    </xf>
    <xf numFmtId="167" fontId="87" fillId="11" borderId="173" xfId="22" applyNumberFormat="1" applyFont="1" applyFill="1" applyBorder="1" applyProtection="1">
      <protection locked="0"/>
    </xf>
    <xf numFmtId="167" fontId="86" fillId="14" borderId="173" xfId="22" applyNumberFormat="1" applyFont="1" applyFill="1" applyBorder="1" applyProtection="1">
      <protection locked="0"/>
    </xf>
    <xf numFmtId="167" fontId="86" fillId="11" borderId="173" xfId="22" applyNumberFormat="1" applyFont="1" applyFill="1" applyBorder="1" applyProtection="1">
      <protection locked="0"/>
    </xf>
    <xf numFmtId="167" fontId="73" fillId="11" borderId="173" xfId="19" applyNumberFormat="1" applyFont="1" applyFill="1" applyBorder="1" applyProtection="1">
      <protection locked="0"/>
    </xf>
    <xf numFmtId="167" fontId="70" fillId="11" borderId="173" xfId="19" applyNumberFormat="1" applyFont="1" applyFill="1" applyBorder="1" applyProtection="1">
      <protection locked="0"/>
    </xf>
    <xf numFmtId="167" fontId="76" fillId="14" borderId="173" xfId="19" applyNumberFormat="1" applyFont="1" applyFill="1" applyBorder="1" applyProtection="1">
      <protection locked="0"/>
    </xf>
    <xf numFmtId="167" fontId="72" fillId="11" borderId="173" xfId="19" applyNumberFormat="1" applyFont="1" applyFill="1" applyBorder="1" applyAlignment="1" applyProtection="1">
      <alignment wrapText="1"/>
      <protection locked="0"/>
    </xf>
    <xf numFmtId="167" fontId="90" fillId="11" borderId="173" xfId="22" applyNumberFormat="1" applyFont="1" applyFill="1" applyBorder="1" applyProtection="1">
      <protection locked="0"/>
    </xf>
    <xf numFmtId="167" fontId="73" fillId="15" borderId="173" xfId="19" applyNumberFormat="1" applyFont="1" applyFill="1" applyBorder="1" applyProtection="1">
      <protection locked="0"/>
    </xf>
    <xf numFmtId="167" fontId="87" fillId="11" borderId="173" xfId="22" applyNumberFormat="1" applyFont="1" applyFill="1" applyBorder="1" applyAlignment="1" applyProtection="1">
      <alignment vertical="center"/>
      <protection locked="0"/>
    </xf>
    <xf numFmtId="167" fontId="86" fillId="11" borderId="173" xfId="22" applyNumberFormat="1" applyFont="1" applyFill="1" applyBorder="1" applyAlignment="1" applyProtection="1">
      <alignment horizontal="center" vertical="center"/>
      <protection locked="0"/>
    </xf>
    <xf numFmtId="167" fontId="87" fillId="11" borderId="173" xfId="22" applyNumberFormat="1" applyFont="1" applyFill="1" applyBorder="1" applyAlignment="1" applyProtection="1">
      <alignment horizontal="center"/>
      <protection locked="0"/>
    </xf>
    <xf numFmtId="167" fontId="87" fillId="11" borderId="173" xfId="19" applyNumberFormat="1" applyFont="1" applyFill="1" applyBorder="1" applyAlignment="1" applyProtection="1">
      <alignment vertical="center"/>
      <protection locked="0"/>
    </xf>
    <xf numFmtId="9" fontId="86" fillId="14" borderId="173" xfId="31" applyFont="1" applyFill="1" applyBorder="1"/>
    <xf numFmtId="167" fontId="72" fillId="11" borderId="173" xfId="19" applyNumberFormat="1" applyFont="1" applyFill="1" applyBorder="1" applyProtection="1">
      <protection locked="0"/>
    </xf>
    <xf numFmtId="0" fontId="64" fillId="6" borderId="0" xfId="240" applyFont="1" applyFill="1"/>
    <xf numFmtId="0" fontId="170" fillId="6" borderId="0" xfId="240" applyFont="1" applyFill="1"/>
    <xf numFmtId="0" fontId="124" fillId="6" borderId="0" xfId="240" applyFont="1" applyFill="1" applyAlignment="1">
      <alignment horizontal="center"/>
    </xf>
    <xf numFmtId="0" fontId="106" fillId="24" borderId="23" xfId="240" applyFont="1" applyFill="1" applyBorder="1" applyAlignment="1">
      <alignment horizontal="center" vertical="center"/>
    </xf>
    <xf numFmtId="0" fontId="106" fillId="24" borderId="23" xfId="240" applyFont="1" applyFill="1" applyBorder="1" applyAlignment="1">
      <alignment horizontal="center" vertical="center" wrapText="1"/>
    </xf>
    <xf numFmtId="0" fontId="108" fillId="6" borderId="165" xfId="241" applyFont="1" applyFill="1" applyBorder="1"/>
    <xf numFmtId="4" fontId="107" fillId="6" borderId="173" xfId="241" applyNumberFormat="1" applyFont="1" applyFill="1" applyBorder="1"/>
    <xf numFmtId="4" fontId="107" fillId="6" borderId="173" xfId="240" applyNumberFormat="1" applyFont="1" applyFill="1" applyBorder="1"/>
    <xf numFmtId="4" fontId="107" fillId="6" borderId="147" xfId="240" applyNumberFormat="1" applyFont="1" applyFill="1" applyBorder="1"/>
    <xf numFmtId="4" fontId="106" fillId="6" borderId="166" xfId="240" applyNumberFormat="1" applyFont="1" applyFill="1" applyBorder="1"/>
    <xf numFmtId="0" fontId="107" fillId="6" borderId="139" xfId="241" applyFont="1" applyFill="1" applyBorder="1" applyAlignment="1">
      <alignment wrapText="1"/>
    </xf>
    <xf numFmtId="4" fontId="107" fillId="6" borderId="170" xfId="241" applyNumberFormat="1" applyFont="1" applyFill="1" applyBorder="1"/>
    <xf numFmtId="4" fontId="108" fillId="6" borderId="170" xfId="240" applyNumberFormat="1" applyFont="1" applyFill="1" applyBorder="1"/>
    <xf numFmtId="4" fontId="107" fillId="6" borderId="170" xfId="240" applyNumberFormat="1" applyFont="1" applyFill="1" applyBorder="1"/>
    <xf numFmtId="4" fontId="121" fillId="6" borderId="162" xfId="240" applyNumberFormat="1" applyFont="1" applyFill="1" applyBorder="1"/>
    <xf numFmtId="4" fontId="124" fillId="6" borderId="0" xfId="240" applyNumberFormat="1" applyFont="1" applyFill="1" applyAlignment="1">
      <alignment horizontal="center"/>
    </xf>
    <xf numFmtId="0" fontId="106" fillId="6" borderId="15" xfId="240" applyFont="1" applyFill="1" applyBorder="1"/>
    <xf numFmtId="4" fontId="106" fillId="13" borderId="2" xfId="240" applyNumberFormat="1" applyFont="1" applyFill="1" applyBorder="1"/>
    <xf numFmtId="4" fontId="106" fillId="6" borderId="3" xfId="240" applyNumberFormat="1" applyFont="1" applyFill="1" applyBorder="1"/>
    <xf numFmtId="0" fontId="199" fillId="6" borderId="49" xfId="242" applyFont="1" applyFill="1" applyBorder="1" applyAlignment="1">
      <alignment horizontal="center" vertical="center"/>
    </xf>
    <xf numFmtId="0" fontId="199" fillId="6" borderId="29" xfId="242" applyFont="1" applyFill="1" applyBorder="1" applyAlignment="1">
      <alignment horizontal="center" vertical="center"/>
    </xf>
    <xf numFmtId="0" fontId="199" fillId="6" borderId="48" xfId="242" applyFont="1" applyFill="1" applyBorder="1" applyAlignment="1">
      <alignment horizontal="center" vertical="center" wrapText="1"/>
    </xf>
    <xf numFmtId="0" fontId="109" fillId="6" borderId="173" xfId="10" applyFont="1" applyFill="1" applyBorder="1" applyAlignment="1">
      <alignment horizontal="center" vertical="center"/>
    </xf>
    <xf numFmtId="0" fontId="199" fillId="6" borderId="140" xfId="10" applyFont="1" applyFill="1" applyBorder="1" applyAlignment="1">
      <alignment vertical="center" wrapText="1"/>
    </xf>
    <xf numFmtId="4" fontId="209" fillId="6" borderId="155" xfId="10" applyNumberFormat="1" applyFont="1" applyFill="1" applyBorder="1" applyAlignment="1">
      <alignment horizontal="center" vertical="center"/>
    </xf>
    <xf numFmtId="4" fontId="64" fillId="6" borderId="0" xfId="240" applyNumberFormat="1" applyFont="1" applyFill="1"/>
    <xf numFmtId="0" fontId="199" fillId="6" borderId="173" xfId="10" applyFont="1" applyFill="1" applyBorder="1" applyAlignment="1">
      <alignment vertical="center" wrapText="1"/>
    </xf>
    <xf numFmtId="0" fontId="209" fillId="6" borderId="147" xfId="10" applyFont="1" applyFill="1" applyBorder="1" applyAlignment="1">
      <alignment vertical="center" wrapText="1"/>
    </xf>
    <xf numFmtId="4" fontId="209" fillId="6" borderId="166" xfId="10" applyNumberFormat="1" applyFont="1" applyFill="1" applyBorder="1" applyAlignment="1">
      <alignment horizontal="center" vertical="center"/>
    </xf>
    <xf numFmtId="16" fontId="209" fillId="6" borderId="147" xfId="10" applyNumberFormat="1" applyFont="1" applyFill="1" applyBorder="1" applyAlignment="1">
      <alignment horizontal="left" vertical="center" wrapText="1"/>
    </xf>
    <xf numFmtId="0" fontId="199" fillId="6" borderId="167" xfId="10" applyFont="1" applyFill="1" applyBorder="1" applyAlignment="1">
      <alignment vertical="center" wrapText="1"/>
    </xf>
    <xf numFmtId="0" fontId="209" fillId="6" borderId="167" xfId="10" applyFont="1" applyFill="1" applyBorder="1" applyAlignment="1">
      <alignment vertical="center" wrapText="1"/>
    </xf>
    <xf numFmtId="49" fontId="296" fillId="6" borderId="167" xfId="10" applyNumberFormat="1" applyFont="1" applyFill="1" applyBorder="1" applyAlignment="1">
      <alignment vertical="center" wrapText="1"/>
    </xf>
    <xf numFmtId="4" fontId="209" fillId="6" borderId="174" xfId="10" applyNumberFormat="1" applyFont="1" applyFill="1" applyBorder="1" applyAlignment="1">
      <alignment horizontal="center" vertical="center"/>
    </xf>
    <xf numFmtId="49" fontId="209" fillId="6" borderId="147" xfId="10" applyNumberFormat="1" applyFont="1" applyFill="1" applyBorder="1" applyAlignment="1">
      <alignment vertical="center" wrapText="1"/>
    </xf>
    <xf numFmtId="0" fontId="209" fillId="6" borderId="173" xfId="10" applyFont="1" applyFill="1" applyBorder="1" applyAlignment="1">
      <alignment vertical="center" wrapText="1"/>
    </xf>
    <xf numFmtId="0" fontId="109" fillId="6" borderId="35" xfId="242" applyFont="1" applyFill="1" applyBorder="1" applyAlignment="1">
      <alignment horizontal="center"/>
    </xf>
    <xf numFmtId="0" fontId="199" fillId="6" borderId="18" xfId="242" applyFont="1" applyFill="1" applyBorder="1" applyAlignment="1">
      <alignment horizontal="right"/>
    </xf>
    <xf numFmtId="4" fontId="199" fillId="13" borderId="17" xfId="242" applyNumberFormat="1" applyFont="1" applyFill="1" applyBorder="1" applyAlignment="1">
      <alignment horizontal="center" vertical="center"/>
    </xf>
    <xf numFmtId="0" fontId="209" fillId="0" borderId="173" xfId="0" applyFont="1" applyBorder="1"/>
    <xf numFmtId="2" fontId="209" fillId="0" borderId="173" xfId="0" applyNumberFormat="1" applyFont="1" applyBorder="1"/>
    <xf numFmtId="0" fontId="272" fillId="14" borderId="173" xfId="0" applyFont="1" applyFill="1" applyBorder="1"/>
    <xf numFmtId="2" fontId="272" fillId="14" borderId="173" xfId="0" applyNumberFormat="1" applyFont="1" applyFill="1" applyBorder="1"/>
    <xf numFmtId="0" fontId="83" fillId="11" borderId="102" xfId="0" quotePrefix="1" applyFont="1" applyFill="1" applyBorder="1"/>
    <xf numFmtId="0" fontId="72" fillId="0" borderId="102" xfId="0" quotePrefix="1" applyFont="1" applyBorder="1"/>
    <xf numFmtId="49" fontId="47" fillId="6" borderId="165" xfId="43" applyNumberFormat="1" applyFont="1" applyFill="1" applyBorder="1" applyAlignment="1">
      <alignment horizontal="left" indent="1"/>
    </xf>
    <xf numFmtId="167" fontId="72" fillId="16" borderId="173" xfId="23" applyNumberFormat="1" applyFont="1" applyFill="1" applyBorder="1" applyProtection="1">
      <protection locked="0"/>
    </xf>
    <xf numFmtId="167" fontId="72" fillId="15" borderId="173" xfId="23" applyNumberFormat="1" applyFont="1" applyFill="1" applyBorder="1" applyProtection="1">
      <protection locked="0"/>
    </xf>
    <xf numFmtId="167" fontId="70" fillId="15" borderId="173" xfId="23" applyNumberFormat="1" applyFont="1" applyFill="1" applyBorder="1" applyProtection="1">
      <protection locked="0"/>
    </xf>
    <xf numFmtId="167" fontId="72" fillId="25" borderId="173" xfId="23" applyNumberFormat="1" applyFont="1" applyFill="1" applyBorder="1" applyProtection="1">
      <protection locked="0"/>
    </xf>
    <xf numFmtId="167" fontId="76" fillId="16" borderId="173" xfId="23" applyNumberFormat="1" applyFont="1" applyFill="1" applyBorder="1" applyProtection="1">
      <protection locked="0"/>
    </xf>
    <xf numFmtId="167" fontId="76" fillId="15" borderId="173" xfId="23" applyNumberFormat="1" applyFont="1" applyFill="1" applyBorder="1" applyProtection="1">
      <protection locked="0"/>
    </xf>
    <xf numFmtId="167" fontId="83" fillId="11" borderId="173" xfId="23" applyNumberFormat="1" applyFont="1" applyFill="1" applyBorder="1"/>
    <xf numFmtId="167" fontId="87" fillId="11" borderId="173" xfId="23" applyNumberFormat="1" applyFont="1" applyFill="1" applyBorder="1"/>
    <xf numFmtId="167" fontId="83" fillId="25" borderId="173" xfId="23" applyNumberFormat="1" applyFont="1" applyFill="1" applyBorder="1"/>
    <xf numFmtId="167" fontId="86" fillId="11" borderId="173" xfId="23" applyNumberFormat="1" applyFont="1" applyFill="1" applyBorder="1"/>
    <xf numFmtId="167" fontId="138" fillId="11" borderId="173" xfId="23" applyNumberFormat="1" applyFont="1" applyFill="1" applyBorder="1"/>
    <xf numFmtId="167" fontId="72" fillId="14" borderId="173" xfId="23" applyNumberFormat="1" applyFont="1" applyFill="1" applyBorder="1" applyProtection="1">
      <protection locked="0"/>
    </xf>
    <xf numFmtId="167" fontId="83" fillId="25" borderId="173" xfId="23" applyNumberFormat="1" applyFont="1" applyFill="1" applyBorder="1" applyProtection="1">
      <protection locked="0"/>
    </xf>
    <xf numFmtId="167" fontId="83" fillId="11" borderId="173" xfId="23" applyNumberFormat="1" applyFont="1" applyFill="1" applyBorder="1" applyProtection="1">
      <protection locked="0"/>
    </xf>
    <xf numFmtId="167" fontId="87" fillId="11" borderId="173" xfId="23" applyNumberFormat="1" applyFont="1" applyFill="1" applyBorder="1" applyProtection="1">
      <protection locked="0"/>
    </xf>
    <xf numFmtId="167" fontId="86" fillId="11" borderId="173" xfId="23" applyNumberFormat="1" applyFont="1" applyFill="1" applyBorder="1" applyProtection="1">
      <protection locked="0"/>
    </xf>
    <xf numFmtId="0" fontId="83" fillId="25" borderId="173" xfId="0" applyFont="1" applyFill="1" applyBorder="1"/>
    <xf numFmtId="167" fontId="83" fillId="14" borderId="173" xfId="23" applyNumberFormat="1" applyFont="1" applyFill="1" applyBorder="1" applyProtection="1">
      <protection locked="0"/>
    </xf>
    <xf numFmtId="167" fontId="138" fillId="11" borderId="173" xfId="23" applyNumberFormat="1" applyFont="1" applyFill="1" applyBorder="1" applyProtection="1">
      <protection locked="0"/>
    </xf>
    <xf numFmtId="167" fontId="86" fillId="11" borderId="173" xfId="23" applyNumberFormat="1" applyFont="1" applyFill="1" applyBorder="1" applyAlignment="1" applyProtection="1">
      <alignment horizontal="right"/>
      <protection locked="0"/>
    </xf>
    <xf numFmtId="0" fontId="72" fillId="11" borderId="173" xfId="0" applyFont="1" applyFill="1" applyBorder="1"/>
    <xf numFmtId="49" fontId="83" fillId="11" borderId="173" xfId="0" applyNumberFormat="1" applyFont="1" applyFill="1" applyBorder="1"/>
    <xf numFmtId="0" fontId="92" fillId="11" borderId="173" xfId="0" applyFont="1" applyFill="1" applyBorder="1"/>
    <xf numFmtId="49" fontId="83" fillId="11" borderId="173" xfId="0" applyNumberFormat="1" applyFont="1" applyFill="1" applyBorder="1" applyAlignment="1">
      <alignment horizontal="center"/>
    </xf>
    <xf numFmtId="0" fontId="83" fillId="11" borderId="173" xfId="0" applyFont="1" applyFill="1" applyBorder="1" applyAlignment="1">
      <alignment vertical="center" wrapText="1"/>
    </xf>
    <xf numFmtId="167" fontId="92" fillId="11" borderId="173" xfId="23" applyNumberFormat="1" applyFont="1" applyFill="1" applyBorder="1" applyProtection="1">
      <protection locked="0"/>
    </xf>
    <xf numFmtId="167" fontId="92" fillId="25" borderId="173" xfId="23" applyNumberFormat="1" applyFont="1" applyFill="1" applyBorder="1" applyProtection="1">
      <protection locked="0"/>
    </xf>
    <xf numFmtId="167" fontId="83" fillId="11" borderId="173" xfId="23" applyNumberFormat="1" applyFont="1" applyFill="1" applyBorder="1" applyAlignment="1" applyProtection="1">
      <alignment horizontal="right"/>
      <protection locked="0"/>
    </xf>
    <xf numFmtId="167" fontId="83" fillId="14" borderId="173" xfId="23" applyNumberFormat="1" applyFont="1" applyFill="1" applyBorder="1"/>
    <xf numFmtId="167" fontId="86" fillId="11" borderId="173" xfId="23" applyNumberFormat="1" applyFont="1" applyFill="1" applyBorder="1" applyAlignment="1" applyProtection="1">
      <protection locked="0"/>
    </xf>
    <xf numFmtId="167" fontId="83" fillId="37" borderId="173" xfId="23" applyNumberFormat="1" applyFont="1" applyFill="1" applyBorder="1" applyProtection="1">
      <protection locked="0"/>
    </xf>
    <xf numFmtId="167" fontId="83" fillId="11" borderId="173" xfId="23" applyNumberFormat="1" applyFont="1" applyFill="1" applyBorder="1" applyAlignment="1"/>
    <xf numFmtId="0" fontId="83" fillId="11" borderId="173" xfId="0" applyFont="1" applyFill="1" applyBorder="1" applyAlignment="1">
      <alignment horizontal="left" vertical="top" wrapText="1"/>
    </xf>
    <xf numFmtId="0" fontId="83" fillId="11" borderId="173" xfId="0" applyFont="1" applyFill="1" applyBorder="1" applyAlignment="1">
      <alignment vertical="top" wrapText="1"/>
    </xf>
    <xf numFmtId="167" fontId="83" fillId="11" borderId="173" xfId="23" applyNumberFormat="1" applyFont="1" applyFill="1" applyBorder="1" applyAlignment="1" applyProtection="1">
      <protection locked="0"/>
    </xf>
    <xf numFmtId="0" fontId="83" fillId="11" borderId="173" xfId="0" applyFont="1" applyFill="1" applyBorder="1" applyAlignment="1">
      <alignment vertical="center"/>
    </xf>
    <xf numFmtId="167" fontId="84" fillId="11" borderId="173" xfId="23" applyNumberFormat="1" applyFont="1" applyFill="1" applyBorder="1" applyAlignment="1" applyProtection="1">
      <protection locked="0"/>
    </xf>
    <xf numFmtId="0" fontId="96" fillId="11" borderId="173" xfId="0" applyFont="1" applyFill="1" applyBorder="1" applyAlignment="1">
      <alignment horizontal="left" vertical="top" wrapText="1"/>
    </xf>
    <xf numFmtId="167" fontId="72" fillId="11" borderId="173" xfId="23" applyNumberFormat="1" applyFont="1" applyFill="1" applyBorder="1" applyAlignment="1" applyProtection="1">
      <alignment wrapText="1"/>
      <protection locked="0"/>
    </xf>
    <xf numFmtId="167" fontId="83" fillId="11" borderId="173" xfId="23" applyNumberFormat="1" applyFont="1" applyFill="1" applyBorder="1" applyAlignment="1" applyProtection="1">
      <alignment vertical="top" wrapText="1"/>
      <protection locked="0"/>
    </xf>
    <xf numFmtId="0" fontId="87" fillId="11" borderId="173" xfId="0" applyFont="1" applyFill="1" applyBorder="1" applyAlignment="1">
      <alignment horizontal="left" vertical="top"/>
    </xf>
    <xf numFmtId="0" fontId="83" fillId="11" borderId="173" xfId="0" applyFont="1" applyFill="1" applyBorder="1" applyAlignment="1">
      <alignment vertical="top"/>
    </xf>
    <xf numFmtId="0" fontId="72" fillId="11" borderId="175" xfId="0" applyFont="1" applyFill="1" applyBorder="1" applyAlignment="1">
      <alignment horizontal="left" vertical="center" wrapText="1"/>
    </xf>
    <xf numFmtId="0" fontId="70" fillId="11" borderId="175" xfId="0" applyFont="1" applyFill="1" applyBorder="1" applyAlignment="1">
      <alignment horizontal="right" vertical="center" wrapText="1"/>
    </xf>
    <xf numFmtId="167" fontId="83" fillId="14" borderId="173" xfId="19" applyNumberFormat="1" applyFont="1" applyFill="1" applyBorder="1" applyProtection="1">
      <protection locked="0"/>
    </xf>
    <xf numFmtId="167" fontId="70" fillId="16" borderId="173" xfId="19" applyNumberFormat="1" applyFont="1" applyFill="1" applyBorder="1" applyProtection="1">
      <protection locked="0"/>
    </xf>
    <xf numFmtId="167" fontId="76" fillId="16" borderId="173" xfId="19" applyNumberFormat="1" applyFont="1" applyFill="1" applyBorder="1" applyProtection="1">
      <protection locked="0"/>
    </xf>
    <xf numFmtId="167" fontId="70" fillId="25" borderId="173" xfId="19" applyNumberFormat="1" applyFont="1" applyFill="1" applyBorder="1" applyProtection="1">
      <protection locked="0"/>
    </xf>
    <xf numFmtId="167" fontId="83" fillId="11" borderId="173" xfId="144" applyNumberFormat="1" applyFont="1" applyFill="1" applyBorder="1" applyProtection="1">
      <protection locked="0"/>
    </xf>
    <xf numFmtId="167" fontId="86" fillId="11" borderId="173" xfId="144" applyNumberFormat="1" applyFont="1" applyFill="1" applyBorder="1" applyProtection="1">
      <protection locked="0"/>
    </xf>
    <xf numFmtId="167" fontId="72" fillId="16" borderId="173" xfId="19" applyNumberFormat="1" applyFont="1" applyFill="1" applyBorder="1" applyProtection="1">
      <protection locked="0"/>
    </xf>
    <xf numFmtId="167" fontId="143" fillId="11" borderId="173" xfId="19" applyNumberFormat="1" applyFont="1" applyFill="1" applyBorder="1" applyProtection="1">
      <protection locked="0"/>
    </xf>
    <xf numFmtId="167" fontId="155" fillId="14" borderId="173" xfId="19" applyNumberFormat="1" applyFont="1" applyFill="1" applyBorder="1" applyProtection="1">
      <protection locked="0"/>
    </xf>
    <xf numFmtId="167" fontId="155" fillId="11" borderId="173" xfId="19" applyNumberFormat="1" applyFont="1" applyFill="1" applyBorder="1" applyProtection="1">
      <protection locked="0"/>
    </xf>
    <xf numFmtId="14" fontId="72" fillId="11" borderId="175" xfId="0" applyNumberFormat="1" applyFont="1" applyFill="1" applyBorder="1" applyAlignment="1">
      <alignment horizontal="left" vertical="center" wrapText="1"/>
    </xf>
    <xf numFmtId="0" fontId="83" fillId="11" borderId="175" xfId="0" applyFont="1" applyFill="1" applyBorder="1" applyAlignment="1">
      <alignment horizontal="left" vertical="center" wrapText="1"/>
    </xf>
    <xf numFmtId="0" fontId="72" fillId="11" borderId="175" xfId="0" applyFont="1" applyFill="1" applyBorder="1"/>
    <xf numFmtId="167" fontId="87" fillId="11" borderId="175" xfId="19" applyNumberFormat="1" applyFont="1" applyFill="1" applyBorder="1" applyProtection="1">
      <protection locked="0"/>
    </xf>
    <xf numFmtId="167" fontId="86" fillId="14" borderId="175" xfId="19" applyNumberFormat="1" applyFont="1" applyFill="1" applyBorder="1" applyProtection="1">
      <protection locked="0"/>
    </xf>
    <xf numFmtId="167" fontId="86" fillId="11" borderId="175" xfId="19" applyNumberFormat="1" applyFont="1" applyFill="1" applyBorder="1" applyProtection="1">
      <protection locked="0"/>
    </xf>
    <xf numFmtId="167" fontId="83" fillId="11" borderId="175" xfId="19" applyNumberFormat="1" applyFont="1" applyFill="1" applyBorder="1" applyProtection="1">
      <protection locked="0"/>
    </xf>
    <xf numFmtId="0" fontId="93" fillId="11" borderId="175" xfId="0" applyFont="1" applyFill="1" applyBorder="1" applyAlignment="1">
      <alignment horizontal="left" vertical="center" wrapText="1"/>
    </xf>
    <xf numFmtId="0" fontId="244" fillId="11" borderId="175" xfId="0" applyFont="1" applyFill="1" applyBorder="1" applyAlignment="1">
      <alignment horizontal="left" vertical="center" wrapText="1"/>
    </xf>
    <xf numFmtId="0" fontId="83" fillId="11" borderId="175" xfId="0" applyFont="1" applyFill="1" applyBorder="1" applyAlignment="1">
      <alignment vertical="center" wrapText="1"/>
    </xf>
    <xf numFmtId="0" fontId="85" fillId="11" borderId="175" xfId="0" applyFont="1" applyFill="1" applyBorder="1" applyAlignment="1">
      <alignment horizontal="left" vertical="center" wrapText="1"/>
    </xf>
    <xf numFmtId="0" fontId="195" fillId="11" borderId="175" xfId="0" applyFont="1" applyFill="1" applyBorder="1" applyAlignment="1">
      <alignment horizontal="left" vertical="center" wrapText="1"/>
    </xf>
    <xf numFmtId="0" fontId="0" fillId="0" borderId="118" xfId="0" applyBorder="1" applyAlignment="1">
      <alignment horizontal="center" vertical="center"/>
    </xf>
    <xf numFmtId="0" fontId="0" fillId="0" borderId="150" xfId="0" applyBorder="1" applyAlignment="1">
      <alignment horizontal="center" vertical="center"/>
    </xf>
    <xf numFmtId="0" fontId="83" fillId="11" borderId="175" xfId="0" applyFont="1" applyFill="1" applyBorder="1" applyAlignment="1">
      <alignment vertical="center"/>
    </xf>
    <xf numFmtId="167" fontId="72" fillId="25" borderId="173" xfId="19" applyNumberFormat="1" applyFont="1" applyFill="1" applyBorder="1" applyProtection="1">
      <protection locked="0"/>
    </xf>
    <xf numFmtId="167" fontId="111" fillId="15" borderId="173" xfId="19" applyNumberFormat="1" applyFont="1" applyFill="1" applyBorder="1" applyProtection="1">
      <protection locked="0"/>
    </xf>
    <xf numFmtId="0" fontId="83" fillId="11" borderId="175" xfId="0" applyFont="1" applyFill="1" applyBorder="1"/>
    <xf numFmtId="0" fontId="258" fillId="0" borderId="0" xfId="0" quotePrefix="1" applyFont="1"/>
    <xf numFmtId="49" fontId="49" fillId="6" borderId="165" xfId="43" applyNumberFormat="1" applyFont="1" applyFill="1" applyBorder="1" applyAlignment="1">
      <alignment horizontal="left" indent="1"/>
    </xf>
    <xf numFmtId="49" fontId="49" fillId="6" borderId="11" xfId="43" applyNumberFormat="1" applyFont="1" applyFill="1" applyBorder="1" applyAlignment="1">
      <alignment horizontal="right" wrapText="1" indent="2"/>
    </xf>
    <xf numFmtId="167" fontId="49" fillId="6" borderId="166" xfId="1" quotePrefix="1" applyNumberFormat="1" applyFont="1" applyFill="1" applyBorder="1" applyAlignment="1">
      <alignment wrapText="1"/>
    </xf>
    <xf numFmtId="49" fontId="49" fillId="6" borderId="175" xfId="43" applyNumberFormat="1" applyFont="1" applyFill="1" applyBorder="1" applyAlignment="1">
      <alignment horizontal="right" wrapText="1" indent="2"/>
    </xf>
    <xf numFmtId="3" fontId="49" fillId="6" borderId="12" xfId="43" applyNumberFormat="1" applyFont="1" applyFill="1" applyBorder="1"/>
    <xf numFmtId="9" fontId="49" fillId="6" borderId="12" xfId="2" applyFont="1" applyFill="1" applyBorder="1" applyAlignment="1">
      <alignment horizontal="right"/>
    </xf>
    <xf numFmtId="43" fontId="49" fillId="6" borderId="166" xfId="1" quotePrefix="1" applyFont="1" applyFill="1" applyBorder="1" applyAlignment="1">
      <alignment wrapText="1"/>
    </xf>
    <xf numFmtId="167" fontId="246" fillId="11" borderId="175" xfId="19" applyNumberFormat="1" applyFont="1" applyFill="1" applyBorder="1" applyProtection="1">
      <protection locked="0"/>
    </xf>
    <xf numFmtId="167" fontId="83" fillId="11" borderId="175" xfId="1" applyNumberFormat="1" applyFont="1" applyFill="1" applyBorder="1" applyProtection="1">
      <protection locked="0"/>
    </xf>
    <xf numFmtId="167" fontId="83" fillId="11" borderId="0" xfId="0" applyNumberFormat="1" applyFont="1" applyFill="1" applyAlignment="1">
      <alignment wrapText="1"/>
    </xf>
    <xf numFmtId="167" fontId="76" fillId="15" borderId="175" xfId="1" applyNumberFormat="1" applyFont="1" applyFill="1" applyBorder="1" applyProtection="1">
      <protection locked="0"/>
    </xf>
    <xf numFmtId="167" fontId="86" fillId="11" borderId="175" xfId="1" applyNumberFormat="1" applyFont="1" applyFill="1" applyBorder="1" applyProtection="1">
      <protection locked="0"/>
    </xf>
    <xf numFmtId="167" fontId="86" fillId="0" borderId="0" xfId="0" applyNumberFormat="1" applyFont="1"/>
    <xf numFmtId="167" fontId="86" fillId="0" borderId="0" xfId="0" applyNumberFormat="1" applyFont="1" applyAlignment="1">
      <alignment wrapText="1"/>
    </xf>
    <xf numFmtId="167" fontId="83" fillId="0" borderId="0" xfId="0" applyNumberFormat="1" applyFont="1" applyAlignment="1">
      <alignment horizontal="center"/>
    </xf>
    <xf numFmtId="167" fontId="83" fillId="0" borderId="0" xfId="0" applyNumberFormat="1" applyFont="1" applyAlignment="1">
      <alignment wrapText="1"/>
    </xf>
    <xf numFmtId="167" fontId="86" fillId="0" borderId="0" xfId="0" applyNumberFormat="1" applyFont="1" applyAlignment="1">
      <alignment horizontal="left" vertical="top"/>
    </xf>
    <xf numFmtId="167" fontId="83" fillId="11" borderId="99" xfId="1" applyNumberFormat="1" applyFont="1" applyFill="1" applyBorder="1" applyAlignment="1" applyProtection="1">
      <alignment wrapText="1"/>
      <protection locked="0"/>
    </xf>
    <xf numFmtId="0" fontId="84" fillId="11" borderId="175" xfId="0" applyFont="1" applyFill="1" applyBorder="1" applyAlignment="1">
      <alignment horizontal="left" vertical="center" wrapText="1"/>
    </xf>
    <xf numFmtId="0" fontId="83" fillId="0" borderId="118" xfId="1" applyNumberFormat="1" applyFont="1" applyFill="1" applyBorder="1" applyAlignment="1" applyProtection="1">
      <alignment wrapText="1"/>
      <protection locked="0"/>
    </xf>
    <xf numFmtId="0" fontId="83" fillId="0" borderId="118" xfId="1" applyNumberFormat="1" applyFont="1" applyFill="1" applyBorder="1" applyProtection="1">
      <protection locked="0"/>
    </xf>
    <xf numFmtId="167" fontId="86" fillId="0" borderId="118" xfId="0" applyNumberFormat="1" applyFont="1" applyBorder="1"/>
    <xf numFmtId="167" fontId="204" fillId="11" borderId="175" xfId="1" applyNumberFormat="1" applyFont="1" applyFill="1" applyBorder="1" applyProtection="1">
      <protection locked="0"/>
    </xf>
    <xf numFmtId="167" fontId="87" fillId="11" borderId="175" xfId="1" applyNumberFormat="1" applyFont="1" applyFill="1" applyBorder="1" applyProtection="1">
      <protection locked="0"/>
    </xf>
    <xf numFmtId="167" fontId="72" fillId="14" borderId="175" xfId="1" applyNumberFormat="1" applyFont="1" applyFill="1" applyBorder="1" applyProtection="1">
      <protection locked="0"/>
    </xf>
    <xf numFmtId="167" fontId="203" fillId="15" borderId="175" xfId="1" applyNumberFormat="1" applyFont="1" applyFill="1" applyBorder="1" applyProtection="1">
      <protection locked="0"/>
    </xf>
    <xf numFmtId="167" fontId="72" fillId="15" borderId="175" xfId="1" applyNumberFormat="1" applyFont="1" applyFill="1" applyBorder="1" applyProtection="1">
      <protection locked="0"/>
    </xf>
    <xf numFmtId="167" fontId="70" fillId="15" borderId="175" xfId="1" applyNumberFormat="1" applyFont="1" applyFill="1" applyBorder="1" applyProtection="1">
      <protection locked="0"/>
    </xf>
    <xf numFmtId="0" fontId="87" fillId="11" borderId="175" xfId="0" applyFont="1" applyFill="1" applyBorder="1" applyAlignment="1">
      <alignment horizontal="right" vertical="center" wrapText="1"/>
    </xf>
    <xf numFmtId="167" fontId="86" fillId="14" borderId="175" xfId="1" applyNumberFormat="1" applyFont="1" applyFill="1" applyBorder="1" applyProtection="1">
      <protection locked="0"/>
    </xf>
    <xf numFmtId="167" fontId="204" fillId="11" borderId="175" xfId="19" applyNumberFormat="1" applyFont="1" applyFill="1" applyBorder="1" applyProtection="1">
      <protection locked="0"/>
    </xf>
    <xf numFmtId="167" fontId="72" fillId="15" borderId="175" xfId="23" applyNumberFormat="1" applyFont="1" applyFill="1" applyBorder="1" applyProtection="1">
      <protection locked="0"/>
    </xf>
    <xf numFmtId="167" fontId="70" fillId="15" borderId="175" xfId="23" applyNumberFormat="1" applyFont="1" applyFill="1" applyBorder="1" applyProtection="1">
      <protection locked="0"/>
    </xf>
    <xf numFmtId="167" fontId="72" fillId="14" borderId="175" xfId="23" applyNumberFormat="1" applyFont="1" applyFill="1" applyBorder="1" applyProtection="1">
      <protection locked="0"/>
    </xf>
    <xf numFmtId="167" fontId="83" fillId="11" borderId="175" xfId="23" applyNumberFormat="1" applyFont="1" applyFill="1" applyBorder="1" applyProtection="1">
      <protection locked="0"/>
    </xf>
    <xf numFmtId="167" fontId="87" fillId="11" borderId="175" xfId="23" applyNumberFormat="1" applyFont="1" applyFill="1" applyBorder="1" applyProtection="1">
      <protection locked="0"/>
    </xf>
    <xf numFmtId="167" fontId="83" fillId="14" borderId="175" xfId="23" applyNumberFormat="1" applyFont="1" applyFill="1" applyBorder="1" applyProtection="1">
      <protection locked="0"/>
    </xf>
    <xf numFmtId="167" fontId="87" fillId="14" borderId="175" xfId="19" applyNumberFormat="1" applyFont="1" applyFill="1" applyBorder="1" applyProtection="1">
      <protection locked="0"/>
    </xf>
    <xf numFmtId="167" fontId="89" fillId="11" borderId="175" xfId="23" applyNumberFormat="1" applyFont="1" applyFill="1" applyBorder="1" applyProtection="1">
      <protection locked="0"/>
    </xf>
    <xf numFmtId="167" fontId="83" fillId="37" borderId="175" xfId="23" applyNumberFormat="1" applyFont="1" applyFill="1" applyBorder="1" applyProtection="1">
      <protection locked="0"/>
    </xf>
    <xf numFmtId="167" fontId="76" fillId="15" borderId="175" xfId="23" applyNumberFormat="1" applyFont="1" applyFill="1" applyBorder="1" applyProtection="1">
      <protection locked="0"/>
    </xf>
    <xf numFmtId="167" fontId="86" fillId="11" borderId="175" xfId="23" applyNumberFormat="1" applyFont="1" applyFill="1" applyBorder="1" applyProtection="1">
      <protection locked="0"/>
    </xf>
    <xf numFmtId="43" fontId="206" fillId="11" borderId="175" xfId="24" applyFont="1" applyFill="1" applyBorder="1" applyAlignment="1" applyProtection="1">
      <alignment horizontal="center"/>
      <protection locked="0"/>
    </xf>
    <xf numFmtId="167" fontId="142" fillId="14" borderId="175" xfId="24" applyNumberFormat="1" applyFont="1" applyFill="1" applyBorder="1" applyProtection="1">
      <protection locked="0"/>
    </xf>
    <xf numFmtId="43" fontId="299" fillId="11" borderId="175" xfId="24" applyFont="1" applyFill="1" applyBorder="1" applyAlignment="1" applyProtection="1">
      <alignment horizontal="center"/>
      <protection locked="0"/>
    </xf>
    <xf numFmtId="167" fontId="87" fillId="14" borderId="175" xfId="1" applyNumberFormat="1" applyFont="1" applyFill="1" applyBorder="1" applyProtection="1">
      <protection locked="0"/>
    </xf>
    <xf numFmtId="167" fontId="203" fillId="15" borderId="175" xfId="19" applyNumberFormat="1" applyFont="1" applyFill="1" applyBorder="1" applyProtection="1">
      <protection locked="0"/>
    </xf>
    <xf numFmtId="167" fontId="76" fillId="15" borderId="175" xfId="19" applyNumberFormat="1" applyFont="1" applyFill="1" applyBorder="1" applyProtection="1">
      <protection locked="0"/>
    </xf>
    <xf numFmtId="167" fontId="70" fillId="15" borderId="175" xfId="19" applyNumberFormat="1" applyFont="1" applyFill="1" applyBorder="1" applyProtection="1">
      <protection locked="0"/>
    </xf>
    <xf numFmtId="167" fontId="72" fillId="14" borderId="175" xfId="19" applyNumberFormat="1" applyFont="1" applyFill="1" applyBorder="1" applyProtection="1">
      <protection locked="0"/>
    </xf>
    <xf numFmtId="167" fontId="72" fillId="15" borderId="175" xfId="19" applyNumberFormat="1" applyFont="1" applyFill="1" applyBorder="1" applyProtection="1">
      <protection locked="0"/>
    </xf>
    <xf numFmtId="167" fontId="86" fillId="11" borderId="175" xfId="19" applyNumberFormat="1" applyFont="1" applyFill="1" applyBorder="1" applyAlignment="1" applyProtection="1">
      <alignment wrapText="1"/>
      <protection locked="0"/>
    </xf>
    <xf numFmtId="0" fontId="72" fillId="23" borderId="175" xfId="0" applyFont="1" applyFill="1" applyBorder="1" applyAlignment="1">
      <alignment horizontal="left" vertical="center" wrapText="1"/>
    </xf>
    <xf numFmtId="0" fontId="87" fillId="11" borderId="0" xfId="0" applyFont="1" applyFill="1"/>
    <xf numFmtId="0" fontId="83" fillId="23" borderId="0" xfId="0" applyFont="1" applyFill="1" applyAlignment="1">
      <alignment wrapText="1"/>
    </xf>
    <xf numFmtId="0" fontId="83" fillId="23" borderId="0" xfId="0" applyFont="1" applyFill="1"/>
    <xf numFmtId="167" fontId="96" fillId="13" borderId="86" xfId="19" applyNumberFormat="1" applyFont="1" applyFill="1" applyBorder="1" applyProtection="1">
      <protection locked="0"/>
    </xf>
    <xf numFmtId="0" fontId="0" fillId="0" borderId="0" xfId="0" applyAlignment="1">
      <alignment vertical="top"/>
    </xf>
    <xf numFmtId="0" fontId="169" fillId="0" borderId="0" xfId="0" applyFont="1" applyAlignment="1">
      <alignment vertical="top"/>
    </xf>
    <xf numFmtId="0" fontId="231" fillId="0" borderId="0" xfId="0" applyFont="1" applyAlignment="1">
      <alignment vertical="top"/>
    </xf>
    <xf numFmtId="0" fontId="153" fillId="0" borderId="0" xfId="0" applyFont="1" applyAlignment="1">
      <alignment vertical="top"/>
    </xf>
    <xf numFmtId="0" fontId="300" fillId="0" borderId="0" xfId="0" applyFont="1" applyAlignment="1">
      <alignment vertical="top"/>
    </xf>
    <xf numFmtId="0" fontId="301" fillId="0" borderId="0" xfId="0" applyFont="1" applyAlignment="1">
      <alignment vertical="top"/>
    </xf>
    <xf numFmtId="0" fontId="302" fillId="0" borderId="0" xfId="0" applyFont="1" applyAlignment="1">
      <alignment vertical="top"/>
    </xf>
    <xf numFmtId="0" fontId="233" fillId="0" borderId="0" xfId="0" applyFont="1" applyAlignment="1">
      <alignment vertical="top"/>
    </xf>
    <xf numFmtId="0" fontId="234" fillId="0" borderId="0" xfId="0" applyFont="1" applyAlignment="1">
      <alignment vertical="top"/>
    </xf>
    <xf numFmtId="0" fontId="304" fillId="0" borderId="0" xfId="0" applyFont="1" applyAlignment="1">
      <alignment vertical="top"/>
    </xf>
    <xf numFmtId="0" fontId="305" fillId="0" borderId="0" xfId="0" applyFont="1" applyAlignment="1">
      <alignment vertical="top"/>
    </xf>
    <xf numFmtId="0" fontId="306" fillId="0" borderId="0" xfId="0" applyFont="1" applyAlignment="1">
      <alignment vertical="top"/>
    </xf>
    <xf numFmtId="0" fontId="307" fillId="0" borderId="0" xfId="0" applyFont="1" applyAlignment="1">
      <alignment vertical="top"/>
    </xf>
    <xf numFmtId="0" fontId="0" fillId="16" borderId="175" xfId="0" applyFill="1" applyBorder="1" applyAlignment="1">
      <alignment vertical="top"/>
    </xf>
    <xf numFmtId="0" fontId="235" fillId="16" borderId="175" xfId="0" applyFont="1" applyFill="1" applyBorder="1" applyAlignment="1">
      <alignment vertical="top" wrapText="1"/>
    </xf>
    <xf numFmtId="0" fontId="308" fillId="16" borderId="175" xfId="0" applyFont="1" applyFill="1" applyBorder="1" applyAlignment="1">
      <alignment vertical="top" wrapText="1"/>
    </xf>
    <xf numFmtId="0" fontId="309" fillId="16" borderId="175" xfId="0" applyFont="1" applyFill="1" applyBorder="1" applyAlignment="1">
      <alignment vertical="top" wrapText="1"/>
    </xf>
    <xf numFmtId="0" fontId="310" fillId="16" borderId="175" xfId="0" applyFont="1" applyFill="1" applyBorder="1" applyAlignment="1">
      <alignment vertical="top" wrapText="1"/>
    </xf>
    <xf numFmtId="0" fontId="311" fillId="16" borderId="175" xfId="0" applyFont="1" applyFill="1" applyBorder="1" applyAlignment="1">
      <alignment vertical="top" wrapText="1"/>
    </xf>
    <xf numFmtId="0" fontId="312" fillId="16" borderId="175" xfId="0" applyFont="1" applyFill="1" applyBorder="1" applyAlignment="1">
      <alignment vertical="top" wrapText="1"/>
    </xf>
    <xf numFmtId="0" fontId="156" fillId="16" borderId="175" xfId="0" applyFont="1" applyFill="1" applyBorder="1" applyAlignment="1">
      <alignment vertical="top"/>
    </xf>
    <xf numFmtId="0" fontId="236" fillId="16" borderId="175" xfId="0" applyFont="1" applyFill="1" applyBorder="1" applyAlignment="1">
      <alignment vertical="top"/>
    </xf>
    <xf numFmtId="0" fontId="237" fillId="16" borderId="175" xfId="0" applyFont="1" applyFill="1" applyBorder="1" applyAlignment="1">
      <alignment vertical="top" wrapText="1"/>
    </xf>
    <xf numFmtId="0" fontId="313" fillId="16" borderId="175" xfId="0" applyFont="1" applyFill="1" applyBorder="1" applyAlignment="1">
      <alignment vertical="top" wrapText="1"/>
    </xf>
    <xf numFmtId="0" fontId="314" fillId="16" borderId="175" xfId="0" applyFont="1" applyFill="1" applyBorder="1" applyAlignment="1">
      <alignment vertical="top" wrapText="1"/>
    </xf>
    <xf numFmtId="0" fontId="315" fillId="16" borderId="175" xfId="0" applyFont="1" applyFill="1" applyBorder="1" applyAlignment="1">
      <alignment vertical="top" wrapText="1"/>
    </xf>
    <xf numFmtId="0" fontId="316" fillId="16" borderId="175" xfId="0" applyFont="1" applyFill="1" applyBorder="1" applyAlignment="1">
      <alignment vertical="top" wrapText="1"/>
    </xf>
    <xf numFmtId="0" fontId="156" fillId="16" borderId="175" xfId="0" applyFont="1" applyFill="1" applyBorder="1" applyAlignment="1">
      <alignment horizontal="right" vertical="top"/>
    </xf>
    <xf numFmtId="167" fontId="237" fillId="16" borderId="175" xfId="1" applyNumberFormat="1" applyFont="1" applyFill="1" applyBorder="1" applyAlignment="1">
      <alignment vertical="top" wrapText="1"/>
    </xf>
    <xf numFmtId="167" fontId="313" fillId="16" borderId="175" xfId="1" applyNumberFormat="1" applyFont="1" applyFill="1" applyBorder="1" applyAlignment="1">
      <alignment vertical="top" wrapText="1"/>
    </xf>
    <xf numFmtId="167" fontId="314" fillId="16" borderId="175" xfId="1" applyNumberFormat="1" applyFont="1" applyFill="1" applyBorder="1" applyAlignment="1">
      <alignment vertical="top" wrapText="1"/>
    </xf>
    <xf numFmtId="167" fontId="315" fillId="16" borderId="175" xfId="1" applyNumberFormat="1" applyFont="1" applyFill="1" applyBorder="1" applyAlignment="1">
      <alignment vertical="top" wrapText="1"/>
    </xf>
    <xf numFmtId="167" fontId="316" fillId="16" borderId="175" xfId="1" applyNumberFormat="1" applyFont="1" applyFill="1" applyBorder="1" applyAlignment="1">
      <alignment vertical="top" wrapText="1"/>
    </xf>
    <xf numFmtId="0" fontId="113" fillId="35" borderId="175" xfId="0" applyFont="1" applyFill="1" applyBorder="1" applyAlignment="1">
      <alignment vertical="top"/>
    </xf>
    <xf numFmtId="0" fontId="169" fillId="35" borderId="175" xfId="0" applyFont="1" applyFill="1" applyBorder="1" applyAlignment="1">
      <alignment vertical="top"/>
    </xf>
    <xf numFmtId="167" fontId="234" fillId="35" borderId="175" xfId="1" applyNumberFormat="1" applyFont="1" applyFill="1" applyBorder="1" applyAlignment="1">
      <alignment vertical="top"/>
    </xf>
    <xf numFmtId="0" fontId="304" fillId="35" borderId="175" xfId="0" applyFont="1" applyFill="1" applyBorder="1" applyAlignment="1">
      <alignment vertical="top"/>
    </xf>
    <xf numFmtId="0" fontId="305" fillId="35" borderId="175" xfId="0" applyFont="1" applyFill="1" applyBorder="1" applyAlignment="1">
      <alignment vertical="top"/>
    </xf>
    <xf numFmtId="0" fontId="306" fillId="35" borderId="175" xfId="0" applyFont="1" applyFill="1" applyBorder="1" applyAlignment="1">
      <alignment vertical="top"/>
    </xf>
    <xf numFmtId="0" fontId="307" fillId="35" borderId="175" xfId="0" applyFont="1" applyFill="1" applyBorder="1" applyAlignment="1">
      <alignment vertical="top"/>
    </xf>
    <xf numFmtId="0" fontId="0" fillId="35" borderId="175" xfId="0" applyFill="1" applyBorder="1" applyAlignment="1">
      <alignment vertical="top"/>
    </xf>
    <xf numFmtId="0" fontId="0" fillId="23" borderId="175" xfId="0" applyFill="1" applyBorder="1" applyAlignment="1">
      <alignment vertical="top" wrapText="1"/>
    </xf>
    <xf numFmtId="0" fontId="169" fillId="23" borderId="175" xfId="0" applyFont="1" applyFill="1" applyBorder="1" applyAlignment="1">
      <alignment vertical="top"/>
    </xf>
    <xf numFmtId="0" fontId="231" fillId="23" borderId="175" xfId="0" applyFont="1" applyFill="1" applyBorder="1" applyAlignment="1">
      <alignment vertical="top"/>
    </xf>
    <xf numFmtId="0" fontId="153" fillId="23" borderId="175" xfId="0" applyFont="1" applyFill="1" applyBorder="1" applyAlignment="1">
      <alignment vertical="top"/>
    </xf>
    <xf numFmtId="0" fontId="317" fillId="23" borderId="175" xfId="0" applyFont="1" applyFill="1" applyBorder="1" applyAlignment="1">
      <alignment vertical="top"/>
    </xf>
    <xf numFmtId="0" fontId="318" fillId="23" borderId="175" xfId="0" applyFont="1" applyFill="1" applyBorder="1" applyAlignment="1">
      <alignment vertical="top"/>
    </xf>
    <xf numFmtId="0" fontId="319" fillId="23" borderId="175" xfId="0" applyFont="1" applyFill="1" applyBorder="1" applyAlignment="1">
      <alignment vertical="top"/>
    </xf>
    <xf numFmtId="0" fontId="0" fillId="23" borderId="150" xfId="0" applyFill="1" applyBorder="1" applyAlignment="1">
      <alignment vertical="top"/>
    </xf>
    <xf numFmtId="0" fontId="320" fillId="76" borderId="175" xfId="0" applyFont="1" applyFill="1" applyBorder="1" applyAlignment="1">
      <alignment vertical="top" wrapText="1"/>
    </xf>
    <xf numFmtId="167" fontId="169" fillId="76" borderId="150" xfId="1" applyNumberFormat="1" applyFont="1" applyFill="1" applyBorder="1" applyAlignment="1">
      <alignment vertical="top"/>
    </xf>
    <xf numFmtId="167" fontId="231" fillId="76" borderId="150" xfId="1" applyNumberFormat="1" applyFont="1" applyFill="1" applyBorder="1" applyAlignment="1">
      <alignment vertical="top"/>
    </xf>
    <xf numFmtId="167" fontId="153" fillId="76" borderId="175" xfId="1" applyNumberFormat="1" applyFont="1" applyFill="1" applyBorder="1" applyAlignment="1">
      <alignment vertical="top"/>
    </xf>
    <xf numFmtId="167" fontId="317" fillId="76" borderId="175" xfId="1" applyNumberFormat="1" applyFont="1" applyFill="1" applyBorder="1" applyAlignment="1">
      <alignment vertical="top"/>
    </xf>
    <xf numFmtId="167" fontId="318" fillId="76" borderId="175" xfId="1" applyNumberFormat="1" applyFont="1" applyFill="1" applyBorder="1" applyAlignment="1">
      <alignment vertical="top"/>
    </xf>
    <xf numFmtId="167" fontId="319" fillId="76" borderId="175" xfId="1" applyNumberFormat="1" applyFont="1" applyFill="1" applyBorder="1" applyAlignment="1">
      <alignment vertical="top"/>
    </xf>
    <xf numFmtId="0" fontId="0" fillId="76" borderId="150" xfId="0" applyFill="1" applyBorder="1" applyAlignment="1">
      <alignment vertical="top"/>
    </xf>
    <xf numFmtId="0" fontId="169" fillId="76" borderId="175" xfId="0" applyFont="1" applyFill="1" applyBorder="1" applyAlignment="1">
      <alignment vertical="top" wrapText="1"/>
    </xf>
    <xf numFmtId="167" fontId="321" fillId="76" borderId="150" xfId="1" applyNumberFormat="1" applyFont="1" applyFill="1" applyBorder="1" applyAlignment="1">
      <alignment vertical="top"/>
    </xf>
    <xf numFmtId="167" fontId="322" fillId="76" borderId="150" xfId="1" applyNumberFormat="1" applyFont="1" applyFill="1" applyBorder="1" applyAlignment="1">
      <alignment vertical="top"/>
    </xf>
    <xf numFmtId="0" fontId="0" fillId="76" borderId="150" xfId="0" applyFill="1" applyBorder="1" applyAlignment="1">
      <alignment vertical="top" wrapText="1"/>
    </xf>
    <xf numFmtId="167" fontId="321" fillId="76" borderId="175" xfId="1" applyNumberFormat="1" applyFont="1" applyFill="1" applyBorder="1" applyAlignment="1">
      <alignment vertical="top"/>
    </xf>
    <xf numFmtId="167" fontId="322" fillId="76" borderId="175" xfId="1" applyNumberFormat="1" applyFont="1" applyFill="1" applyBorder="1" applyAlignment="1">
      <alignment vertical="top"/>
    </xf>
    <xf numFmtId="0" fontId="0" fillId="76" borderId="171" xfId="0" applyFill="1" applyBorder="1" applyAlignment="1">
      <alignment vertical="top" wrapText="1"/>
    </xf>
    <xf numFmtId="0" fontId="64" fillId="76" borderId="175" xfId="0" applyFont="1" applyFill="1" applyBorder="1" applyAlignment="1">
      <alignment vertical="top" wrapText="1"/>
    </xf>
    <xf numFmtId="0" fontId="0" fillId="76" borderId="176" xfId="0" applyFill="1" applyBorder="1" applyAlignment="1">
      <alignment vertical="top" wrapText="1"/>
    </xf>
    <xf numFmtId="0" fontId="169" fillId="23" borderId="175" xfId="0" applyFont="1" applyFill="1" applyBorder="1" applyAlignment="1">
      <alignment vertical="top" wrapText="1"/>
    </xf>
    <xf numFmtId="167" fontId="169" fillId="23" borderId="175" xfId="1" applyNumberFormat="1" applyFont="1" applyFill="1" applyBorder="1" applyAlignment="1">
      <alignment vertical="top"/>
    </xf>
    <xf numFmtId="167" fontId="231" fillId="23" borderId="175" xfId="1" applyNumberFormat="1" applyFont="1" applyFill="1" applyBorder="1" applyAlignment="1">
      <alignment vertical="top"/>
    </xf>
    <xf numFmtId="167" fontId="153" fillId="23" borderId="175" xfId="1" applyNumberFormat="1" applyFont="1" applyFill="1" applyBorder="1" applyAlignment="1">
      <alignment vertical="top"/>
    </xf>
    <xf numFmtId="167" fontId="317" fillId="23" borderId="175" xfId="1" applyNumberFormat="1" applyFont="1" applyFill="1" applyBorder="1" applyAlignment="1">
      <alignment vertical="top"/>
    </xf>
    <xf numFmtId="167" fontId="318" fillId="23" borderId="175" xfId="1" applyNumberFormat="1" applyFont="1" applyFill="1" applyBorder="1" applyAlignment="1">
      <alignment vertical="top"/>
    </xf>
    <xf numFmtId="167" fontId="319" fillId="23" borderId="175" xfId="1" applyNumberFormat="1" applyFont="1" applyFill="1" applyBorder="1" applyAlignment="1">
      <alignment vertical="top"/>
    </xf>
    <xf numFmtId="0" fontId="264" fillId="81" borderId="175" xfId="0" applyFont="1" applyFill="1" applyBorder="1" applyAlignment="1">
      <alignment vertical="top" wrapText="1"/>
    </xf>
    <xf numFmtId="167" fontId="169" fillId="81" borderId="175" xfId="1" applyNumberFormat="1" applyFont="1" applyFill="1" applyBorder="1" applyAlignment="1">
      <alignment vertical="top"/>
    </xf>
    <xf numFmtId="167" fontId="231" fillId="81" borderId="175" xfId="1" applyNumberFormat="1" applyFont="1" applyFill="1" applyBorder="1" applyAlignment="1">
      <alignment vertical="top"/>
    </xf>
    <xf numFmtId="167" fontId="153" fillId="81" borderId="175" xfId="1" applyNumberFormat="1" applyFont="1" applyFill="1" applyBorder="1" applyAlignment="1">
      <alignment vertical="top"/>
    </xf>
    <xf numFmtId="167" fontId="317" fillId="81" borderId="175" xfId="1" applyNumberFormat="1" applyFont="1" applyFill="1" applyBorder="1" applyAlignment="1">
      <alignment vertical="top"/>
    </xf>
    <xf numFmtId="167" fontId="318" fillId="81" borderId="175" xfId="1" applyNumberFormat="1" applyFont="1" applyFill="1" applyBorder="1" applyAlignment="1">
      <alignment vertical="top"/>
    </xf>
    <xf numFmtId="167" fontId="319" fillId="81" borderId="175" xfId="1" applyNumberFormat="1" applyFont="1" applyFill="1" applyBorder="1" applyAlignment="1">
      <alignment vertical="top"/>
    </xf>
    <xf numFmtId="0" fontId="0" fillId="81" borderId="175" xfId="0" applyFill="1" applyBorder="1" applyAlignment="1">
      <alignment vertical="top" wrapText="1"/>
    </xf>
    <xf numFmtId="167" fontId="169" fillId="76" borderId="175" xfId="1" applyNumberFormat="1" applyFont="1" applyFill="1" applyBorder="1" applyAlignment="1">
      <alignment vertical="top"/>
    </xf>
    <xf numFmtId="167" fontId="231" fillId="76" borderId="175" xfId="1" applyNumberFormat="1" applyFont="1" applyFill="1" applyBorder="1" applyAlignment="1">
      <alignment vertical="top"/>
    </xf>
    <xf numFmtId="0" fontId="0" fillId="76" borderId="175" xfId="0" applyFill="1" applyBorder="1" applyAlignment="1">
      <alignment vertical="top" wrapText="1"/>
    </xf>
    <xf numFmtId="0" fontId="64" fillId="23" borderId="175" xfId="0" applyFont="1" applyFill="1" applyBorder="1" applyAlignment="1">
      <alignment vertical="top" wrapText="1"/>
    </xf>
    <xf numFmtId="0" fontId="113" fillId="35" borderId="150" xfId="0" applyFont="1" applyFill="1" applyBorder="1" applyAlignment="1">
      <alignment horizontal="left" vertical="top"/>
    </xf>
    <xf numFmtId="167" fontId="169" fillId="35" borderId="150" xfId="1" applyNumberFormat="1" applyFont="1" applyFill="1" applyBorder="1" applyAlignment="1">
      <alignment vertical="top"/>
    </xf>
    <xf numFmtId="167" fontId="234" fillId="35" borderId="150" xfId="1" applyNumberFormat="1" applyFont="1" applyFill="1" applyBorder="1" applyAlignment="1">
      <alignment vertical="top"/>
    </xf>
    <xf numFmtId="167" fontId="304" fillId="35" borderId="150" xfId="1" applyNumberFormat="1" applyFont="1" applyFill="1" applyBorder="1" applyAlignment="1">
      <alignment vertical="top"/>
    </xf>
    <xf numFmtId="167" fontId="305" fillId="35" borderId="150" xfId="1" applyNumberFormat="1" applyFont="1" applyFill="1" applyBorder="1" applyAlignment="1">
      <alignment vertical="top"/>
    </xf>
    <xf numFmtId="167" fontId="306" fillId="35" borderId="150" xfId="1" applyNumberFormat="1" applyFont="1" applyFill="1" applyBorder="1" applyAlignment="1">
      <alignment vertical="top"/>
    </xf>
    <xf numFmtId="167" fontId="307" fillId="35" borderId="150" xfId="1" applyNumberFormat="1" applyFont="1" applyFill="1" applyBorder="1" applyAlignment="1">
      <alignment vertical="top"/>
    </xf>
    <xf numFmtId="0" fontId="0" fillId="35" borderId="150" xfId="0" applyFill="1" applyBorder="1" applyAlignment="1">
      <alignment vertical="top"/>
    </xf>
    <xf numFmtId="0" fontId="64" fillId="23" borderId="176" xfId="0" applyFont="1" applyFill="1" applyBorder="1" applyAlignment="1">
      <alignment vertical="top" wrapText="1"/>
    </xf>
    <xf numFmtId="167" fontId="169" fillId="23" borderId="176" xfId="1" applyNumberFormat="1" applyFont="1" applyFill="1" applyBorder="1" applyAlignment="1">
      <alignment vertical="top"/>
    </xf>
    <xf numFmtId="167" fontId="231" fillId="23" borderId="176" xfId="1" applyNumberFormat="1" applyFont="1" applyFill="1" applyBorder="1" applyAlignment="1">
      <alignment vertical="top"/>
    </xf>
    <xf numFmtId="167" fontId="153" fillId="23" borderId="176" xfId="1" applyNumberFormat="1" applyFont="1" applyFill="1" applyBorder="1" applyAlignment="1">
      <alignment vertical="top"/>
    </xf>
    <xf numFmtId="167" fontId="300" fillId="23" borderId="176" xfId="1" applyNumberFormat="1" applyFont="1" applyFill="1" applyBorder="1" applyAlignment="1">
      <alignment vertical="top"/>
    </xf>
    <xf numFmtId="167" fontId="301" fillId="23" borderId="176" xfId="1" applyNumberFormat="1" applyFont="1" applyFill="1" applyBorder="1" applyAlignment="1">
      <alignment vertical="top"/>
    </xf>
    <xf numFmtId="167" fontId="302" fillId="23" borderId="176" xfId="1" applyNumberFormat="1" applyFont="1" applyFill="1" applyBorder="1" applyAlignment="1">
      <alignment vertical="top"/>
    </xf>
    <xf numFmtId="0" fontId="0" fillId="23" borderId="176" xfId="0" applyFill="1" applyBorder="1" applyAlignment="1">
      <alignment vertical="top" wrapText="1"/>
    </xf>
    <xf numFmtId="167" fontId="168" fillId="76" borderId="0" xfId="1" applyNumberFormat="1" applyFont="1" applyFill="1" applyAlignment="1">
      <alignment vertical="top"/>
    </xf>
    <xf numFmtId="167" fontId="153" fillId="76" borderId="171" xfId="1" applyNumberFormat="1" applyFont="1" applyFill="1" applyBorder="1" applyAlignment="1">
      <alignment vertical="top"/>
    </xf>
    <xf numFmtId="167" fontId="317" fillId="76" borderId="171" xfId="1" applyNumberFormat="1" applyFont="1" applyFill="1" applyBorder="1" applyAlignment="1">
      <alignment vertical="top"/>
    </xf>
    <xf numFmtId="167" fontId="318" fillId="76" borderId="171" xfId="1" applyNumberFormat="1" applyFont="1" applyFill="1" applyBorder="1" applyAlignment="1">
      <alignment vertical="top"/>
    </xf>
    <xf numFmtId="167" fontId="319" fillId="76" borderId="171" xfId="1" applyNumberFormat="1" applyFont="1" applyFill="1" applyBorder="1" applyAlignment="1">
      <alignment vertical="top"/>
    </xf>
    <xf numFmtId="167" fontId="168" fillId="76" borderId="175" xfId="1" applyNumberFormat="1" applyFont="1" applyFill="1" applyBorder="1" applyAlignment="1">
      <alignment vertical="top"/>
    </xf>
    <xf numFmtId="0" fontId="64" fillId="76" borderId="150" xfId="0" applyFont="1" applyFill="1" applyBorder="1" applyAlignment="1">
      <alignment vertical="top" wrapText="1"/>
    </xf>
    <xf numFmtId="167" fontId="169" fillId="76" borderId="148" xfId="1" applyNumberFormat="1" applyFont="1" applyFill="1" applyBorder="1" applyAlignment="1">
      <alignment vertical="top"/>
    </xf>
    <xf numFmtId="0" fontId="64" fillId="76" borderId="176" xfId="0" applyFont="1" applyFill="1" applyBorder="1" applyAlignment="1">
      <alignment vertical="top" wrapText="1"/>
    </xf>
    <xf numFmtId="0" fontId="64" fillId="76" borderId="175" xfId="0" applyFont="1" applyFill="1" applyBorder="1" applyAlignment="1">
      <alignment horizontal="left" vertical="top" wrapText="1"/>
    </xf>
    <xf numFmtId="0" fontId="64" fillId="76" borderId="175" xfId="0" applyFont="1" applyFill="1" applyBorder="1" applyAlignment="1">
      <alignment vertical="top"/>
    </xf>
    <xf numFmtId="0" fontId="0" fillId="76" borderId="175" xfId="0" applyFill="1" applyBorder="1" applyAlignment="1">
      <alignment vertical="top"/>
    </xf>
    <xf numFmtId="0" fontId="0" fillId="23" borderId="175" xfId="0" applyFill="1" applyBorder="1" applyAlignment="1">
      <alignment horizontal="left" vertical="top" wrapText="1"/>
    </xf>
    <xf numFmtId="0" fontId="64" fillId="23" borderId="175" xfId="0" applyFont="1" applyFill="1" applyBorder="1" applyAlignment="1">
      <alignment horizontal="left" vertical="top" wrapText="1"/>
    </xf>
    <xf numFmtId="0" fontId="64" fillId="23" borderId="175" xfId="0" applyFont="1" applyFill="1" applyBorder="1" applyAlignment="1">
      <alignment horizontal="left" vertical="top"/>
    </xf>
    <xf numFmtId="167" fontId="169" fillId="76" borderId="0" xfId="1" applyNumberFormat="1" applyFont="1" applyFill="1" applyAlignment="1">
      <alignment vertical="top"/>
    </xf>
    <xf numFmtId="167" fontId="238" fillId="76" borderId="175" xfId="1" applyNumberFormat="1" applyFont="1" applyFill="1" applyBorder="1" applyAlignment="1">
      <alignment vertical="top"/>
    </xf>
    <xf numFmtId="167" fontId="169" fillId="35" borderId="175" xfId="1" applyNumberFormat="1" applyFont="1" applyFill="1" applyBorder="1" applyAlignment="1">
      <alignment vertical="top"/>
    </xf>
    <xf numFmtId="167" fontId="304" fillId="35" borderId="175" xfId="1" applyNumberFormat="1" applyFont="1" applyFill="1" applyBorder="1" applyAlignment="1">
      <alignment vertical="top"/>
    </xf>
    <xf numFmtId="167" fontId="305" fillId="35" borderId="175" xfId="1" applyNumberFormat="1" applyFont="1" applyFill="1" applyBorder="1" applyAlignment="1">
      <alignment vertical="top"/>
    </xf>
    <xf numFmtId="167" fontId="306" fillId="35" borderId="175" xfId="1" applyNumberFormat="1" applyFont="1" applyFill="1" applyBorder="1" applyAlignment="1">
      <alignment vertical="top"/>
    </xf>
    <xf numFmtId="167" fontId="307" fillId="35" borderId="175" xfId="1" applyNumberFormat="1" applyFont="1" applyFill="1" applyBorder="1" applyAlignment="1">
      <alignment vertical="top"/>
    </xf>
    <xf numFmtId="0" fontId="0" fillId="23" borderId="175" xfId="0" applyFill="1" applyBorder="1" applyAlignment="1">
      <alignment vertical="top"/>
    </xf>
    <xf numFmtId="0" fontId="113" fillId="16" borderId="175" xfId="0" applyFont="1" applyFill="1" applyBorder="1" applyAlignment="1">
      <alignment vertical="top" wrapText="1"/>
    </xf>
    <xf numFmtId="167" fontId="169" fillId="16" borderId="175" xfId="1" applyNumberFormat="1" applyFont="1" applyFill="1" applyBorder="1" applyAlignment="1">
      <alignment vertical="top"/>
    </xf>
    <xf numFmtId="167" fontId="231" fillId="16" borderId="175" xfId="1" applyNumberFormat="1" applyFont="1" applyFill="1" applyBorder="1" applyAlignment="1">
      <alignment vertical="top"/>
    </xf>
    <xf numFmtId="167" fontId="153" fillId="16" borderId="175" xfId="1" applyNumberFormat="1" applyFont="1" applyFill="1" applyBorder="1" applyAlignment="1">
      <alignment vertical="top"/>
    </xf>
    <xf numFmtId="167" fontId="317" fillId="16" borderId="175" xfId="1" applyNumberFormat="1" applyFont="1" applyFill="1" applyBorder="1" applyAlignment="1">
      <alignment vertical="top"/>
    </xf>
    <xf numFmtId="167" fontId="318" fillId="16" borderId="175" xfId="1" applyNumberFormat="1" applyFont="1" applyFill="1" applyBorder="1" applyAlignment="1">
      <alignment vertical="top"/>
    </xf>
    <xf numFmtId="167" fontId="319" fillId="16" borderId="175" xfId="1" applyNumberFormat="1" applyFont="1" applyFill="1" applyBorder="1" applyAlignment="1">
      <alignment vertical="top"/>
    </xf>
    <xf numFmtId="167" fontId="231" fillId="76" borderId="175" xfId="1" applyNumberFormat="1" applyFont="1" applyFill="1" applyBorder="1" applyAlignment="1">
      <alignment horizontal="right" vertical="top"/>
    </xf>
    <xf numFmtId="0" fontId="219" fillId="16" borderId="175" xfId="0" applyFont="1" applyFill="1" applyBorder="1" applyAlignment="1">
      <alignment vertical="top" wrapText="1"/>
    </xf>
    <xf numFmtId="167" fontId="169" fillId="16" borderId="175" xfId="1" quotePrefix="1" applyNumberFormat="1" applyFont="1" applyFill="1" applyBorder="1" applyAlignment="1">
      <alignment vertical="top"/>
    </xf>
    <xf numFmtId="167" fontId="300" fillId="23" borderId="175" xfId="1" applyNumberFormat="1" applyFont="1" applyFill="1" applyBorder="1" applyAlignment="1">
      <alignment vertical="top"/>
    </xf>
    <xf numFmtId="167" fontId="301" fillId="23" borderId="175" xfId="1" applyNumberFormat="1" applyFont="1" applyFill="1" applyBorder="1" applyAlignment="1">
      <alignment vertical="top"/>
    </xf>
    <xf numFmtId="167" fontId="302" fillId="23" borderId="175" xfId="1" applyNumberFormat="1" applyFont="1" applyFill="1" applyBorder="1" applyAlignment="1">
      <alignment vertical="top"/>
    </xf>
    <xf numFmtId="0" fontId="0" fillId="0" borderId="0" xfId="0" applyAlignment="1">
      <alignment vertical="top" wrapText="1"/>
    </xf>
    <xf numFmtId="0" fontId="231" fillId="0" borderId="0" xfId="197" applyNumberFormat="1" applyFont="1" applyAlignment="1">
      <alignment vertical="top"/>
    </xf>
    <xf numFmtId="0" fontId="153" fillId="0" borderId="0" xfId="197" applyNumberFormat="1" applyFont="1" applyAlignment="1">
      <alignment vertical="top"/>
    </xf>
    <xf numFmtId="0" fontId="317" fillId="0" borderId="0" xfId="197" applyNumberFormat="1" applyFont="1" applyAlignment="1">
      <alignment vertical="top"/>
    </xf>
    <xf numFmtId="0" fontId="318" fillId="0" borderId="0" xfId="197" applyNumberFormat="1" applyFont="1" applyAlignment="1">
      <alignment vertical="top"/>
    </xf>
    <xf numFmtId="0" fontId="319" fillId="0" borderId="0" xfId="197" applyNumberFormat="1" applyFont="1" applyAlignment="1">
      <alignment vertical="top"/>
    </xf>
    <xf numFmtId="0" fontId="46" fillId="0" borderId="0" xfId="0" applyFont="1" applyAlignment="1">
      <alignment horizontal="right" vertical="top"/>
    </xf>
    <xf numFmtId="0" fontId="0" fillId="0" borderId="0" xfId="0" applyAlignment="1">
      <alignment horizontal="right" vertical="top" wrapText="1"/>
    </xf>
    <xf numFmtId="0" fontId="239" fillId="0" borderId="0" xfId="0" applyFont="1" applyAlignment="1">
      <alignment horizontal="right" vertical="top"/>
    </xf>
    <xf numFmtId="0" fontId="323" fillId="0" borderId="0" xfId="0" applyFont="1" applyAlignment="1">
      <alignment horizontal="right" vertical="top"/>
    </xf>
    <xf numFmtId="0" fontId="324" fillId="0" borderId="0" xfId="0" applyFont="1" applyAlignment="1">
      <alignment horizontal="left" vertical="top"/>
    </xf>
    <xf numFmtId="0" fontId="239" fillId="0" borderId="0" xfId="0" applyFont="1" applyAlignment="1">
      <alignment vertical="top"/>
    </xf>
    <xf numFmtId="0" fontId="241" fillId="0" borderId="0" xfId="173" applyFont="1" applyAlignment="1" applyProtection="1">
      <alignment vertical="top"/>
    </xf>
    <xf numFmtId="167" fontId="91" fillId="11" borderId="175" xfId="19" applyNumberFormat="1" applyFont="1" applyFill="1" applyBorder="1" applyProtection="1">
      <protection locked="0"/>
    </xf>
    <xf numFmtId="167" fontId="96" fillId="4" borderId="86" xfId="19" applyNumberFormat="1" applyFont="1" applyFill="1" applyBorder="1" applyProtection="1">
      <protection locked="0"/>
    </xf>
    <xf numFmtId="0" fontId="95" fillId="11" borderId="175" xfId="0" applyFont="1" applyFill="1" applyBorder="1" applyAlignment="1">
      <alignment horizontal="left" vertical="center" wrapText="1"/>
    </xf>
    <xf numFmtId="167" fontId="96" fillId="11" borderId="175" xfId="19" applyNumberFormat="1" applyFont="1" applyFill="1" applyBorder="1" applyProtection="1">
      <protection locked="0"/>
    </xf>
    <xf numFmtId="167" fontId="94" fillId="11" borderId="175" xfId="19" applyNumberFormat="1" applyFont="1" applyFill="1" applyBorder="1" applyProtection="1">
      <protection locked="0"/>
    </xf>
    <xf numFmtId="0" fontId="123" fillId="11" borderId="175" xfId="0" applyFont="1" applyFill="1" applyBorder="1" applyAlignment="1">
      <alignment horizontal="left" vertical="center" wrapText="1"/>
    </xf>
    <xf numFmtId="0" fontId="325" fillId="0" borderId="0" xfId="0" applyFont="1"/>
    <xf numFmtId="0" fontId="326" fillId="0" borderId="0" xfId="0" applyFont="1" applyAlignment="1">
      <alignment wrapText="1"/>
    </xf>
    <xf numFmtId="0" fontId="327" fillId="0" borderId="0" xfId="0" applyFont="1"/>
    <xf numFmtId="0" fontId="0" fillId="13" borderId="23" xfId="0" applyFill="1" applyBorder="1"/>
    <xf numFmtId="0" fontId="81" fillId="13" borderId="23" xfId="0" applyFont="1" applyFill="1" applyBorder="1" applyAlignment="1">
      <alignment wrapText="1"/>
    </xf>
    <xf numFmtId="0" fontId="0" fillId="0" borderId="6" xfId="0" applyBorder="1"/>
    <xf numFmtId="0" fontId="0" fillId="0" borderId="176" xfId="0" applyBorder="1"/>
    <xf numFmtId="181" fontId="0" fillId="0" borderId="8" xfId="0" applyNumberFormat="1" applyBorder="1" applyAlignment="1">
      <alignment horizontal="left"/>
    </xf>
    <xf numFmtId="0" fontId="0" fillId="0" borderId="163" xfId="0" applyBorder="1"/>
    <xf numFmtId="0" fontId="0" fillId="0" borderId="150" xfId="0" applyBorder="1"/>
    <xf numFmtId="181" fontId="0" fillId="0" borderId="174" xfId="243" applyNumberFormat="1" applyFont="1" applyBorder="1" applyAlignment="1">
      <alignment horizontal="left"/>
    </xf>
    <xf numFmtId="0" fontId="0" fillId="0" borderId="15" xfId="0" applyBorder="1"/>
    <xf numFmtId="0" fontId="0" fillId="0" borderId="28" xfId="0" applyBorder="1"/>
    <xf numFmtId="0" fontId="0" fillId="0" borderId="5" xfId="0" applyBorder="1"/>
    <xf numFmtId="181" fontId="0" fillId="0" borderId="23" xfId="243" applyNumberFormat="1" applyFont="1" applyBorder="1"/>
    <xf numFmtId="0" fontId="328" fillId="0" borderId="0" xfId="0" applyFont="1"/>
    <xf numFmtId="0" fontId="0" fillId="13" borderId="1" xfId="0" applyFill="1" applyBorder="1"/>
    <xf numFmtId="0" fontId="0" fillId="13" borderId="2" xfId="0" applyFill="1" applyBorder="1"/>
    <xf numFmtId="0" fontId="0" fillId="13" borderId="3" xfId="0" applyFill="1" applyBorder="1"/>
    <xf numFmtId="0" fontId="0" fillId="13" borderId="29" xfId="0" applyFill="1" applyBorder="1"/>
    <xf numFmtId="0" fontId="0" fillId="0" borderId="172" xfId="0" applyBorder="1"/>
    <xf numFmtId="0" fontId="0" fillId="0" borderId="175" xfId="0" applyBorder="1" applyAlignment="1">
      <alignment horizontal="center" vertical="center"/>
    </xf>
    <xf numFmtId="0" fontId="0" fillId="0" borderId="165" xfId="0" applyBorder="1"/>
    <xf numFmtId="0" fontId="0" fillId="0" borderId="175" xfId="0" applyBorder="1"/>
    <xf numFmtId="0" fontId="0" fillId="0" borderId="147" xfId="0" applyBorder="1"/>
    <xf numFmtId="0" fontId="0" fillId="0" borderId="175" xfId="0" applyBorder="1" applyAlignment="1">
      <alignment horizontal="center"/>
    </xf>
    <xf numFmtId="0" fontId="0" fillId="0" borderId="167" xfId="0" applyBorder="1"/>
    <xf numFmtId="0" fontId="0" fillId="0" borderId="1" xfId="0" applyBorder="1"/>
    <xf numFmtId="0" fontId="0" fillId="0" borderId="2" xfId="0" applyBorder="1"/>
    <xf numFmtId="0" fontId="0" fillId="13" borderId="4" xfId="0" applyFill="1" applyBorder="1"/>
    <xf numFmtId="0" fontId="0" fillId="0" borderId="35" xfId="0" applyBorder="1"/>
    <xf numFmtId="0" fontId="0" fillId="0" borderId="30" xfId="0" applyBorder="1"/>
    <xf numFmtId="0" fontId="0" fillId="0" borderId="17" xfId="0" applyBorder="1"/>
    <xf numFmtId="0" fontId="0" fillId="0" borderId="49" xfId="0" applyBorder="1"/>
    <xf numFmtId="0" fontId="329" fillId="0" borderId="0" xfId="0" applyFont="1"/>
    <xf numFmtId="0" fontId="0" fillId="13" borderId="1" xfId="0" applyFill="1" applyBorder="1" applyAlignment="1">
      <alignment vertical="center"/>
    </xf>
    <xf numFmtId="0" fontId="0" fillId="13" borderId="2" xfId="0" applyFill="1" applyBorder="1" applyAlignment="1">
      <alignment vertical="center"/>
    </xf>
    <xf numFmtId="0" fontId="0" fillId="13" borderId="2" xfId="0" applyFill="1" applyBorder="1" applyAlignment="1">
      <alignment vertical="center" wrapText="1"/>
    </xf>
    <xf numFmtId="0" fontId="0" fillId="13" borderId="4" xfId="0" applyFill="1" applyBorder="1" applyAlignment="1">
      <alignment wrapText="1"/>
    </xf>
    <xf numFmtId="0" fontId="0" fillId="13" borderId="150" xfId="0" applyFill="1" applyBorder="1" applyAlignment="1">
      <alignment vertical="center"/>
    </xf>
    <xf numFmtId="0" fontId="0" fillId="0" borderId="176" xfId="0" applyBorder="1" applyAlignment="1">
      <alignment horizontal="left" vertical="top" wrapText="1"/>
    </xf>
    <xf numFmtId="0" fontId="0" fillId="0" borderId="176" xfId="0" applyBorder="1" applyAlignment="1">
      <alignment horizontal="center" vertical="center"/>
    </xf>
    <xf numFmtId="0" fontId="0" fillId="0" borderId="34" xfId="0" applyBorder="1"/>
    <xf numFmtId="0" fontId="0" fillId="0" borderId="175" xfId="0" applyBorder="1" applyAlignment="1">
      <alignment horizontal="left" vertical="top" wrapText="1"/>
    </xf>
    <xf numFmtId="3" fontId="0" fillId="0" borderId="171" xfId="0" applyNumberFormat="1" applyBorder="1" applyAlignment="1">
      <alignment horizontal="center" vertical="center"/>
    </xf>
    <xf numFmtId="0" fontId="0" fillId="0" borderId="127" xfId="0" applyBorder="1"/>
    <xf numFmtId="0" fontId="0" fillId="0" borderId="177" xfId="0" applyBorder="1"/>
    <xf numFmtId="0" fontId="0" fillId="0" borderId="177" xfId="0" applyBorder="1" applyAlignment="1">
      <alignment vertical="top"/>
    </xf>
    <xf numFmtId="0" fontId="0" fillId="0" borderId="177" xfId="0" applyBorder="1" applyAlignment="1">
      <alignment horizontal="center" vertical="center"/>
    </xf>
    <xf numFmtId="0" fontId="0" fillId="0" borderId="118" xfId="0" applyBorder="1"/>
    <xf numFmtId="0" fontId="0" fillId="0" borderId="171" xfId="0" applyBorder="1"/>
    <xf numFmtId="0" fontId="0" fillId="0" borderId="154" xfId="0" applyBorder="1"/>
    <xf numFmtId="0" fontId="0" fillId="0" borderId="140" xfId="0" applyBorder="1"/>
    <xf numFmtId="0" fontId="0" fillId="0" borderId="140" xfId="0" applyBorder="1" applyAlignment="1">
      <alignment vertical="top" wrapText="1"/>
    </xf>
    <xf numFmtId="0" fontId="0" fillId="0" borderId="140" xfId="0" applyBorder="1" applyAlignment="1">
      <alignment horizontal="center" vertical="center"/>
    </xf>
    <xf numFmtId="0" fontId="0" fillId="0" borderId="141" xfId="0" applyBorder="1" applyAlignment="1">
      <alignment horizontal="center" vertical="center"/>
    </xf>
    <xf numFmtId="0" fontId="0" fillId="0" borderId="163" xfId="0" applyBorder="1" applyAlignment="1">
      <alignment horizontal="center" vertical="center"/>
    </xf>
    <xf numFmtId="0" fontId="330" fillId="0" borderId="48" xfId="0" applyFont="1" applyBorder="1" applyAlignment="1">
      <alignment horizontal="center"/>
    </xf>
    <xf numFmtId="3" fontId="330" fillId="0" borderId="48" xfId="0" applyNumberFormat="1" applyFont="1" applyBorder="1" applyAlignment="1">
      <alignment horizontal="center"/>
    </xf>
    <xf numFmtId="0" fontId="0" fillId="0" borderId="177" xfId="0" applyBorder="1" applyAlignment="1">
      <alignment horizontal="left" vertical="top" wrapText="1"/>
    </xf>
    <xf numFmtId="0" fontId="0" fillId="0" borderId="178" xfId="0" applyBorder="1" applyAlignment="1">
      <alignment horizontal="center" vertical="center"/>
    </xf>
    <xf numFmtId="0" fontId="0" fillId="0" borderId="127" xfId="0" applyBorder="1" applyAlignment="1">
      <alignment horizontal="center"/>
    </xf>
    <xf numFmtId="0" fontId="331" fillId="0" borderId="19" xfId="0" applyFont="1" applyBorder="1" applyAlignment="1">
      <alignment horizontal="center" vertical="top"/>
    </xf>
    <xf numFmtId="0" fontId="331" fillId="0" borderId="19" xfId="0" applyFont="1" applyBorder="1" applyAlignment="1">
      <alignment horizontal="center" vertical="center"/>
    </xf>
    <xf numFmtId="0" fontId="84" fillId="11" borderId="175" xfId="0" applyFont="1" applyFill="1" applyBorder="1" applyAlignment="1">
      <alignment horizontal="right" vertical="center" wrapText="1"/>
    </xf>
    <xf numFmtId="0" fontId="83" fillId="12" borderId="102" xfId="0" applyFont="1" applyFill="1" applyBorder="1" applyAlignment="1">
      <alignment horizontal="left" vertical="center" wrapText="1"/>
    </xf>
    <xf numFmtId="49" fontId="83" fillId="11" borderId="175" xfId="0" applyNumberFormat="1" applyFont="1" applyFill="1" applyBorder="1"/>
    <xf numFmtId="0" fontId="83" fillId="11" borderId="175" xfId="0" applyFont="1" applyFill="1" applyBorder="1" applyAlignment="1">
      <alignment horizontal="center"/>
    </xf>
    <xf numFmtId="0" fontId="100" fillId="23" borderId="175" xfId="0" applyFont="1" applyFill="1" applyBorder="1" applyAlignment="1">
      <alignment vertical="top" wrapText="1"/>
    </xf>
    <xf numFmtId="0" fontId="149" fillId="23" borderId="175" xfId="0" applyFont="1" applyFill="1" applyBorder="1" applyAlignment="1">
      <alignment horizontal="right" vertical="top" wrapText="1"/>
    </xf>
    <xf numFmtId="0" fontId="100" fillId="12" borderId="175" xfId="0" applyFont="1" applyFill="1" applyBorder="1" applyAlignment="1">
      <alignment vertical="top" wrapText="1"/>
    </xf>
    <xf numFmtId="0" fontId="83" fillId="23" borderId="175" xfId="0" applyFont="1" applyFill="1" applyBorder="1" applyAlignment="1">
      <alignment vertical="top" wrapText="1"/>
    </xf>
    <xf numFmtId="0" fontId="83" fillId="11" borderId="175" xfId="0" applyFont="1" applyFill="1" applyBorder="1" applyAlignment="1">
      <alignment horizontal="left" wrapText="1"/>
    </xf>
    <xf numFmtId="0" fontId="100" fillId="12" borderId="46" xfId="0" applyFont="1" applyFill="1" applyBorder="1" applyAlignment="1">
      <alignment vertical="top" wrapText="1"/>
    </xf>
    <xf numFmtId="0" fontId="100" fillId="12" borderId="0" xfId="0" applyFont="1" applyFill="1" applyAlignment="1">
      <alignment vertical="top" wrapText="1"/>
    </xf>
    <xf numFmtId="0" fontId="100" fillId="12" borderId="134" xfId="0" applyFont="1" applyFill="1" applyBorder="1" applyAlignment="1">
      <alignment vertical="top" wrapText="1"/>
    </xf>
    <xf numFmtId="0" fontId="84" fillId="23" borderId="175" xfId="0" applyFont="1" applyFill="1" applyBorder="1" applyAlignment="1">
      <alignment horizontal="left" vertical="center" wrapText="1"/>
    </xf>
    <xf numFmtId="0" fontId="83" fillId="23" borderId="175" xfId="0" applyFont="1" applyFill="1" applyBorder="1" applyAlignment="1">
      <alignment horizontal="left" vertical="center" wrapText="1"/>
    </xf>
    <xf numFmtId="0" fontId="149" fillId="12" borderId="102" xfId="0" applyFont="1" applyFill="1" applyBorder="1" applyAlignment="1">
      <alignment horizontal="right" vertical="top" wrapText="1"/>
    </xf>
    <xf numFmtId="0" fontId="72" fillId="0" borderId="175" xfId="0" applyFont="1" applyBorder="1"/>
    <xf numFmtId="49" fontId="72" fillId="0" borderId="175" xfId="0" applyNumberFormat="1" applyFont="1" applyBorder="1"/>
    <xf numFmtId="0" fontId="72" fillId="0" borderId="175" xfId="0" applyFont="1" applyBorder="1" applyAlignment="1">
      <alignment horizontal="center"/>
    </xf>
    <xf numFmtId="0" fontId="72" fillId="0" borderId="175" xfId="0" applyFont="1" applyBorder="1" applyAlignment="1">
      <alignment horizontal="left" vertical="center" wrapText="1"/>
    </xf>
    <xf numFmtId="167" fontId="83" fillId="14" borderId="89" xfId="19" applyNumberFormat="1" applyFont="1" applyFill="1" applyBorder="1" applyProtection="1">
      <protection locked="0"/>
    </xf>
    <xf numFmtId="0" fontId="149" fillId="12" borderId="89" xfId="0" applyFont="1" applyFill="1" applyBorder="1" applyAlignment="1">
      <alignment horizontal="left" vertical="center" wrapText="1"/>
    </xf>
    <xf numFmtId="167" fontId="149" fillId="11" borderId="175" xfId="19" applyNumberFormat="1" applyFont="1" applyFill="1" applyBorder="1" applyAlignment="1" applyProtection="1">
      <protection locked="0"/>
    </xf>
    <xf numFmtId="0" fontId="83" fillId="6" borderId="175" xfId="0" applyFont="1" applyFill="1" applyBorder="1" applyAlignment="1">
      <alignment horizontal="center"/>
    </xf>
    <xf numFmtId="0" fontId="149" fillId="11" borderId="0" xfId="0" applyFont="1" applyFill="1" applyAlignment="1">
      <alignment wrapText="1"/>
    </xf>
    <xf numFmtId="0" fontId="95" fillId="0" borderId="175" xfId="0" quotePrefix="1" applyFont="1" applyBorder="1"/>
    <xf numFmtId="0" fontId="87" fillId="23" borderId="175" xfId="0" applyFont="1" applyFill="1" applyBorder="1" applyAlignment="1">
      <alignment horizontal="right" vertical="top" wrapText="1"/>
    </xf>
    <xf numFmtId="0" fontId="149" fillId="12" borderId="151" xfId="0" applyFont="1" applyFill="1" applyBorder="1" applyAlignment="1">
      <alignment horizontal="right" vertical="top" wrapText="1"/>
    </xf>
    <xf numFmtId="0" fontId="84" fillId="23" borderId="175" xfId="0" applyFont="1" applyFill="1" applyBorder="1" applyAlignment="1">
      <alignment vertical="top" wrapText="1"/>
    </xf>
    <xf numFmtId="0" fontId="84" fillId="23" borderId="175" xfId="0" applyFont="1" applyFill="1" applyBorder="1" applyAlignment="1">
      <alignment horizontal="left" vertical="top" wrapText="1"/>
    </xf>
    <xf numFmtId="0" fontId="83" fillId="23" borderId="46" xfId="0" applyFont="1" applyFill="1" applyBorder="1" applyAlignment="1">
      <alignment vertical="top" wrapText="1"/>
    </xf>
    <xf numFmtId="0" fontId="76" fillId="19" borderId="175" xfId="0" applyFont="1" applyFill="1" applyBorder="1" applyAlignment="1">
      <alignment horizontal="left" vertical="center" wrapText="1"/>
    </xf>
    <xf numFmtId="0" fontId="84" fillId="23" borderId="175" xfId="0" applyFont="1" applyFill="1" applyBorder="1" applyAlignment="1">
      <alignment horizontal="right" vertical="top" wrapText="1"/>
    </xf>
    <xf numFmtId="0" fontId="83" fillId="12" borderId="151" xfId="0" applyFont="1" applyFill="1" applyBorder="1" applyAlignment="1">
      <alignment horizontal="left" vertical="center" wrapText="1"/>
    </xf>
    <xf numFmtId="0" fontId="255" fillId="0" borderId="0" xfId="0" applyFont="1" applyAlignment="1">
      <alignment wrapText="1"/>
    </xf>
    <xf numFmtId="0" fontId="72" fillId="0" borderId="175" xfId="0" quotePrefix="1" applyFont="1" applyBorder="1"/>
    <xf numFmtId="0" fontId="83" fillId="36" borderId="0" xfId="0" applyFont="1" applyFill="1"/>
    <xf numFmtId="0" fontId="253" fillId="36" borderId="46" xfId="0" applyFont="1" applyFill="1" applyBorder="1" applyAlignment="1">
      <alignment horizontal="right" vertical="top" wrapText="1"/>
    </xf>
    <xf numFmtId="0" fontId="100" fillId="36" borderId="134" xfId="0" applyFont="1" applyFill="1" applyBorder="1" applyAlignment="1">
      <alignment vertical="top" wrapText="1"/>
    </xf>
    <xf numFmtId="0" fontId="100" fillId="36" borderId="46" xfId="0" applyFont="1" applyFill="1" applyBorder="1" applyAlignment="1">
      <alignment vertical="top" wrapText="1"/>
    </xf>
    <xf numFmtId="0" fontId="84" fillId="36" borderId="46" xfId="0" applyFont="1" applyFill="1" applyBorder="1" applyAlignment="1">
      <alignment vertical="top" wrapText="1"/>
    </xf>
    <xf numFmtId="0" fontId="92" fillId="11" borderId="175" xfId="0" applyFont="1" applyFill="1" applyBorder="1"/>
    <xf numFmtId="0" fontId="253" fillId="36" borderId="0" xfId="0" applyFont="1" applyFill="1" applyAlignment="1">
      <alignment wrapText="1"/>
    </xf>
    <xf numFmtId="0" fontId="84" fillId="23" borderId="175" xfId="0" applyFont="1" applyFill="1" applyBorder="1" applyAlignment="1">
      <alignment horizontal="left" vertical="top" wrapText="1" indent="3"/>
    </xf>
    <xf numFmtId="0" fontId="84" fillId="36" borderId="46" xfId="0" applyFont="1" applyFill="1" applyBorder="1" applyAlignment="1">
      <alignment horizontal="left" vertical="top" wrapText="1" indent="3"/>
    </xf>
    <xf numFmtId="0" fontId="84" fillId="23" borderId="46" xfId="0" applyFont="1" applyFill="1" applyBorder="1" applyAlignment="1">
      <alignment horizontal="left" vertical="top" wrapText="1" indent="3"/>
    </xf>
    <xf numFmtId="0" fontId="84" fillId="19" borderId="134" xfId="0" applyFont="1" applyFill="1" applyBorder="1" applyAlignment="1">
      <alignment vertical="top" wrapText="1"/>
    </xf>
    <xf numFmtId="0" fontId="83" fillId="19" borderId="175" xfId="0" applyFont="1" applyFill="1" applyBorder="1" applyAlignment="1">
      <alignment vertical="top" wrapText="1"/>
    </xf>
    <xf numFmtId="0" fontId="84" fillId="19" borderId="55" xfId="0" applyFont="1" applyFill="1" applyBorder="1" applyAlignment="1">
      <alignment vertical="top" wrapText="1"/>
    </xf>
    <xf numFmtId="0" fontId="84" fillId="19" borderId="46" xfId="0" applyFont="1" applyFill="1" applyBorder="1" applyAlignment="1">
      <alignment vertical="top" wrapText="1"/>
    </xf>
    <xf numFmtId="0" fontId="84" fillId="36" borderId="46" xfId="0" applyFont="1" applyFill="1" applyBorder="1" applyAlignment="1">
      <alignment horizontal="left" vertical="top" wrapText="1"/>
    </xf>
    <xf numFmtId="0" fontId="84" fillId="36" borderId="0" xfId="0" applyFont="1" applyFill="1" applyAlignment="1">
      <alignment wrapText="1"/>
    </xf>
    <xf numFmtId="0" fontId="100" fillId="36" borderId="46" xfId="0" applyFont="1" applyFill="1" applyBorder="1" applyAlignment="1">
      <alignment horizontal="left" vertical="center" wrapText="1"/>
    </xf>
    <xf numFmtId="0" fontId="100" fillId="36" borderId="0" xfId="0" applyFont="1" applyFill="1" applyAlignment="1">
      <alignment horizontal="left" wrapText="1"/>
    </xf>
    <xf numFmtId="0" fontId="100" fillId="36" borderId="46" xfId="0" applyFont="1" applyFill="1" applyBorder="1" applyAlignment="1">
      <alignment horizontal="left" vertical="center" wrapText="1" indent="2"/>
    </xf>
    <xf numFmtId="0" fontId="72" fillId="0" borderId="89" xfId="0" quotePrefix="1" applyFont="1" applyBorder="1"/>
    <xf numFmtId="0" fontId="83" fillId="11" borderId="89" xfId="0" quotePrefix="1" applyFont="1" applyFill="1" applyBorder="1"/>
    <xf numFmtId="0" fontId="83" fillId="13" borderId="0" xfId="0" applyFont="1" applyFill="1" applyAlignment="1">
      <alignment wrapText="1"/>
    </xf>
    <xf numFmtId="0" fontId="86" fillId="11" borderId="11" xfId="0" applyFont="1" applyFill="1" applyBorder="1" applyAlignment="1">
      <alignment horizontal="left" vertical="center" wrapText="1"/>
    </xf>
    <xf numFmtId="167" fontId="86" fillId="11" borderId="176" xfId="23" applyNumberFormat="1" applyFont="1" applyFill="1" applyBorder="1" applyProtection="1">
      <protection locked="0"/>
    </xf>
    <xf numFmtId="167" fontId="83" fillId="11" borderId="176" xfId="23" applyNumberFormat="1" applyFont="1" applyFill="1" applyBorder="1" applyProtection="1">
      <protection locked="0"/>
    </xf>
    <xf numFmtId="0" fontId="332" fillId="19" borderId="0" xfId="244" applyFont="1" applyFill="1"/>
    <xf numFmtId="0" fontId="9" fillId="19" borderId="0" xfId="244" applyFill="1" applyAlignment="1">
      <alignment horizontal="center"/>
    </xf>
    <xf numFmtId="0" fontId="113" fillId="0" borderId="175" xfId="244" applyFont="1" applyBorder="1"/>
    <xf numFmtId="0" fontId="113" fillId="0" borderId="175" xfId="244" applyFont="1" applyBorder="1" applyAlignment="1">
      <alignment horizontal="center"/>
    </xf>
    <xf numFmtId="0" fontId="113" fillId="0" borderId="175" xfId="0" applyFont="1" applyBorder="1"/>
    <xf numFmtId="0" fontId="9" fillId="0" borderId="175" xfId="244" applyBorder="1" applyAlignment="1">
      <alignment wrapText="1"/>
    </xf>
    <xf numFmtId="0" fontId="9" fillId="0" borderId="175" xfId="244" applyBorder="1" applyAlignment="1">
      <alignment horizontal="center"/>
    </xf>
    <xf numFmtId="2" fontId="9" fillId="0" borderId="175" xfId="244" applyNumberFormat="1" applyBorder="1" applyAlignment="1">
      <alignment horizontal="center"/>
    </xf>
    <xf numFmtId="0" fontId="333" fillId="0" borderId="175" xfId="0" applyFont="1" applyBorder="1" applyAlignment="1">
      <alignment horizontal="center" wrapText="1"/>
    </xf>
    <xf numFmtId="0" fontId="9" fillId="0" borderId="0" xfId="244"/>
    <xf numFmtId="0" fontId="113" fillId="0" borderId="0" xfId="244" applyFont="1" applyAlignment="1">
      <alignment horizontal="center"/>
    </xf>
    <xf numFmtId="2" fontId="113" fillId="0" borderId="176" xfId="244" applyNumberFormat="1" applyFont="1" applyBorder="1" applyAlignment="1">
      <alignment horizontal="center"/>
    </xf>
    <xf numFmtId="0" fontId="320" fillId="19" borderId="0" xfId="244" applyFont="1" applyFill="1"/>
    <xf numFmtId="0" fontId="113" fillId="0" borderId="175" xfId="244" applyFont="1" applyBorder="1" applyAlignment="1">
      <alignment horizontal="left" vertical="center"/>
    </xf>
    <xf numFmtId="0" fontId="113" fillId="0" borderId="175" xfId="244" applyFont="1" applyBorder="1" applyAlignment="1">
      <alignment horizontal="center" vertical="center" wrapText="1"/>
    </xf>
    <xf numFmtId="0" fontId="113" fillId="0" borderId="175" xfId="244" applyFont="1" applyBorder="1" applyAlignment="1">
      <alignment horizontal="center" vertical="center"/>
    </xf>
    <xf numFmtId="0" fontId="9" fillId="0" borderId="175" xfId="244" applyBorder="1" applyAlignment="1">
      <alignment horizontal="left" vertical="center"/>
    </xf>
    <xf numFmtId="2" fontId="113" fillId="0" borderId="175" xfId="244" applyNumberFormat="1" applyFont="1" applyBorder="1" applyAlignment="1">
      <alignment horizontal="center" vertical="center"/>
    </xf>
    <xf numFmtId="0" fontId="9" fillId="0" borderId="175" xfId="244" applyBorder="1" applyAlignment="1">
      <alignment vertical="top" wrapText="1"/>
    </xf>
    <xf numFmtId="0" fontId="9" fillId="0" borderId="175" xfId="244" applyBorder="1" applyAlignment="1">
      <alignment horizontal="center" vertical="center"/>
    </xf>
    <xf numFmtId="2" fontId="9" fillId="0" borderId="175" xfId="244" applyNumberFormat="1" applyBorder="1" applyAlignment="1">
      <alignment horizontal="center" vertical="center"/>
    </xf>
    <xf numFmtId="1" fontId="113" fillId="0" borderId="175" xfId="244" applyNumberFormat="1" applyFont="1" applyBorder="1" applyAlignment="1">
      <alignment horizontal="center"/>
    </xf>
    <xf numFmtId="0" fontId="9" fillId="0" borderId="175" xfId="244" applyBorder="1" applyAlignment="1">
      <alignment horizontal="left" vertical="center" wrapText="1"/>
    </xf>
    <xf numFmtId="0" fontId="9" fillId="0" borderId="175" xfId="244" applyBorder="1" applyAlignment="1">
      <alignment horizontal="center" vertical="center" wrapText="1"/>
    </xf>
    <xf numFmtId="0" fontId="9" fillId="19" borderId="0" xfId="244" applyFill="1" applyAlignment="1">
      <alignment horizontal="right"/>
    </xf>
    <xf numFmtId="0" fontId="66" fillId="0" borderId="175" xfId="0" applyFont="1" applyBorder="1" applyAlignment="1">
      <alignment horizontal="left" vertical="center" wrapText="1"/>
    </xf>
    <xf numFmtId="1" fontId="0" fillId="0" borderId="0" xfId="0" applyNumberFormat="1"/>
    <xf numFmtId="0" fontId="135" fillId="0" borderId="175" xfId="0" applyFont="1" applyBorder="1" applyAlignment="1">
      <alignment horizontal="left" vertical="center" wrapText="1"/>
    </xf>
    <xf numFmtId="0" fontId="137" fillId="0" borderId="175" xfId="0" applyFont="1" applyBorder="1" applyAlignment="1">
      <alignment horizontal="left" vertical="center" wrapText="1"/>
    </xf>
    <xf numFmtId="0" fontId="126" fillId="0" borderId="175" xfId="0" applyFont="1" applyBorder="1" applyAlignment="1">
      <alignment horizontal="center" vertical="center"/>
    </xf>
    <xf numFmtId="0" fontId="334" fillId="0" borderId="175" xfId="0" applyFont="1" applyBorder="1" applyAlignment="1">
      <alignment horizontal="center" vertical="center" wrapText="1"/>
    </xf>
    <xf numFmtId="0" fontId="111" fillId="0" borderId="175" xfId="0" applyFont="1" applyBorder="1" applyAlignment="1">
      <alignment horizontal="center" vertical="center"/>
    </xf>
    <xf numFmtId="0" fontId="335" fillId="0" borderId="150" xfId="0" applyFont="1" applyBorder="1" applyAlignment="1">
      <alignment horizontal="center" vertical="center" wrapText="1"/>
    </xf>
    <xf numFmtId="0" fontId="335" fillId="0" borderId="0" xfId="0" applyFont="1" applyAlignment="1">
      <alignment vertical="center" wrapText="1"/>
    </xf>
    <xf numFmtId="0" fontId="198" fillId="0" borderId="46" xfId="0" applyFont="1" applyBorder="1"/>
    <xf numFmtId="0" fontId="198" fillId="0" borderId="0" xfId="0" applyFont="1"/>
    <xf numFmtId="0" fontId="63" fillId="0" borderId="175" xfId="0" applyFont="1" applyBorder="1"/>
    <xf numFmtId="0" fontId="198" fillId="0" borderId="46" xfId="0" applyFont="1" applyBorder="1" applyAlignment="1">
      <alignment wrapText="1"/>
    </xf>
    <xf numFmtId="0" fontId="336" fillId="0" borderId="23" xfId="0" applyFont="1" applyBorder="1" applyAlignment="1">
      <alignment vertical="center" wrapText="1"/>
    </xf>
    <xf numFmtId="0" fontId="198" fillId="82" borderId="5" xfId="0" applyFont="1" applyFill="1" applyBorder="1" applyAlignment="1">
      <alignment vertical="center" wrapText="1"/>
    </xf>
    <xf numFmtId="0" fontId="198" fillId="0" borderId="31" xfId="0" applyFont="1" applyBorder="1" applyAlignment="1">
      <alignment vertical="center" wrapText="1"/>
    </xf>
    <xf numFmtId="0" fontId="336" fillId="0" borderId="19" xfId="0" applyFont="1" applyBorder="1" applyAlignment="1">
      <alignment vertical="center" wrapText="1"/>
    </xf>
    <xf numFmtId="0" fontId="62" fillId="0" borderId="175" xfId="0" applyFont="1" applyBorder="1"/>
    <xf numFmtId="0" fontId="160" fillId="0" borderId="175" xfId="0" applyFont="1" applyBorder="1"/>
    <xf numFmtId="0" fontId="273" fillId="0" borderId="175" xfId="0" applyFont="1" applyBorder="1"/>
    <xf numFmtId="0" fontId="127" fillId="0" borderId="175" xfId="0" applyFont="1" applyBorder="1" applyAlignment="1">
      <alignment wrapText="1"/>
    </xf>
    <xf numFmtId="0" fontId="127" fillId="0" borderId="175" xfId="0" applyFont="1" applyBorder="1"/>
    <xf numFmtId="0" fontId="110" fillId="0" borderId="175" xfId="0" applyFont="1" applyBorder="1"/>
    <xf numFmtId="0" fontId="0" fillId="0" borderId="148" xfId="0" applyBorder="1"/>
    <xf numFmtId="0" fontId="290" fillId="0" borderId="46" xfId="0" applyFont="1" applyBorder="1" applyAlignment="1">
      <alignment vertical="center"/>
    </xf>
    <xf numFmtId="0" fontId="290" fillId="0" borderId="46" xfId="0" applyFont="1" applyBorder="1" applyAlignment="1">
      <alignment horizontal="center" vertical="center" wrapText="1"/>
    </xf>
    <xf numFmtId="0" fontId="290" fillId="0" borderId="46" xfId="0" applyFont="1" applyBorder="1" applyAlignment="1">
      <alignment horizontal="center" vertical="center"/>
    </xf>
    <xf numFmtId="17" fontId="336" fillId="0" borderId="0" xfId="0" applyNumberFormat="1" applyFont="1"/>
    <xf numFmtId="0" fontId="336" fillId="0" borderId="46" xfId="0" applyFont="1" applyBorder="1" applyAlignment="1">
      <alignment horizontal="center"/>
    </xf>
    <xf numFmtId="0" fontId="336" fillId="0" borderId="46" xfId="0" applyFont="1" applyBorder="1"/>
    <xf numFmtId="2" fontId="336" fillId="0" borderId="46" xfId="0" applyNumberFormat="1" applyFont="1" applyBorder="1" applyAlignment="1">
      <alignment horizontal="center"/>
    </xf>
    <xf numFmtId="1" fontId="127" fillId="0" borderId="46" xfId="0" applyNumberFormat="1" applyFont="1" applyBorder="1" applyAlignment="1">
      <alignment horizontal="center"/>
    </xf>
    <xf numFmtId="0" fontId="127" fillId="0" borderId="46" xfId="0" applyFont="1" applyBorder="1"/>
    <xf numFmtId="2" fontId="127" fillId="0" borderId="46" xfId="0" applyNumberFormat="1" applyFont="1" applyBorder="1" applyAlignment="1">
      <alignment horizontal="center"/>
    </xf>
    <xf numFmtId="0" fontId="337" fillId="83" borderId="0" xfId="0" applyFont="1" applyFill="1"/>
    <xf numFmtId="0" fontId="338" fillId="83" borderId="0" xfId="0" applyFont="1" applyFill="1"/>
    <xf numFmtId="0" fontId="127" fillId="0" borderId="46" xfId="0" applyFont="1" applyBorder="1" applyAlignment="1">
      <alignment horizontal="center"/>
    </xf>
    <xf numFmtId="0" fontId="339" fillId="0" borderId="46" xfId="0" applyFont="1" applyBorder="1"/>
    <xf numFmtId="1" fontId="336" fillId="0" borderId="46" xfId="0" applyNumberFormat="1" applyFont="1" applyBorder="1" applyAlignment="1">
      <alignment horizontal="center"/>
    </xf>
    <xf numFmtId="0" fontId="340" fillId="0" borderId="46" xfId="0" applyFont="1" applyBorder="1"/>
    <xf numFmtId="0" fontId="341" fillId="0" borderId="0" xfId="0" applyFont="1" applyAlignment="1">
      <alignment horizontal="left" vertical="center" wrapText="1"/>
    </xf>
    <xf numFmtId="0" fontId="218" fillId="0" borderId="46" xfId="173" applyBorder="1" applyAlignment="1">
      <alignment horizontal="center"/>
    </xf>
    <xf numFmtId="0" fontId="342" fillId="0" borderId="0" xfId="0" applyFont="1" applyAlignment="1">
      <alignment vertical="top" wrapText="1"/>
    </xf>
    <xf numFmtId="0" fontId="218" fillId="0" borderId="46" xfId="173" applyBorder="1"/>
    <xf numFmtId="0" fontId="127" fillId="0" borderId="46" xfId="0" applyFont="1" applyBorder="1" applyAlignment="1">
      <alignment vertical="center" wrapText="1"/>
    </xf>
    <xf numFmtId="0" fontId="127" fillId="0" borderId="55" xfId="0" applyFont="1" applyBorder="1" applyAlignment="1">
      <alignment horizontal="center"/>
    </xf>
    <xf numFmtId="0" fontId="342" fillId="0" borderId="0" xfId="0" applyFont="1" applyAlignment="1">
      <alignment horizontal="left" vertical="center" wrapText="1"/>
    </xf>
    <xf numFmtId="2" fontId="336" fillId="0" borderId="55" xfId="0" applyNumberFormat="1" applyFont="1" applyBorder="1" applyAlignment="1">
      <alignment horizontal="center"/>
    </xf>
    <xf numFmtId="1" fontId="336" fillId="0" borderId="55" xfId="0" applyNumberFormat="1" applyFont="1" applyBorder="1" applyAlignment="1">
      <alignment horizontal="center"/>
    </xf>
    <xf numFmtId="0" fontId="218" fillId="0" borderId="55" xfId="173" applyBorder="1"/>
    <xf numFmtId="0" fontId="180" fillId="2" borderId="46" xfId="106" applyBorder="1" applyAlignment="1">
      <alignment horizontal="center"/>
    </xf>
    <xf numFmtId="0" fontId="180" fillId="2" borderId="46" xfId="106" applyBorder="1" applyAlignment="1">
      <alignment wrapText="1"/>
    </xf>
    <xf numFmtId="2" fontId="180" fillId="2" borderId="46" xfId="106" applyNumberFormat="1" applyBorder="1" applyAlignment="1">
      <alignment horizontal="center"/>
    </xf>
    <xf numFmtId="1" fontId="180" fillId="2" borderId="46" xfId="106" applyNumberFormat="1" applyBorder="1" applyAlignment="1">
      <alignment horizontal="center"/>
    </xf>
    <xf numFmtId="0" fontId="180" fillId="2" borderId="46" xfId="106" applyBorder="1"/>
    <xf numFmtId="0" fontId="181" fillId="40" borderId="46" xfId="107" applyBorder="1" applyAlignment="1">
      <alignment horizontal="center"/>
    </xf>
    <xf numFmtId="0" fontId="181" fillId="40" borderId="46" xfId="107" applyBorder="1"/>
    <xf numFmtId="2" fontId="181" fillId="40" borderId="46" xfId="107" applyNumberFormat="1" applyBorder="1" applyAlignment="1">
      <alignment horizontal="center"/>
    </xf>
    <xf numFmtId="1" fontId="181" fillId="40" borderId="46" xfId="107" applyNumberFormat="1" applyBorder="1" applyAlignment="1">
      <alignment horizontal="center"/>
    </xf>
    <xf numFmtId="0" fontId="181" fillId="40" borderId="46" xfId="107" applyBorder="1" applyAlignment="1">
      <alignment horizontal="left" vertical="center" wrapText="1"/>
    </xf>
    <xf numFmtId="0" fontId="218" fillId="40" borderId="46" xfId="173" applyFill="1" applyBorder="1"/>
    <xf numFmtId="0" fontId="180" fillId="2" borderId="46" xfId="106" applyBorder="1" applyAlignment="1">
      <alignment horizontal="left" vertical="center" wrapText="1"/>
    </xf>
    <xf numFmtId="0" fontId="181" fillId="40" borderId="46" xfId="107" applyBorder="1" applyAlignment="1">
      <alignment vertical="center" wrapText="1"/>
    </xf>
    <xf numFmtId="0" fontId="181" fillId="40" borderId="46" xfId="107" applyBorder="1" applyAlignment="1">
      <alignment wrapText="1"/>
    </xf>
    <xf numFmtId="0" fontId="180" fillId="2" borderId="46" xfId="106" applyBorder="1" applyAlignment="1">
      <alignment vertical="center" wrapText="1"/>
    </xf>
    <xf numFmtId="0" fontId="127" fillId="0" borderId="46" xfId="0" applyFont="1" applyBorder="1" applyAlignment="1">
      <alignment horizontal="center" vertical="center"/>
    </xf>
    <xf numFmtId="0" fontId="343" fillId="0" borderId="46" xfId="0" applyFont="1" applyBorder="1"/>
    <xf numFmtId="2" fontId="290" fillId="0" borderId="46" xfId="0" applyNumberFormat="1" applyFont="1" applyBorder="1" applyAlignment="1">
      <alignment horizontal="center"/>
    </xf>
    <xf numFmtId="0" fontId="113" fillId="19" borderId="0" xfId="0" applyFont="1" applyFill="1"/>
    <xf numFmtId="0" fontId="9" fillId="0" borderId="175" xfId="0" applyFont="1" applyBorder="1"/>
    <xf numFmtId="0" fontId="0" fillId="0" borderId="175" xfId="0" applyBorder="1" applyAlignment="1">
      <alignment horizontal="center" wrapText="1"/>
    </xf>
    <xf numFmtId="0" fontId="0" fillId="0" borderId="175" xfId="0" applyBorder="1" applyAlignment="1">
      <alignment wrapText="1"/>
    </xf>
    <xf numFmtId="0" fontId="113" fillId="0" borderId="175" xfId="0" applyFont="1" applyBorder="1" applyAlignment="1">
      <alignment wrapText="1"/>
    </xf>
    <xf numFmtId="0" fontId="9" fillId="0" borderId="175" xfId="0" applyFont="1" applyBorder="1" applyAlignment="1">
      <alignment wrapText="1"/>
    </xf>
    <xf numFmtId="0" fontId="344" fillId="0" borderId="46" xfId="0" applyFont="1" applyBorder="1" applyAlignment="1">
      <alignment horizontal="center" vertical="center" wrapText="1"/>
    </xf>
    <xf numFmtId="49" fontId="344" fillId="0" borderId="46" xfId="0" applyNumberFormat="1" applyFont="1" applyBorder="1" applyAlignment="1">
      <alignment horizontal="left" vertical="center" wrapText="1"/>
    </xf>
    <xf numFmtId="2" fontId="344" fillId="0" borderId="46" xfId="0" applyNumberFormat="1" applyFont="1" applyBorder="1" applyAlignment="1">
      <alignment horizontal="right" vertical="center" wrapText="1"/>
    </xf>
    <xf numFmtId="2" fontId="344" fillId="0" borderId="46" xfId="0" applyNumberFormat="1" applyFont="1" applyBorder="1" applyAlignment="1">
      <alignment vertical="center" wrapText="1"/>
    </xf>
    <xf numFmtId="0" fontId="344" fillId="0" borderId="46" xfId="0" applyFont="1" applyBorder="1" applyAlignment="1">
      <alignment horizontal="left" vertical="center" wrapText="1"/>
    </xf>
    <xf numFmtId="0" fontId="344" fillId="0" borderId="0" xfId="0" applyFont="1" applyAlignment="1">
      <alignment horizontal="center" vertical="center" wrapText="1"/>
    </xf>
    <xf numFmtId="0" fontId="344" fillId="0" borderId="181" xfId="0" applyFont="1" applyBorder="1" applyAlignment="1">
      <alignment horizontal="left" vertical="center" wrapText="1"/>
    </xf>
    <xf numFmtId="0" fontId="344" fillId="0" borderId="182" xfId="0" applyFont="1" applyBorder="1" applyAlignment="1">
      <alignment horizontal="center" vertical="center" wrapText="1"/>
    </xf>
    <xf numFmtId="0" fontId="344" fillId="0" borderId="183" xfId="0" applyFont="1" applyBorder="1" applyAlignment="1">
      <alignment horizontal="center" vertical="center" wrapText="1"/>
    </xf>
    <xf numFmtId="49" fontId="344" fillId="0" borderId="46" xfId="0" applyNumberFormat="1" applyFont="1" applyBorder="1" applyAlignment="1">
      <alignment horizontal="right" vertical="top" wrapText="1"/>
    </xf>
    <xf numFmtId="0" fontId="345" fillId="0" borderId="184" xfId="0" applyFont="1" applyBorder="1" applyAlignment="1">
      <alignment horizontal="center" vertical="center" wrapText="1"/>
    </xf>
    <xf numFmtId="0" fontId="344" fillId="0" borderId="185" xfId="0" applyFont="1" applyBorder="1" applyAlignment="1">
      <alignment horizontal="left" vertical="center" wrapText="1"/>
    </xf>
    <xf numFmtId="0" fontId="344" fillId="0" borderId="185" xfId="0" applyFont="1" applyBorder="1" applyAlignment="1">
      <alignment horizontal="center" vertical="center" wrapText="1"/>
    </xf>
    <xf numFmtId="0" fontId="344" fillId="0" borderId="186" xfId="0" applyFont="1" applyBorder="1" applyAlignment="1">
      <alignment horizontal="center" vertical="center" wrapText="1"/>
    </xf>
    <xf numFmtId="49" fontId="344" fillId="0" borderId="46" xfId="0" applyNumberFormat="1" applyFont="1" applyBorder="1" applyAlignment="1">
      <alignment horizontal="right" vertical="top"/>
    </xf>
    <xf numFmtId="0" fontId="345" fillId="0" borderId="185" xfId="0" applyFont="1" applyBorder="1" applyAlignment="1">
      <alignment horizontal="center" vertical="center" wrapText="1"/>
    </xf>
    <xf numFmtId="49" fontId="344" fillId="0" borderId="46" xfId="0" applyNumberFormat="1" applyFont="1" applyBorder="1" applyAlignment="1">
      <alignment horizontal="right" vertical="center"/>
    </xf>
    <xf numFmtId="0" fontId="345" fillId="0" borderId="0" xfId="0" applyFont="1" applyAlignment="1">
      <alignment horizontal="center" vertical="center" wrapText="1"/>
    </xf>
    <xf numFmtId="0" fontId="344" fillId="0" borderId="0" xfId="0" applyFont="1" applyAlignment="1">
      <alignment horizontal="left" vertical="center" wrapText="1"/>
    </xf>
    <xf numFmtId="49" fontId="344" fillId="0" borderId="0" xfId="0" applyNumberFormat="1" applyFont="1" applyAlignment="1">
      <alignment horizontal="right" vertical="center"/>
    </xf>
    <xf numFmtId="2" fontId="344" fillId="0" borderId="0" xfId="0" applyNumberFormat="1" applyFont="1" applyAlignment="1">
      <alignment vertical="center" wrapText="1"/>
    </xf>
    <xf numFmtId="0" fontId="170" fillId="0" borderId="0" xfId="1" applyNumberFormat="1" applyFont="1"/>
    <xf numFmtId="0" fontId="346" fillId="0" borderId="0" xfId="1" applyNumberFormat="1" applyFont="1"/>
    <xf numFmtId="0" fontId="118" fillId="0" borderId="0" xfId="0" applyFont="1"/>
    <xf numFmtId="0" fontId="347" fillId="0" borderId="0" xfId="0" applyFont="1"/>
    <xf numFmtId="0" fontId="348" fillId="0" borderId="0" xfId="0" applyFont="1"/>
    <xf numFmtId="0" fontId="350" fillId="0" borderId="0" xfId="0" applyFont="1" applyAlignment="1">
      <alignment wrapText="1"/>
    </xf>
    <xf numFmtId="0" fontId="113" fillId="0" borderId="0" xfId="0" applyFont="1" applyAlignment="1">
      <alignment wrapText="1"/>
    </xf>
    <xf numFmtId="0" fontId="351" fillId="0" borderId="0" xfId="0" applyFont="1"/>
    <xf numFmtId="0" fontId="352" fillId="0" borderId="0" xfId="0" applyFont="1"/>
    <xf numFmtId="1" fontId="351" fillId="0" borderId="0" xfId="0" applyNumberFormat="1" applyFont="1"/>
    <xf numFmtId="1" fontId="63" fillId="0" borderId="0" xfId="0" applyNumberFormat="1" applyFont="1"/>
    <xf numFmtId="0" fontId="290" fillId="0" borderId="175" xfId="0" applyFont="1" applyBorder="1"/>
    <xf numFmtId="2" fontId="290" fillId="0" borderId="175" xfId="0" applyNumberFormat="1" applyFont="1" applyBorder="1"/>
    <xf numFmtId="2" fontId="0" fillId="0" borderId="175" xfId="0" applyNumberFormat="1" applyBorder="1"/>
    <xf numFmtId="9" fontId="0" fillId="0" borderId="175" xfId="0" applyNumberFormat="1" applyBorder="1"/>
    <xf numFmtId="0" fontId="113" fillId="0" borderId="0" xfId="0" applyFont="1" applyAlignment="1">
      <alignment horizontal="right"/>
    </xf>
    <xf numFmtId="2" fontId="113" fillId="0" borderId="175" xfId="0" applyNumberFormat="1" applyFont="1" applyBorder="1"/>
    <xf numFmtId="0" fontId="353" fillId="19" borderId="0" xfId="0" applyFont="1" applyFill="1"/>
    <xf numFmtId="0" fontId="354" fillId="0" borderId="0" xfId="0" applyFont="1"/>
    <xf numFmtId="2" fontId="113" fillId="0" borderId="0" xfId="0" applyNumberFormat="1" applyFont="1"/>
    <xf numFmtId="0" fontId="0" fillId="0" borderId="0" xfId="1" applyNumberFormat="1" applyFont="1" applyFill="1" applyBorder="1" applyAlignment="1">
      <alignment horizontal="right" vertical="top"/>
    </xf>
    <xf numFmtId="0" fontId="0" fillId="0" borderId="111" xfId="0" applyBorder="1" applyAlignment="1">
      <alignment vertical="center" wrapText="1"/>
    </xf>
    <xf numFmtId="0" fontId="161" fillId="0" borderId="0" xfId="0" applyFont="1" applyAlignment="1">
      <alignment horizontal="right"/>
    </xf>
    <xf numFmtId="2" fontId="161" fillId="0" borderId="175" xfId="0" applyNumberFormat="1" applyFont="1" applyBorder="1"/>
    <xf numFmtId="0" fontId="9" fillId="0" borderId="0" xfId="0" applyFont="1" applyAlignment="1">
      <alignment horizontal="left"/>
    </xf>
    <xf numFmtId="0" fontId="0" fillId="0" borderId="150" xfId="0" applyBorder="1" applyAlignment="1">
      <alignment vertical="center" wrapText="1"/>
    </xf>
    <xf numFmtId="0" fontId="131" fillId="0" borderId="171" xfId="0" applyFont="1" applyBorder="1" applyAlignment="1">
      <alignment vertical="center" wrapText="1"/>
    </xf>
    <xf numFmtId="0" fontId="358" fillId="0" borderId="171" xfId="0" applyFont="1" applyBorder="1" applyAlignment="1">
      <alignment vertical="center" wrapText="1"/>
    </xf>
    <xf numFmtId="0" fontId="0" fillId="0" borderId="171" xfId="0" applyBorder="1" applyAlignment="1">
      <alignment vertical="center" wrapText="1"/>
    </xf>
    <xf numFmtId="0" fontId="0" fillId="0" borderId="176" xfId="0" applyBorder="1" applyAlignment="1">
      <alignment vertical="center" wrapText="1"/>
    </xf>
    <xf numFmtId="0" fontId="358" fillId="0" borderId="0" xfId="0" applyFont="1" applyAlignment="1">
      <alignment horizontal="left"/>
    </xf>
    <xf numFmtId="0" fontId="0" fillId="0" borderId="171" xfId="0" applyBorder="1" applyAlignment="1">
      <alignment horizontal="left"/>
    </xf>
    <xf numFmtId="0" fontId="358" fillId="0" borderId="176" xfId="0" applyFont="1" applyBorder="1" applyAlignment="1">
      <alignment horizontal="left"/>
    </xf>
    <xf numFmtId="0" fontId="359" fillId="0" borderId="0" xfId="0" applyFont="1"/>
    <xf numFmtId="2" fontId="161" fillId="0" borderId="0" xfId="0" applyNumberFormat="1" applyFont="1"/>
    <xf numFmtId="0" fontId="161" fillId="19" borderId="0" xfId="0" applyFont="1" applyFill="1"/>
    <xf numFmtId="0" fontId="113" fillId="0" borderId="0" xfId="0" applyFont="1" applyAlignment="1">
      <alignment horizontal="center"/>
    </xf>
    <xf numFmtId="1" fontId="0" fillId="0" borderId="175" xfId="0" applyNumberFormat="1" applyBorder="1"/>
    <xf numFmtId="0" fontId="111" fillId="0" borderId="175" xfId="0" applyFont="1" applyBorder="1" applyAlignment="1">
      <alignment wrapText="1"/>
    </xf>
    <xf numFmtId="0" fontId="111" fillId="0" borderId="175" xfId="0" applyFont="1" applyBorder="1"/>
    <xf numFmtId="0" fontId="161" fillId="19" borderId="153" xfId="0" applyFont="1" applyFill="1" applyBorder="1"/>
    <xf numFmtId="0" fontId="349" fillId="19" borderId="153" xfId="0" applyFont="1" applyFill="1" applyBorder="1"/>
    <xf numFmtId="0" fontId="353" fillId="19" borderId="153" xfId="0" applyFont="1" applyFill="1" applyBorder="1" applyAlignment="1">
      <alignment vertical="top"/>
    </xf>
    <xf numFmtId="0" fontId="360" fillId="19" borderId="153" xfId="0" applyFont="1" applyFill="1" applyBorder="1" applyAlignment="1">
      <alignment vertical="top"/>
    </xf>
    <xf numFmtId="0" fontId="361" fillId="19" borderId="0" xfId="0" applyFont="1" applyFill="1"/>
    <xf numFmtId="0" fontId="361" fillId="0" borderId="0" xfId="0" applyFont="1"/>
    <xf numFmtId="0" fontId="347" fillId="19" borderId="153" xfId="0" applyFont="1" applyFill="1" applyBorder="1" applyAlignment="1">
      <alignment vertical="top"/>
    </xf>
    <xf numFmtId="0" fontId="347" fillId="0" borderId="153" xfId="0" applyFont="1" applyBorder="1" applyAlignment="1">
      <alignment vertical="top"/>
    </xf>
    <xf numFmtId="0" fontId="0" fillId="0" borderId="150" xfId="0" applyBorder="1" applyAlignment="1">
      <alignment vertical="top" wrapText="1"/>
    </xf>
    <xf numFmtId="0" fontId="0" fillId="0" borderId="150" xfId="0" applyBorder="1" applyAlignment="1">
      <alignment vertical="top"/>
    </xf>
    <xf numFmtId="0" fontId="109" fillId="19" borderId="0" xfId="0" applyFont="1" applyFill="1"/>
    <xf numFmtId="0" fontId="109" fillId="0" borderId="175" xfId="0" applyFont="1" applyBorder="1"/>
    <xf numFmtId="0" fontId="288" fillId="0" borderId="175" xfId="0" applyFont="1" applyBorder="1" applyAlignment="1">
      <alignment horizontal="left" vertical="center" wrapText="1"/>
    </xf>
    <xf numFmtId="4" fontId="199" fillId="0" borderId="175" xfId="0" applyNumberFormat="1" applyFont="1" applyBorder="1" applyAlignment="1">
      <alignment horizontal="center"/>
    </xf>
    <xf numFmtId="0" fontId="58" fillId="0" borderId="175" xfId="0" applyFont="1" applyBorder="1" applyAlignment="1">
      <alignment wrapText="1"/>
    </xf>
    <xf numFmtId="0" fontId="109" fillId="0" borderId="175" xfId="0" applyFont="1" applyBorder="1" applyAlignment="1">
      <alignment horizontal="center"/>
    </xf>
    <xf numFmtId="0" fontId="109" fillId="0" borderId="175" xfId="0" applyFont="1" applyBorder="1" applyAlignment="1">
      <alignment horizontal="left"/>
    </xf>
    <xf numFmtId="0" fontId="109" fillId="0" borderId="175" xfId="0" applyFont="1" applyBorder="1" applyAlignment="1">
      <alignment wrapText="1"/>
    </xf>
    <xf numFmtId="4" fontId="109" fillId="0" borderId="175" xfId="0" applyNumberFormat="1" applyFont="1" applyBorder="1" applyAlignment="1">
      <alignment horizontal="center"/>
    </xf>
    <xf numFmtId="0" fontId="110" fillId="0" borderId="175" xfId="0" applyFont="1" applyBorder="1" applyAlignment="1">
      <alignment wrapText="1"/>
    </xf>
    <xf numFmtId="2" fontId="109" fillId="0" borderId="175" xfId="0" applyNumberFormat="1" applyFont="1" applyBorder="1" applyAlignment="1">
      <alignment horizontal="center"/>
    </xf>
    <xf numFmtId="0" fontId="108" fillId="0" borderId="0" xfId="0" applyFont="1"/>
    <xf numFmtId="0" fontId="107" fillId="0" borderId="175" xfId="0" applyFont="1" applyBorder="1" applyAlignment="1">
      <alignment horizontal="left" vertical="center" wrapText="1"/>
    </xf>
    <xf numFmtId="4" fontId="199" fillId="0" borderId="175" xfId="0" applyNumberFormat="1" applyFont="1" applyBorder="1"/>
    <xf numFmtId="0" fontId="110" fillId="0" borderId="0" xfId="0" applyFont="1" applyAlignment="1">
      <alignment wrapText="1"/>
    </xf>
    <xf numFmtId="0" fontId="109" fillId="32" borderId="175" xfId="0" applyFont="1" applyFill="1" applyBorder="1"/>
    <xf numFmtId="0" fontId="287" fillId="32" borderId="175" xfId="0" applyFont="1" applyFill="1" applyBorder="1" applyAlignment="1">
      <alignment wrapText="1"/>
    </xf>
    <xf numFmtId="0" fontId="109" fillId="32" borderId="175" xfId="0" applyFont="1" applyFill="1" applyBorder="1" applyAlignment="1">
      <alignment horizontal="center"/>
    </xf>
    <xf numFmtId="0" fontId="110" fillId="32" borderId="0" xfId="0" applyFont="1" applyFill="1" applyAlignment="1">
      <alignment wrapText="1"/>
    </xf>
    <xf numFmtId="0" fontId="0" fillId="32" borderId="0" xfId="0" applyFill="1"/>
    <xf numFmtId="0" fontId="199" fillId="32" borderId="0" xfId="0" applyFont="1" applyFill="1" applyAlignment="1">
      <alignment wrapText="1"/>
    </xf>
    <xf numFmtId="0" fontId="109" fillId="32" borderId="0" xfId="0" applyFont="1" applyFill="1" applyAlignment="1">
      <alignment horizontal="center"/>
    </xf>
    <xf numFmtId="0" fontId="0" fillId="32" borderId="175" xfId="0" applyFill="1" applyBorder="1"/>
    <xf numFmtId="0" fontId="199" fillId="32" borderId="175" xfId="0" applyFont="1" applyFill="1" applyBorder="1" applyAlignment="1">
      <alignment wrapText="1"/>
    </xf>
    <xf numFmtId="0" fontId="110" fillId="32" borderId="175" xfId="0" applyFont="1" applyFill="1" applyBorder="1" applyAlignment="1">
      <alignment wrapText="1"/>
    </xf>
    <xf numFmtId="0" fontId="109" fillId="0" borderId="150" xfId="0" applyFont="1" applyBorder="1"/>
    <xf numFmtId="0" fontId="107" fillId="0" borderId="150" xfId="0" applyFont="1" applyBorder="1" applyAlignment="1">
      <alignment horizontal="left" vertical="center" wrapText="1"/>
    </xf>
    <xf numFmtId="4" fontId="199" fillId="0" borderId="150" xfId="0" applyNumberFormat="1" applyFont="1" applyBorder="1" applyAlignment="1">
      <alignment horizontal="center"/>
    </xf>
    <xf numFmtId="0" fontId="358" fillId="19" borderId="153" xfId="0" applyFont="1" applyFill="1" applyBorder="1" applyAlignment="1">
      <alignment vertical="top"/>
    </xf>
    <xf numFmtId="0" fontId="63" fillId="19" borderId="175" xfId="0" applyFont="1" applyFill="1" applyBorder="1"/>
    <xf numFmtId="0" fontId="113" fillId="19" borderId="175" xfId="0" applyFont="1" applyFill="1" applyBorder="1"/>
    <xf numFmtId="0" fontId="362" fillId="0" borderId="175" xfId="0" applyFont="1" applyBorder="1"/>
    <xf numFmtId="0" fontId="104" fillId="0" borderId="175" xfId="0" applyFont="1" applyBorder="1"/>
    <xf numFmtId="0" fontId="9" fillId="0" borderId="0" xfId="244" applyAlignment="1">
      <alignment horizontal="center"/>
    </xf>
    <xf numFmtId="2" fontId="9" fillId="0" borderId="147" xfId="244" applyNumberFormat="1" applyBorder="1" applyAlignment="1">
      <alignment horizontal="center"/>
    </xf>
    <xf numFmtId="2" fontId="9" fillId="0" borderId="0" xfId="244" applyNumberFormat="1" applyAlignment="1">
      <alignment horizontal="center"/>
    </xf>
    <xf numFmtId="2" fontId="113" fillId="0" borderId="172" xfId="244" applyNumberFormat="1" applyFont="1" applyBorder="1" applyAlignment="1">
      <alignment horizontal="center"/>
    </xf>
    <xf numFmtId="0" fontId="363" fillId="0" borderId="175" xfId="0" applyFont="1" applyBorder="1" applyAlignment="1">
      <alignment horizontal="center" vertical="center"/>
    </xf>
    <xf numFmtId="0" fontId="363" fillId="0" borderId="175" xfId="0" applyFont="1" applyBorder="1" applyAlignment="1">
      <alignment horizontal="center" vertical="center" wrapText="1"/>
    </xf>
    <xf numFmtId="0" fontId="364" fillId="78" borderId="175" xfId="0" applyFont="1" applyFill="1" applyBorder="1" applyAlignment="1">
      <alignment horizontal="left" vertical="top"/>
    </xf>
    <xf numFmtId="0" fontId="364" fillId="78" borderId="175" xfId="0" applyFont="1" applyFill="1" applyBorder="1" applyAlignment="1">
      <alignment horizontal="right" vertical="top" wrapText="1"/>
    </xf>
    <xf numFmtId="0" fontId="365" fillId="0" borderId="175" xfId="0" applyFont="1" applyBorder="1" applyAlignment="1">
      <alignment horizontal="left" vertical="top"/>
    </xf>
    <xf numFmtId="0" fontId="365" fillId="0" borderId="175" xfId="0" applyFont="1" applyBorder="1" applyAlignment="1">
      <alignment horizontal="left" vertical="top" wrapText="1"/>
    </xf>
    <xf numFmtId="0" fontId="365" fillId="77" borderId="175" xfId="0" applyFont="1" applyFill="1" applyBorder="1" applyAlignment="1">
      <alignment vertical="center" wrapText="1"/>
    </xf>
    <xf numFmtId="0" fontId="365" fillId="77" borderId="175" xfId="0" applyFont="1" applyFill="1" applyBorder="1" applyAlignment="1">
      <alignment horizontal="right" vertical="center" wrapText="1"/>
    </xf>
    <xf numFmtId="0" fontId="364" fillId="78" borderId="175" xfId="0" applyFont="1" applyFill="1" applyBorder="1" applyAlignment="1">
      <alignment horizontal="right" vertical="center" wrapText="1"/>
    </xf>
    <xf numFmtId="0" fontId="365" fillId="78" borderId="175" xfId="0" applyFont="1" applyFill="1" applyBorder="1" applyAlignment="1">
      <alignment horizontal="right" vertical="center" wrapText="1"/>
    </xf>
    <xf numFmtId="0" fontId="364" fillId="78" borderId="175" xfId="0" applyFont="1" applyFill="1" applyBorder="1" applyAlignment="1">
      <alignment horizontal="left" vertical="center" wrapText="1"/>
    </xf>
    <xf numFmtId="0" fontId="367" fillId="0" borderId="175" xfId="0" applyFont="1" applyBorder="1" applyAlignment="1">
      <alignment horizontal="left" vertical="top"/>
    </xf>
    <xf numFmtId="0" fontId="367" fillId="77" borderId="175" xfId="0" applyFont="1" applyFill="1" applyBorder="1" applyAlignment="1">
      <alignment vertical="center" wrapText="1"/>
    </xf>
    <xf numFmtId="0" fontId="367" fillId="77" borderId="175" xfId="0" applyFont="1" applyFill="1" applyBorder="1" applyAlignment="1">
      <alignment horizontal="right" vertical="center" wrapText="1"/>
    </xf>
    <xf numFmtId="0" fontId="365" fillId="0" borderId="175" xfId="0" applyFont="1" applyBorder="1" applyAlignment="1">
      <alignment horizontal="right" vertical="top" wrapText="1"/>
    </xf>
    <xf numFmtId="0" fontId="365" fillId="0" borderId="175" xfId="0" applyFont="1" applyBorder="1" applyAlignment="1">
      <alignment horizontal="right" vertical="top"/>
    </xf>
    <xf numFmtId="0" fontId="365" fillId="0" borderId="175" xfId="0" applyFont="1" applyBorder="1" applyAlignment="1">
      <alignment vertical="center" wrapText="1"/>
    </xf>
    <xf numFmtId="0" fontId="365" fillId="0" borderId="175" xfId="0" applyFont="1" applyBorder="1" applyAlignment="1">
      <alignment horizontal="right" vertical="center" wrapText="1"/>
    </xf>
    <xf numFmtId="0" fontId="367" fillId="0" borderId="175" xfId="0" applyFont="1" applyBorder="1" applyAlignment="1">
      <alignment vertical="center" wrapText="1"/>
    </xf>
    <xf numFmtId="0" fontId="367" fillId="0" borderId="175" xfId="0" applyFont="1" applyBorder="1" applyAlignment="1">
      <alignment horizontal="right" vertical="center" wrapText="1"/>
    </xf>
    <xf numFmtId="0" fontId="367" fillId="0" borderId="175" xfId="0" applyFont="1" applyBorder="1" applyAlignment="1">
      <alignment horizontal="right" vertical="top"/>
    </xf>
    <xf numFmtId="0" fontId="364" fillId="78" borderId="175" xfId="0" applyFont="1" applyFill="1" applyBorder="1" applyAlignment="1">
      <alignment horizontal="left"/>
    </xf>
    <xf numFmtId="0" fontId="364" fillId="78" borderId="175" xfId="0" applyFont="1" applyFill="1" applyBorder="1" applyAlignment="1">
      <alignment horizontal="right"/>
    </xf>
    <xf numFmtId="0" fontId="365" fillId="0" borderId="175" xfId="0" applyFont="1" applyBorder="1" applyAlignment="1">
      <alignment horizontal="left"/>
    </xf>
    <xf numFmtId="0" fontId="367" fillId="0" borderId="175" xfId="0" applyFont="1" applyBorder="1" applyAlignment="1">
      <alignment horizontal="left"/>
    </xf>
    <xf numFmtId="0" fontId="367" fillId="0" borderId="175" xfId="0" applyFont="1" applyBorder="1" applyAlignment="1">
      <alignment horizontal="left" vertical="top" wrapText="1"/>
    </xf>
    <xf numFmtId="0" fontId="367" fillId="0" borderId="175" xfId="0" applyFont="1" applyBorder="1" applyAlignment="1">
      <alignment horizontal="right" vertical="top" wrapText="1"/>
    </xf>
    <xf numFmtId="16" fontId="365" fillId="0" borderId="175" xfId="0" applyNumberFormat="1" applyFont="1" applyBorder="1" applyAlignment="1">
      <alignment horizontal="left" vertical="top"/>
    </xf>
    <xf numFmtId="0" fontId="365" fillId="0" borderId="175" xfId="0" applyFont="1" applyBorder="1" applyAlignment="1">
      <alignment horizontal="right" wrapText="1"/>
    </xf>
    <xf numFmtId="0" fontId="365" fillId="0" borderId="175" xfId="0" applyFont="1" applyBorder="1" applyAlignment="1">
      <alignment horizontal="right"/>
    </xf>
    <xf numFmtId="16" fontId="365" fillId="0" borderId="175" xfId="0" applyNumberFormat="1" applyFont="1" applyBorder="1" applyAlignment="1">
      <alignment horizontal="left" vertical="top" wrapText="1"/>
    </xf>
    <xf numFmtId="0" fontId="365" fillId="0" borderId="175" xfId="0" applyFont="1" applyBorder="1"/>
    <xf numFmtId="0" fontId="367" fillId="0" borderId="175" xfId="0" applyFont="1" applyBorder="1"/>
    <xf numFmtId="0" fontId="367" fillId="0" borderId="175" xfId="0" applyFont="1" applyBorder="1" applyAlignment="1">
      <alignment horizontal="right"/>
    </xf>
    <xf numFmtId="0" fontId="365" fillId="0" borderId="175" xfId="0" applyFont="1" applyBorder="1" applyAlignment="1">
      <alignment wrapText="1"/>
    </xf>
    <xf numFmtId="0" fontId="364" fillId="0" borderId="175" xfId="0" applyFont="1" applyBorder="1" applyAlignment="1">
      <alignment horizontal="right"/>
    </xf>
    <xf numFmtId="0" fontId="364" fillId="0" borderId="175" xfId="0" applyFont="1" applyBorder="1" applyAlignment="1">
      <alignment horizontal="left"/>
    </xf>
    <xf numFmtId="0" fontId="83" fillId="0" borderId="0" xfId="0" applyFont="1" applyAlignment="1">
      <alignment vertical="center" wrapText="1"/>
    </xf>
    <xf numFmtId="167" fontId="87" fillId="11" borderId="176" xfId="23" applyNumberFormat="1" applyFont="1" applyFill="1" applyBorder="1" applyProtection="1">
      <protection locked="0"/>
    </xf>
    <xf numFmtId="167" fontId="83" fillId="14" borderId="176" xfId="23" applyNumberFormat="1" applyFont="1" applyFill="1" applyBorder="1" applyProtection="1">
      <protection locked="0"/>
    </xf>
    <xf numFmtId="0" fontId="87" fillId="11" borderId="175" xfId="0" applyFont="1" applyFill="1" applyBorder="1" applyAlignment="1">
      <alignment horizontal="right" wrapText="1"/>
    </xf>
    <xf numFmtId="0" fontId="149" fillId="11" borderId="175" xfId="0" applyFont="1" applyFill="1" applyBorder="1" applyAlignment="1">
      <alignment horizontal="right" vertical="center" wrapText="1"/>
    </xf>
    <xf numFmtId="0" fontId="87" fillId="11" borderId="175" xfId="0" applyFont="1" applyFill="1" applyBorder="1" applyAlignment="1">
      <alignment wrapText="1"/>
    </xf>
    <xf numFmtId="167" fontId="86" fillId="11" borderId="176" xfId="19" applyNumberFormat="1" applyFont="1" applyFill="1" applyBorder="1" applyProtection="1">
      <protection locked="0"/>
    </xf>
    <xf numFmtId="167" fontId="83" fillId="11" borderId="176" xfId="19" applyNumberFormat="1" applyFont="1" applyFill="1" applyBorder="1" applyProtection="1">
      <protection locked="0"/>
    </xf>
    <xf numFmtId="0" fontId="87" fillId="11" borderId="175" xfId="0" applyFont="1" applyFill="1" applyBorder="1" applyAlignment="1">
      <alignment horizontal="left" vertical="center" wrapText="1"/>
    </xf>
    <xf numFmtId="167" fontId="87" fillId="11" borderId="176" xfId="19" applyNumberFormat="1" applyFont="1" applyFill="1" applyBorder="1" applyProtection="1">
      <protection locked="0"/>
    </xf>
    <xf numFmtId="167" fontId="86" fillId="14" borderId="176" xfId="19" applyNumberFormat="1" applyFont="1" applyFill="1" applyBorder="1" applyProtection="1">
      <protection locked="0"/>
    </xf>
    <xf numFmtId="167" fontId="149" fillId="11" borderId="176" xfId="23" applyNumberFormat="1" applyFont="1" applyFill="1" applyBorder="1" applyProtection="1">
      <protection locked="0"/>
    </xf>
    <xf numFmtId="0" fontId="83" fillId="11" borderId="175" xfId="0" applyFont="1" applyFill="1" applyBorder="1" applyAlignment="1">
      <alignment wrapText="1"/>
    </xf>
    <xf numFmtId="167" fontId="87" fillId="11" borderId="176" xfId="19" applyNumberFormat="1" applyFont="1" applyFill="1" applyBorder="1" applyAlignment="1" applyProtection="1">
      <alignment wrapText="1"/>
      <protection locked="0"/>
    </xf>
    <xf numFmtId="167" fontId="87" fillId="14" borderId="176" xfId="19" applyNumberFormat="1" applyFont="1" applyFill="1" applyBorder="1" applyProtection="1">
      <protection locked="0"/>
    </xf>
    <xf numFmtId="0" fontId="92" fillId="11" borderId="175" xfId="0" applyFont="1" applyFill="1" applyBorder="1" applyAlignment="1">
      <alignment horizontal="left" vertical="center" wrapText="1"/>
    </xf>
    <xf numFmtId="167" fontId="83" fillId="11" borderId="176" xfId="19" applyNumberFormat="1" applyFont="1" applyFill="1" applyBorder="1" applyAlignment="1" applyProtection="1">
      <alignment wrapText="1"/>
      <protection locked="0"/>
    </xf>
    <xf numFmtId="167" fontId="83" fillId="11" borderId="132" xfId="19" applyNumberFormat="1" applyFont="1" applyFill="1" applyBorder="1" applyProtection="1">
      <protection locked="0"/>
    </xf>
    <xf numFmtId="167" fontId="47" fillId="6" borderId="166" xfId="1" applyNumberFormat="1" applyFont="1" applyFill="1" applyBorder="1"/>
    <xf numFmtId="167" fontId="204" fillId="11" borderId="176" xfId="23" applyNumberFormat="1" applyFont="1" applyFill="1" applyBorder="1" applyProtection="1">
      <protection locked="0"/>
    </xf>
    <xf numFmtId="0" fontId="85" fillId="11" borderId="11" xfId="0" applyFont="1" applyFill="1" applyBorder="1" applyAlignment="1">
      <alignment horizontal="left" vertical="center" wrapText="1" indent="1"/>
    </xf>
    <xf numFmtId="0" fontId="87" fillId="11" borderId="0" xfId="0" applyFont="1" applyFill="1" applyAlignment="1">
      <alignment horizontal="left" wrapText="1" indent="1"/>
    </xf>
    <xf numFmtId="0" fontId="85" fillId="11" borderId="69" xfId="0" applyFont="1" applyFill="1" applyBorder="1" applyAlignment="1">
      <alignment horizontal="left" vertical="center" wrapText="1" indent="1"/>
    </xf>
    <xf numFmtId="0" fontId="85" fillId="11" borderId="175" xfId="0" applyFont="1" applyFill="1" applyBorder="1" applyAlignment="1">
      <alignment horizontal="left" vertical="center" wrapText="1" indent="1"/>
    </xf>
    <xf numFmtId="0" fontId="85" fillId="11" borderId="151" xfId="0" applyFont="1" applyFill="1" applyBorder="1" applyAlignment="1">
      <alignment horizontal="left" vertical="center" wrapText="1" indent="1"/>
    </xf>
    <xf numFmtId="0" fontId="83" fillId="18" borderId="175" xfId="0" applyFont="1" applyFill="1" applyBorder="1" applyAlignment="1">
      <alignment horizontal="left" vertical="center" wrapText="1"/>
    </xf>
    <xf numFmtId="1" fontId="246" fillId="11" borderId="175" xfId="19" applyNumberFormat="1" applyFont="1" applyFill="1" applyBorder="1" applyProtection="1"/>
    <xf numFmtId="167" fontId="83" fillId="11" borderId="175" xfId="19" applyNumberFormat="1" applyFont="1" applyFill="1" applyBorder="1" applyProtection="1"/>
    <xf numFmtId="167" fontId="86" fillId="14" borderId="175" xfId="19" applyNumberFormat="1" applyFont="1" applyFill="1" applyBorder="1" applyProtection="1"/>
    <xf numFmtId="1" fontId="86" fillId="11" borderId="175" xfId="19" applyNumberFormat="1" applyFont="1" applyFill="1" applyBorder="1" applyProtection="1"/>
    <xf numFmtId="1" fontId="83" fillId="11" borderId="102" xfId="19" applyNumberFormat="1" applyFont="1" applyFill="1" applyBorder="1" applyProtection="1">
      <protection locked="0"/>
    </xf>
    <xf numFmtId="0" fontId="84" fillId="11" borderId="175" xfId="0" applyFont="1" applyFill="1" applyBorder="1"/>
    <xf numFmtId="1" fontId="86" fillId="11" borderId="175" xfId="19" applyNumberFormat="1" applyFont="1" applyFill="1" applyBorder="1" applyProtection="1">
      <protection locked="0"/>
    </xf>
    <xf numFmtId="1" fontId="83" fillId="11" borderId="175" xfId="19" applyNumberFormat="1" applyFont="1" applyFill="1" applyBorder="1" applyProtection="1">
      <protection locked="0"/>
    </xf>
    <xf numFmtId="167" fontId="86" fillId="11" borderId="175" xfId="1" applyNumberFormat="1" applyFont="1" applyFill="1" applyBorder="1" applyProtection="1"/>
    <xf numFmtId="167" fontId="83" fillId="11" borderId="175" xfId="1" applyNumberFormat="1" applyFont="1" applyFill="1" applyBorder="1" applyProtection="1"/>
    <xf numFmtId="0" fontId="84" fillId="38" borderId="175" xfId="0" applyFont="1" applyFill="1" applyBorder="1" applyAlignment="1">
      <alignment horizontal="left" vertical="center" wrapText="1"/>
    </xf>
    <xf numFmtId="167" fontId="87" fillId="11" borderId="175" xfId="19" applyNumberFormat="1" applyFont="1" applyFill="1" applyBorder="1" applyAlignment="1" applyProtection="1">
      <alignment vertical="center" wrapText="1"/>
      <protection locked="0"/>
    </xf>
    <xf numFmtId="0" fontId="250" fillId="0" borderId="0" xfId="245" applyFont="1"/>
    <xf numFmtId="0" fontId="200" fillId="0" borderId="0" xfId="245" applyFont="1"/>
    <xf numFmtId="0" fontId="200" fillId="0" borderId="0" xfId="245" applyFont="1" applyAlignment="1">
      <alignment horizontal="center"/>
    </xf>
    <xf numFmtId="0" fontId="251" fillId="0" borderId="0" xfId="245" applyFont="1" applyAlignment="1">
      <alignment horizontal="center" vertical="center" wrapText="1"/>
    </xf>
    <xf numFmtId="0" fontId="243" fillId="0" borderId="0" xfId="245" applyFont="1" applyAlignment="1">
      <alignment horizontal="center" vertical="center" wrapText="1"/>
    </xf>
    <xf numFmtId="0" fontId="8" fillId="0" borderId="0" xfId="245"/>
    <xf numFmtId="2" fontId="113" fillId="0" borderId="0" xfId="245" applyNumberFormat="1" applyFont="1"/>
    <xf numFmtId="0" fontId="8" fillId="0" borderId="0" xfId="245" applyAlignment="1">
      <alignment horizontal="center" vertical="center" wrapText="1"/>
    </xf>
    <xf numFmtId="0" fontId="8" fillId="0" borderId="175" xfId="245" applyBorder="1" applyAlignment="1">
      <alignment wrapText="1"/>
    </xf>
    <xf numFmtId="0" fontId="8" fillId="0" borderId="175" xfId="245" applyBorder="1" applyAlignment="1">
      <alignment horizontal="center" wrapText="1"/>
    </xf>
    <xf numFmtId="0" fontId="8" fillId="0" borderId="175" xfId="245" applyBorder="1" applyAlignment="1">
      <alignment horizontal="left" wrapText="1"/>
    </xf>
    <xf numFmtId="0" fontId="64" fillId="0" borderId="175" xfId="245" applyFont="1" applyBorder="1" applyAlignment="1">
      <alignment horizontal="center" vertical="center" wrapText="1"/>
    </xf>
    <xf numFmtId="0" fontId="8" fillId="0" borderId="175" xfId="245" applyBorder="1" applyAlignment="1">
      <alignment horizontal="center" vertical="center" wrapText="1"/>
    </xf>
    <xf numFmtId="0" fontId="8" fillId="17" borderId="175" xfId="245" applyFill="1" applyBorder="1" applyAlignment="1">
      <alignment horizontal="center" wrapText="1"/>
    </xf>
    <xf numFmtId="0" fontId="64" fillId="0" borderId="175" xfId="245" applyFont="1" applyBorder="1" applyAlignment="1">
      <alignment horizontal="left" wrapText="1"/>
    </xf>
    <xf numFmtId="0" fontId="64" fillId="13" borderId="175" xfId="245" applyFont="1" applyFill="1" applyBorder="1" applyAlignment="1">
      <alignment horizontal="center" vertical="center" wrapText="1"/>
    </xf>
    <xf numFmtId="0" fontId="8" fillId="0" borderId="176" xfId="245" applyBorder="1" applyAlignment="1">
      <alignment horizontal="center" vertical="center" wrapText="1"/>
    </xf>
    <xf numFmtId="2" fontId="8" fillId="0" borderId="0" xfId="245" applyNumberFormat="1" applyAlignment="1">
      <alignment horizontal="right"/>
    </xf>
    <xf numFmtId="0" fontId="8" fillId="0" borderId="0" xfId="245" applyAlignment="1">
      <alignment horizontal="center"/>
    </xf>
    <xf numFmtId="0" fontId="8" fillId="0" borderId="175" xfId="245" applyBorder="1"/>
    <xf numFmtId="0" fontId="8" fillId="71" borderId="175" xfId="245" applyFill="1" applyBorder="1" applyAlignment="1">
      <alignment horizontal="center" wrapText="1"/>
    </xf>
    <xf numFmtId="0" fontId="113" fillId="0" borderId="175" xfId="245" applyFont="1" applyBorder="1" applyAlignment="1">
      <alignment wrapText="1"/>
    </xf>
    <xf numFmtId="2" fontId="8" fillId="0" borderId="0" xfId="245" applyNumberFormat="1" applyAlignment="1">
      <alignment horizontal="center"/>
    </xf>
    <xf numFmtId="2" fontId="8" fillId="0" borderId="0" xfId="245" applyNumberFormat="1"/>
    <xf numFmtId="0" fontId="8" fillId="0" borderId="175" xfId="245" applyBorder="1" applyAlignment="1">
      <alignment horizontal="right" wrapText="1"/>
    </xf>
    <xf numFmtId="0" fontId="8" fillId="6" borderId="175" xfId="245" applyFill="1" applyBorder="1" applyAlignment="1">
      <alignment horizontal="left" wrapText="1"/>
    </xf>
    <xf numFmtId="0" fontId="232" fillId="13" borderId="175" xfId="245" applyFont="1" applyFill="1" applyBorder="1" applyAlignment="1">
      <alignment horizontal="center" vertical="center" wrapText="1"/>
    </xf>
    <xf numFmtId="0" fontId="8" fillId="6" borderId="175" xfId="245" applyFill="1" applyBorder="1" applyAlignment="1">
      <alignment wrapText="1"/>
    </xf>
    <xf numFmtId="2" fontId="368" fillId="0" borderId="0" xfId="245" applyNumberFormat="1" applyFont="1"/>
    <xf numFmtId="0" fontId="113" fillId="0" borderId="0" xfId="245" applyFont="1"/>
    <xf numFmtId="2" fontId="369" fillId="0" borderId="0" xfId="245" applyNumberFormat="1" applyFont="1"/>
    <xf numFmtId="1" fontId="64" fillId="13" borderId="175" xfId="245" applyNumberFormat="1" applyFont="1" applyFill="1" applyBorder="1" applyAlignment="1">
      <alignment horizontal="center" vertical="center" wrapText="1"/>
    </xf>
    <xf numFmtId="1" fontId="64" fillId="13" borderId="150" xfId="245" applyNumberFormat="1" applyFont="1" applyFill="1" applyBorder="1" applyAlignment="1">
      <alignment horizontal="center" vertical="center" wrapText="1"/>
    </xf>
    <xf numFmtId="1" fontId="64" fillId="13" borderId="176" xfId="245" applyNumberFormat="1" applyFont="1" applyFill="1" applyBorder="1" applyAlignment="1">
      <alignment horizontal="center" vertical="center" wrapText="1"/>
    </xf>
    <xf numFmtId="1" fontId="46" fillId="0" borderId="118" xfId="245" applyNumberFormat="1" applyFont="1" applyBorder="1" applyAlignment="1">
      <alignment vertical="center"/>
    </xf>
    <xf numFmtId="0" fontId="370" fillId="0" borderId="175" xfId="245" applyFont="1" applyBorder="1" applyAlignment="1">
      <alignment wrapText="1"/>
    </xf>
    <xf numFmtId="0" fontId="8" fillId="0" borderId="150" xfId="245" applyBorder="1" applyAlignment="1">
      <alignment vertical="center" wrapText="1"/>
    </xf>
    <xf numFmtId="2" fontId="124" fillId="0" borderId="0" xfId="245" applyNumberFormat="1" applyFont="1"/>
    <xf numFmtId="0" fontId="8" fillId="0" borderId="0" xfId="245" applyAlignment="1">
      <alignment wrapText="1"/>
    </xf>
    <xf numFmtId="0" fontId="171" fillId="0" borderId="111" xfId="245" applyFont="1" applyBorder="1"/>
    <xf numFmtId="0" fontId="171" fillId="0" borderId="0" xfId="245" applyFont="1" applyAlignment="1">
      <alignment horizontal="center"/>
    </xf>
    <xf numFmtId="0" fontId="171" fillId="0" borderId="0" xfId="245" applyFont="1"/>
    <xf numFmtId="0" fontId="252" fillId="0" borderId="0" xfId="245" applyFont="1" applyAlignment="1">
      <alignment horizontal="center" vertical="center"/>
    </xf>
    <xf numFmtId="2" fontId="243" fillId="0" borderId="23" xfId="245" applyNumberFormat="1" applyFont="1" applyBorder="1" applyAlignment="1">
      <alignment horizontal="center" vertical="center"/>
    </xf>
    <xf numFmtId="2" fontId="243" fillId="0" borderId="0" xfId="245" applyNumberFormat="1" applyFont="1" applyAlignment="1">
      <alignment horizontal="center" vertical="center"/>
    </xf>
    <xf numFmtId="2" fontId="251" fillId="0" borderId="0" xfId="245" applyNumberFormat="1" applyFont="1" applyAlignment="1">
      <alignment horizontal="center" vertical="center"/>
    </xf>
    <xf numFmtId="0" fontId="64" fillId="0" borderId="0" xfId="245" applyFont="1" applyAlignment="1">
      <alignment horizontal="center" vertical="center"/>
    </xf>
    <xf numFmtId="0" fontId="8" fillId="0" borderId="0" xfId="245" applyAlignment="1">
      <alignment horizontal="center" vertical="center"/>
    </xf>
    <xf numFmtId="0" fontId="171" fillId="12" borderId="0" xfId="245" applyFont="1" applyFill="1"/>
    <xf numFmtId="0" fontId="171" fillId="12" borderId="0" xfId="245" applyFont="1" applyFill="1" applyAlignment="1">
      <alignment horizontal="center"/>
    </xf>
    <xf numFmtId="0" fontId="252" fillId="12" borderId="0" xfId="245" applyFont="1" applyFill="1" applyAlignment="1">
      <alignment horizontal="center" vertical="center"/>
    </xf>
    <xf numFmtId="2" fontId="243" fillId="12" borderId="0" xfId="245" applyNumberFormat="1" applyFont="1" applyFill="1" applyAlignment="1">
      <alignment horizontal="center" vertical="center"/>
    </xf>
    <xf numFmtId="0" fontId="8" fillId="12" borderId="0" xfId="245" applyFill="1"/>
    <xf numFmtId="2" fontId="113" fillId="12" borderId="0" xfId="245" applyNumberFormat="1" applyFont="1" applyFill="1"/>
    <xf numFmtId="0" fontId="8" fillId="0" borderId="175" xfId="245" applyBorder="1" applyAlignment="1">
      <alignment horizontal="center" vertical="center"/>
    </xf>
    <xf numFmtId="0" fontId="171" fillId="0" borderId="175" xfId="245" applyFont="1" applyBorder="1" applyAlignment="1">
      <alignment wrapText="1"/>
    </xf>
    <xf numFmtId="0" fontId="252" fillId="0" borderId="175" xfId="245" applyFont="1" applyBorder="1" applyAlignment="1">
      <alignment horizontal="center" vertical="center" wrapText="1"/>
    </xf>
    <xf numFmtId="2" fontId="260" fillId="0" borderId="175" xfId="245" applyNumberFormat="1" applyFont="1" applyBorder="1" applyAlignment="1">
      <alignment horizontal="center" vertical="center"/>
    </xf>
    <xf numFmtId="0" fontId="171" fillId="0" borderId="0" xfId="245" applyFont="1" applyAlignment="1">
      <alignment wrapText="1"/>
    </xf>
    <xf numFmtId="0" fontId="8" fillId="0" borderId="175" xfId="245" applyBorder="1" applyAlignment="1">
      <alignment horizontal="center"/>
    </xf>
    <xf numFmtId="0" fontId="171" fillId="13" borderId="175" xfId="245" applyFont="1" applyFill="1" applyBorder="1" applyAlignment="1">
      <alignment wrapText="1"/>
    </xf>
    <xf numFmtId="0" fontId="252" fillId="13" borderId="175" xfId="245" applyFont="1" applyFill="1" applyBorder="1" applyAlignment="1">
      <alignment horizontal="center" vertical="center" wrapText="1"/>
    </xf>
    <xf numFmtId="2" fontId="260" fillId="13" borderId="175" xfId="245" applyNumberFormat="1" applyFont="1" applyFill="1" applyBorder="1" applyAlignment="1">
      <alignment horizontal="center" vertical="center"/>
    </xf>
    <xf numFmtId="2" fontId="260" fillId="0" borderId="175" xfId="245" applyNumberFormat="1" applyFont="1" applyBorder="1" applyAlignment="1">
      <alignment horizontal="center" vertical="center" wrapText="1"/>
    </xf>
    <xf numFmtId="0" fontId="8" fillId="12" borderId="0" xfId="245" applyFill="1" applyAlignment="1">
      <alignment horizontal="center"/>
    </xf>
    <xf numFmtId="0" fontId="64" fillId="12" borderId="0" xfId="245" applyFont="1" applyFill="1" applyAlignment="1">
      <alignment horizontal="center" vertical="center"/>
    </xf>
    <xf numFmtId="0" fontId="8" fillId="12" borderId="0" xfId="245" applyFill="1" applyAlignment="1">
      <alignment horizontal="center" vertical="center"/>
    </xf>
    <xf numFmtId="2" fontId="113" fillId="12" borderId="0" xfId="245" applyNumberFormat="1" applyFont="1" applyFill="1" applyAlignment="1">
      <alignment horizontal="right"/>
    </xf>
    <xf numFmtId="0" fontId="171" fillId="0" borderId="175" xfId="245" applyFont="1" applyBorder="1"/>
    <xf numFmtId="0" fontId="252" fillId="0" borderId="175" xfId="245" applyFont="1" applyBorder="1" applyAlignment="1">
      <alignment horizontal="center" vertical="center"/>
    </xf>
    <xf numFmtId="2" fontId="243" fillId="0" borderId="175" xfId="245" applyNumberFormat="1" applyFont="1" applyBorder="1" applyAlignment="1">
      <alignment horizontal="center" vertical="center"/>
    </xf>
    <xf numFmtId="0" fontId="46" fillId="0" borderId="175" xfId="245" applyFont="1" applyBorder="1" applyAlignment="1">
      <alignment horizontal="center" vertical="center"/>
    </xf>
    <xf numFmtId="0" fontId="8" fillId="0" borderId="175" xfId="245" applyBorder="1" applyAlignment="1">
      <alignment vertical="center" wrapText="1"/>
    </xf>
    <xf numFmtId="0" fontId="46" fillId="0" borderId="175" xfId="245" applyFont="1" applyBorder="1" applyAlignment="1">
      <alignment horizontal="center" vertical="center" wrapText="1"/>
    </xf>
    <xf numFmtId="0" fontId="259" fillId="0" borderId="153" xfId="245" applyFont="1" applyBorder="1"/>
    <xf numFmtId="0" fontId="64" fillId="0" borderId="175" xfId="245" applyFont="1" applyBorder="1" applyAlignment="1">
      <alignment horizontal="center" vertical="center"/>
    </xf>
    <xf numFmtId="0" fontId="113" fillId="0" borderId="148" xfId="245" applyFont="1" applyBorder="1"/>
    <xf numFmtId="0" fontId="8" fillId="6" borderId="175" xfId="245" applyFill="1" applyBorder="1" applyAlignment="1">
      <alignment horizontal="center"/>
    </xf>
    <xf numFmtId="0" fontId="8" fillId="6" borderId="170" xfId="245" applyFill="1" applyBorder="1" applyAlignment="1">
      <alignment horizontal="left"/>
    </xf>
    <xf numFmtId="0" fontId="8" fillId="6" borderId="148" xfId="245" applyFill="1" applyBorder="1" applyAlignment="1">
      <alignment wrapText="1"/>
    </xf>
    <xf numFmtId="0" fontId="64" fillId="6" borderId="175" xfId="245" applyFont="1" applyFill="1" applyBorder="1" applyAlignment="1">
      <alignment horizontal="center" vertical="center"/>
    </xf>
    <xf numFmtId="0" fontId="8" fillId="6" borderId="175" xfId="245" applyFill="1" applyBorder="1" applyAlignment="1">
      <alignment horizontal="center" vertical="center"/>
    </xf>
    <xf numFmtId="0" fontId="64" fillId="6" borderId="175" xfId="245" applyFont="1" applyFill="1" applyBorder="1" applyAlignment="1">
      <alignment vertical="center" wrapText="1"/>
    </xf>
    <xf numFmtId="0" fontId="64" fillId="6" borderId="175" xfId="245" applyFont="1" applyFill="1" applyBorder="1" applyAlignment="1">
      <alignment horizontal="center" vertical="center" wrapText="1"/>
    </xf>
    <xf numFmtId="0" fontId="46" fillId="6" borderId="175" xfId="245" applyFont="1" applyFill="1" applyBorder="1" applyAlignment="1">
      <alignment horizontal="center" vertical="center"/>
    </xf>
    <xf numFmtId="0" fontId="46" fillId="6" borderId="175" xfId="245" applyFont="1" applyFill="1" applyBorder="1" applyAlignment="1">
      <alignment horizontal="center" wrapText="1"/>
    </xf>
    <xf numFmtId="0" fontId="64" fillId="6" borderId="175" xfId="245" applyFont="1" applyFill="1" applyBorder="1" applyAlignment="1">
      <alignment wrapText="1"/>
    </xf>
    <xf numFmtId="0" fontId="64" fillId="6" borderId="175" xfId="245" applyFont="1" applyFill="1" applyBorder="1" applyAlignment="1">
      <alignment horizontal="left" vertical="center" wrapText="1"/>
    </xf>
    <xf numFmtId="0" fontId="64" fillId="6" borderId="175" xfId="245" applyFont="1" applyFill="1" applyBorder="1" applyAlignment="1">
      <alignment horizontal="center" wrapText="1"/>
    </xf>
    <xf numFmtId="0" fontId="46" fillId="0" borderId="0" xfId="245" applyFont="1"/>
    <xf numFmtId="0" fontId="64" fillId="0" borderId="175" xfId="245" applyFont="1" applyBorder="1" applyAlignment="1">
      <alignment wrapText="1"/>
    </xf>
    <xf numFmtId="0" fontId="64" fillId="0" borderId="175" xfId="245" applyFont="1" applyBorder="1" applyAlignment="1">
      <alignment horizontal="center" wrapText="1"/>
    </xf>
    <xf numFmtId="0" fontId="8" fillId="12" borderId="0" xfId="245" applyFill="1" applyAlignment="1">
      <alignment wrapText="1"/>
    </xf>
    <xf numFmtId="0" fontId="113" fillId="0" borderId="175" xfId="245" applyFont="1" applyBorder="1"/>
    <xf numFmtId="167" fontId="83" fillId="23" borderId="175" xfId="19" applyNumberFormat="1" applyFont="1" applyFill="1" applyBorder="1" applyProtection="1">
      <protection locked="0"/>
    </xf>
    <xf numFmtId="167" fontId="83" fillId="23" borderId="0" xfId="0" applyNumberFormat="1" applyFont="1" applyFill="1"/>
    <xf numFmtId="167" fontId="83" fillId="11" borderId="175" xfId="19" applyNumberFormat="1" applyFont="1" applyFill="1" applyBorder="1" applyAlignment="1" applyProtection="1">
      <alignment wrapText="1"/>
      <protection locked="0"/>
    </xf>
    <xf numFmtId="167" fontId="83" fillId="11" borderId="175" xfId="19" applyNumberFormat="1" applyFont="1" applyFill="1" applyBorder="1" applyAlignment="1" applyProtection="1">
      <alignment horizontal="left" wrapText="1"/>
      <protection locked="0"/>
    </xf>
    <xf numFmtId="167" fontId="72" fillId="15" borderId="175" xfId="19" applyNumberFormat="1" applyFont="1" applyFill="1" applyBorder="1" applyAlignment="1" applyProtection="1">
      <alignment horizontal="left" vertical="center"/>
      <protection locked="0"/>
    </xf>
    <xf numFmtId="0" fontId="249" fillId="23" borderId="175" xfId="0" applyFont="1" applyFill="1" applyBorder="1" applyAlignment="1">
      <alignment horizontal="left" vertical="center" wrapText="1"/>
    </xf>
    <xf numFmtId="167" fontId="90" fillId="11" borderId="175" xfId="19" applyNumberFormat="1" applyFont="1" applyFill="1" applyBorder="1" applyProtection="1">
      <protection locked="0"/>
    </xf>
    <xf numFmtId="167" fontId="83" fillId="13" borderId="175" xfId="19" applyNumberFormat="1" applyFont="1" applyFill="1" applyBorder="1" applyProtection="1">
      <protection locked="0"/>
    </xf>
    <xf numFmtId="167" fontId="149" fillId="11" borderId="175" xfId="19" applyNumberFormat="1" applyFont="1" applyFill="1" applyBorder="1" applyProtection="1">
      <protection locked="0"/>
    </xf>
    <xf numFmtId="167" fontId="76" fillId="15" borderId="175" xfId="19" applyNumberFormat="1" applyFont="1" applyFill="1" applyBorder="1"/>
    <xf numFmtId="167" fontId="83" fillId="14" borderId="175" xfId="19" applyNumberFormat="1" applyFont="1" applyFill="1" applyBorder="1" applyProtection="1">
      <protection locked="0"/>
    </xf>
    <xf numFmtId="167" fontId="203" fillId="15" borderId="175" xfId="19" applyNumberFormat="1" applyFont="1" applyFill="1" applyBorder="1"/>
    <xf numFmtId="167" fontId="72" fillId="15" borderId="175" xfId="19" applyNumberFormat="1" applyFont="1" applyFill="1" applyBorder="1"/>
    <xf numFmtId="167" fontId="83" fillId="11" borderId="175" xfId="19" applyNumberFormat="1" applyFont="1" applyFill="1" applyBorder="1"/>
    <xf numFmtId="167" fontId="87" fillId="11" borderId="175" xfId="19" applyNumberFormat="1" applyFont="1" applyFill="1" applyBorder="1"/>
    <xf numFmtId="167" fontId="86" fillId="11" borderId="175" xfId="19" applyNumberFormat="1" applyFont="1" applyFill="1" applyBorder="1"/>
    <xf numFmtId="167" fontId="86" fillId="23" borderId="175" xfId="19" applyNumberFormat="1" applyFont="1" applyFill="1" applyBorder="1" applyProtection="1">
      <protection locked="0"/>
    </xf>
    <xf numFmtId="167" fontId="83" fillId="23" borderId="175" xfId="19" applyNumberFormat="1" applyFont="1" applyFill="1" applyBorder="1"/>
    <xf numFmtId="167" fontId="83" fillId="14" borderId="175" xfId="19" applyNumberFormat="1" applyFont="1" applyFill="1" applyBorder="1"/>
    <xf numFmtId="167" fontId="103" fillId="14" borderId="175" xfId="19" applyNumberFormat="1" applyFont="1" applyFill="1" applyBorder="1" applyProtection="1">
      <protection locked="0"/>
    </xf>
    <xf numFmtId="167" fontId="72" fillId="30" borderId="175" xfId="19" applyNumberFormat="1" applyFont="1" applyFill="1" applyBorder="1" applyProtection="1">
      <protection locked="0"/>
    </xf>
    <xf numFmtId="167" fontId="76" fillId="30" borderId="175" xfId="19" applyNumberFormat="1" applyFont="1" applyFill="1" applyBorder="1" applyProtection="1">
      <protection locked="0"/>
    </xf>
    <xf numFmtId="167" fontId="203" fillId="15" borderId="175" xfId="19" applyNumberFormat="1" applyFont="1" applyFill="1" applyBorder="1" applyAlignment="1" applyProtection="1">
      <alignment horizontal="left" vertical="center"/>
      <protection locked="0"/>
    </xf>
    <xf numFmtId="167" fontId="70" fillId="15" borderId="175" xfId="19" applyNumberFormat="1" applyFont="1" applyFill="1" applyBorder="1" applyAlignment="1" applyProtection="1">
      <alignment horizontal="left" vertical="center"/>
      <protection locked="0"/>
    </xf>
    <xf numFmtId="167" fontId="72" fillId="14" borderId="175" xfId="19" applyNumberFormat="1" applyFont="1" applyFill="1" applyBorder="1" applyAlignment="1" applyProtection="1">
      <alignment horizontal="left" vertical="center"/>
      <protection locked="0"/>
    </xf>
    <xf numFmtId="167" fontId="83" fillId="11" borderId="102" xfId="1" applyNumberFormat="1" applyFont="1" applyFill="1" applyBorder="1" applyAlignment="1">
      <alignment horizontal="left" vertical="center" wrapText="1"/>
    </xf>
    <xf numFmtId="167" fontId="83" fillId="11" borderId="175" xfId="1" applyNumberFormat="1" applyFont="1" applyFill="1" applyBorder="1" applyAlignment="1">
      <alignment horizontal="left" vertical="center" wrapText="1"/>
    </xf>
    <xf numFmtId="0" fontId="371" fillId="0" borderId="0" xfId="0" applyFont="1" applyAlignment="1">
      <alignment wrapText="1"/>
    </xf>
    <xf numFmtId="167" fontId="72" fillId="15" borderId="7" xfId="24" applyNumberFormat="1" applyFont="1" applyFill="1" applyBorder="1" applyAlignment="1" applyProtection="1">
      <alignment horizontal="center"/>
      <protection locked="0"/>
    </xf>
    <xf numFmtId="43" fontId="71" fillId="15" borderId="54" xfId="24" applyFont="1" applyFill="1" applyBorder="1" applyProtection="1">
      <protection locked="0"/>
    </xf>
    <xf numFmtId="167" fontId="96" fillId="11" borderId="54" xfId="1" applyNumberFormat="1" applyFont="1" applyFill="1" applyBorder="1" applyAlignment="1" applyProtection="1">
      <alignment horizontal="center"/>
      <protection locked="0"/>
    </xf>
    <xf numFmtId="167" fontId="83" fillId="11" borderId="54" xfId="1" applyNumberFormat="1" applyFont="1" applyFill="1" applyBorder="1" applyAlignment="1" applyProtection="1">
      <alignment horizontal="center"/>
      <protection locked="0"/>
    </xf>
    <xf numFmtId="167" fontId="96" fillId="11" borderId="133" xfId="1" applyNumberFormat="1" applyFont="1" applyFill="1" applyBorder="1" applyAlignment="1" applyProtection="1">
      <alignment horizontal="center" vertical="center"/>
      <protection locked="0"/>
    </xf>
    <xf numFmtId="167" fontId="96" fillId="11" borderId="168" xfId="1" applyNumberFormat="1" applyFont="1" applyFill="1" applyBorder="1" applyAlignment="1" applyProtection="1">
      <alignment horizontal="center" vertical="center"/>
      <protection locked="0"/>
    </xf>
    <xf numFmtId="167" fontId="70" fillId="15" borderId="175" xfId="1" applyNumberFormat="1" applyFont="1" applyFill="1" applyBorder="1" applyAlignment="1" applyProtection="1">
      <alignment vertical="center" wrapText="1"/>
      <protection locked="0"/>
    </xf>
    <xf numFmtId="0" fontId="72" fillId="0" borderId="147" xfId="0" applyFont="1" applyBorder="1" applyAlignment="1">
      <alignment horizontal="left" vertical="center" wrapText="1"/>
    </xf>
    <xf numFmtId="0" fontId="87" fillId="11" borderId="147" xfId="0" applyFont="1" applyFill="1" applyBorder="1" applyAlignment="1">
      <alignment horizontal="right" vertical="center" wrapText="1"/>
    </xf>
    <xf numFmtId="0" fontId="83" fillId="11" borderId="147" xfId="0" applyFont="1" applyFill="1" applyBorder="1" applyAlignment="1">
      <alignment horizontal="right" vertical="center" wrapText="1"/>
    </xf>
    <xf numFmtId="0" fontId="92" fillId="11" borderId="147" xfId="0" applyFont="1" applyFill="1" applyBorder="1" applyAlignment="1">
      <alignment horizontal="left" vertical="center" wrapText="1"/>
    </xf>
    <xf numFmtId="0" fontId="72" fillId="0" borderId="170" xfId="0" applyFont="1" applyBorder="1" applyAlignment="1">
      <alignment horizontal="left" vertical="center" wrapText="1"/>
    </xf>
    <xf numFmtId="0" fontId="87" fillId="11" borderId="170" xfId="0" applyFont="1" applyFill="1" applyBorder="1" applyAlignment="1">
      <alignment horizontal="right" vertical="center" wrapText="1"/>
    </xf>
    <xf numFmtId="0" fontId="72" fillId="0" borderId="147" xfId="0" applyFont="1" applyBorder="1"/>
    <xf numFmtId="0" fontId="114" fillId="11" borderId="147" xfId="0" applyFont="1" applyFill="1" applyBorder="1" applyAlignment="1">
      <alignment horizontal="left" vertical="center" wrapText="1"/>
    </xf>
    <xf numFmtId="0" fontId="83" fillId="11" borderId="167" xfId="0" applyFont="1" applyFill="1" applyBorder="1" applyAlignment="1">
      <alignment vertical="center" wrapText="1"/>
    </xf>
    <xf numFmtId="0" fontId="101" fillId="0" borderId="167" xfId="0" applyFont="1" applyBorder="1" applyAlignment="1">
      <alignment horizontal="left" vertical="center" wrapText="1"/>
    </xf>
    <xf numFmtId="0" fontId="100" fillId="11" borderId="179" xfId="0" applyFont="1" applyFill="1" applyBorder="1" applyAlignment="1">
      <alignment vertical="center"/>
    </xf>
    <xf numFmtId="0" fontId="101" fillId="0" borderId="172" xfId="0" applyFont="1" applyBorder="1" applyAlignment="1">
      <alignment horizontal="left" vertical="center" wrapText="1"/>
    </xf>
    <xf numFmtId="0" fontId="101" fillId="0" borderId="147" xfId="0" applyFont="1" applyBorder="1" applyAlignment="1">
      <alignment horizontal="left" vertical="center" wrapText="1"/>
    </xf>
    <xf numFmtId="0" fontId="83" fillId="11" borderId="147" xfId="0" applyFont="1" applyFill="1" applyBorder="1" applyAlignment="1">
      <alignment wrapText="1"/>
    </xf>
    <xf numFmtId="43" fontId="72" fillId="0" borderId="147" xfId="8" applyFont="1" applyBorder="1"/>
    <xf numFmtId="0" fontId="84" fillId="11" borderId="147" xfId="0" applyFont="1" applyFill="1" applyBorder="1" applyAlignment="1">
      <alignment horizontal="left" vertical="center" wrapText="1"/>
    </xf>
    <xf numFmtId="0" fontId="87" fillId="11" borderId="147" xfId="0" applyFont="1" applyFill="1" applyBorder="1" applyAlignment="1">
      <alignment horizontal="left" vertical="center" wrapText="1"/>
    </xf>
    <xf numFmtId="167" fontId="72" fillId="15" borderId="175" xfId="1" applyNumberFormat="1" applyFont="1" applyFill="1" applyBorder="1" applyAlignment="1" applyProtection="1">
      <alignment horizontal="center" vertical="center"/>
      <protection locked="0"/>
    </xf>
    <xf numFmtId="167" fontId="70" fillId="15" borderId="175" xfId="1" applyNumberFormat="1" applyFont="1" applyFill="1" applyBorder="1" applyAlignment="1" applyProtection="1">
      <alignment horizontal="center" vertical="center"/>
      <protection locked="0"/>
    </xf>
    <xf numFmtId="167" fontId="76" fillId="15" borderId="175" xfId="1" applyNumberFormat="1" applyFont="1" applyFill="1" applyBorder="1" applyAlignment="1" applyProtection="1">
      <alignment horizontal="center" vertical="center"/>
      <protection locked="0"/>
    </xf>
    <xf numFmtId="167" fontId="75" fillId="15" borderId="175" xfId="1" applyNumberFormat="1" applyFont="1" applyFill="1" applyBorder="1" applyAlignment="1" applyProtection="1">
      <alignment horizontal="center" vertical="center"/>
      <protection locked="0"/>
    </xf>
    <xf numFmtId="167" fontId="83" fillId="11" borderId="175" xfId="1" applyNumberFormat="1" applyFont="1" applyFill="1" applyBorder="1" applyAlignment="1" applyProtection="1">
      <alignment horizontal="center" vertical="center"/>
      <protection locked="0"/>
    </xf>
    <xf numFmtId="167" fontId="70" fillId="11" borderId="175" xfId="1" applyNumberFormat="1" applyFont="1" applyFill="1" applyBorder="1" applyAlignment="1" applyProtection="1">
      <alignment horizontal="center" vertical="center"/>
      <protection locked="0"/>
    </xf>
    <xf numFmtId="167" fontId="86" fillId="11" borderId="175" xfId="1" applyNumberFormat="1" applyFont="1" applyFill="1" applyBorder="1" applyAlignment="1" applyProtection="1">
      <alignment horizontal="center" vertical="center"/>
      <protection locked="0"/>
    </xf>
    <xf numFmtId="167" fontId="76" fillId="11" borderId="175" xfId="1" applyNumberFormat="1" applyFont="1" applyFill="1" applyBorder="1" applyAlignment="1" applyProtection="1">
      <alignment horizontal="center" vertical="center"/>
      <protection locked="0"/>
    </xf>
    <xf numFmtId="167" fontId="72" fillId="9" borderId="175" xfId="1" applyNumberFormat="1" applyFont="1" applyFill="1" applyBorder="1" applyAlignment="1" applyProtection="1">
      <alignment horizontal="center" vertical="center"/>
      <protection locked="0"/>
    </xf>
    <xf numFmtId="167" fontId="72" fillId="14" borderId="175" xfId="1" applyNumberFormat="1" applyFont="1" applyFill="1" applyBorder="1" applyAlignment="1" applyProtection="1">
      <alignment horizontal="center" vertical="center"/>
      <protection locked="0"/>
    </xf>
    <xf numFmtId="167" fontId="76" fillId="9" borderId="175" xfId="1" applyNumberFormat="1" applyFont="1" applyFill="1" applyBorder="1" applyAlignment="1" applyProtection="1">
      <alignment horizontal="center" vertical="center"/>
      <protection locked="0"/>
    </xf>
    <xf numFmtId="167" fontId="72" fillId="17" borderId="175" xfId="1" applyNumberFormat="1" applyFont="1" applyFill="1" applyBorder="1" applyAlignment="1" applyProtection="1">
      <alignment horizontal="center" vertical="center"/>
      <protection locked="0"/>
    </xf>
    <xf numFmtId="167" fontId="76" fillId="17" borderId="175" xfId="1" applyNumberFormat="1" applyFont="1" applyFill="1" applyBorder="1" applyAlignment="1" applyProtection="1">
      <alignment horizontal="center" vertical="center"/>
      <protection locked="0"/>
    </xf>
    <xf numFmtId="167" fontId="87" fillId="11" borderId="175" xfId="1" applyNumberFormat="1" applyFont="1" applyFill="1" applyBorder="1" applyAlignment="1" applyProtection="1">
      <alignment horizontal="center" vertical="center"/>
      <protection locked="0"/>
    </xf>
    <xf numFmtId="167" fontId="72" fillId="15" borderId="175" xfId="1" applyNumberFormat="1" applyFont="1" applyFill="1" applyBorder="1" applyAlignment="1" applyProtection="1">
      <alignment vertical="center"/>
      <protection locked="0"/>
    </xf>
    <xf numFmtId="167" fontId="83" fillId="11" borderId="175" xfId="1" applyNumberFormat="1" applyFont="1" applyFill="1" applyBorder="1" applyAlignment="1" applyProtection="1">
      <alignment vertical="center"/>
      <protection locked="0"/>
    </xf>
    <xf numFmtId="167" fontId="81" fillId="15" borderId="175" xfId="1" applyNumberFormat="1" applyFont="1" applyFill="1" applyBorder="1" applyAlignment="1" applyProtection="1">
      <alignment horizontal="center" vertical="center"/>
      <protection locked="0"/>
    </xf>
    <xf numFmtId="167" fontId="86" fillId="11" borderId="175" xfId="1" applyNumberFormat="1" applyFont="1" applyFill="1" applyBorder="1" applyAlignment="1" applyProtection="1">
      <alignment vertical="center"/>
      <protection locked="0"/>
    </xf>
    <xf numFmtId="167" fontId="125" fillId="15" borderId="175" xfId="1" applyNumberFormat="1" applyFont="1" applyFill="1" applyBorder="1" applyAlignment="1" applyProtection="1">
      <alignment horizontal="center" vertical="center"/>
      <protection locked="0"/>
    </xf>
    <xf numFmtId="167" fontId="71" fillId="15" borderId="175" xfId="1" applyNumberFormat="1" applyFont="1" applyFill="1" applyBorder="1" applyAlignment="1" applyProtection="1">
      <alignment horizontal="center" vertical="center"/>
      <protection locked="0"/>
    </xf>
    <xf numFmtId="167" fontId="76" fillId="14" borderId="175" xfId="1" applyNumberFormat="1" applyFont="1" applyFill="1" applyBorder="1" applyProtection="1">
      <protection locked="0"/>
    </xf>
    <xf numFmtId="167" fontId="91" fillId="11" borderId="175" xfId="1" applyNumberFormat="1" applyFont="1" applyFill="1" applyBorder="1" applyAlignment="1" applyProtection="1">
      <alignment horizontal="center" vertical="center"/>
      <protection locked="0"/>
    </xf>
    <xf numFmtId="167" fontId="72" fillId="11" borderId="175" xfId="1" applyNumberFormat="1" applyFont="1" applyFill="1" applyBorder="1" applyAlignment="1" applyProtection="1">
      <alignment horizontal="center" vertical="center"/>
      <protection locked="0"/>
    </xf>
    <xf numFmtId="167" fontId="101" fillId="15" borderId="175" xfId="1" applyNumberFormat="1" applyFont="1" applyFill="1" applyBorder="1" applyAlignment="1" applyProtection="1">
      <alignment horizontal="center" vertical="center"/>
      <protection locked="0"/>
    </xf>
    <xf numFmtId="167" fontId="101" fillId="14" borderId="175" xfId="1" applyNumberFormat="1" applyFont="1" applyFill="1" applyBorder="1" applyProtection="1">
      <protection locked="0"/>
    </xf>
    <xf numFmtId="167" fontId="100" fillId="11" borderId="175" xfId="1" applyNumberFormat="1" applyFont="1" applyFill="1" applyBorder="1" applyAlignment="1" applyProtection="1">
      <alignment horizontal="center" vertical="center"/>
      <protection locked="0"/>
    </xf>
    <xf numFmtId="167" fontId="100" fillId="14" borderId="175" xfId="1" applyNumberFormat="1" applyFont="1" applyFill="1" applyBorder="1" applyProtection="1">
      <protection locked="0"/>
    </xf>
    <xf numFmtId="167" fontId="216" fillId="11" borderId="175" xfId="1" applyNumberFormat="1" applyFont="1" applyFill="1" applyBorder="1" applyAlignment="1" applyProtection="1">
      <alignment horizontal="center" vertical="center"/>
      <protection locked="0"/>
    </xf>
    <xf numFmtId="167" fontId="71" fillId="11" borderId="175" xfId="1" applyNumberFormat="1" applyFont="1" applyFill="1" applyBorder="1" applyAlignment="1" applyProtection="1">
      <alignment horizontal="center" vertical="center"/>
      <protection locked="0"/>
    </xf>
    <xf numFmtId="167" fontId="96" fillId="11" borderId="175" xfId="1" applyNumberFormat="1" applyFont="1" applyFill="1" applyBorder="1" applyAlignment="1" applyProtection="1">
      <alignment horizontal="center" vertical="center"/>
      <protection locked="0"/>
    </xf>
    <xf numFmtId="43" fontId="96" fillId="11" borderId="175" xfId="24" applyFont="1" applyFill="1" applyBorder="1" applyAlignment="1" applyProtection="1">
      <alignment horizontal="center"/>
      <protection locked="0"/>
    </xf>
    <xf numFmtId="167" fontId="83" fillId="11" borderId="175" xfId="24" applyNumberFormat="1" applyFont="1" applyFill="1" applyBorder="1" applyProtection="1">
      <protection locked="0"/>
    </xf>
    <xf numFmtId="167" fontId="87" fillId="11" borderId="175" xfId="24" applyNumberFormat="1" applyFont="1" applyFill="1" applyBorder="1" applyProtection="1">
      <protection locked="0"/>
    </xf>
    <xf numFmtId="167" fontId="86" fillId="14" borderId="175" xfId="24" applyNumberFormat="1" applyFont="1" applyFill="1" applyBorder="1" applyProtection="1">
      <protection locked="0"/>
    </xf>
    <xf numFmtId="43" fontId="91" fillId="11" borderId="175" xfId="24" applyFont="1" applyFill="1" applyBorder="1" applyAlignment="1" applyProtection="1">
      <alignment horizontal="center"/>
      <protection locked="0"/>
    </xf>
    <xf numFmtId="167" fontId="98" fillId="11" borderId="175" xfId="1" applyNumberFormat="1" applyFont="1" applyFill="1" applyBorder="1" applyAlignment="1" applyProtection="1">
      <alignment horizontal="center" vertical="center"/>
      <protection locked="0"/>
    </xf>
    <xf numFmtId="167" fontId="84" fillId="11" borderId="175" xfId="1" applyNumberFormat="1" applyFont="1" applyFill="1" applyBorder="1" applyAlignment="1" applyProtection="1">
      <alignment vertical="center"/>
      <protection locked="0"/>
    </xf>
    <xf numFmtId="167" fontId="96" fillId="11" borderId="175" xfId="1" applyNumberFormat="1" applyFont="1" applyFill="1" applyBorder="1" applyAlignment="1">
      <alignment horizontal="center" vertical="center"/>
    </xf>
    <xf numFmtId="167" fontId="87" fillId="11" borderId="175" xfId="1" applyNumberFormat="1" applyFont="1" applyFill="1" applyBorder="1" applyAlignment="1">
      <alignment horizontal="center" vertical="center"/>
    </xf>
    <xf numFmtId="167" fontId="86" fillId="14" borderId="175" xfId="1" applyNumberFormat="1" applyFont="1" applyFill="1" applyBorder="1"/>
    <xf numFmtId="167" fontId="81" fillId="31" borderId="175" xfId="1" applyNumberFormat="1" applyFont="1" applyFill="1" applyBorder="1" applyAlignment="1" applyProtection="1">
      <alignment horizontal="center" vertical="center"/>
      <protection locked="0"/>
    </xf>
    <xf numFmtId="167" fontId="76" fillId="31" borderId="175" xfId="1" applyNumberFormat="1" applyFont="1" applyFill="1" applyBorder="1" applyAlignment="1" applyProtection="1">
      <alignment horizontal="center" vertical="center"/>
      <protection locked="0"/>
    </xf>
    <xf numFmtId="167" fontId="95" fillId="15" borderId="175" xfId="1" applyNumberFormat="1" applyFont="1" applyFill="1" applyBorder="1" applyAlignment="1" applyProtection="1">
      <alignment horizontal="center" vertical="center"/>
      <protection locked="0"/>
    </xf>
    <xf numFmtId="167" fontId="70" fillId="15" borderId="175" xfId="1" applyNumberFormat="1" applyFont="1" applyFill="1" applyBorder="1" applyAlignment="1" applyProtection="1">
      <alignment vertical="center"/>
      <protection locked="0"/>
    </xf>
    <xf numFmtId="0" fontId="123" fillId="11" borderId="175" xfId="0" applyFont="1" applyFill="1" applyBorder="1" applyAlignment="1">
      <alignment vertical="center" wrapText="1"/>
    </xf>
    <xf numFmtId="49" fontId="83" fillId="11" borderId="175" xfId="0" applyNumberFormat="1" applyFont="1" applyFill="1" applyBorder="1" applyAlignment="1">
      <alignment horizontal="center" vertical="center"/>
    </xf>
    <xf numFmtId="167" fontId="72" fillId="11" borderId="175" xfId="1" applyNumberFormat="1" applyFont="1" applyFill="1" applyBorder="1" applyProtection="1">
      <protection locked="0"/>
    </xf>
    <xf numFmtId="167" fontId="84" fillId="11" borderId="175" xfId="1" applyNumberFormat="1" applyFont="1" applyFill="1" applyBorder="1" applyAlignment="1" applyProtection="1">
      <alignment horizontal="center" vertical="center"/>
      <protection locked="0"/>
    </xf>
    <xf numFmtId="0" fontId="372" fillId="0" borderId="0" xfId="0" applyFont="1" applyAlignment="1">
      <alignment horizontal="left" vertical="center"/>
    </xf>
    <xf numFmtId="167" fontId="123" fillId="11" borderId="175" xfId="1" applyNumberFormat="1" applyFont="1" applyFill="1" applyBorder="1" applyAlignment="1" applyProtection="1">
      <alignment horizontal="center" vertical="center"/>
      <protection locked="0"/>
    </xf>
    <xf numFmtId="167" fontId="91" fillId="15" borderId="175" xfId="1" applyNumberFormat="1" applyFont="1" applyFill="1" applyBorder="1" applyAlignment="1" applyProtection="1">
      <alignment vertical="center"/>
      <protection locked="0"/>
    </xf>
    <xf numFmtId="167" fontId="87" fillId="11" borderId="175" xfId="1" applyNumberFormat="1" applyFont="1" applyFill="1" applyBorder="1" applyAlignment="1" applyProtection="1">
      <alignment vertical="center"/>
      <protection locked="0"/>
    </xf>
    <xf numFmtId="167" fontId="84" fillId="15" borderId="175" xfId="1" applyNumberFormat="1" applyFont="1" applyFill="1" applyBorder="1" applyAlignment="1" applyProtection="1">
      <alignment vertical="center"/>
      <protection locked="0"/>
    </xf>
    <xf numFmtId="167" fontId="83" fillId="15" borderId="175" xfId="1" applyNumberFormat="1" applyFont="1" applyFill="1" applyBorder="1" applyAlignment="1" applyProtection="1">
      <alignment vertical="center"/>
      <protection locked="0"/>
    </xf>
    <xf numFmtId="167" fontId="96" fillId="15" borderId="175" xfId="1" applyNumberFormat="1" applyFont="1" applyFill="1" applyBorder="1" applyAlignment="1" applyProtection="1">
      <alignment horizontal="center" vertical="center"/>
      <protection locked="0"/>
    </xf>
    <xf numFmtId="167" fontId="91" fillId="15" borderId="175" xfId="1" applyNumberFormat="1" applyFont="1" applyFill="1" applyBorder="1" applyAlignment="1" applyProtection="1">
      <alignment horizontal="center" vertical="center"/>
      <protection locked="0"/>
    </xf>
    <xf numFmtId="167" fontId="100" fillId="15" borderId="175" xfId="1" applyNumberFormat="1" applyFont="1" applyFill="1" applyBorder="1" applyAlignment="1" applyProtection="1">
      <alignment horizontal="center" vertical="center"/>
      <protection locked="0"/>
    </xf>
    <xf numFmtId="167" fontId="216" fillId="15" borderId="175" xfId="1" applyNumberFormat="1" applyFont="1" applyFill="1" applyBorder="1" applyAlignment="1" applyProtection="1">
      <alignment horizontal="center" vertical="center"/>
      <protection locked="0"/>
    </xf>
    <xf numFmtId="167" fontId="86" fillId="15" borderId="175" xfId="1" applyNumberFormat="1" applyFont="1" applyFill="1" applyBorder="1" applyAlignment="1" applyProtection="1">
      <alignment horizontal="center" vertical="center"/>
      <protection locked="0"/>
    </xf>
    <xf numFmtId="167" fontId="96" fillId="15" borderId="175" xfId="1" applyNumberFormat="1" applyFont="1" applyFill="1" applyBorder="1" applyAlignment="1" applyProtection="1">
      <alignment vertical="center"/>
      <protection locked="0"/>
    </xf>
    <xf numFmtId="167" fontId="98" fillId="15" borderId="175" xfId="1" applyNumberFormat="1" applyFont="1" applyFill="1" applyBorder="1" applyAlignment="1" applyProtection="1">
      <alignment horizontal="center" vertical="center"/>
      <protection locked="0"/>
    </xf>
    <xf numFmtId="167" fontId="98" fillId="15" borderId="175" xfId="1" applyNumberFormat="1" applyFont="1" applyFill="1" applyBorder="1" applyAlignment="1" applyProtection="1">
      <alignment vertical="center"/>
      <protection locked="0"/>
    </xf>
    <xf numFmtId="0" fontId="95" fillId="0" borderId="175" xfId="0" applyFont="1" applyBorder="1"/>
    <xf numFmtId="0" fontId="68" fillId="11" borderId="175" xfId="0" applyFont="1" applyFill="1" applyBorder="1" applyAlignment="1">
      <alignment wrapText="1"/>
    </xf>
    <xf numFmtId="167" fontId="72" fillId="15" borderId="147" xfId="1" applyNumberFormat="1" applyFont="1" applyFill="1" applyBorder="1" applyProtection="1">
      <protection locked="0"/>
    </xf>
    <xf numFmtId="167" fontId="71" fillId="11" borderId="147" xfId="1" applyNumberFormat="1" applyFont="1" applyFill="1" applyBorder="1"/>
    <xf numFmtId="167" fontId="72" fillId="11" borderId="145" xfId="1" applyNumberFormat="1" applyFont="1" applyFill="1" applyBorder="1"/>
    <xf numFmtId="167" fontId="72" fillId="11" borderId="151" xfId="1" applyNumberFormat="1" applyFont="1" applyFill="1" applyBorder="1"/>
    <xf numFmtId="0" fontId="70" fillId="11" borderId="175" xfId="0" applyFont="1" applyFill="1" applyBorder="1" applyAlignment="1">
      <alignment horizontal="left" wrapText="1"/>
    </xf>
    <xf numFmtId="167" fontId="72" fillId="15" borderId="145" xfId="1" applyNumberFormat="1" applyFont="1" applyFill="1" applyBorder="1" applyAlignment="1" applyProtection="1">
      <protection locked="0"/>
    </xf>
    <xf numFmtId="167" fontId="83" fillId="11" borderId="145" xfId="1" applyNumberFormat="1" applyFont="1" applyFill="1" applyBorder="1"/>
    <xf numFmtId="0" fontId="72" fillId="0" borderId="175" xfId="0" applyFont="1" applyBorder="1" applyAlignment="1">
      <alignment horizontal="left"/>
    </xf>
    <xf numFmtId="167" fontId="72" fillId="17" borderId="145" xfId="1" applyNumberFormat="1" applyFont="1" applyFill="1" applyBorder="1"/>
    <xf numFmtId="167" fontId="72" fillId="20" borderId="145" xfId="1" applyNumberFormat="1" applyFont="1" applyFill="1" applyBorder="1"/>
    <xf numFmtId="167" fontId="72" fillId="21" borderId="145" xfId="1" applyNumberFormat="1" applyFont="1" applyFill="1" applyBorder="1"/>
    <xf numFmtId="167" fontId="96" fillId="3" borderId="146" xfId="0" applyNumberFormat="1" applyFont="1" applyFill="1" applyBorder="1"/>
    <xf numFmtId="167" fontId="96" fillId="3" borderId="145" xfId="0" applyNumberFormat="1" applyFont="1" applyFill="1" applyBorder="1"/>
    <xf numFmtId="167" fontId="72" fillId="39" borderId="145" xfId="1" applyNumberFormat="1" applyFont="1" applyFill="1" applyBorder="1"/>
    <xf numFmtId="167" fontId="83" fillId="11" borderId="0" xfId="0" applyNumberFormat="1" applyFont="1" applyFill="1" applyAlignment="1">
      <alignment horizontal="left"/>
    </xf>
    <xf numFmtId="167" fontId="83" fillId="11" borderId="0" xfId="0" applyNumberFormat="1" applyFont="1" applyFill="1" applyAlignment="1">
      <alignment horizontal="left" wrapText="1"/>
    </xf>
    <xf numFmtId="167" fontId="72" fillId="24" borderId="145" xfId="1" applyNumberFormat="1" applyFont="1" applyFill="1" applyBorder="1"/>
    <xf numFmtId="9" fontId="83" fillId="3" borderId="0" xfId="2" applyFont="1" applyFill="1"/>
    <xf numFmtId="167" fontId="72" fillId="9" borderId="96" xfId="1" applyNumberFormat="1" applyFont="1" applyFill="1" applyBorder="1"/>
    <xf numFmtId="167" fontId="72" fillId="9" borderId="147" xfId="1" applyNumberFormat="1" applyFont="1" applyFill="1" applyBorder="1" applyProtection="1">
      <protection locked="0"/>
    </xf>
    <xf numFmtId="167" fontId="72" fillId="24" borderId="147" xfId="1" applyNumberFormat="1" applyFont="1" applyFill="1" applyBorder="1" applyProtection="1">
      <protection locked="0"/>
    </xf>
    <xf numFmtId="167" fontId="72" fillId="39" borderId="147" xfId="1" applyNumberFormat="1" applyFont="1" applyFill="1" applyBorder="1" applyProtection="1">
      <protection locked="0"/>
    </xf>
    <xf numFmtId="167" fontId="72" fillId="17" borderId="147" xfId="1" applyNumberFormat="1" applyFont="1" applyFill="1" applyBorder="1" applyProtection="1">
      <protection locked="0"/>
    </xf>
    <xf numFmtId="167" fontId="72" fillId="20" borderId="147" xfId="1" applyNumberFormat="1" applyFont="1" applyFill="1" applyBorder="1" applyProtection="1">
      <protection locked="0"/>
    </xf>
    <xf numFmtId="167" fontId="72" fillId="21" borderId="147" xfId="1" applyNumberFormat="1" applyFont="1" applyFill="1" applyBorder="1" applyProtection="1">
      <protection locked="0"/>
    </xf>
    <xf numFmtId="167" fontId="72" fillId="15" borderId="144" xfId="1" applyNumberFormat="1" applyFont="1" applyFill="1" applyBorder="1" applyProtection="1">
      <protection locked="0"/>
    </xf>
    <xf numFmtId="167" fontId="83" fillId="11" borderId="175" xfId="1" applyNumberFormat="1" applyFont="1" applyFill="1" applyBorder="1"/>
    <xf numFmtId="167" fontId="72" fillId="11" borderId="144" xfId="1" applyNumberFormat="1" applyFont="1" applyFill="1" applyBorder="1"/>
    <xf numFmtId="167" fontId="83" fillId="11" borderId="147" xfId="1" applyNumberFormat="1" applyFont="1" applyFill="1" applyBorder="1"/>
    <xf numFmtId="167" fontId="72" fillId="11" borderId="147" xfId="1" applyNumberFormat="1" applyFont="1" applyFill="1" applyBorder="1"/>
    <xf numFmtId="43" fontId="83" fillId="11" borderId="147" xfId="1" applyFont="1" applyFill="1" applyBorder="1"/>
    <xf numFmtId="0" fontId="92" fillId="0" borderId="0" xfId="0" applyFont="1" applyAlignment="1">
      <alignment wrapText="1"/>
    </xf>
    <xf numFmtId="0" fontId="72" fillId="11" borderId="175" xfId="0" applyFont="1" applyFill="1" applyBorder="1" applyAlignment="1">
      <alignment horizontal="right" vertical="center" wrapText="1"/>
    </xf>
    <xf numFmtId="167" fontId="76" fillId="14" borderId="175" xfId="19" applyNumberFormat="1" applyFont="1" applyFill="1" applyBorder="1" applyProtection="1">
      <protection locked="0"/>
    </xf>
    <xf numFmtId="167" fontId="72" fillId="16" borderId="175" xfId="19" applyNumberFormat="1" applyFont="1" applyFill="1" applyBorder="1" applyProtection="1">
      <protection locked="0"/>
    </xf>
    <xf numFmtId="167" fontId="76" fillId="16" borderId="175" xfId="19" applyNumberFormat="1" applyFont="1" applyFill="1" applyBorder="1" applyProtection="1">
      <protection locked="0"/>
    </xf>
    <xf numFmtId="167" fontId="72" fillId="25" borderId="175" xfId="19" applyNumberFormat="1" applyFont="1" applyFill="1" applyBorder="1" applyProtection="1">
      <protection locked="0"/>
    </xf>
    <xf numFmtId="167" fontId="76" fillId="25" borderId="175" xfId="19" applyNumberFormat="1" applyFont="1" applyFill="1" applyBorder="1" applyProtection="1">
      <protection locked="0"/>
    </xf>
    <xf numFmtId="167" fontId="86" fillId="11" borderId="175" xfId="19" applyNumberFormat="1" applyFont="1" applyFill="1" applyBorder="1" applyAlignment="1">
      <alignment horizontal="center"/>
    </xf>
    <xf numFmtId="167" fontId="72" fillId="11" borderId="175" xfId="19" applyNumberFormat="1" applyFont="1" applyFill="1" applyBorder="1" applyProtection="1">
      <protection locked="0"/>
    </xf>
    <xf numFmtId="167" fontId="111" fillId="15" borderId="175" xfId="19" applyNumberFormat="1" applyFont="1" applyFill="1" applyBorder="1" applyProtection="1">
      <protection locked="0"/>
    </xf>
    <xf numFmtId="167" fontId="83" fillId="11" borderId="175" xfId="19" applyNumberFormat="1" applyFont="1" applyFill="1" applyBorder="1" applyAlignment="1">
      <alignment horizontal="center"/>
    </xf>
    <xf numFmtId="49" fontId="221" fillId="6" borderId="165" xfId="43" applyNumberFormat="1" applyFont="1" applyFill="1" applyBorder="1" applyAlignment="1">
      <alignment horizontal="left" indent="1"/>
    </xf>
    <xf numFmtId="49" fontId="221" fillId="6" borderId="175" xfId="43" applyNumberFormat="1" applyFont="1" applyFill="1" applyBorder="1" applyAlignment="1">
      <alignment horizontal="right" wrapText="1" indent="2"/>
    </xf>
    <xf numFmtId="167" fontId="221" fillId="6" borderId="166" xfId="1" applyNumberFormat="1" applyFont="1" applyFill="1" applyBorder="1"/>
    <xf numFmtId="0" fontId="83" fillId="11" borderId="175" xfId="0" applyFont="1" applyFill="1" applyBorder="1" applyAlignment="1">
      <alignment horizontal="right" vertical="center" wrapText="1"/>
    </xf>
    <xf numFmtId="167" fontId="84" fillId="11" borderId="176" xfId="19" applyNumberFormat="1" applyFont="1" applyFill="1" applyBorder="1" applyAlignment="1" applyProtection="1">
      <alignment horizontal="center"/>
      <protection locked="0"/>
    </xf>
    <xf numFmtId="167" fontId="84" fillId="11" borderId="176" xfId="24" applyNumberFormat="1" applyFont="1" applyFill="1" applyBorder="1" applyAlignment="1" applyProtection="1">
      <alignment horizontal="center"/>
      <protection locked="0"/>
    </xf>
    <xf numFmtId="167" fontId="87" fillId="11" borderId="176" xfId="24" applyNumberFormat="1" applyFont="1" applyFill="1" applyBorder="1" applyProtection="1">
      <protection locked="0"/>
    </xf>
    <xf numFmtId="167" fontId="86" fillId="14" borderId="176" xfId="24" applyNumberFormat="1" applyFont="1" applyFill="1" applyBorder="1" applyProtection="1">
      <protection locked="0"/>
    </xf>
    <xf numFmtId="167" fontId="71" fillId="15" borderId="89" xfId="1" applyNumberFormat="1" applyFont="1" applyFill="1" applyBorder="1" applyProtection="1">
      <protection locked="0"/>
    </xf>
    <xf numFmtId="167" fontId="83" fillId="11" borderId="109" xfId="19" applyNumberFormat="1" applyFont="1" applyFill="1" applyBorder="1" applyAlignment="1" applyProtection="1">
      <alignment horizontal="center"/>
      <protection locked="0"/>
    </xf>
    <xf numFmtId="167" fontId="72" fillId="11" borderId="109" xfId="24" applyNumberFormat="1" applyFont="1" applyFill="1" applyBorder="1" applyAlignment="1" applyProtection="1">
      <alignment horizontal="center"/>
      <protection locked="0"/>
    </xf>
    <xf numFmtId="167" fontId="83" fillId="11" borderId="176" xfId="19" applyNumberFormat="1" applyFont="1" applyFill="1" applyBorder="1" applyAlignment="1" applyProtection="1">
      <alignment horizontal="center"/>
      <protection locked="0"/>
    </xf>
    <xf numFmtId="167" fontId="72" fillId="11" borderId="176" xfId="24" applyNumberFormat="1" applyFont="1" applyFill="1" applyBorder="1" applyAlignment="1" applyProtection="1">
      <alignment horizontal="center"/>
      <protection locked="0"/>
    </xf>
    <xf numFmtId="167" fontId="72" fillId="11" borderId="146" xfId="24" applyNumberFormat="1" applyFont="1" applyFill="1" applyBorder="1" applyAlignment="1" applyProtection="1">
      <alignment horizontal="center"/>
      <protection locked="0"/>
    </xf>
    <xf numFmtId="167" fontId="84" fillId="11" borderId="176" xfId="19" applyNumberFormat="1" applyFont="1" applyFill="1" applyBorder="1" applyAlignment="1" applyProtection="1">
      <alignment horizontal="right" wrapText="1"/>
      <protection locked="0"/>
    </xf>
    <xf numFmtId="43" fontId="98" fillId="11" borderId="176" xfId="24" applyFont="1" applyFill="1" applyBorder="1" applyAlignment="1" applyProtection="1">
      <alignment horizontal="center"/>
      <protection locked="0"/>
    </xf>
    <xf numFmtId="167" fontId="83" fillId="11" borderId="176" xfId="24" applyNumberFormat="1" applyFont="1" applyFill="1" applyBorder="1" applyProtection="1">
      <protection locked="0"/>
    </xf>
    <xf numFmtId="167" fontId="72" fillId="11" borderId="109" xfId="1" applyNumberFormat="1" applyFont="1" applyFill="1" applyBorder="1" applyAlignment="1" applyProtection="1">
      <alignment horizontal="center"/>
      <protection locked="0"/>
    </xf>
    <xf numFmtId="43" fontId="96" fillId="11" borderId="176" xfId="24" applyFont="1" applyFill="1" applyBorder="1" applyAlignment="1" applyProtection="1">
      <alignment horizontal="center"/>
      <protection locked="0"/>
    </xf>
    <xf numFmtId="167" fontId="72" fillId="11" borderId="176" xfId="1" applyNumberFormat="1" applyFont="1" applyFill="1" applyBorder="1" applyAlignment="1" applyProtection="1">
      <alignment horizontal="center"/>
      <protection locked="0"/>
    </xf>
    <xf numFmtId="167" fontId="72" fillId="11" borderId="146" xfId="1" applyNumberFormat="1" applyFont="1" applyFill="1" applyBorder="1" applyAlignment="1" applyProtection="1">
      <alignment horizontal="center"/>
      <protection locked="0"/>
    </xf>
    <xf numFmtId="167" fontId="72" fillId="11" borderId="89" xfId="1" applyNumberFormat="1" applyFont="1" applyFill="1" applyBorder="1" applyProtection="1">
      <protection locked="0"/>
    </xf>
    <xf numFmtId="167" fontId="81" fillId="15" borderId="175" xfId="19" applyNumberFormat="1" applyFont="1" applyFill="1" applyBorder="1" applyProtection="1">
      <protection locked="0"/>
    </xf>
    <xf numFmtId="167" fontId="81" fillId="14" borderId="175" xfId="19" applyNumberFormat="1" applyFont="1" applyFill="1" applyBorder="1" applyProtection="1">
      <protection locked="0"/>
    </xf>
    <xf numFmtId="167" fontId="84" fillId="11" borderId="175" xfId="19" applyNumberFormat="1" applyFont="1" applyFill="1" applyBorder="1" applyAlignment="1">
      <alignment horizontal="center"/>
    </xf>
    <xf numFmtId="167" fontId="84" fillId="14" borderId="175" xfId="19" applyNumberFormat="1" applyFont="1" applyFill="1" applyBorder="1" applyProtection="1">
      <protection locked="0"/>
    </xf>
    <xf numFmtId="0" fontId="101" fillId="11" borderId="175" xfId="0" applyFont="1" applyFill="1" applyBorder="1" applyAlignment="1">
      <alignment horizontal="left" vertical="center" wrapText="1"/>
    </xf>
    <xf numFmtId="167" fontId="84" fillId="11" borderId="175" xfId="19" applyNumberFormat="1" applyFont="1" applyFill="1" applyBorder="1" applyProtection="1">
      <protection locked="0"/>
    </xf>
    <xf numFmtId="0" fontId="81" fillId="0" borderId="175" xfId="0" applyFont="1" applyBorder="1" applyAlignment="1">
      <alignment horizontal="center"/>
    </xf>
    <xf numFmtId="0" fontId="84" fillId="11" borderId="175" xfId="0" applyFont="1" applyFill="1" applyBorder="1" applyAlignment="1">
      <alignment horizontal="center"/>
    </xf>
    <xf numFmtId="0" fontId="100" fillId="11" borderId="175" xfId="0" applyFont="1" applyFill="1" applyBorder="1" applyAlignment="1">
      <alignment horizontal="left" vertical="center" wrapText="1"/>
    </xf>
    <xf numFmtId="167" fontId="87" fillId="11" borderId="175" xfId="19" applyNumberFormat="1" applyFont="1" applyFill="1" applyBorder="1" applyAlignment="1" applyProtection="1">
      <alignment horizontal="center" vertical="center"/>
      <protection locked="0"/>
    </xf>
    <xf numFmtId="167" fontId="72" fillId="14" borderId="176" xfId="24" applyNumberFormat="1" applyFont="1" applyFill="1" applyBorder="1" applyProtection="1">
      <protection locked="0"/>
    </xf>
    <xf numFmtId="167" fontId="72" fillId="11" borderId="151" xfId="24" applyNumberFormat="1" applyFont="1" applyFill="1" applyBorder="1" applyProtection="1">
      <protection locked="0"/>
    </xf>
    <xf numFmtId="167" fontId="72" fillId="11" borderId="99" xfId="24" applyNumberFormat="1" applyFont="1" applyFill="1" applyBorder="1" applyAlignment="1" applyProtection="1">
      <alignment horizontal="center"/>
      <protection locked="0"/>
    </xf>
    <xf numFmtId="0" fontId="101" fillId="11" borderId="175" xfId="0" applyFont="1" applyFill="1" applyBorder="1" applyAlignment="1">
      <alignment horizontal="left" wrapText="1"/>
    </xf>
    <xf numFmtId="0" fontId="101" fillId="11" borderId="175" xfId="0" applyFont="1" applyFill="1" applyBorder="1" applyAlignment="1">
      <alignment wrapText="1"/>
    </xf>
    <xf numFmtId="167" fontId="72" fillId="11" borderId="175" xfId="24" applyNumberFormat="1" applyFont="1" applyFill="1" applyBorder="1" applyProtection="1">
      <protection locked="0"/>
    </xf>
    <xf numFmtId="43" fontId="91" fillId="11" borderId="176" xfId="24" applyFont="1" applyFill="1" applyBorder="1" applyAlignment="1" applyProtection="1">
      <alignment horizontal="center"/>
      <protection locked="0"/>
    </xf>
    <xf numFmtId="167" fontId="83" fillId="11" borderId="175" xfId="24" applyNumberFormat="1" applyFont="1" applyFill="1" applyBorder="1" applyAlignment="1" applyProtection="1">
      <alignment horizontal="center"/>
      <protection locked="0"/>
    </xf>
    <xf numFmtId="167" fontId="72" fillId="11" borderId="175" xfId="24" applyNumberFormat="1" applyFont="1" applyFill="1" applyBorder="1" applyAlignment="1" applyProtection="1">
      <alignment horizontal="center"/>
      <protection locked="0"/>
    </xf>
    <xf numFmtId="43" fontId="83" fillId="11" borderId="175" xfId="24" applyFont="1" applyFill="1" applyBorder="1" applyAlignment="1" applyProtection="1">
      <alignment horizontal="center"/>
      <protection locked="0"/>
    </xf>
    <xf numFmtId="43" fontId="71" fillId="11" borderId="89" xfId="24" applyFont="1" applyFill="1" applyBorder="1" applyAlignment="1" applyProtection="1">
      <alignment horizontal="center"/>
      <protection locked="0"/>
    </xf>
    <xf numFmtId="0" fontId="101" fillId="11" borderId="175" xfId="0" applyFont="1" applyFill="1" applyBorder="1" applyAlignment="1">
      <alignment vertical="center" wrapText="1"/>
    </xf>
    <xf numFmtId="167" fontId="72" fillId="11" borderId="145" xfId="24" applyNumberFormat="1" applyFont="1" applyFill="1" applyBorder="1" applyProtection="1">
      <protection locked="0"/>
    </xf>
    <xf numFmtId="167" fontId="72" fillId="11" borderId="110" xfId="24" applyNumberFormat="1" applyFont="1" applyFill="1" applyBorder="1" applyProtection="1">
      <protection locked="0"/>
    </xf>
    <xf numFmtId="167" fontId="87" fillId="11" borderId="150" xfId="24" applyNumberFormat="1" applyFont="1" applyFill="1" applyBorder="1" applyProtection="1">
      <protection locked="0"/>
    </xf>
    <xf numFmtId="167" fontId="76" fillId="11" borderId="175" xfId="24" applyNumberFormat="1" applyFont="1" applyFill="1" applyBorder="1" applyAlignment="1" applyProtection="1">
      <alignment horizontal="center"/>
      <protection locked="0"/>
    </xf>
    <xf numFmtId="167" fontId="72" fillId="15" borderId="175" xfId="24" applyNumberFormat="1" applyFont="1" applyFill="1" applyBorder="1" applyProtection="1">
      <protection locked="0"/>
    </xf>
    <xf numFmtId="43" fontId="71" fillId="15" borderId="175" xfId="24" applyFont="1" applyFill="1" applyBorder="1" applyProtection="1">
      <protection locked="0"/>
    </xf>
    <xf numFmtId="43" fontId="75" fillId="15" borderId="175" xfId="24" applyFont="1" applyFill="1" applyBorder="1" applyProtection="1">
      <protection locked="0"/>
    </xf>
    <xf numFmtId="167" fontId="76" fillId="11" borderId="175" xfId="24" applyNumberFormat="1" applyFont="1" applyFill="1" applyBorder="1" applyProtection="1">
      <protection locked="0"/>
    </xf>
    <xf numFmtId="43" fontId="71" fillId="11" borderId="109" xfId="24" applyFont="1" applyFill="1" applyBorder="1" applyAlignment="1" applyProtection="1">
      <alignment horizontal="center"/>
      <protection locked="0"/>
    </xf>
    <xf numFmtId="167" fontId="72" fillId="15" borderId="176" xfId="24" applyNumberFormat="1" applyFont="1" applyFill="1" applyBorder="1" applyAlignment="1" applyProtection="1">
      <alignment horizontal="center"/>
      <protection locked="0"/>
    </xf>
    <xf numFmtId="43" fontId="91" fillId="15" borderId="176" xfId="24" applyFont="1" applyFill="1" applyBorder="1" applyProtection="1">
      <protection locked="0"/>
    </xf>
    <xf numFmtId="167" fontId="70" fillId="15" borderId="176" xfId="24" applyNumberFormat="1" applyFont="1" applyFill="1" applyBorder="1" applyProtection="1">
      <protection locked="0"/>
    </xf>
    <xf numFmtId="43" fontId="75" fillId="15" borderId="176" xfId="24" applyFont="1" applyFill="1" applyBorder="1" applyProtection="1">
      <protection locked="0"/>
    </xf>
    <xf numFmtId="167" fontId="203" fillId="17" borderId="175" xfId="24" applyNumberFormat="1" applyFont="1" applyFill="1" applyBorder="1" applyAlignment="1" applyProtection="1">
      <alignment horizontal="center"/>
      <protection locked="0"/>
    </xf>
    <xf numFmtId="167" fontId="70" fillId="15" borderId="175" xfId="24" applyNumberFormat="1" applyFont="1" applyFill="1" applyBorder="1" applyAlignment="1" applyProtection="1">
      <alignment horizontal="center" vertical="center"/>
      <protection locked="0"/>
    </xf>
    <xf numFmtId="167" fontId="72" fillId="14" borderId="175" xfId="24" applyNumberFormat="1" applyFont="1" applyFill="1" applyBorder="1" applyAlignment="1" applyProtection="1">
      <alignment horizontal="center" vertical="center"/>
      <protection locked="0"/>
    </xf>
    <xf numFmtId="167" fontId="76" fillId="17" borderId="175" xfId="24" applyNumberFormat="1" applyFont="1" applyFill="1" applyBorder="1" applyAlignment="1" applyProtection="1">
      <alignment horizontal="center"/>
      <protection locked="0"/>
    </xf>
    <xf numFmtId="43" fontId="204" fillId="11" borderId="175" xfId="24" applyFont="1" applyFill="1" applyBorder="1" applyAlignment="1" applyProtection="1">
      <alignment horizontal="center"/>
      <protection locked="0"/>
    </xf>
    <xf numFmtId="167" fontId="70" fillId="11" borderId="175" xfId="24" applyNumberFormat="1" applyFont="1" applyFill="1" applyBorder="1" applyProtection="1">
      <protection locked="0"/>
    </xf>
    <xf numFmtId="43" fontId="86" fillId="11" borderId="175" xfId="24" applyFont="1" applyFill="1" applyBorder="1" applyAlignment="1" applyProtection="1">
      <alignment horizontal="center"/>
      <protection locked="0"/>
    </xf>
    <xf numFmtId="43" fontId="76" fillId="11" borderId="175" xfId="1" applyFont="1" applyFill="1" applyBorder="1" applyProtection="1">
      <protection locked="0"/>
    </xf>
    <xf numFmtId="167" fontId="76" fillId="11" borderId="175" xfId="19" applyNumberFormat="1" applyFont="1" applyFill="1" applyBorder="1" applyProtection="1">
      <protection locked="0"/>
    </xf>
    <xf numFmtId="0" fontId="72" fillId="11" borderId="175" xfId="0" applyFont="1" applyFill="1" applyBorder="1" applyAlignment="1">
      <alignment vertical="center" wrapText="1"/>
    </xf>
    <xf numFmtId="0" fontId="83" fillId="23" borderId="0" xfId="0" applyFont="1" applyFill="1" applyAlignment="1">
      <alignment horizontal="left" wrapText="1"/>
    </xf>
    <xf numFmtId="167" fontId="72" fillId="11" borderId="110" xfId="24" applyNumberFormat="1" applyFont="1" applyFill="1" applyBorder="1" applyAlignment="1" applyProtection="1">
      <alignment horizontal="center"/>
      <protection locked="0"/>
    </xf>
    <xf numFmtId="43" fontId="70" fillId="11" borderId="175" xfId="24" applyFont="1" applyFill="1" applyBorder="1" applyProtection="1">
      <protection locked="0"/>
    </xf>
    <xf numFmtId="43" fontId="72" fillId="11" borderId="110" xfId="24" applyFont="1" applyFill="1" applyBorder="1" applyAlignment="1" applyProtection="1">
      <alignment wrapText="1"/>
      <protection locked="0"/>
    </xf>
    <xf numFmtId="167" fontId="87" fillId="11" borderId="175" xfId="24" applyNumberFormat="1" applyFont="1" applyFill="1" applyBorder="1" applyAlignment="1" applyProtection="1">
      <alignment vertical="center"/>
      <protection locked="0"/>
    </xf>
    <xf numFmtId="167" fontId="72" fillId="11" borderId="110" xfId="23" applyNumberFormat="1" applyFont="1" applyFill="1" applyBorder="1" applyProtection="1">
      <protection locked="0"/>
    </xf>
    <xf numFmtId="167" fontId="72" fillId="11" borderId="145" xfId="23" applyNumberFormat="1" applyFont="1" applyFill="1" applyBorder="1" applyProtection="1">
      <protection locked="0"/>
    </xf>
    <xf numFmtId="167" fontId="87" fillId="14" borderId="176" xfId="24" applyNumberFormat="1" applyFont="1" applyFill="1" applyBorder="1" applyProtection="1">
      <protection locked="0"/>
    </xf>
    <xf numFmtId="167" fontId="91" fillId="11" borderId="176" xfId="24" applyNumberFormat="1" applyFont="1" applyFill="1" applyBorder="1" applyAlignment="1" applyProtection="1">
      <alignment horizontal="center"/>
      <protection locked="0"/>
    </xf>
    <xf numFmtId="167" fontId="72" fillId="11" borderId="109" xfId="24" applyNumberFormat="1" applyFont="1" applyFill="1" applyBorder="1" applyProtection="1">
      <protection locked="0"/>
    </xf>
    <xf numFmtId="43" fontId="96" fillId="11" borderId="99" xfId="24" applyFont="1" applyFill="1" applyBorder="1" applyAlignment="1" applyProtection="1">
      <alignment horizontal="center"/>
      <protection locked="0"/>
    </xf>
    <xf numFmtId="167" fontId="72" fillId="11" borderId="176" xfId="24" applyNumberFormat="1" applyFont="1" applyFill="1" applyBorder="1" applyProtection="1">
      <protection locked="0"/>
    </xf>
    <xf numFmtId="0" fontId="72" fillId="11" borderId="175" xfId="0" applyFont="1" applyFill="1" applyBorder="1" applyAlignment="1">
      <alignment horizontal="left" vertical="top" wrapText="1"/>
    </xf>
    <xf numFmtId="0" fontId="72" fillId="11" borderId="145" xfId="0" applyFont="1" applyFill="1" applyBorder="1" applyAlignment="1">
      <alignment horizontal="right" vertical="top" wrapText="1"/>
    </xf>
    <xf numFmtId="43" fontId="71" fillId="15" borderId="175" xfId="24" applyFont="1" applyFill="1" applyBorder="1" applyAlignment="1" applyProtection="1">
      <alignment horizontal="center"/>
      <protection locked="0"/>
    </xf>
    <xf numFmtId="43" fontId="75" fillId="15" borderId="175" xfId="24" applyFont="1" applyFill="1" applyBorder="1" applyAlignment="1" applyProtection="1">
      <alignment horizontal="center"/>
      <protection locked="0"/>
    </xf>
    <xf numFmtId="167" fontId="72" fillId="11" borderId="175" xfId="19" applyNumberFormat="1" applyFont="1" applyFill="1" applyBorder="1" applyAlignment="1" applyProtection="1">
      <alignment horizontal="center"/>
      <protection locked="0"/>
    </xf>
    <xf numFmtId="167" fontId="72" fillId="11" borderId="110" xfId="19" applyNumberFormat="1" applyFont="1" applyFill="1" applyBorder="1" applyProtection="1">
      <protection locked="0"/>
    </xf>
    <xf numFmtId="167" fontId="86" fillId="11" borderId="176" xfId="19" applyNumberFormat="1" applyFont="1" applyFill="1" applyBorder="1" applyAlignment="1" applyProtection="1">
      <alignment horizontal="center"/>
      <protection locked="0"/>
    </xf>
    <xf numFmtId="167" fontId="72" fillId="11" borderId="146" xfId="24" applyNumberFormat="1" applyFont="1" applyFill="1" applyBorder="1" applyProtection="1">
      <protection locked="0"/>
    </xf>
    <xf numFmtId="167" fontId="72" fillId="15" borderId="147" xfId="19" applyNumberFormat="1" applyFont="1" applyFill="1" applyBorder="1" applyProtection="1">
      <protection locked="0"/>
    </xf>
    <xf numFmtId="0" fontId="297" fillId="11" borderId="175" xfId="0" applyFont="1" applyFill="1" applyBorder="1" applyAlignment="1">
      <alignment vertical="center" wrapText="1"/>
    </xf>
    <xf numFmtId="0" fontId="86" fillId="11" borderId="145" xfId="0" applyFont="1" applyFill="1" applyBorder="1" applyAlignment="1">
      <alignment horizontal="right" vertical="center" wrapText="1"/>
    </xf>
    <xf numFmtId="0" fontId="89" fillId="11" borderId="175" xfId="0" applyFont="1" applyFill="1" applyBorder="1"/>
    <xf numFmtId="167" fontId="72" fillId="15" borderId="145" xfId="22" applyNumberFormat="1" applyFont="1" applyFill="1" applyBorder="1"/>
    <xf numFmtId="0" fontId="86" fillId="11" borderId="175" xfId="0" applyFont="1" applyFill="1" applyBorder="1" applyAlignment="1">
      <alignment horizontal="right" vertical="center" wrapText="1"/>
    </xf>
    <xf numFmtId="0" fontId="149" fillId="23" borderId="0" xfId="0" applyFont="1" applyFill="1"/>
    <xf numFmtId="167" fontId="83" fillId="11" borderId="145" xfId="144" applyNumberFormat="1" applyFont="1" applyFill="1" applyBorder="1" applyProtection="1">
      <protection locked="0"/>
    </xf>
    <xf numFmtId="167" fontId="83" fillId="11" borderId="175" xfId="144" applyNumberFormat="1" applyFont="1" applyFill="1" applyBorder="1" applyProtection="1">
      <protection locked="0"/>
    </xf>
    <xf numFmtId="167" fontId="149" fillId="11" borderId="175" xfId="144" applyNumberFormat="1" applyFont="1" applyFill="1" applyBorder="1" applyProtection="1">
      <protection locked="0"/>
    </xf>
    <xf numFmtId="167" fontId="201" fillId="15" borderId="147" xfId="19" applyNumberFormat="1" applyFont="1" applyFill="1" applyBorder="1" applyProtection="1">
      <protection locked="0"/>
    </xf>
    <xf numFmtId="167" fontId="72" fillId="11" borderId="145" xfId="19" applyNumberFormat="1" applyFont="1" applyFill="1" applyBorder="1" applyProtection="1">
      <protection locked="0"/>
    </xf>
    <xf numFmtId="167" fontId="72" fillId="11" borderId="147" xfId="19" applyNumberFormat="1" applyFont="1" applyFill="1" applyBorder="1" applyProtection="1">
      <protection locked="0"/>
    </xf>
    <xf numFmtId="167" fontId="83" fillId="11" borderId="145" xfId="19" applyNumberFormat="1" applyFont="1" applyFill="1" applyBorder="1" applyAlignment="1" applyProtection="1">
      <alignment wrapText="1"/>
      <protection locked="0"/>
    </xf>
    <xf numFmtId="0" fontId="149" fillId="23" borderId="0" xfId="0" applyFont="1" applyFill="1" applyAlignment="1">
      <alignment wrapText="1"/>
    </xf>
    <xf numFmtId="167" fontId="292" fillId="15" borderId="147" xfId="19" applyNumberFormat="1" applyFont="1" applyFill="1" applyBorder="1" applyProtection="1">
      <protection locked="0"/>
    </xf>
    <xf numFmtId="167" fontId="246" fillId="15" borderId="147" xfId="19" applyNumberFormat="1" applyFont="1" applyFill="1" applyBorder="1" applyProtection="1">
      <protection locked="0"/>
    </xf>
    <xf numFmtId="167" fontId="83" fillId="15" borderId="175" xfId="19" applyNumberFormat="1" applyFont="1" applyFill="1" applyBorder="1" applyProtection="1">
      <protection locked="0"/>
    </xf>
    <xf numFmtId="0" fontId="86" fillId="23" borderId="0" xfId="0" applyFont="1" applyFill="1" applyAlignment="1">
      <alignment horizontal="left"/>
    </xf>
    <xf numFmtId="167" fontId="377" fillId="15" borderId="87" xfId="19" applyNumberFormat="1" applyFont="1" applyFill="1" applyBorder="1" applyProtection="1">
      <protection locked="0"/>
    </xf>
    <xf numFmtId="167" fontId="378" fillId="11" borderId="0" xfId="19" applyNumberFormat="1" applyFont="1" applyFill="1"/>
    <xf numFmtId="167" fontId="378" fillId="11" borderId="145" xfId="19" applyNumberFormat="1" applyFont="1" applyFill="1" applyBorder="1"/>
    <xf numFmtId="167" fontId="378" fillId="11" borderId="87" xfId="19" applyNumberFormat="1" applyFont="1" applyFill="1" applyBorder="1" applyProtection="1">
      <protection locked="0"/>
    </xf>
    <xf numFmtId="167" fontId="378" fillId="11" borderId="115" xfId="19" applyNumberFormat="1" applyFont="1" applyFill="1" applyBorder="1" applyProtection="1">
      <protection locked="0"/>
    </xf>
    <xf numFmtId="167" fontId="378" fillId="11" borderId="147" xfId="19" applyNumberFormat="1" applyFont="1" applyFill="1" applyBorder="1" applyProtection="1">
      <protection locked="0"/>
    </xf>
    <xf numFmtId="167" fontId="377" fillId="15" borderId="151" xfId="19" applyNumberFormat="1" applyFont="1" applyFill="1" applyBorder="1" applyProtection="1">
      <protection locked="0"/>
    </xf>
    <xf numFmtId="167" fontId="378" fillId="11" borderId="151" xfId="19" applyNumberFormat="1" applyFont="1" applyFill="1" applyBorder="1" applyProtection="1">
      <protection locked="0"/>
    </xf>
    <xf numFmtId="167" fontId="378" fillId="11" borderId="151" xfId="19" applyNumberFormat="1" applyFont="1" applyFill="1" applyBorder="1"/>
    <xf numFmtId="167" fontId="378" fillId="11" borderId="175" xfId="19" applyNumberFormat="1" applyFont="1" applyFill="1" applyBorder="1" applyProtection="1">
      <protection locked="0"/>
    </xf>
    <xf numFmtId="167" fontId="378" fillId="11" borderId="151" xfId="22" applyNumberFormat="1" applyFont="1" applyFill="1" applyBorder="1"/>
    <xf numFmtId="167" fontId="378" fillId="11" borderId="173" xfId="19" applyNumberFormat="1" applyFont="1" applyFill="1" applyBorder="1" applyProtection="1">
      <protection locked="0"/>
    </xf>
    <xf numFmtId="167" fontId="378" fillId="11" borderId="151" xfId="19" applyNumberFormat="1" applyFont="1" applyFill="1" applyBorder="1" applyAlignment="1" applyProtection="1">
      <alignment vertical="center"/>
      <protection locked="0"/>
    </xf>
    <xf numFmtId="167" fontId="378" fillId="11" borderId="151" xfId="19" applyNumberFormat="1" applyFont="1" applyFill="1" applyBorder="1" applyAlignment="1">
      <alignment vertical="top"/>
    </xf>
    <xf numFmtId="167" fontId="378" fillId="11" borderId="151" xfId="19" applyNumberFormat="1" applyFont="1" applyFill="1" applyBorder="1" applyAlignment="1" applyProtection="1">
      <alignment horizontal="center" vertical="center"/>
      <protection locked="0"/>
    </xf>
    <xf numFmtId="167" fontId="292" fillId="15" borderId="87" xfId="19" applyNumberFormat="1" applyFont="1" applyFill="1" applyBorder="1" applyProtection="1">
      <protection locked="0"/>
    </xf>
    <xf numFmtId="167" fontId="246" fillId="11" borderId="0" xfId="19" applyNumberFormat="1" applyFont="1" applyFill="1"/>
    <xf numFmtId="167" fontId="246" fillId="11" borderId="145" xfId="19" applyNumberFormat="1" applyFont="1" applyFill="1" applyBorder="1"/>
    <xf numFmtId="167" fontId="83" fillId="11" borderId="151" xfId="1" applyNumberFormat="1" applyFont="1" applyFill="1" applyBorder="1" applyProtection="1">
      <protection locked="0"/>
    </xf>
    <xf numFmtId="167" fontId="83" fillId="13" borderId="151" xfId="19" applyNumberFormat="1" applyFont="1" applyFill="1" applyBorder="1" applyProtection="1">
      <protection locked="0"/>
    </xf>
    <xf numFmtId="3" fontId="52" fillId="5" borderId="8" xfId="3" applyNumberFormat="1" applyFont="1" applyFill="1" applyBorder="1"/>
    <xf numFmtId="167" fontId="47" fillId="0" borderId="8" xfId="5" applyNumberFormat="1" applyFont="1" applyFill="1" applyBorder="1"/>
    <xf numFmtId="167" fontId="83" fillId="21" borderId="151" xfId="19" applyNumberFormat="1" applyFont="1" applyFill="1" applyBorder="1" applyProtection="1">
      <protection locked="0"/>
    </xf>
    <xf numFmtId="167" fontId="96" fillId="15" borderId="151" xfId="19" applyNumberFormat="1" applyFont="1" applyFill="1" applyBorder="1" applyProtection="1">
      <protection locked="0"/>
    </xf>
    <xf numFmtId="3" fontId="58" fillId="4" borderId="12" xfId="3" applyNumberFormat="1" applyFont="1" applyFill="1" applyBorder="1"/>
    <xf numFmtId="3" fontId="58" fillId="6" borderId="12" xfId="3" applyNumberFormat="1" applyFont="1" applyFill="1" applyBorder="1"/>
    <xf numFmtId="167" fontId="72" fillId="15" borderId="9" xfId="1" applyNumberFormat="1" applyFont="1" applyFill="1" applyBorder="1" applyProtection="1">
      <protection locked="0"/>
    </xf>
    <xf numFmtId="167" fontId="72" fillId="73" borderId="13" xfId="1" applyNumberFormat="1" applyFont="1" applyFill="1" applyBorder="1" applyProtection="1">
      <protection locked="0"/>
    </xf>
    <xf numFmtId="167" fontId="83" fillId="11" borderId="115" xfId="19" applyNumberFormat="1" applyFont="1" applyFill="1" applyBorder="1"/>
    <xf numFmtId="0" fontId="96" fillId="11" borderId="0" xfId="0" applyFont="1" applyFill="1" applyAlignment="1">
      <alignment wrapText="1"/>
    </xf>
    <xf numFmtId="178" fontId="75" fillId="0" borderId="0" xfId="1" applyNumberFormat="1" applyFont="1"/>
    <xf numFmtId="43" fontId="47" fillId="6" borderId="124" xfId="1" quotePrefix="1" applyFont="1" applyFill="1" applyBorder="1"/>
    <xf numFmtId="170" fontId="83" fillId="18" borderId="175" xfId="19" applyNumberFormat="1" applyFont="1" applyFill="1" applyBorder="1" applyAlignment="1" applyProtection="1">
      <protection locked="0"/>
    </xf>
    <xf numFmtId="170" fontId="86" fillId="18" borderId="147" xfId="19" applyNumberFormat="1" applyFont="1" applyFill="1" applyBorder="1" applyAlignment="1" applyProtection="1">
      <protection locked="0"/>
    </xf>
    <xf numFmtId="0" fontId="149" fillId="11" borderId="175" xfId="0" applyFont="1" applyFill="1" applyBorder="1" applyAlignment="1">
      <alignment horizontal="left" vertical="center" wrapText="1"/>
    </xf>
    <xf numFmtId="167" fontId="72" fillId="15" borderId="147" xfId="22" applyNumberFormat="1" applyFont="1" applyFill="1" applyBorder="1"/>
    <xf numFmtId="167" fontId="83" fillId="11" borderId="145" xfId="22" applyNumberFormat="1" applyFont="1" applyFill="1" applyBorder="1"/>
    <xf numFmtId="0" fontId="246" fillId="0" borderId="0" xfId="0" applyFont="1" applyAlignment="1">
      <alignment wrapText="1"/>
    </xf>
    <xf numFmtId="167" fontId="83" fillId="11" borderId="175" xfId="22" applyNumberFormat="1" applyFont="1" applyFill="1" applyBorder="1"/>
    <xf numFmtId="0" fontId="246" fillId="0" borderId="0" xfId="0" applyFont="1"/>
    <xf numFmtId="167" fontId="246" fillId="11" borderId="175" xfId="22" applyNumberFormat="1" applyFont="1" applyFill="1" applyBorder="1"/>
    <xf numFmtId="167" fontId="84" fillId="14" borderId="175" xfId="19" applyNumberFormat="1" applyFont="1" applyFill="1" applyBorder="1"/>
    <xf numFmtId="167" fontId="149" fillId="11" borderId="175" xfId="22" applyNumberFormat="1" applyFont="1" applyFill="1" applyBorder="1"/>
    <xf numFmtId="167" fontId="83" fillId="11" borderId="131" xfId="22" applyNumberFormat="1" applyFont="1" applyFill="1" applyBorder="1"/>
    <xf numFmtId="167" fontId="149" fillId="11" borderId="175" xfId="19" applyNumberFormat="1" applyFont="1" applyFill="1" applyBorder="1" applyProtection="1"/>
    <xf numFmtId="167" fontId="87" fillId="11" borderId="175" xfId="19" applyNumberFormat="1" applyFont="1" applyFill="1" applyBorder="1" applyProtection="1"/>
    <xf numFmtId="167" fontId="83" fillId="11" borderId="102" xfId="1" applyNumberFormat="1" applyFont="1" applyFill="1" applyBorder="1" applyProtection="1">
      <protection locked="0"/>
    </xf>
    <xf numFmtId="43" fontId="60" fillId="6" borderId="124" xfId="1" applyFont="1" applyFill="1" applyBorder="1" applyAlignment="1">
      <alignment wrapText="1"/>
    </xf>
    <xf numFmtId="0" fontId="115" fillId="11" borderId="86" xfId="0" applyFont="1" applyFill="1" applyBorder="1"/>
    <xf numFmtId="49" fontId="115" fillId="11" borderId="86" xfId="0" applyNumberFormat="1" applyFont="1" applyFill="1" applyBorder="1"/>
    <xf numFmtId="0" fontId="115" fillId="11" borderId="86" xfId="0" applyFont="1" applyFill="1" applyBorder="1" applyAlignment="1">
      <alignment horizontal="center"/>
    </xf>
    <xf numFmtId="0" fontId="115" fillId="11" borderId="175" xfId="0" applyFont="1" applyFill="1" applyBorder="1" applyAlignment="1">
      <alignment horizontal="left" vertical="center" wrapText="1"/>
    </xf>
    <xf numFmtId="167" fontId="115" fillId="11" borderId="175" xfId="19" applyNumberFormat="1" applyFont="1" applyFill="1" applyBorder="1" applyProtection="1">
      <protection locked="0"/>
    </xf>
    <xf numFmtId="167" fontId="115" fillId="14" borderId="175" xfId="1" applyNumberFormat="1" applyFont="1" applyFill="1" applyBorder="1" applyProtection="1">
      <protection locked="0"/>
    </xf>
    <xf numFmtId="167" fontId="115" fillId="11" borderId="175" xfId="1" applyNumberFormat="1" applyFont="1" applyFill="1" applyBorder="1" applyProtection="1">
      <protection locked="0"/>
    </xf>
    <xf numFmtId="0" fontId="115" fillId="23" borderId="0" xfId="0" applyFont="1" applyFill="1"/>
    <xf numFmtId="167" fontId="215" fillId="0" borderId="0" xfId="0" applyNumberFormat="1" applyFont="1"/>
    <xf numFmtId="0" fontId="215" fillId="0" borderId="0" xfId="0" applyFont="1"/>
    <xf numFmtId="0" fontId="379" fillId="0" borderId="0" xfId="0" applyFont="1"/>
    <xf numFmtId="0" fontId="103" fillId="11" borderId="150" xfId="0" applyFont="1" applyFill="1" applyBorder="1"/>
    <xf numFmtId="0" fontId="84" fillId="11" borderId="150" xfId="0" applyFont="1" applyFill="1" applyBorder="1" applyAlignment="1">
      <alignment horizontal="left" vertical="center" wrapText="1"/>
    </xf>
    <xf numFmtId="49" fontId="92" fillId="11" borderId="86" xfId="0" applyNumberFormat="1" applyFont="1" applyFill="1" applyBorder="1"/>
    <xf numFmtId="0" fontId="92" fillId="11" borderId="86" xfId="0" applyFont="1" applyFill="1" applyBorder="1" applyAlignment="1">
      <alignment horizontal="center"/>
    </xf>
    <xf numFmtId="167" fontId="92" fillId="11" borderId="175" xfId="19" applyNumberFormat="1" applyFont="1" applyFill="1" applyBorder="1" applyProtection="1">
      <protection locked="0"/>
    </xf>
    <xf numFmtId="167" fontId="92" fillId="14" borderId="175" xfId="1" applyNumberFormat="1" applyFont="1" applyFill="1" applyBorder="1" applyProtection="1">
      <protection locked="0"/>
    </xf>
    <xf numFmtId="167" fontId="92" fillId="11" borderId="175" xfId="1" applyNumberFormat="1" applyFont="1" applyFill="1" applyBorder="1" applyProtection="1">
      <protection locked="0"/>
    </xf>
    <xf numFmtId="0" fontId="92" fillId="23" borderId="0" xfId="0" applyFont="1" applyFill="1"/>
    <xf numFmtId="167" fontId="83" fillId="11" borderId="151" xfId="1" applyNumberFormat="1" applyFont="1" applyFill="1" applyBorder="1"/>
    <xf numFmtId="167" fontId="83" fillId="11" borderId="87" xfId="1" applyNumberFormat="1" applyFont="1" applyFill="1" applyBorder="1" applyProtection="1">
      <protection locked="0"/>
    </xf>
    <xf numFmtId="43" fontId="83" fillId="11" borderId="87" xfId="1" applyFont="1" applyFill="1" applyBorder="1"/>
    <xf numFmtId="167" fontId="83" fillId="11" borderId="106" xfId="22" applyNumberFormat="1" applyFont="1" applyFill="1" applyBorder="1"/>
    <xf numFmtId="43" fontId="87" fillId="11" borderId="87" xfId="1" applyFont="1" applyFill="1" applyBorder="1"/>
    <xf numFmtId="43" fontId="87" fillId="11" borderId="147" xfId="1" applyFont="1" applyFill="1" applyBorder="1"/>
    <xf numFmtId="167" fontId="83" fillId="11" borderId="86" xfId="1" applyNumberFormat="1" applyFont="1" applyFill="1" applyBorder="1"/>
    <xf numFmtId="0" fontId="83" fillId="11" borderId="150" xfId="0" applyFont="1" applyFill="1" applyBorder="1" applyAlignment="1">
      <alignment horizontal="left" vertical="center" wrapText="1"/>
    </xf>
    <xf numFmtId="167" fontId="111" fillId="15" borderId="87" xfId="19" applyNumberFormat="1" applyFont="1" applyFill="1" applyBorder="1"/>
    <xf numFmtId="0" fontId="86" fillId="11" borderId="175" xfId="0" applyFont="1" applyFill="1" applyBorder="1"/>
    <xf numFmtId="167" fontId="83" fillId="11" borderId="59" xfId="1" applyNumberFormat="1" applyFont="1" applyFill="1" applyBorder="1" applyProtection="1">
      <protection locked="0"/>
    </xf>
    <xf numFmtId="167" fontId="87" fillId="11" borderId="145" xfId="22" applyNumberFormat="1" applyFont="1" applyFill="1" applyBorder="1"/>
    <xf numFmtId="167" fontId="87" fillId="11" borderId="151" xfId="22" applyNumberFormat="1" applyFont="1" applyFill="1" applyBorder="1"/>
    <xf numFmtId="167" fontId="87" fillId="11" borderId="175" xfId="22" applyNumberFormat="1" applyFont="1" applyFill="1" applyBorder="1"/>
    <xf numFmtId="167" fontId="83" fillId="11" borderId="138" xfId="23" applyNumberFormat="1" applyFont="1" applyFill="1" applyBorder="1"/>
    <xf numFmtId="167" fontId="70" fillId="15" borderId="151" xfId="22" applyNumberFormat="1" applyFont="1" applyFill="1" applyBorder="1"/>
    <xf numFmtId="167" fontId="70" fillId="15" borderId="147" xfId="22" applyNumberFormat="1" applyFont="1" applyFill="1" applyBorder="1"/>
    <xf numFmtId="43" fontId="86" fillId="11" borderId="151" xfId="22" applyFont="1" applyFill="1" applyBorder="1"/>
    <xf numFmtId="9" fontId="83" fillId="23" borderId="0" xfId="2" applyFont="1" applyFill="1"/>
    <xf numFmtId="3" fontId="221" fillId="6" borderId="166" xfId="43" applyNumberFormat="1" applyFont="1" applyFill="1" applyBorder="1"/>
    <xf numFmtId="9" fontId="221" fillId="6" borderId="166" xfId="2" applyFont="1" applyFill="1" applyBorder="1" applyAlignment="1">
      <alignment horizontal="right"/>
    </xf>
    <xf numFmtId="43" fontId="221" fillId="6" borderId="166" xfId="1" applyFont="1" applyFill="1" applyBorder="1"/>
    <xf numFmtId="167" fontId="269" fillId="0" borderId="0" xfId="0" applyNumberFormat="1" applyFont="1"/>
    <xf numFmtId="0" fontId="83" fillId="17" borderId="187" xfId="0" applyFont="1" applyFill="1" applyBorder="1" applyAlignment="1">
      <alignment horizontal="left" vertical="center" wrapText="1"/>
    </xf>
    <xf numFmtId="0" fontId="72" fillId="11" borderId="187" xfId="0" applyFont="1" applyFill="1" applyBorder="1"/>
    <xf numFmtId="49" fontId="72" fillId="11" borderId="187" xfId="0" applyNumberFormat="1" applyFont="1" applyFill="1" applyBorder="1"/>
    <xf numFmtId="0" fontId="92" fillId="11" borderId="187" xfId="0" applyFont="1" applyFill="1" applyBorder="1"/>
    <xf numFmtId="0" fontId="83" fillId="11" borderId="187" xfId="0" applyFont="1" applyFill="1" applyBorder="1" applyAlignment="1">
      <alignment horizontal="center"/>
    </xf>
    <xf numFmtId="167" fontId="204" fillId="11" borderId="187" xfId="23" applyNumberFormat="1" applyFont="1" applyFill="1" applyBorder="1" applyProtection="1">
      <protection locked="0"/>
    </xf>
    <xf numFmtId="167" fontId="83" fillId="11" borderId="187" xfId="23" applyNumberFormat="1" applyFont="1" applyFill="1" applyBorder="1" applyProtection="1">
      <protection locked="0"/>
    </xf>
    <xf numFmtId="167" fontId="87" fillId="11" borderId="187" xfId="23" applyNumberFormat="1" applyFont="1" applyFill="1" applyBorder="1" applyProtection="1">
      <protection locked="0"/>
    </xf>
    <xf numFmtId="167" fontId="83" fillId="14" borderId="187" xfId="23" applyNumberFormat="1" applyFont="1" applyFill="1" applyBorder="1" applyProtection="1">
      <protection locked="0"/>
    </xf>
    <xf numFmtId="0" fontId="83" fillId="11" borderId="187" xfId="0" applyFont="1" applyFill="1" applyBorder="1" applyAlignment="1">
      <alignment vertical="center" wrapText="1"/>
    </xf>
    <xf numFmtId="167" fontId="138" fillId="11" borderId="187" xfId="23" applyNumberFormat="1" applyFont="1" applyFill="1" applyBorder="1" applyProtection="1">
      <protection locked="0"/>
    </xf>
    <xf numFmtId="167" fontId="83" fillId="37" borderId="187" xfId="23" applyNumberFormat="1" applyFont="1" applyFill="1" applyBorder="1" applyProtection="1">
      <protection locked="0"/>
    </xf>
    <xf numFmtId="0" fontId="89" fillId="11" borderId="187" xfId="0" applyFont="1" applyFill="1" applyBorder="1"/>
    <xf numFmtId="0" fontId="83" fillId="11" borderId="187" xfId="0" applyFont="1" applyFill="1" applyBorder="1"/>
    <xf numFmtId="49" fontId="83" fillId="11" borderId="187" xfId="0" applyNumberFormat="1" applyFont="1" applyFill="1" applyBorder="1"/>
    <xf numFmtId="167" fontId="86" fillId="11" borderId="187" xfId="23" applyNumberFormat="1" applyFont="1" applyFill="1" applyBorder="1" applyProtection="1">
      <protection locked="0"/>
    </xf>
    <xf numFmtId="167" fontId="83" fillId="17" borderId="187" xfId="23" applyNumberFormat="1" applyFont="1" applyFill="1" applyBorder="1" applyProtection="1">
      <protection locked="0"/>
    </xf>
    <xf numFmtId="0" fontId="83" fillId="17" borderId="187" xfId="0" applyFont="1" applyFill="1" applyBorder="1" applyAlignment="1">
      <alignment horizontal="left"/>
    </xf>
    <xf numFmtId="0" fontId="83" fillId="17" borderId="187" xfId="0" applyFont="1" applyFill="1" applyBorder="1" applyAlignment="1">
      <alignment horizontal="left" wrapText="1"/>
    </xf>
    <xf numFmtId="167" fontId="86" fillId="17" borderId="187" xfId="23" applyNumberFormat="1" applyFont="1" applyFill="1" applyBorder="1" applyProtection="1">
      <protection locked="0"/>
    </xf>
    <xf numFmtId="0" fontId="83" fillId="17" borderId="187" xfId="0" applyFont="1" applyFill="1" applyBorder="1" applyAlignment="1">
      <alignment vertical="center" wrapText="1"/>
    </xf>
    <xf numFmtId="0" fontId="92" fillId="17" borderId="187" xfId="0" applyFont="1" applyFill="1" applyBorder="1" applyAlignment="1">
      <alignment horizontal="left" vertical="center" wrapText="1"/>
    </xf>
    <xf numFmtId="0" fontId="83" fillId="11" borderId="187" xfId="0" applyFont="1" applyFill="1" applyBorder="1" applyAlignment="1">
      <alignment horizontal="left" vertical="center" wrapText="1"/>
    </xf>
    <xf numFmtId="0" fontId="83" fillId="11" borderId="187" xfId="0" applyFont="1" applyFill="1" applyBorder="1" applyAlignment="1">
      <alignment horizontal="left" wrapText="1"/>
    </xf>
    <xf numFmtId="167" fontId="83" fillId="17" borderId="187" xfId="19" applyNumberFormat="1" applyFont="1" applyFill="1" applyBorder="1" applyProtection="1">
      <protection locked="0"/>
    </xf>
    <xf numFmtId="167" fontId="76" fillId="15" borderId="187" xfId="23" applyNumberFormat="1" applyFont="1" applyFill="1" applyBorder="1" applyProtection="1">
      <protection locked="0"/>
    </xf>
    <xf numFmtId="0" fontId="95" fillId="0" borderId="187" xfId="0" applyFont="1" applyBorder="1"/>
    <xf numFmtId="0" fontId="72" fillId="0" borderId="187" xfId="0" applyFont="1" applyBorder="1" applyAlignment="1">
      <alignment horizontal="center"/>
    </xf>
    <xf numFmtId="0" fontId="72" fillId="0" borderId="187" xfId="0" applyFont="1" applyBorder="1" applyAlignment="1">
      <alignment horizontal="left" vertical="center" wrapText="1"/>
    </xf>
    <xf numFmtId="167" fontId="203" fillId="15" borderId="187" xfId="23" applyNumberFormat="1" applyFont="1" applyFill="1" applyBorder="1" applyProtection="1">
      <protection locked="0"/>
    </xf>
    <xf numFmtId="167" fontId="72" fillId="15" borderId="187" xfId="23" applyNumberFormat="1" applyFont="1" applyFill="1" applyBorder="1" applyProtection="1">
      <protection locked="0"/>
    </xf>
    <xf numFmtId="167" fontId="70" fillId="15" borderId="187" xfId="23" applyNumberFormat="1" applyFont="1" applyFill="1" applyBorder="1" applyProtection="1">
      <protection locked="0"/>
    </xf>
    <xf numFmtId="167" fontId="72" fillId="14" borderId="187" xfId="23" applyNumberFormat="1" applyFont="1" applyFill="1" applyBorder="1" applyProtection="1">
      <protection locked="0"/>
    </xf>
    <xf numFmtId="0" fontId="83" fillId="11" borderId="187" xfId="0" applyFont="1" applyFill="1" applyBorder="1" applyAlignment="1">
      <alignment horizontal="left" vertical="top" wrapText="1"/>
    </xf>
    <xf numFmtId="0" fontId="83" fillId="11" borderId="187" xfId="0" applyFont="1" applyFill="1" applyBorder="1" applyAlignment="1">
      <alignment wrapText="1"/>
    </xf>
    <xf numFmtId="0" fontId="72" fillId="0" borderId="187" xfId="0" applyFont="1" applyBorder="1"/>
    <xf numFmtId="49" fontId="72" fillId="0" borderId="187" xfId="0" applyNumberFormat="1" applyFont="1" applyBorder="1"/>
    <xf numFmtId="0" fontId="95" fillId="0" borderId="187" xfId="0" quotePrefix="1" applyFont="1" applyBorder="1"/>
    <xf numFmtId="0" fontId="92" fillId="11" borderId="187" xfId="0" quotePrefix="1" applyFont="1" applyFill="1" applyBorder="1"/>
    <xf numFmtId="0" fontId="87" fillId="11" borderId="187" xfId="0" applyFont="1" applyFill="1" applyBorder="1" applyAlignment="1">
      <alignment horizontal="right" vertical="center" wrapText="1"/>
    </xf>
    <xf numFmtId="167" fontId="204" fillId="11" borderId="187" xfId="23" applyNumberFormat="1" applyFont="1" applyFill="1" applyBorder="1"/>
    <xf numFmtId="167" fontId="83" fillId="11" borderId="187" xfId="23" applyNumberFormat="1" applyFont="1" applyFill="1" applyBorder="1"/>
    <xf numFmtId="167" fontId="87" fillId="11" borderId="187" xfId="23" applyNumberFormat="1" applyFont="1" applyFill="1" applyBorder="1"/>
    <xf numFmtId="167" fontId="83" fillId="14" borderId="187" xfId="23" applyNumberFormat="1" applyFont="1" applyFill="1" applyBorder="1"/>
    <xf numFmtId="167" fontId="86" fillId="11" borderId="187" xfId="23" applyNumberFormat="1" applyFont="1" applyFill="1" applyBorder="1"/>
    <xf numFmtId="167" fontId="203" fillId="16" borderId="187" xfId="23" applyNumberFormat="1" applyFont="1" applyFill="1" applyBorder="1" applyProtection="1">
      <protection locked="0"/>
    </xf>
    <xf numFmtId="167" fontId="76" fillId="16" borderId="187" xfId="23" applyNumberFormat="1" applyFont="1" applyFill="1" applyBorder="1" applyProtection="1">
      <protection locked="0"/>
    </xf>
    <xf numFmtId="167" fontId="138" fillId="11" borderId="187" xfId="23" applyNumberFormat="1" applyFont="1" applyFill="1" applyBorder="1"/>
    <xf numFmtId="167" fontId="203" fillId="14" borderId="187" xfId="23" applyNumberFormat="1" applyFont="1" applyFill="1" applyBorder="1" applyProtection="1">
      <protection locked="0"/>
    </xf>
    <xf numFmtId="167" fontId="76" fillId="14" borderId="187" xfId="23" applyNumberFormat="1" applyFont="1" applyFill="1" applyBorder="1" applyProtection="1">
      <protection locked="0"/>
    </xf>
    <xf numFmtId="0" fontId="82" fillId="0" borderId="187" xfId="0" applyFont="1" applyBorder="1"/>
    <xf numFmtId="0" fontId="82" fillId="11" borderId="187" xfId="0" applyFont="1" applyFill="1" applyBorder="1"/>
    <xf numFmtId="167" fontId="70" fillId="15" borderId="187" xfId="23" applyNumberFormat="1" applyFont="1" applyFill="1" applyBorder="1" applyAlignment="1" applyProtection="1">
      <protection locked="0"/>
    </xf>
    <xf numFmtId="0" fontId="83" fillId="11" borderId="187" xfId="0" applyFont="1" applyFill="1" applyBorder="1" applyAlignment="1">
      <alignment vertical="center"/>
    </xf>
    <xf numFmtId="0" fontId="83" fillId="11" borderId="187" xfId="0" applyFont="1" applyFill="1" applyBorder="1" applyAlignment="1">
      <alignment horizontal="left"/>
    </xf>
    <xf numFmtId="49" fontId="83" fillId="11" borderId="187" xfId="0" applyNumberFormat="1" applyFont="1" applyFill="1" applyBorder="1" applyAlignment="1">
      <alignment horizontal="left"/>
    </xf>
    <xf numFmtId="0" fontId="92" fillId="11" borderId="187" xfId="0" applyFont="1" applyFill="1" applyBorder="1" applyAlignment="1">
      <alignment horizontal="left"/>
    </xf>
    <xf numFmtId="167" fontId="204" fillId="11" borderId="187" xfId="23" applyNumberFormat="1" applyFont="1" applyFill="1" applyBorder="1" applyAlignment="1" applyProtection="1">
      <alignment horizontal="left"/>
      <protection locked="0"/>
    </xf>
    <xf numFmtId="167" fontId="87" fillId="11" borderId="187" xfId="23" applyNumberFormat="1" applyFont="1" applyFill="1" applyBorder="1" applyAlignment="1" applyProtection="1">
      <alignment horizontal="left"/>
      <protection locked="0"/>
    </xf>
    <xf numFmtId="167" fontId="83" fillId="37" borderId="187" xfId="23" applyNumberFormat="1" applyFont="1" applyFill="1" applyBorder="1" applyAlignment="1" applyProtection="1">
      <alignment horizontal="left"/>
      <protection locked="0"/>
    </xf>
    <xf numFmtId="167" fontId="86" fillId="11" borderId="187" xfId="23" applyNumberFormat="1" applyFont="1" applyFill="1" applyBorder="1" applyAlignment="1" applyProtection="1">
      <alignment horizontal="left"/>
      <protection locked="0"/>
    </xf>
    <xf numFmtId="0" fontId="83" fillId="11" borderId="187" xfId="0" applyFont="1" applyFill="1" applyBorder="1" applyAlignment="1">
      <alignment vertical="top" wrapText="1"/>
    </xf>
    <xf numFmtId="0" fontId="93" fillId="11" borderId="187" xfId="0" applyFont="1" applyFill="1" applyBorder="1" applyAlignment="1">
      <alignment horizontal="left" vertical="center" wrapText="1"/>
    </xf>
    <xf numFmtId="167" fontId="84" fillId="11" borderId="187" xfId="23" applyNumberFormat="1" applyFont="1" applyFill="1" applyBorder="1" applyProtection="1">
      <protection locked="0"/>
    </xf>
    <xf numFmtId="167" fontId="83" fillId="11" borderId="187" xfId="23" applyNumberFormat="1" applyFont="1" applyFill="1" applyBorder="1" applyAlignment="1" applyProtection="1">
      <alignment horizontal="right"/>
      <protection locked="0"/>
    </xf>
    <xf numFmtId="0" fontId="83" fillId="23" borderId="187" xfId="0" applyFont="1" applyFill="1" applyBorder="1" applyAlignment="1">
      <alignment horizontal="left" vertical="center" wrapText="1"/>
    </xf>
    <xf numFmtId="167" fontId="204" fillId="11" borderId="187" xfId="19" applyNumberFormat="1" applyFont="1" applyFill="1" applyBorder="1" applyProtection="1">
      <protection locked="0"/>
    </xf>
    <xf numFmtId="167" fontId="87" fillId="11" borderId="187" xfId="19" applyNumberFormat="1" applyFont="1" applyFill="1" applyBorder="1" applyProtection="1">
      <protection locked="0"/>
    </xf>
    <xf numFmtId="167" fontId="86" fillId="14" borderId="187" xfId="19" applyNumberFormat="1" applyFont="1" applyFill="1" applyBorder="1" applyProtection="1">
      <protection locked="0"/>
    </xf>
    <xf numFmtId="167" fontId="83" fillId="11" borderId="187" xfId="19" applyNumberFormat="1" applyFont="1" applyFill="1" applyBorder="1" applyProtection="1">
      <protection locked="0"/>
    </xf>
    <xf numFmtId="0" fontId="83" fillId="0" borderId="187" xfId="0" applyFont="1" applyBorder="1"/>
    <xf numFmtId="167" fontId="86" fillId="11" borderId="187" xfId="19" applyNumberFormat="1" applyFont="1" applyFill="1" applyBorder="1" applyProtection="1">
      <protection locked="0"/>
    </xf>
    <xf numFmtId="167" fontId="49" fillId="6" borderId="166" xfId="1" applyNumberFormat="1" applyFont="1" applyFill="1" applyBorder="1"/>
    <xf numFmtId="9" fontId="49" fillId="0" borderId="12" xfId="2" applyFont="1" applyBorder="1" applyAlignment="1">
      <alignment horizontal="right"/>
    </xf>
    <xf numFmtId="49" fontId="144" fillId="6" borderId="165" xfId="43" applyNumberFormat="1" applyFont="1" applyFill="1" applyBorder="1" applyAlignment="1">
      <alignment horizontal="left" indent="1"/>
    </xf>
    <xf numFmtId="3" fontId="144" fillId="0" borderId="166" xfId="3" applyNumberFormat="1" applyFont="1" applyBorder="1"/>
    <xf numFmtId="167" fontId="144" fillId="6" borderId="166" xfId="1" applyNumberFormat="1" applyFont="1" applyFill="1" applyBorder="1"/>
    <xf numFmtId="49" fontId="49" fillId="6" borderId="173" xfId="43" applyNumberFormat="1" applyFont="1" applyFill="1" applyBorder="1" applyAlignment="1">
      <alignment horizontal="right" wrapText="1" indent="2"/>
    </xf>
    <xf numFmtId="43" fontId="49" fillId="6" borderId="166" xfId="1" applyFont="1" applyFill="1" applyBorder="1"/>
    <xf numFmtId="43" fontId="144" fillId="6" borderId="166" xfId="1" applyFont="1" applyFill="1" applyBorder="1"/>
    <xf numFmtId="3" fontId="144" fillId="6" borderId="166" xfId="3" applyNumberFormat="1" applyFont="1" applyFill="1" applyBorder="1"/>
    <xf numFmtId="0" fontId="0" fillId="0" borderId="0" xfId="0" applyAlignment="1">
      <alignment horizontal="center"/>
    </xf>
    <xf numFmtId="167" fontId="83" fillId="11" borderId="187" xfId="0" applyNumberFormat="1" applyFont="1" applyFill="1" applyBorder="1" applyAlignment="1">
      <alignment wrapText="1"/>
    </xf>
    <xf numFmtId="167" fontId="126" fillId="0" borderId="0" xfId="1" applyNumberFormat="1" applyFont="1" applyFill="1"/>
    <xf numFmtId="174" fontId="104" fillId="0" borderId="0" xfId="1" applyNumberFormat="1" applyFont="1" applyBorder="1"/>
    <xf numFmtId="0" fontId="380" fillId="0" borderId="0" xfId="0" applyFont="1"/>
    <xf numFmtId="167" fontId="126" fillId="0" borderId="0" xfId="0" applyNumberFormat="1" applyFont="1"/>
    <xf numFmtId="0" fontId="63" fillId="78" borderId="0" xfId="0" applyFont="1" applyFill="1" applyAlignment="1">
      <alignment horizontal="right"/>
    </xf>
    <xf numFmtId="174" fontId="0" fillId="0" borderId="0" xfId="1" applyNumberFormat="1" applyFont="1" applyBorder="1"/>
    <xf numFmtId="167" fontId="104" fillId="0" borderId="0" xfId="1" applyNumberFormat="1" applyFont="1" applyBorder="1"/>
    <xf numFmtId="0" fontId="63" fillId="19" borderId="0" xfId="0" applyFont="1" applyFill="1"/>
    <xf numFmtId="174" fontId="0" fillId="19" borderId="0" xfId="1" applyNumberFormat="1" applyFont="1" applyFill="1" applyBorder="1"/>
    <xf numFmtId="167" fontId="155" fillId="0" borderId="153" xfId="1" applyNumberFormat="1" applyFont="1" applyBorder="1"/>
    <xf numFmtId="167" fontId="104" fillId="0" borderId="153" xfId="0" applyNumberFormat="1" applyFont="1" applyBorder="1"/>
    <xf numFmtId="43" fontId="63" fillId="0" borderId="0" xfId="1" applyFont="1" applyBorder="1"/>
    <xf numFmtId="43" fontId="0" fillId="0" borderId="0" xfId="1" applyFont="1" applyBorder="1"/>
    <xf numFmtId="0" fontId="63" fillId="24" borderId="0" xfId="0" applyFont="1" applyFill="1" applyAlignment="1">
      <alignment horizontal="right"/>
    </xf>
    <xf numFmtId="0" fontId="271" fillId="72" borderId="0" xfId="0" applyFont="1" applyFill="1" applyAlignment="1">
      <alignment horizontal="right"/>
    </xf>
    <xf numFmtId="167" fontId="104" fillId="0" borderId="0" xfId="1" applyNumberFormat="1" applyFont="1" applyFill="1" applyBorder="1"/>
    <xf numFmtId="0" fontId="83" fillId="0" borderId="188" xfId="0" applyFont="1" applyBorder="1" applyAlignment="1">
      <alignment horizontal="left" vertical="top" wrapText="1"/>
    </xf>
    <xf numFmtId="0" fontId="111" fillId="13" borderId="156" xfId="0" applyFont="1" applyFill="1" applyBorder="1" applyAlignment="1">
      <alignment wrapText="1"/>
    </xf>
    <xf numFmtId="0" fontId="83" fillId="13" borderId="0" xfId="0" applyFont="1" applyFill="1"/>
    <xf numFmtId="0" fontId="111" fillId="13" borderId="156" xfId="0" applyFont="1" applyFill="1" applyBorder="1"/>
    <xf numFmtId="167" fontId="104" fillId="0" borderId="156" xfId="1" applyNumberFormat="1" applyFont="1" applyFill="1" applyBorder="1"/>
    <xf numFmtId="167" fontId="104" fillId="0" borderId="156" xfId="1" applyNumberFormat="1" applyFont="1" applyBorder="1" applyAlignment="1">
      <alignment wrapText="1"/>
    </xf>
    <xf numFmtId="0" fontId="0" fillId="0" borderId="189" xfId="0" applyBorder="1" applyAlignment="1">
      <alignment wrapText="1"/>
    </xf>
    <xf numFmtId="49" fontId="111" fillId="0" borderId="189" xfId="0" applyNumberFormat="1" applyFont="1" applyBorder="1" applyAlignment="1">
      <alignment wrapText="1"/>
    </xf>
    <xf numFmtId="0" fontId="0" fillId="0" borderId="189" xfId="0" applyBorder="1"/>
    <xf numFmtId="0" fontId="111" fillId="0" borderId="189" xfId="0" applyFont="1" applyBorder="1" applyAlignment="1">
      <alignment wrapText="1"/>
    </xf>
    <xf numFmtId="167" fontId="104" fillId="0" borderId="189" xfId="1" applyNumberFormat="1" applyFont="1" applyBorder="1" applyAlignment="1">
      <alignment wrapText="1"/>
    </xf>
    <xf numFmtId="0" fontId="0" fillId="0" borderId="161" xfId="0" applyBorder="1"/>
    <xf numFmtId="49" fontId="111" fillId="0" borderId="161" xfId="0" applyNumberFormat="1" applyFont="1" applyBorder="1" applyAlignment="1">
      <alignment horizontal="left"/>
    </xf>
    <xf numFmtId="0" fontId="111" fillId="0" borderId="161" xfId="0" applyFont="1" applyBorder="1" applyAlignment="1">
      <alignment wrapText="1"/>
    </xf>
    <xf numFmtId="167" fontId="111" fillId="0" borderId="161" xfId="1" applyNumberFormat="1" applyFont="1" applyBorder="1"/>
    <xf numFmtId="167" fontId="104" fillId="0" borderId="161" xfId="1" applyNumberFormat="1" applyFont="1" applyBorder="1"/>
    <xf numFmtId="167" fontId="81" fillId="0" borderId="0" xfId="0" applyNumberFormat="1" applyFont="1"/>
    <xf numFmtId="167" fontId="84" fillId="0" borderId="0" xfId="0" applyNumberFormat="1" applyFont="1"/>
    <xf numFmtId="167" fontId="104" fillId="0" borderId="160" xfId="1" applyNumberFormat="1" applyFont="1" applyBorder="1" applyAlignment="1">
      <alignment horizontal="center"/>
    </xf>
    <xf numFmtId="49" fontId="111" fillId="0" borderId="189" xfId="0" applyNumberFormat="1" applyFont="1" applyBorder="1" applyAlignment="1">
      <alignment horizontal="left"/>
    </xf>
    <xf numFmtId="167" fontId="111" fillId="0" borderId="159" xfId="1" applyNumberFormat="1" applyFont="1" applyFill="1" applyBorder="1"/>
    <xf numFmtId="167" fontId="104" fillId="0" borderId="189" xfId="1" applyNumberFormat="1" applyFont="1" applyBorder="1"/>
    <xf numFmtId="167" fontId="84" fillId="0" borderId="0" xfId="0" applyNumberFormat="1" applyFont="1" applyAlignment="1">
      <alignment vertical="center"/>
    </xf>
    <xf numFmtId="0" fontId="83" fillId="0" borderId="0" xfId="0" applyFont="1" applyAlignment="1">
      <alignment vertical="center"/>
    </xf>
    <xf numFmtId="167" fontId="111" fillId="0" borderId="189" xfId="1" applyNumberFormat="1" applyFont="1" applyBorder="1"/>
    <xf numFmtId="0" fontId="0" fillId="0" borderId="190" xfId="0" applyBorder="1"/>
    <xf numFmtId="0" fontId="0" fillId="0" borderId="191" xfId="0" applyBorder="1"/>
    <xf numFmtId="0" fontId="0" fillId="29" borderId="191" xfId="0" applyFill="1" applyBorder="1"/>
    <xf numFmtId="167" fontId="381" fillId="29" borderId="156" xfId="1" applyNumberFormat="1" applyFont="1" applyFill="1" applyBorder="1"/>
    <xf numFmtId="167" fontId="104" fillId="29" borderId="156" xfId="1" applyNumberFormat="1" applyFont="1" applyFill="1" applyBorder="1"/>
    <xf numFmtId="0" fontId="111" fillId="0" borderId="156" xfId="0" applyFont="1" applyBorder="1" applyAlignment="1">
      <alignment horizontal="left" wrapText="1" indent="2"/>
    </xf>
    <xf numFmtId="0" fontId="0" fillId="0" borderId="192" xfId="0" applyBorder="1"/>
    <xf numFmtId="0" fontId="0" fillId="29" borderId="161" xfId="0" applyFill="1" applyBorder="1"/>
    <xf numFmtId="0" fontId="0" fillId="0" borderId="193" xfId="0" applyBorder="1"/>
    <xf numFmtId="0" fontId="0" fillId="0" borderId="194" xfId="0" applyBorder="1"/>
    <xf numFmtId="49" fontId="111" fillId="0" borderId="194" xfId="0" applyNumberFormat="1" applyFont="1" applyBorder="1" applyAlignment="1">
      <alignment horizontal="left"/>
    </xf>
    <xf numFmtId="167" fontId="111" fillId="0" borderId="194" xfId="1" applyNumberFormat="1" applyFont="1" applyFill="1" applyBorder="1"/>
    <xf numFmtId="167" fontId="104" fillId="0" borderId="194" xfId="1" applyNumberFormat="1" applyFont="1" applyBorder="1"/>
    <xf numFmtId="0" fontId="0" fillId="0" borderId="194" xfId="0" applyBorder="1" applyAlignment="1">
      <alignment wrapText="1"/>
    </xf>
    <xf numFmtId="167" fontId="111" fillId="0" borderId="195" xfId="1" applyNumberFormat="1" applyFont="1" applyFill="1" applyBorder="1" applyAlignment="1">
      <alignment wrapText="1"/>
    </xf>
    <xf numFmtId="167" fontId="111" fillId="0" borderId="194" xfId="1" applyNumberFormat="1" applyFont="1" applyBorder="1" applyAlignment="1">
      <alignment wrapText="1"/>
    </xf>
    <xf numFmtId="167" fontId="111" fillId="0" borderId="194" xfId="1" applyNumberFormat="1" applyFont="1" applyBorder="1"/>
    <xf numFmtId="0" fontId="104" fillId="0" borderId="161" xfId="0" applyFont="1" applyBorder="1"/>
    <xf numFmtId="0" fontId="104" fillId="0" borderId="189" xfId="0" applyFont="1" applyBorder="1"/>
    <xf numFmtId="0" fontId="63" fillId="0" borderId="196" xfId="0" applyFont="1" applyBorder="1" applyAlignment="1">
      <alignment horizontal="right"/>
    </xf>
    <xf numFmtId="167" fontId="126" fillId="14" borderId="161" xfId="1" applyNumberFormat="1" applyFont="1" applyFill="1" applyBorder="1" applyAlignment="1">
      <alignment horizontal="center" wrapText="1"/>
    </xf>
    <xf numFmtId="49" fontId="111" fillId="0" borderId="194" xfId="0" applyNumberFormat="1" applyFont="1" applyBorder="1" applyAlignment="1">
      <alignment wrapText="1"/>
    </xf>
    <xf numFmtId="0" fontId="111" fillId="0" borderId="194" xfId="0" applyFont="1" applyBorder="1" applyAlignment="1">
      <alignment wrapText="1"/>
    </xf>
    <xf numFmtId="167" fontId="104" fillId="0" borderId="194" xfId="1" applyNumberFormat="1" applyFont="1" applyBorder="1" applyAlignment="1">
      <alignment wrapText="1"/>
    </xf>
    <xf numFmtId="167" fontId="381" fillId="0" borderId="0" xfId="1" applyNumberFormat="1" applyFont="1" applyFill="1" applyBorder="1"/>
    <xf numFmtId="49" fontId="111" fillId="0" borderId="193" xfId="0" applyNumberFormat="1" applyFont="1" applyBorder="1" applyAlignment="1">
      <alignment horizontal="left"/>
    </xf>
    <xf numFmtId="0" fontId="111" fillId="0" borderId="193" xfId="0" applyFont="1" applyBorder="1" applyAlignment="1">
      <alignment wrapText="1"/>
    </xf>
    <xf numFmtId="167" fontId="104" fillId="0" borderId="193" xfId="1" applyNumberFormat="1" applyFont="1" applyBorder="1"/>
    <xf numFmtId="0" fontId="111" fillId="0" borderId="189" xfId="0" applyFont="1" applyBorder="1"/>
    <xf numFmtId="0" fontId="0" fillId="0" borderId="160" xfId="0" applyBorder="1"/>
    <xf numFmtId="167" fontId="104" fillId="0" borderId="160" xfId="1" applyNumberFormat="1" applyFont="1" applyBorder="1"/>
    <xf numFmtId="0" fontId="381" fillId="29" borderId="156" xfId="0" applyFont="1" applyFill="1" applyBorder="1" applyAlignment="1">
      <alignment wrapText="1"/>
    </xf>
    <xf numFmtId="0" fontId="81" fillId="12" borderId="0" xfId="0" applyFont="1" applyFill="1"/>
    <xf numFmtId="3" fontId="111" fillId="0" borderId="0" xfId="0" applyNumberFormat="1" applyFont="1"/>
    <xf numFmtId="174" fontId="111" fillId="0" borderId="0" xfId="1" applyNumberFormat="1" applyFont="1" applyBorder="1"/>
    <xf numFmtId="3" fontId="111" fillId="0" borderId="0" xfId="0" applyNumberFormat="1" applyFont="1" applyAlignment="1">
      <alignment horizontal="right"/>
    </xf>
    <xf numFmtId="174" fontId="126" fillId="78" borderId="0" xfId="1" applyNumberFormat="1" applyFont="1" applyFill="1" applyBorder="1"/>
    <xf numFmtId="174" fontId="126" fillId="19" borderId="0" xfId="1" applyNumberFormat="1" applyFont="1" applyFill="1" applyBorder="1"/>
    <xf numFmtId="174" fontId="126" fillId="24" borderId="0" xfId="1" applyNumberFormat="1" applyFont="1" applyFill="1" applyBorder="1"/>
    <xf numFmtId="0" fontId="290" fillId="0" borderId="0" xfId="0" applyFont="1"/>
    <xf numFmtId="0" fontId="127" fillId="0" borderId="0" xfId="0" applyFont="1"/>
    <xf numFmtId="167" fontId="119" fillId="0" borderId="156" xfId="0" applyNumberFormat="1" applyFont="1" applyBorder="1" applyAlignment="1">
      <alignment horizontal="center" wrapText="1"/>
    </xf>
    <xf numFmtId="167" fontId="230" fillId="0" borderId="153" xfId="1" applyNumberFormat="1" applyFont="1" applyFill="1" applyBorder="1"/>
    <xf numFmtId="174" fontId="104" fillId="16" borderId="0" xfId="1" applyNumberFormat="1" applyFont="1" applyFill="1" applyBorder="1"/>
    <xf numFmtId="0" fontId="63" fillId="14" borderId="197" xfId="0" applyFont="1" applyFill="1" applyBorder="1" applyAlignment="1">
      <alignment horizontal="center" wrapText="1"/>
    </xf>
    <xf numFmtId="167" fontId="111" fillId="0" borderId="197" xfId="1" applyNumberFormat="1" applyFont="1" applyBorder="1"/>
    <xf numFmtId="167" fontId="119" fillId="0" borderId="197" xfId="1" applyNumberFormat="1" applyFont="1" applyBorder="1"/>
    <xf numFmtId="0" fontId="0" fillId="0" borderId="196" xfId="0" applyBorder="1"/>
    <xf numFmtId="0" fontId="0" fillId="6" borderId="158" xfId="0" applyFill="1" applyBorder="1"/>
    <xf numFmtId="0" fontId="0" fillId="6" borderId="190" xfId="0" applyFill="1" applyBorder="1"/>
    <xf numFmtId="0" fontId="0" fillId="6" borderId="198" xfId="0" applyFill="1" applyBorder="1"/>
    <xf numFmtId="0" fontId="190" fillId="6" borderId="199" xfId="0" applyFont="1" applyFill="1" applyBorder="1" applyAlignment="1">
      <alignment horizontal="right"/>
    </xf>
    <xf numFmtId="0" fontId="0" fillId="6" borderId="196" xfId="0" applyFill="1" applyBorder="1" applyAlignment="1">
      <alignment horizontal="right"/>
    </xf>
    <xf numFmtId="167" fontId="126" fillId="32" borderId="197" xfId="1" applyNumberFormat="1" applyFont="1" applyFill="1" applyBorder="1"/>
    <xf numFmtId="167" fontId="126" fillId="32" borderId="156" xfId="0" applyNumberFormat="1" applyFont="1" applyFill="1" applyBorder="1" applyAlignment="1">
      <alignment horizontal="center" wrapText="1"/>
    </xf>
    <xf numFmtId="0" fontId="95" fillId="0" borderId="151" xfId="0" applyFont="1" applyBorder="1" applyAlignment="1">
      <alignment horizontal="center"/>
    </xf>
    <xf numFmtId="0" fontId="92" fillId="11" borderId="151" xfId="0" applyFont="1" applyFill="1" applyBorder="1" applyAlignment="1">
      <alignment horizontal="center"/>
    </xf>
    <xf numFmtId="0" fontId="84" fillId="36" borderId="187" xfId="0" applyFont="1" applyFill="1" applyBorder="1" applyAlignment="1">
      <alignment horizontal="left" vertical="center" wrapText="1"/>
    </xf>
    <xf numFmtId="167" fontId="83" fillId="11" borderId="187" xfId="22" applyNumberFormat="1" applyFont="1" applyFill="1" applyBorder="1"/>
    <xf numFmtId="167" fontId="83" fillId="14" borderId="187" xfId="19" applyNumberFormat="1" applyFont="1" applyFill="1" applyBorder="1" applyProtection="1">
      <protection locked="0"/>
    </xf>
    <xf numFmtId="167" fontId="86" fillId="11" borderId="187" xfId="22" applyNumberFormat="1" applyFont="1" applyFill="1" applyBorder="1"/>
    <xf numFmtId="167" fontId="86" fillId="11" borderId="187" xfId="19" applyNumberFormat="1" applyFont="1" applyFill="1" applyBorder="1"/>
    <xf numFmtId="0" fontId="86" fillId="11" borderId="187" xfId="0" applyFont="1" applyFill="1" applyBorder="1" applyAlignment="1">
      <alignment horizontal="center"/>
    </xf>
    <xf numFmtId="167" fontId="95" fillId="14" borderId="151" xfId="19" applyNumberFormat="1" applyFont="1" applyFill="1" applyBorder="1" applyProtection="1">
      <protection locked="0"/>
    </xf>
    <xf numFmtId="167" fontId="92" fillId="14" borderId="151" xfId="19" applyNumberFormat="1" applyFont="1" applyFill="1" applyBorder="1" applyProtection="1">
      <protection locked="0"/>
    </xf>
    <xf numFmtId="167" fontId="83" fillId="11" borderId="99" xfId="19" applyNumberFormat="1" applyFont="1" applyFill="1" applyBorder="1" applyAlignment="1">
      <alignment vertical="center" wrapText="1"/>
    </xf>
    <xf numFmtId="43" fontId="83" fillId="11" borderId="86" xfId="19" applyFont="1" applyFill="1" applyBorder="1" applyAlignment="1">
      <alignment vertical="center" wrapText="1"/>
    </xf>
    <xf numFmtId="43" fontId="47" fillId="0" borderId="12" xfId="1" applyFont="1" applyFill="1" applyBorder="1"/>
    <xf numFmtId="164" fontId="204" fillId="11" borderId="0" xfId="0" applyNumberFormat="1" applyFont="1" applyFill="1"/>
    <xf numFmtId="167" fontId="203" fillId="0" borderId="0" xfId="0" applyNumberFormat="1" applyFont="1"/>
    <xf numFmtId="0" fontId="84" fillId="11" borderId="187" xfId="0" applyFont="1" applyFill="1" applyBorder="1"/>
    <xf numFmtId="0" fontId="149" fillId="11" borderId="187" xfId="0" applyFont="1" applyFill="1" applyBorder="1" applyAlignment="1">
      <alignment horizontal="left" vertical="center" wrapText="1"/>
    </xf>
    <xf numFmtId="167" fontId="149" fillId="11" borderId="187" xfId="22" applyNumberFormat="1" applyFont="1" applyFill="1" applyBorder="1"/>
    <xf numFmtId="167" fontId="87" fillId="11" borderId="187" xfId="22" applyNumberFormat="1" applyFont="1" applyFill="1" applyBorder="1"/>
    <xf numFmtId="167" fontId="87" fillId="11" borderId="187" xfId="19" applyNumberFormat="1" applyFont="1" applyFill="1" applyBorder="1"/>
    <xf numFmtId="167" fontId="84" fillId="14" borderId="187" xfId="19" applyNumberFormat="1" applyFont="1" applyFill="1" applyBorder="1"/>
    <xf numFmtId="167" fontId="49" fillId="4" borderId="12" xfId="1" applyNumberFormat="1" applyFont="1" applyFill="1" applyBorder="1" applyAlignment="1">
      <alignment wrapText="1"/>
    </xf>
    <xf numFmtId="0" fontId="91" fillId="23" borderId="0" xfId="0" applyFont="1" applyFill="1"/>
    <xf numFmtId="167" fontId="149" fillId="23" borderId="0" xfId="0" applyNumberFormat="1" applyFont="1" applyFill="1" applyAlignment="1">
      <alignment wrapText="1"/>
    </xf>
    <xf numFmtId="167" fontId="72" fillId="17" borderId="147" xfId="19" applyNumberFormat="1" applyFont="1" applyFill="1" applyBorder="1" applyProtection="1">
      <protection locked="0"/>
    </xf>
    <xf numFmtId="0" fontId="83" fillId="11" borderId="187" xfId="0" applyFont="1" applyFill="1" applyBorder="1" applyAlignment="1">
      <alignment horizontal="right" vertical="center" wrapText="1"/>
    </xf>
    <xf numFmtId="3" fontId="52" fillId="5" borderId="22" xfId="3" applyNumberFormat="1" applyFont="1" applyFill="1" applyBorder="1"/>
    <xf numFmtId="167" fontId="83" fillId="11" borderId="187" xfId="23" applyNumberFormat="1" applyFont="1" applyFill="1" applyBorder="1" applyAlignment="1" applyProtection="1">
      <protection locked="0"/>
    </xf>
    <xf numFmtId="167" fontId="84" fillId="11" borderId="187" xfId="23" applyNumberFormat="1" applyFont="1" applyFill="1" applyBorder="1" applyAlignment="1" applyProtection="1">
      <protection locked="0"/>
    </xf>
    <xf numFmtId="167" fontId="83" fillId="25" borderId="187" xfId="23" applyNumberFormat="1" applyFont="1" applyFill="1" applyBorder="1" applyProtection="1">
      <protection locked="0"/>
    </xf>
    <xf numFmtId="0" fontId="383" fillId="23" borderId="0" xfId="0" applyFont="1" applyFill="1" applyAlignment="1">
      <alignment wrapText="1"/>
    </xf>
    <xf numFmtId="167" fontId="49" fillId="6" borderId="12" xfId="1" quotePrefix="1" applyNumberFormat="1" applyFont="1" applyFill="1" applyBorder="1" applyAlignment="1">
      <alignment wrapText="1"/>
    </xf>
    <xf numFmtId="167" fontId="201" fillId="15" borderId="187" xfId="23" applyNumberFormat="1" applyFont="1" applyFill="1" applyBorder="1" applyProtection="1">
      <protection locked="0"/>
    </xf>
    <xf numFmtId="167" fontId="149" fillId="11" borderId="187" xfId="23" applyNumberFormat="1" applyFont="1" applyFill="1" applyBorder="1"/>
    <xf numFmtId="167" fontId="149" fillId="11" borderId="187" xfId="23" applyNumberFormat="1" applyFont="1" applyFill="1" applyBorder="1" applyProtection="1">
      <protection locked="0"/>
    </xf>
    <xf numFmtId="0" fontId="72" fillId="0" borderId="0" xfId="0" applyFont="1" applyAlignment="1">
      <alignment wrapText="1"/>
    </xf>
    <xf numFmtId="167" fontId="201" fillId="15" borderId="173" xfId="19" applyNumberFormat="1" applyFont="1" applyFill="1" applyBorder="1" applyProtection="1">
      <protection locked="0"/>
    </xf>
    <xf numFmtId="167" fontId="65" fillId="0" borderId="151" xfId="1" applyNumberFormat="1" applyFont="1" applyFill="1" applyBorder="1" applyAlignment="1" applyProtection="1">
      <alignment horizontal="center" vertical="center" wrapText="1"/>
    </xf>
    <xf numFmtId="167" fontId="111" fillId="0" borderId="0" xfId="0" applyNumberFormat="1" applyFont="1"/>
    <xf numFmtId="167" fontId="72" fillId="11" borderId="123" xfId="24" applyNumberFormat="1" applyFont="1" applyFill="1" applyBorder="1" applyProtection="1">
      <protection locked="0"/>
    </xf>
    <xf numFmtId="167" fontId="72" fillId="11" borderId="129" xfId="24" applyNumberFormat="1" applyFont="1" applyFill="1" applyBorder="1" applyProtection="1">
      <protection locked="0"/>
    </xf>
    <xf numFmtId="167" fontId="83" fillId="11" borderId="104" xfId="19" applyNumberFormat="1" applyFont="1" applyFill="1" applyBorder="1" applyProtection="1">
      <protection locked="0"/>
    </xf>
    <xf numFmtId="167" fontId="72" fillId="15" borderId="176" xfId="19" applyNumberFormat="1" applyFont="1" applyFill="1" applyBorder="1" applyProtection="1">
      <protection locked="0"/>
    </xf>
    <xf numFmtId="167" fontId="83" fillId="11" borderId="44" xfId="19" applyNumberFormat="1" applyFont="1" applyFill="1" applyBorder="1" applyProtection="1">
      <protection locked="0"/>
    </xf>
    <xf numFmtId="167" fontId="83" fillId="11" borderId="200" xfId="19" applyNumberFormat="1" applyFont="1" applyFill="1" applyBorder="1" applyProtection="1">
      <protection locked="0"/>
    </xf>
    <xf numFmtId="0" fontId="87" fillId="11" borderId="0" xfId="0" applyFont="1" applyFill="1" applyAlignment="1">
      <alignment wrapText="1"/>
    </xf>
    <xf numFmtId="0" fontId="375" fillId="11" borderId="175" xfId="0" applyFont="1" applyFill="1" applyBorder="1" applyAlignment="1">
      <alignment vertical="center" wrapText="1"/>
    </xf>
    <xf numFmtId="167" fontId="83" fillId="28" borderId="175" xfId="19" applyNumberFormat="1" applyFont="1" applyFill="1" applyBorder="1" applyProtection="1">
      <protection locked="0"/>
    </xf>
    <xf numFmtId="9" fontId="60" fillId="6" borderId="124" xfId="2" applyFont="1" applyFill="1" applyBorder="1" applyAlignment="1">
      <alignment horizontal="right"/>
    </xf>
    <xf numFmtId="167" fontId="136" fillId="0" borderId="151" xfId="1" applyNumberFormat="1" applyFont="1" applyFill="1" applyBorder="1" applyAlignment="1" applyProtection="1">
      <alignment horizontal="center" vertical="center" wrapText="1"/>
    </xf>
    <xf numFmtId="167" fontId="83" fillId="12" borderId="175" xfId="19" applyNumberFormat="1" applyFont="1" applyFill="1" applyBorder="1" applyAlignment="1">
      <alignment horizontal="center"/>
    </xf>
    <xf numFmtId="169" fontId="111" fillId="0" borderId="0" xfId="2" applyNumberFormat="1" applyFont="1"/>
    <xf numFmtId="0" fontId="83" fillId="17" borderId="86" xfId="0" applyFont="1" applyFill="1" applyBorder="1" applyAlignment="1">
      <alignment horizontal="center"/>
    </xf>
    <xf numFmtId="167" fontId="83" fillId="13" borderId="187" xfId="23" applyNumberFormat="1" applyFont="1" applyFill="1" applyBorder="1" applyProtection="1">
      <protection locked="0"/>
    </xf>
    <xf numFmtId="0" fontId="83" fillId="17" borderId="175" xfId="0" applyFont="1" applyFill="1" applyBorder="1" applyAlignment="1">
      <alignment horizontal="left" vertical="center" wrapText="1"/>
    </xf>
    <xf numFmtId="167" fontId="87" fillId="17" borderId="173" xfId="19" applyNumberFormat="1" applyFont="1" applyFill="1" applyBorder="1" applyProtection="1">
      <protection locked="0"/>
    </xf>
    <xf numFmtId="167" fontId="86" fillId="17" borderId="173" xfId="19" applyNumberFormat="1" applyFont="1" applyFill="1" applyBorder="1" applyProtection="1">
      <protection locked="0"/>
    </xf>
    <xf numFmtId="167" fontId="83" fillId="17" borderId="173" xfId="19" applyNumberFormat="1" applyFont="1" applyFill="1" applyBorder="1" applyProtection="1">
      <protection locked="0"/>
    </xf>
    <xf numFmtId="167" fontId="83" fillId="17" borderId="175" xfId="19" applyNumberFormat="1" applyFont="1" applyFill="1" applyBorder="1" applyAlignment="1">
      <alignment horizontal="center"/>
    </xf>
    <xf numFmtId="0" fontId="83" fillId="17" borderId="0" xfId="0" applyFont="1" applyFill="1" applyAlignment="1">
      <alignment wrapText="1"/>
    </xf>
    <xf numFmtId="43" fontId="87" fillId="11" borderId="89" xfId="19" applyFont="1" applyFill="1" applyBorder="1" applyProtection="1">
      <protection locked="0"/>
    </xf>
    <xf numFmtId="43" fontId="62" fillId="0" borderId="12" xfId="1" quotePrefix="1" applyFont="1" applyFill="1" applyBorder="1" applyAlignment="1">
      <alignment wrapText="1"/>
    </xf>
    <xf numFmtId="167" fontId="83" fillId="11" borderId="187" xfId="22" applyNumberFormat="1" applyFont="1" applyFill="1" applyBorder="1" applyProtection="1">
      <protection locked="0"/>
    </xf>
    <xf numFmtId="167" fontId="87" fillId="11" borderId="187" xfId="22" applyNumberFormat="1" applyFont="1" applyFill="1" applyBorder="1" applyProtection="1">
      <protection locked="0"/>
    </xf>
    <xf numFmtId="167" fontId="86" fillId="14" borderId="187" xfId="22" applyNumberFormat="1" applyFont="1" applyFill="1" applyBorder="1" applyProtection="1">
      <protection locked="0"/>
    </xf>
    <xf numFmtId="167" fontId="86" fillId="11" borderId="187" xfId="22" applyNumberFormat="1" applyFont="1" applyFill="1" applyBorder="1" applyProtection="1">
      <protection locked="0"/>
    </xf>
    <xf numFmtId="0" fontId="83" fillId="17" borderId="173" xfId="0" applyFont="1" applyFill="1" applyBorder="1" applyAlignment="1">
      <alignment horizontal="left" vertical="center" wrapText="1"/>
    </xf>
    <xf numFmtId="167" fontId="83" fillId="17" borderId="187" xfId="22" applyNumberFormat="1" applyFont="1" applyFill="1" applyBorder="1" applyProtection="1">
      <protection locked="0"/>
    </xf>
    <xf numFmtId="167" fontId="87" fillId="17" borderId="187" xfId="22" applyNumberFormat="1" applyFont="1" applyFill="1" applyBorder="1" applyProtection="1">
      <protection locked="0"/>
    </xf>
    <xf numFmtId="167" fontId="86" fillId="17" borderId="187" xfId="22" applyNumberFormat="1" applyFont="1" applyFill="1" applyBorder="1" applyProtection="1">
      <protection locked="0"/>
    </xf>
    <xf numFmtId="167" fontId="86" fillId="17" borderId="187" xfId="19" applyNumberFormat="1" applyFont="1" applyFill="1" applyBorder="1" applyProtection="1">
      <protection locked="0"/>
    </xf>
    <xf numFmtId="167" fontId="87" fillId="17" borderId="187" xfId="19" applyNumberFormat="1" applyFont="1" applyFill="1" applyBorder="1" applyProtection="1">
      <protection locked="0"/>
    </xf>
    <xf numFmtId="0" fontId="89" fillId="0" borderId="0" xfId="0" applyFont="1" applyAlignment="1">
      <alignment wrapText="1"/>
    </xf>
    <xf numFmtId="0" fontId="83" fillId="17" borderId="102" xfId="0" applyFont="1" applyFill="1" applyBorder="1"/>
    <xf numFmtId="49" fontId="83" fillId="17" borderId="102" xfId="0" applyNumberFormat="1" applyFont="1" applyFill="1" applyBorder="1"/>
    <xf numFmtId="0" fontId="92" fillId="17" borderId="102" xfId="0" applyFont="1" applyFill="1" applyBorder="1"/>
    <xf numFmtId="0" fontId="83" fillId="17" borderId="102" xfId="0" applyFont="1" applyFill="1" applyBorder="1" applyAlignment="1">
      <alignment horizontal="center"/>
    </xf>
    <xf numFmtId="0" fontId="83" fillId="17" borderId="102" xfId="0" applyFont="1" applyFill="1" applyBorder="1" applyAlignment="1">
      <alignment horizontal="left" vertical="center" wrapText="1"/>
    </xf>
    <xf numFmtId="167" fontId="90" fillId="17" borderId="173" xfId="22" applyNumberFormat="1" applyFont="1" applyFill="1" applyBorder="1" applyProtection="1">
      <protection locked="0"/>
    </xf>
    <xf numFmtId="167" fontId="83" fillId="17" borderId="173" xfId="22" applyNumberFormat="1" applyFont="1" applyFill="1" applyBorder="1" applyProtection="1">
      <protection locked="0"/>
    </xf>
    <xf numFmtId="167" fontId="87" fillId="17" borderId="173" xfId="22" applyNumberFormat="1" applyFont="1" applyFill="1" applyBorder="1" applyAlignment="1" applyProtection="1">
      <alignment vertical="center"/>
      <protection locked="0"/>
    </xf>
    <xf numFmtId="167" fontId="86" fillId="17" borderId="173" xfId="22" applyNumberFormat="1" applyFont="1" applyFill="1" applyBorder="1" applyProtection="1">
      <protection locked="0"/>
    </xf>
    <xf numFmtId="167" fontId="297" fillId="17" borderId="173" xfId="22" applyNumberFormat="1" applyFont="1" applyFill="1" applyBorder="1" applyProtection="1">
      <protection locked="0"/>
    </xf>
    <xf numFmtId="167" fontId="87" fillId="17" borderId="173" xfId="22" applyNumberFormat="1" applyFont="1" applyFill="1" applyBorder="1" applyProtection="1">
      <protection locked="0"/>
    </xf>
    <xf numFmtId="0" fontId="83" fillId="17" borderId="135" xfId="0" applyFont="1" applyFill="1" applyBorder="1" applyAlignment="1">
      <alignment horizontal="left" vertical="center" wrapText="1"/>
    </xf>
    <xf numFmtId="0" fontId="83" fillId="17" borderId="103" xfId="0" applyFont="1" applyFill="1" applyBorder="1" applyAlignment="1">
      <alignment horizontal="center"/>
    </xf>
    <xf numFmtId="167" fontId="297" fillId="17" borderId="173" xfId="22" applyNumberFormat="1" applyFont="1" applyFill="1" applyBorder="1" applyAlignment="1" applyProtection="1">
      <alignment vertical="center"/>
      <protection locked="0"/>
    </xf>
    <xf numFmtId="0" fontId="83" fillId="17" borderId="173" xfId="0" applyFont="1" applyFill="1" applyBorder="1"/>
    <xf numFmtId="49" fontId="83" fillId="17" borderId="173" xfId="0" applyNumberFormat="1" applyFont="1" applyFill="1" applyBorder="1"/>
    <xf numFmtId="0" fontId="92" fillId="17" borderId="173" xfId="0" applyFont="1" applyFill="1" applyBorder="1"/>
    <xf numFmtId="0" fontId="83" fillId="17" borderId="173" xfId="0" applyFont="1" applyFill="1" applyBorder="1" applyAlignment="1">
      <alignment horizontal="center"/>
    </xf>
    <xf numFmtId="167" fontId="246" fillId="17" borderId="173" xfId="22" applyNumberFormat="1" applyFont="1" applyFill="1" applyBorder="1" applyProtection="1">
      <protection locked="0"/>
    </xf>
    <xf numFmtId="167" fontId="86" fillId="17" borderId="102" xfId="19" applyNumberFormat="1" applyFont="1" applyFill="1" applyBorder="1" applyProtection="1">
      <protection locked="0"/>
    </xf>
    <xf numFmtId="0" fontId="83" fillId="17" borderId="104" xfId="0" applyFont="1" applyFill="1" applyBorder="1" applyAlignment="1">
      <alignment horizontal="left" vertical="center" wrapText="1"/>
    </xf>
    <xf numFmtId="167" fontId="83" fillId="13" borderId="201" xfId="22" applyNumberFormat="1" applyFont="1" applyFill="1" applyBorder="1" applyProtection="1">
      <protection locked="0"/>
    </xf>
    <xf numFmtId="0" fontId="89" fillId="17" borderId="102" xfId="0" applyFont="1" applyFill="1" applyBorder="1"/>
    <xf numFmtId="0" fontId="84" fillId="17" borderId="102" xfId="0" applyFont="1" applyFill="1" applyBorder="1" applyAlignment="1">
      <alignment horizontal="left" vertical="center" wrapText="1"/>
    </xf>
    <xf numFmtId="167" fontId="297" fillId="17" borderId="173" xfId="19" applyNumberFormat="1" applyFont="1" applyFill="1" applyBorder="1" applyProtection="1">
      <protection locked="0"/>
    </xf>
    <xf numFmtId="167" fontId="87" fillId="17" borderId="173" xfId="19" applyNumberFormat="1" applyFont="1" applyFill="1" applyBorder="1" applyAlignment="1" applyProtection="1">
      <alignment vertical="center"/>
      <protection locked="0"/>
    </xf>
    <xf numFmtId="0" fontId="89" fillId="17" borderId="129" xfId="0" applyFont="1" applyFill="1" applyBorder="1"/>
    <xf numFmtId="0" fontId="83" fillId="17" borderId="129" xfId="0" applyFont="1" applyFill="1" applyBorder="1" applyAlignment="1">
      <alignment horizontal="left" vertical="center" wrapText="1"/>
    </xf>
    <xf numFmtId="167" fontId="83" fillId="17" borderId="201" xfId="22" applyNumberFormat="1" applyFont="1" applyFill="1" applyBorder="1" applyProtection="1">
      <protection locked="0"/>
    </xf>
    <xf numFmtId="167" fontId="87" fillId="17" borderId="201" xfId="22" applyNumberFormat="1" applyFont="1" applyFill="1" applyBorder="1" applyProtection="1">
      <protection locked="0"/>
    </xf>
    <xf numFmtId="167" fontId="86" fillId="17" borderId="201" xfId="22" applyNumberFormat="1" applyFont="1" applyFill="1" applyBorder="1" applyProtection="1">
      <protection locked="0"/>
    </xf>
    <xf numFmtId="0" fontId="83" fillId="17" borderId="135" xfId="0" applyFont="1" applyFill="1" applyBorder="1" applyAlignment="1">
      <alignment vertical="center" wrapText="1"/>
    </xf>
    <xf numFmtId="167" fontId="87" fillId="17" borderId="173" xfId="22" applyNumberFormat="1" applyFont="1" applyFill="1" applyBorder="1" applyAlignment="1" applyProtection="1">
      <protection locked="0"/>
    </xf>
    <xf numFmtId="0" fontId="89" fillId="17" borderId="201" xfId="0" applyFont="1" applyFill="1" applyBorder="1"/>
    <xf numFmtId="0" fontId="83" fillId="17" borderId="104" xfId="0" applyFont="1" applyFill="1" applyBorder="1"/>
    <xf numFmtId="0" fontId="83" fillId="17" borderId="173" xfId="0" applyFont="1" applyFill="1" applyBorder="1" applyAlignment="1">
      <alignment vertical="center" wrapText="1"/>
    </xf>
    <xf numFmtId="0" fontId="83" fillId="17" borderId="201" xfId="0" applyFont="1" applyFill="1" applyBorder="1" applyAlignment="1">
      <alignment horizontal="left" vertical="center" wrapText="1"/>
    </xf>
    <xf numFmtId="49" fontId="95" fillId="0" borderId="102" xfId="0" applyNumberFormat="1" applyFont="1" applyBorder="1"/>
    <xf numFmtId="0" fontId="95" fillId="0" borderId="102" xfId="0" applyFont="1" applyBorder="1" applyAlignment="1">
      <alignment horizontal="center"/>
    </xf>
    <xf numFmtId="0" fontId="95" fillId="0" borderId="102" xfId="0" applyFont="1" applyBorder="1" applyAlignment="1">
      <alignment horizontal="left" vertical="center" wrapText="1"/>
    </xf>
    <xf numFmtId="167" fontId="95" fillId="15" borderId="173" xfId="19" applyNumberFormat="1" applyFont="1" applyFill="1" applyBorder="1" applyProtection="1">
      <protection locked="0"/>
    </xf>
    <xf numFmtId="167" fontId="95" fillId="14" borderId="173" xfId="19" applyNumberFormat="1" applyFont="1" applyFill="1" applyBorder="1" applyProtection="1">
      <protection locked="0"/>
    </xf>
    <xf numFmtId="0" fontId="92" fillId="11" borderId="0" xfId="0" applyFont="1" applyFill="1" applyAlignment="1">
      <alignment wrapText="1"/>
    </xf>
    <xf numFmtId="43" fontId="47" fillId="0" borderId="12" xfId="1" quotePrefix="1" applyFont="1" applyFill="1" applyBorder="1"/>
    <xf numFmtId="167" fontId="159" fillId="0" borderId="151" xfId="19" applyNumberFormat="1" applyFont="1" applyFill="1" applyBorder="1" applyAlignment="1" applyProtection="1">
      <alignment horizontal="center" vertical="center" wrapText="1"/>
    </xf>
    <xf numFmtId="167" fontId="70" fillId="15" borderId="146" xfId="1" applyNumberFormat="1" applyFont="1" applyFill="1" applyBorder="1" applyProtection="1">
      <protection locked="0"/>
    </xf>
    <xf numFmtId="167" fontId="87" fillId="11" borderId="65" xfId="1" applyNumberFormat="1" applyFont="1" applyFill="1" applyBorder="1" applyProtection="1">
      <protection locked="0"/>
    </xf>
    <xf numFmtId="43" fontId="47" fillId="0" borderId="12" xfId="1" quotePrefix="1" applyFont="1" applyFill="1" applyBorder="1" applyAlignment="1">
      <alignment wrapText="1"/>
    </xf>
    <xf numFmtId="3" fontId="63" fillId="0" borderId="0" xfId="0" applyNumberFormat="1" applyFont="1"/>
    <xf numFmtId="3" fontId="382" fillId="0" borderId="0" xfId="0" applyNumberFormat="1" applyFont="1" applyAlignment="1">
      <alignment horizontal="right"/>
    </xf>
    <xf numFmtId="0" fontId="382" fillId="0" borderId="0" xfId="0" applyFont="1" applyAlignment="1">
      <alignment horizontal="right"/>
    </xf>
    <xf numFmtId="0" fontId="382" fillId="0" borderId="153" xfId="0" applyFont="1" applyBorder="1" applyAlignment="1">
      <alignment horizontal="right"/>
    </xf>
    <xf numFmtId="0" fontId="115" fillId="11" borderId="0" xfId="0" applyFont="1" applyFill="1"/>
    <xf numFmtId="0" fontId="115" fillId="11" borderId="89" xfId="0" applyFont="1" applyFill="1" applyBorder="1"/>
    <xf numFmtId="49" fontId="115" fillId="11" borderId="89" xfId="0" applyNumberFormat="1" applyFont="1" applyFill="1" applyBorder="1"/>
    <xf numFmtId="0" fontId="115" fillId="11" borderId="89" xfId="0" applyFont="1" applyFill="1" applyBorder="1" applyAlignment="1">
      <alignment horizontal="center"/>
    </xf>
    <xf numFmtId="0" fontId="115" fillId="23" borderId="46" xfId="0" applyFont="1" applyFill="1" applyBorder="1" applyAlignment="1">
      <alignment horizontal="left" vertical="top" wrapText="1" indent="3"/>
    </xf>
    <xf numFmtId="167" fontId="384" fillId="11" borderId="175" xfId="19" applyNumberFormat="1" applyFont="1" applyFill="1" applyBorder="1" applyProtection="1">
      <protection locked="0"/>
    </xf>
    <xf numFmtId="167" fontId="115" fillId="14" borderId="175" xfId="19" applyNumberFormat="1" applyFont="1" applyFill="1" applyBorder="1" applyProtection="1">
      <protection locked="0"/>
    </xf>
    <xf numFmtId="0" fontId="115" fillId="36" borderId="0" xfId="0" applyFont="1" applyFill="1" applyAlignment="1">
      <alignment wrapText="1"/>
    </xf>
    <xf numFmtId="0" fontId="86" fillId="23" borderId="175" xfId="0" applyFont="1" applyFill="1" applyBorder="1" applyAlignment="1">
      <alignment vertical="top" wrapText="1"/>
    </xf>
    <xf numFmtId="3" fontId="50" fillId="0" borderId="0" xfId="3" applyNumberFormat="1" applyFont="1" applyAlignment="1">
      <alignment horizontal="right"/>
    </xf>
    <xf numFmtId="167" fontId="220" fillId="0" borderId="0" xfId="1" applyNumberFormat="1" applyFont="1"/>
    <xf numFmtId="0" fontId="72" fillId="0" borderId="201" xfId="0" applyFont="1" applyBorder="1" applyAlignment="1">
      <alignment horizontal="center"/>
    </xf>
    <xf numFmtId="0" fontId="72" fillId="0" borderId="201" xfId="0" applyFont="1" applyBorder="1" applyAlignment="1">
      <alignment horizontal="left" vertical="center" wrapText="1"/>
    </xf>
    <xf numFmtId="167" fontId="72" fillId="15" borderId="201" xfId="22" applyNumberFormat="1" applyFont="1" applyFill="1" applyBorder="1"/>
    <xf numFmtId="0" fontId="83" fillId="11" borderId="201" xfId="0" applyFont="1" applyFill="1" applyBorder="1" applyAlignment="1">
      <alignment horizontal="center"/>
    </xf>
    <xf numFmtId="0" fontId="83" fillId="11" borderId="201" xfId="0" applyFont="1" applyFill="1" applyBorder="1" applyAlignment="1">
      <alignment horizontal="left" vertical="center" wrapText="1"/>
    </xf>
    <xf numFmtId="167" fontId="83" fillId="11" borderId="201" xfId="22" applyNumberFormat="1" applyFont="1" applyFill="1" applyBorder="1"/>
    <xf numFmtId="0" fontId="83" fillId="0" borderId="201" xfId="0" applyFont="1" applyBorder="1" applyAlignment="1">
      <alignment horizontal="center"/>
    </xf>
    <xf numFmtId="167" fontId="72" fillId="15" borderId="201" xfId="19" applyNumberFormat="1" applyFont="1" applyFill="1" applyBorder="1"/>
    <xf numFmtId="167" fontId="86" fillId="11" borderId="201" xfId="22" applyNumberFormat="1" applyFont="1" applyFill="1" applyBorder="1"/>
    <xf numFmtId="167" fontId="72" fillId="0" borderId="201" xfId="19" applyNumberFormat="1" applyFont="1" applyFill="1" applyBorder="1"/>
    <xf numFmtId="167" fontId="83" fillId="11" borderId="201" xfId="19" applyNumberFormat="1" applyFont="1" applyFill="1" applyBorder="1"/>
    <xf numFmtId="0" fontId="84" fillId="36" borderId="201" xfId="0" applyFont="1" applyFill="1" applyBorder="1" applyAlignment="1">
      <alignment horizontal="left" vertical="center" wrapText="1"/>
    </xf>
    <xf numFmtId="0" fontId="83" fillId="11" borderId="201" xfId="0" applyFont="1" applyFill="1" applyBorder="1" applyAlignment="1">
      <alignment horizontal="left"/>
    </xf>
    <xf numFmtId="167" fontId="83" fillId="11" borderId="201" xfId="22" applyNumberFormat="1" applyFont="1" applyFill="1" applyBorder="1" applyAlignment="1">
      <alignment wrapText="1"/>
    </xf>
    <xf numFmtId="167" fontId="83" fillId="11" borderId="0" xfId="22" applyNumberFormat="1" applyFont="1" applyFill="1" applyBorder="1" applyAlignment="1">
      <alignment wrapText="1"/>
    </xf>
    <xf numFmtId="0" fontId="84" fillId="11" borderId="201" xfId="0" applyFont="1" applyFill="1" applyBorder="1"/>
    <xf numFmtId="0" fontId="84" fillId="12" borderId="0" xfId="0" applyFont="1" applyFill="1"/>
    <xf numFmtId="0" fontId="84" fillId="13" borderId="0" xfId="0" applyFont="1" applyFill="1"/>
    <xf numFmtId="0" fontId="84" fillId="11" borderId="201" xfId="0" applyFont="1" applyFill="1" applyBorder="1" applyAlignment="1">
      <alignment horizontal="left" vertical="center" wrapText="1"/>
    </xf>
    <xf numFmtId="0" fontId="83" fillId="11" borderId="201" xfId="0" quotePrefix="1" applyFont="1" applyFill="1" applyBorder="1" applyAlignment="1">
      <alignment horizontal="left" vertical="center" wrapText="1"/>
    </xf>
    <xf numFmtId="0" fontId="83" fillId="11" borderId="201" xfId="0" applyFont="1" applyFill="1" applyBorder="1" applyAlignment="1">
      <alignment horizontal="right" vertical="center" wrapText="1"/>
    </xf>
    <xf numFmtId="0" fontId="83" fillId="12" borderId="0" xfId="0" applyFont="1" applyFill="1"/>
    <xf numFmtId="0" fontId="83" fillId="11" borderId="201" xfId="22" applyNumberFormat="1" applyFont="1" applyFill="1" applyBorder="1" applyAlignment="1">
      <alignment wrapText="1"/>
    </xf>
    <xf numFmtId="0" fontId="83" fillId="11" borderId="201" xfId="0" applyFont="1" applyFill="1" applyBorder="1" applyAlignment="1">
      <alignment vertical="center" wrapText="1"/>
    </xf>
    <xf numFmtId="0" fontId="72" fillId="0" borderId="201" xfId="0" applyFont="1" applyBorder="1" applyAlignment="1">
      <alignment horizontal="center" vertical="center" wrapText="1"/>
    </xf>
    <xf numFmtId="0" fontId="72" fillId="0" borderId="201" xfId="0" applyFont="1" applyBorder="1"/>
    <xf numFmtId="0" fontId="83" fillId="11" borderId="201" xfId="0" applyFont="1" applyFill="1" applyBorder="1"/>
    <xf numFmtId="0" fontId="83" fillId="36" borderId="46" xfId="0" applyFont="1" applyFill="1" applyBorder="1" applyAlignment="1">
      <alignment horizontal="left" vertical="center" wrapText="1"/>
    </xf>
    <xf numFmtId="0" fontId="84" fillId="11" borderId="201" xfId="0" applyFont="1" applyFill="1" applyBorder="1" applyAlignment="1">
      <alignment horizontal="center"/>
    </xf>
    <xf numFmtId="167" fontId="83" fillId="14" borderId="201" xfId="19" applyNumberFormat="1" applyFont="1" applyFill="1" applyBorder="1" applyProtection="1">
      <protection locked="0"/>
    </xf>
    <xf numFmtId="0" fontId="86" fillId="36" borderId="46" xfId="0" applyFont="1" applyFill="1" applyBorder="1" applyAlignment="1">
      <alignment horizontal="left" vertical="center" wrapText="1"/>
    </xf>
    <xf numFmtId="0" fontId="83" fillId="36" borderId="0" xfId="0" applyFont="1" applyFill="1" applyAlignment="1">
      <alignment horizontal="left" vertical="center" wrapText="1"/>
    </xf>
    <xf numFmtId="0" fontId="83" fillId="36" borderId="201" xfId="0" applyFont="1" applyFill="1" applyBorder="1" applyAlignment="1">
      <alignment horizontal="left" vertical="center" wrapText="1"/>
    </xf>
    <xf numFmtId="0" fontId="100" fillId="36" borderId="201" xfId="0" applyFont="1" applyFill="1" applyBorder="1" applyAlignment="1">
      <alignment horizontal="left" vertical="center" wrapText="1"/>
    </xf>
    <xf numFmtId="0" fontId="84" fillId="0" borderId="201" xfId="0" applyFont="1" applyBorder="1"/>
    <xf numFmtId="0" fontId="83" fillId="0" borderId="0" xfId="0" applyFont="1" applyAlignment="1">
      <alignment horizontal="left"/>
    </xf>
    <xf numFmtId="0" fontId="89" fillId="17" borderId="135" xfId="0" applyFont="1" applyFill="1" applyBorder="1"/>
    <xf numFmtId="0" fontId="84" fillId="17" borderId="135" xfId="0" applyFont="1" applyFill="1" applyBorder="1" applyAlignment="1">
      <alignment vertical="center" wrapText="1"/>
    </xf>
    <xf numFmtId="0" fontId="297" fillId="17" borderId="187" xfId="0" applyFont="1" applyFill="1" applyBorder="1" applyAlignment="1">
      <alignment vertical="center" wrapText="1"/>
    </xf>
    <xf numFmtId="167" fontId="83" fillId="11" borderId="173" xfId="22" applyNumberFormat="1" applyFont="1" applyFill="1" applyBorder="1" applyAlignment="1" applyProtection="1">
      <alignment horizontal="center" vertical="center"/>
      <protection locked="0"/>
    </xf>
    <xf numFmtId="167" fontId="83" fillId="17" borderId="175" xfId="24" applyNumberFormat="1" applyFont="1" applyFill="1" applyBorder="1" applyProtection="1">
      <protection locked="0"/>
    </xf>
    <xf numFmtId="167" fontId="83" fillId="17" borderId="201" xfId="19" applyNumberFormat="1" applyFont="1" applyFill="1" applyBorder="1"/>
    <xf numFmtId="167" fontId="83" fillId="17" borderId="201" xfId="22" applyNumberFormat="1" applyFont="1" applyFill="1" applyBorder="1"/>
    <xf numFmtId="167" fontId="83" fillId="17" borderId="147" xfId="22" applyNumberFormat="1" applyFont="1" applyFill="1" applyBorder="1"/>
    <xf numFmtId="167" fontId="86" fillId="17" borderId="201" xfId="22" applyNumberFormat="1" applyFont="1" applyFill="1" applyBorder="1"/>
    <xf numFmtId="167" fontId="72" fillId="17" borderId="89" xfId="24" applyNumberFormat="1" applyFont="1" applyFill="1" applyBorder="1" applyProtection="1">
      <protection locked="0"/>
    </xf>
    <xf numFmtId="167" fontId="86" fillId="11" borderId="86" xfId="22" applyNumberFormat="1" applyFont="1" applyFill="1" applyBorder="1"/>
    <xf numFmtId="167" fontId="83" fillId="17" borderId="175" xfId="19" applyNumberFormat="1" applyFont="1" applyFill="1" applyBorder="1" applyProtection="1">
      <protection locked="0"/>
    </xf>
    <xf numFmtId="167" fontId="83" fillId="17" borderId="145" xfId="19" applyNumberFormat="1" applyFont="1" applyFill="1" applyBorder="1" applyProtection="1">
      <protection locked="0"/>
    </xf>
    <xf numFmtId="9" fontId="148" fillId="6" borderId="12" xfId="2" applyFont="1" applyFill="1" applyBorder="1" applyAlignment="1">
      <alignment horizontal="right"/>
    </xf>
    <xf numFmtId="175" fontId="102" fillId="0" borderId="0" xfId="0" applyNumberFormat="1" applyFont="1"/>
    <xf numFmtId="0" fontId="100" fillId="36" borderId="201" xfId="22" applyNumberFormat="1" applyFont="1" applyFill="1" applyBorder="1" applyAlignment="1">
      <alignment wrapText="1"/>
    </xf>
    <xf numFmtId="0" fontId="100" fillId="36" borderId="46" xfId="22" applyNumberFormat="1" applyFont="1" applyFill="1" applyBorder="1" applyAlignment="1">
      <alignment wrapText="1"/>
    </xf>
    <xf numFmtId="0" fontId="100" fillId="84" borderId="201" xfId="22" applyNumberFormat="1" applyFont="1" applyFill="1" applyBorder="1" applyAlignment="1">
      <alignment wrapText="1"/>
    </xf>
    <xf numFmtId="0" fontId="100" fillId="84" borderId="134" xfId="22" applyNumberFormat="1" applyFont="1" applyFill="1" applyBorder="1" applyAlignment="1">
      <alignment wrapText="1"/>
    </xf>
    <xf numFmtId="0" fontId="83" fillId="23" borderId="201" xfId="22" applyNumberFormat="1" applyFont="1" applyFill="1" applyBorder="1" applyAlignment="1">
      <alignment wrapText="1"/>
    </xf>
    <xf numFmtId="0" fontId="83" fillId="13" borderId="201" xfId="22" applyNumberFormat="1" applyFont="1" applyFill="1" applyBorder="1" applyAlignment="1">
      <alignment wrapText="1"/>
    </xf>
    <xf numFmtId="0" fontId="100" fillId="85" borderId="46" xfId="22" applyNumberFormat="1" applyFont="1" applyFill="1" applyBorder="1" applyAlignment="1">
      <alignment wrapText="1"/>
    </xf>
    <xf numFmtId="0" fontId="100" fillId="85" borderId="134" xfId="22" applyNumberFormat="1" applyFont="1" applyFill="1" applyBorder="1" applyAlignment="1">
      <alignment wrapText="1"/>
    </xf>
    <xf numFmtId="167" fontId="214" fillId="0" borderId="156" xfId="1" applyNumberFormat="1" applyFont="1" applyBorder="1"/>
    <xf numFmtId="167" fontId="214" fillId="0" borderId="0" xfId="1" applyNumberFormat="1" applyFont="1" applyFill="1" applyBorder="1"/>
    <xf numFmtId="167" fontId="214" fillId="0" borderId="156" xfId="1" applyNumberFormat="1" applyFont="1" applyFill="1" applyBorder="1"/>
    <xf numFmtId="167" fontId="214" fillId="0" borderId="159" xfId="1" applyNumberFormat="1" applyFont="1" applyFill="1" applyBorder="1"/>
    <xf numFmtId="49" fontId="111" fillId="0" borderId="160" xfId="0" applyNumberFormat="1" applyFont="1" applyBorder="1" applyAlignment="1">
      <alignment horizontal="left"/>
    </xf>
    <xf numFmtId="0" fontId="111" fillId="0" borderId="160" xfId="0" applyFont="1" applyBorder="1" applyAlignment="1">
      <alignment wrapText="1"/>
    </xf>
    <xf numFmtId="49" fontId="111" fillId="0" borderId="202" xfId="0" applyNumberFormat="1" applyFont="1" applyBorder="1" applyAlignment="1">
      <alignment horizontal="left"/>
    </xf>
    <xf numFmtId="0" fontId="0" fillId="0" borderId="202" xfId="0" applyBorder="1"/>
    <xf numFmtId="0" fontId="111" fillId="0" borderId="202" xfId="0" applyFont="1" applyBorder="1" applyAlignment="1">
      <alignment wrapText="1"/>
    </xf>
    <xf numFmtId="0" fontId="111" fillId="0" borderId="161" xfId="0" applyFont="1" applyBorder="1"/>
    <xf numFmtId="0" fontId="111" fillId="0" borderId="194" xfId="0" applyFont="1" applyBorder="1"/>
    <xf numFmtId="49" fontId="111" fillId="0" borderId="194" xfId="0" applyNumberFormat="1" applyFont="1" applyBorder="1" applyAlignment="1">
      <alignment vertical="center" wrapText="1"/>
    </xf>
    <xf numFmtId="0" fontId="0" fillId="0" borderId="203" xfId="0" applyBorder="1"/>
    <xf numFmtId="0" fontId="0" fillId="0" borderId="203" xfId="0" applyBorder="1" applyAlignment="1">
      <alignment wrapText="1"/>
    </xf>
    <xf numFmtId="49" fontId="111" fillId="0" borderId="203" xfId="0" applyNumberFormat="1" applyFont="1" applyBorder="1" applyAlignment="1">
      <alignment wrapText="1"/>
    </xf>
    <xf numFmtId="0" fontId="111" fillId="0" borderId="203" xfId="0" applyFont="1" applyBorder="1" applyAlignment="1">
      <alignment wrapText="1"/>
    </xf>
    <xf numFmtId="167" fontId="104" fillId="0" borderId="203" xfId="1" applyNumberFormat="1" applyFont="1" applyBorder="1" applyAlignment="1">
      <alignment wrapText="1"/>
    </xf>
    <xf numFmtId="0" fontId="0" fillId="0" borderId="202" xfId="0" applyBorder="1" applyAlignment="1">
      <alignment wrapText="1"/>
    </xf>
    <xf numFmtId="49" fontId="111" fillId="0" borderId="202" xfId="0" applyNumberFormat="1" applyFont="1" applyBorder="1" applyAlignment="1">
      <alignment wrapText="1"/>
    </xf>
    <xf numFmtId="167" fontId="104" fillId="0" borderId="202" xfId="1" applyNumberFormat="1" applyFont="1" applyBorder="1" applyAlignment="1">
      <alignment wrapText="1"/>
    </xf>
    <xf numFmtId="0" fontId="0" fillId="0" borderId="205" xfId="0" applyBorder="1"/>
    <xf numFmtId="49" fontId="111" fillId="0" borderId="205" xfId="0" applyNumberFormat="1" applyFont="1" applyBorder="1" applyAlignment="1">
      <alignment horizontal="left"/>
    </xf>
    <xf numFmtId="0" fontId="111" fillId="0" borderId="205" xfId="0" applyFont="1" applyBorder="1" applyAlignment="1">
      <alignment wrapText="1"/>
    </xf>
    <xf numFmtId="167" fontId="104" fillId="0" borderId="205" xfId="1" applyNumberFormat="1" applyFont="1" applyBorder="1"/>
    <xf numFmtId="0" fontId="216" fillId="35" borderId="46" xfId="22" applyNumberFormat="1" applyFont="1" applyFill="1" applyBorder="1" applyAlignment="1">
      <alignment wrapText="1"/>
    </xf>
    <xf numFmtId="167" fontId="104" fillId="35" borderId="156" xfId="1" applyNumberFormat="1" applyFont="1" applyFill="1" applyBorder="1"/>
    <xf numFmtId="167" fontId="104" fillId="35" borderId="0" xfId="1" applyNumberFormat="1" applyFont="1" applyFill="1" applyBorder="1"/>
    <xf numFmtId="0" fontId="100" fillId="85" borderId="206" xfId="22" applyNumberFormat="1" applyFont="1" applyFill="1" applyBorder="1" applyAlignment="1">
      <alignment wrapText="1"/>
    </xf>
    <xf numFmtId="43" fontId="47" fillId="4" borderId="124" xfId="1" quotePrefix="1" applyFont="1" applyFill="1" applyBorder="1"/>
    <xf numFmtId="167" fontId="126" fillId="14" borderId="0" xfId="1" applyNumberFormat="1" applyFont="1" applyFill="1" applyBorder="1"/>
    <xf numFmtId="0" fontId="63" fillId="0" borderId="0" xfId="0" applyFont="1" applyAlignment="1">
      <alignment horizontal="right" wrapText="1"/>
    </xf>
    <xf numFmtId="167" fontId="126" fillId="14" borderId="0" xfId="0" applyNumberFormat="1" applyFont="1" applyFill="1"/>
    <xf numFmtId="167" fontId="98" fillId="0" borderId="0" xfId="1" applyNumberFormat="1" applyFont="1" applyAlignment="1">
      <alignment horizontal="left" vertical="center" wrapText="1"/>
    </xf>
    <xf numFmtId="9" fontId="84" fillId="0" borderId="0" xfId="2" applyFont="1" applyAlignment="1">
      <alignment horizontal="left"/>
    </xf>
    <xf numFmtId="0" fontId="129" fillId="12" borderId="201" xfId="249" applyFont="1" applyFill="1" applyBorder="1"/>
    <xf numFmtId="0" fontId="129" fillId="12" borderId="104" xfId="249" applyFont="1" applyFill="1" applyBorder="1"/>
    <xf numFmtId="0" fontId="175" fillId="12" borderId="201" xfId="249" applyFont="1" applyFill="1" applyBorder="1"/>
    <xf numFmtId="0" fontId="129" fillId="0" borderId="201" xfId="249" applyFont="1" applyBorder="1"/>
    <xf numFmtId="0" fontId="129" fillId="12" borderId="201" xfId="249" applyFont="1" applyFill="1" applyBorder="1" applyAlignment="1">
      <alignment wrapText="1"/>
    </xf>
    <xf numFmtId="0" fontId="175" fillId="12" borderId="201" xfId="249" applyFont="1" applyFill="1" applyBorder="1" applyAlignment="1">
      <alignment wrapText="1"/>
    </xf>
    <xf numFmtId="0" fontId="129" fillId="13" borderId="201" xfId="249" applyFont="1" applyFill="1" applyBorder="1"/>
    <xf numFmtId="0" fontId="129" fillId="13" borderId="201" xfId="249" applyFont="1" applyFill="1" applyBorder="1" applyAlignment="1">
      <alignment wrapText="1"/>
    </xf>
    <xf numFmtId="0" fontId="129" fillId="0" borderId="201" xfId="249" applyFont="1" applyBorder="1" applyAlignment="1">
      <alignment wrapText="1"/>
    </xf>
    <xf numFmtId="174" fontId="131" fillId="0" borderId="0" xfId="1" applyNumberFormat="1" applyFont="1"/>
    <xf numFmtId="167" fontId="358" fillId="0" borderId="0" xfId="1" applyNumberFormat="1" applyFont="1" applyAlignment="1">
      <alignment horizontal="right" wrapText="1"/>
    </xf>
    <xf numFmtId="167" fontId="83" fillId="17" borderId="145" xfId="22" applyNumberFormat="1" applyFont="1" applyFill="1" applyBorder="1"/>
    <xf numFmtId="167" fontId="86" fillId="17" borderId="89" xfId="19" applyNumberFormat="1" applyFont="1" applyFill="1" applyBorder="1" applyProtection="1">
      <protection locked="0"/>
    </xf>
    <xf numFmtId="167" fontId="83" fillId="17" borderId="151" xfId="19" applyNumberFormat="1" applyFont="1" applyFill="1" applyBorder="1" applyProtection="1">
      <protection locked="0"/>
    </xf>
    <xf numFmtId="167" fontId="83" fillId="17" borderId="89" xfId="19" applyNumberFormat="1" applyFont="1" applyFill="1" applyBorder="1" applyProtection="1">
      <protection locked="0"/>
    </xf>
    <xf numFmtId="167" fontId="83" fillId="17" borderId="129" xfId="19" applyNumberFormat="1" applyFont="1" applyFill="1" applyBorder="1" applyProtection="1">
      <protection locked="0"/>
    </xf>
    <xf numFmtId="167" fontId="86" fillId="17" borderId="175" xfId="19" applyNumberFormat="1" applyFont="1" applyFill="1" applyBorder="1" applyProtection="1">
      <protection locked="0"/>
    </xf>
    <xf numFmtId="167" fontId="83" fillId="17" borderId="173" xfId="23" applyNumberFormat="1" applyFont="1" applyFill="1" applyBorder="1" applyProtection="1">
      <protection locked="0"/>
    </xf>
    <xf numFmtId="167" fontId="83" fillId="17" borderId="176" xfId="19" applyNumberFormat="1" applyFont="1" applyFill="1" applyBorder="1" applyProtection="1">
      <protection locked="0"/>
    </xf>
    <xf numFmtId="167" fontId="86" fillId="17" borderId="176" xfId="19" applyNumberFormat="1" applyFont="1" applyFill="1" applyBorder="1" applyProtection="1">
      <protection locked="0"/>
    </xf>
    <xf numFmtId="167" fontId="83" fillId="34" borderId="175" xfId="1" applyNumberFormat="1" applyFont="1" applyFill="1" applyBorder="1" applyAlignment="1" applyProtection="1">
      <alignment horizontal="center" vertical="center"/>
      <protection locked="0"/>
    </xf>
    <xf numFmtId="167" fontId="72" fillId="34" borderId="175" xfId="1" applyNumberFormat="1" applyFont="1" applyFill="1" applyBorder="1" applyAlignment="1" applyProtection="1">
      <alignment horizontal="center" vertical="center"/>
      <protection locked="0"/>
    </xf>
    <xf numFmtId="0" fontId="0" fillId="0" borderId="157" xfId="0" applyBorder="1"/>
    <xf numFmtId="0" fontId="111" fillId="0" borderId="157" xfId="0" applyFont="1" applyBorder="1" applyAlignment="1">
      <alignment wrapText="1"/>
    </xf>
    <xf numFmtId="167" fontId="104" fillId="0" borderId="157" xfId="1" applyNumberFormat="1" applyFont="1" applyBorder="1"/>
    <xf numFmtId="0" fontId="104" fillId="0" borderId="193" xfId="0" applyFont="1" applyBorder="1"/>
    <xf numFmtId="167" fontId="83" fillId="34" borderId="175" xfId="19" applyNumberFormat="1" applyFont="1" applyFill="1" applyBorder="1" applyAlignment="1">
      <alignment horizontal="center"/>
    </xf>
    <xf numFmtId="167" fontId="83" fillId="34" borderId="89" xfId="19" applyNumberFormat="1" applyFont="1" applyFill="1" applyBorder="1" applyProtection="1">
      <protection locked="0"/>
    </xf>
    <xf numFmtId="0" fontId="86" fillId="17" borderId="0" xfId="0" applyFont="1" applyFill="1"/>
    <xf numFmtId="0" fontId="83" fillId="34" borderId="0" xfId="0" applyFont="1" applyFill="1"/>
    <xf numFmtId="167" fontId="86" fillId="34" borderId="175" xfId="19" applyNumberFormat="1" applyFont="1" applyFill="1" applyBorder="1" applyAlignment="1">
      <alignment horizontal="center"/>
    </xf>
    <xf numFmtId="167" fontId="83" fillId="34" borderId="175" xfId="24" applyNumberFormat="1" applyFont="1" applyFill="1" applyBorder="1" applyAlignment="1" applyProtection="1">
      <alignment horizontal="center"/>
      <protection locked="0"/>
    </xf>
    <xf numFmtId="167" fontId="72" fillId="34" borderId="110" xfId="24" applyNumberFormat="1" applyFont="1" applyFill="1" applyBorder="1" applyProtection="1">
      <protection locked="0"/>
    </xf>
    <xf numFmtId="167" fontId="72" fillId="34" borderId="175" xfId="24" applyNumberFormat="1" applyFont="1" applyFill="1" applyBorder="1" applyProtection="1">
      <protection locked="0"/>
    </xf>
    <xf numFmtId="0" fontId="92" fillId="23" borderId="0" xfId="0" applyFont="1" applyFill="1" applyAlignment="1">
      <alignment wrapText="1"/>
    </xf>
    <xf numFmtId="167" fontId="72" fillId="34" borderId="135" xfId="24" applyNumberFormat="1" applyFont="1" applyFill="1" applyBorder="1" applyProtection="1">
      <protection locked="0"/>
    </xf>
    <xf numFmtId="167" fontId="72" fillId="34" borderId="175" xfId="1" applyNumberFormat="1" applyFont="1" applyFill="1" applyBorder="1" applyProtection="1">
      <protection locked="0"/>
    </xf>
    <xf numFmtId="167" fontId="72" fillId="34" borderId="109" xfId="24" applyNumberFormat="1" applyFont="1" applyFill="1" applyBorder="1" applyProtection="1">
      <protection locked="0"/>
    </xf>
    <xf numFmtId="167" fontId="83" fillId="34" borderId="175" xfId="24" applyNumberFormat="1" applyFont="1" applyFill="1" applyBorder="1" applyProtection="1">
      <protection locked="0"/>
    </xf>
    <xf numFmtId="167" fontId="72" fillId="34" borderId="110" xfId="19" applyNumberFormat="1" applyFont="1" applyFill="1" applyBorder="1" applyAlignment="1" applyProtection="1">
      <alignment horizontal="center"/>
      <protection locked="0"/>
    </xf>
    <xf numFmtId="167" fontId="83" fillId="34" borderId="201" xfId="22" applyNumberFormat="1" applyFont="1" applyFill="1" applyBorder="1"/>
    <xf numFmtId="167" fontId="83" fillId="34" borderId="201" xfId="19" applyNumberFormat="1" applyFont="1" applyFill="1" applyBorder="1"/>
    <xf numFmtId="167" fontId="220" fillId="0" borderId="0" xfId="1" applyNumberFormat="1" applyFont="1" applyFill="1" applyBorder="1" applyAlignment="1">
      <alignment horizontal="right"/>
    </xf>
    <xf numFmtId="167" fontId="111" fillId="0" borderId="156" xfId="1" applyNumberFormat="1" applyFont="1" applyBorder="1" applyAlignment="1">
      <alignment wrapText="1"/>
    </xf>
    <xf numFmtId="167" fontId="111" fillId="0" borderId="0" xfId="1" applyNumberFormat="1" applyFont="1" applyFill="1" applyBorder="1" applyAlignment="1">
      <alignment wrapText="1"/>
    </xf>
    <xf numFmtId="167" fontId="111" fillId="0" borderId="202" xfId="1" applyNumberFormat="1" applyFont="1" applyBorder="1" applyAlignment="1">
      <alignment wrapText="1"/>
    </xf>
    <xf numFmtId="167" fontId="111" fillId="0" borderId="203" xfId="1" applyNumberFormat="1" applyFont="1" applyBorder="1" applyAlignment="1">
      <alignment wrapText="1"/>
    </xf>
    <xf numFmtId="167" fontId="111" fillId="0" borderId="204" xfId="1" applyNumberFormat="1" applyFont="1" applyFill="1" applyBorder="1" applyAlignment="1">
      <alignment wrapText="1"/>
    </xf>
    <xf numFmtId="167" fontId="111" fillId="0" borderId="194" xfId="1" applyNumberFormat="1" applyFont="1" applyFill="1" applyBorder="1" applyAlignment="1">
      <alignment wrapText="1"/>
    </xf>
    <xf numFmtId="167" fontId="111" fillId="0" borderId="189" xfId="1" applyNumberFormat="1" applyFont="1" applyFill="1" applyBorder="1"/>
    <xf numFmtId="167" fontId="111" fillId="0" borderId="161" xfId="1" applyNumberFormat="1" applyFont="1" applyFill="1" applyBorder="1"/>
    <xf numFmtId="167" fontId="111" fillId="0" borderId="160" xfId="1" applyNumberFormat="1" applyFont="1" applyBorder="1"/>
    <xf numFmtId="167" fontId="111" fillId="0" borderId="157" xfId="1" applyNumberFormat="1" applyFont="1" applyBorder="1"/>
    <xf numFmtId="167" fontId="111" fillId="0" borderId="193" xfId="1" applyNumberFormat="1" applyFont="1" applyBorder="1"/>
    <xf numFmtId="167" fontId="111" fillId="0" borderId="193" xfId="1" applyNumberFormat="1" applyFont="1" applyFill="1" applyBorder="1"/>
    <xf numFmtId="167" fontId="111" fillId="0" borderId="160" xfId="1" applyNumberFormat="1" applyFont="1" applyFill="1" applyBorder="1"/>
    <xf numFmtId="167" fontId="111" fillId="0" borderId="207" xfId="1" applyNumberFormat="1" applyFont="1" applyFill="1" applyBorder="1"/>
    <xf numFmtId="167" fontId="111" fillId="0" borderId="205" xfId="1" applyNumberFormat="1" applyFont="1" applyBorder="1"/>
    <xf numFmtId="167" fontId="111" fillId="0" borderId="204" xfId="1" applyNumberFormat="1" applyFont="1" applyFill="1" applyBorder="1"/>
    <xf numFmtId="167" fontId="111" fillId="0" borderId="205" xfId="1" applyNumberFormat="1" applyFont="1" applyFill="1" applyBorder="1"/>
    <xf numFmtId="167" fontId="111" fillId="0" borderId="161" xfId="1" applyNumberFormat="1" applyFont="1" applyFill="1" applyBorder="1" applyAlignment="1">
      <alignment wrapText="1"/>
    </xf>
    <xf numFmtId="167" fontId="111" fillId="0" borderId="156" xfId="1" applyNumberFormat="1" applyFont="1" applyFill="1" applyBorder="1" applyAlignment="1">
      <alignment wrapText="1"/>
    </xf>
    <xf numFmtId="167" fontId="111" fillId="0" borderId="189" xfId="1" applyNumberFormat="1" applyFont="1" applyFill="1" applyBorder="1" applyAlignment="1">
      <alignment wrapText="1"/>
    </xf>
    <xf numFmtId="167" fontId="86" fillId="13" borderId="175" xfId="19" applyNumberFormat="1" applyFont="1" applyFill="1" applyBorder="1" applyProtection="1">
      <protection locked="0"/>
    </xf>
    <xf numFmtId="167" fontId="111" fillId="0" borderId="159" xfId="1" applyNumberFormat="1" applyFont="1" applyFill="1" applyBorder="1" applyAlignment="1">
      <alignment wrapText="1"/>
    </xf>
    <xf numFmtId="167" fontId="72" fillId="15" borderId="102" xfId="1" applyNumberFormat="1" applyFont="1" applyFill="1" applyBorder="1" applyProtection="1">
      <protection locked="0"/>
    </xf>
    <xf numFmtId="0" fontId="72" fillId="0" borderId="201" xfId="0" applyFont="1" applyBorder="1" applyAlignment="1">
      <alignment horizontal="center" vertical="center"/>
    </xf>
    <xf numFmtId="0" fontId="83" fillId="11" borderId="201" xfId="0" applyFont="1" applyFill="1" applyBorder="1" applyAlignment="1">
      <alignment wrapText="1"/>
    </xf>
    <xf numFmtId="0" fontId="83" fillId="34" borderId="201" xfId="0" applyFont="1" applyFill="1" applyBorder="1"/>
    <xf numFmtId="167" fontId="83" fillId="34" borderId="147" xfId="22" applyNumberFormat="1" applyFont="1" applyFill="1" applyBorder="1"/>
    <xf numFmtId="3" fontId="0" fillId="0" borderId="170" xfId="0" applyNumberFormat="1" applyBorder="1"/>
    <xf numFmtId="0" fontId="83" fillId="11" borderId="151" xfId="0" applyFont="1" applyFill="1" applyBorder="1" applyAlignment="1">
      <alignment horizontal="left" vertical="center"/>
    </xf>
    <xf numFmtId="0" fontId="386" fillId="0" borderId="23" xfId="251" applyFont="1" applyBorder="1" applyAlignment="1">
      <alignment vertical="center"/>
    </xf>
    <xf numFmtId="0" fontId="386" fillId="0" borderId="5" xfId="251" applyFont="1" applyBorder="1" applyAlignment="1">
      <alignment vertical="center"/>
    </xf>
    <xf numFmtId="0" fontId="3" fillId="0" borderId="0" xfId="251"/>
    <xf numFmtId="0" fontId="387" fillId="0" borderId="31" xfId="251" applyFont="1" applyBorder="1" applyAlignment="1">
      <alignment vertical="center"/>
    </xf>
    <xf numFmtId="43" fontId="387" fillId="0" borderId="19" xfId="252" applyFont="1" applyBorder="1" applyAlignment="1">
      <alignment horizontal="right" vertical="center"/>
    </xf>
    <xf numFmtId="0" fontId="387" fillId="0" borderId="31" xfId="251" applyFont="1" applyBorder="1" applyAlignment="1">
      <alignment vertical="center" wrapText="1"/>
    </xf>
    <xf numFmtId="43" fontId="388" fillId="0" borderId="19" xfId="252" applyFont="1" applyBorder="1" applyAlignment="1">
      <alignment horizontal="right" vertical="center"/>
    </xf>
    <xf numFmtId="43" fontId="387" fillId="0" borderId="39" xfId="252" applyFont="1" applyBorder="1" applyAlignment="1">
      <alignment horizontal="right" vertical="center"/>
    </xf>
    <xf numFmtId="43" fontId="47" fillId="5" borderId="12" xfId="1" quotePrefix="1" applyFont="1" applyFill="1" applyBorder="1"/>
    <xf numFmtId="43" fontId="47" fillId="6" borderId="94" xfId="1" quotePrefix="1" applyFont="1" applyFill="1" applyBorder="1" applyAlignment="1">
      <alignment wrapText="1"/>
    </xf>
    <xf numFmtId="43" fontId="47" fillId="0" borderId="12" xfId="1" applyFont="1" applyFill="1" applyBorder="1" applyAlignment="1">
      <alignment wrapText="1"/>
    </xf>
    <xf numFmtId="49" fontId="47" fillId="0" borderId="151" xfId="43" applyNumberFormat="1" applyFont="1" applyBorder="1" applyAlignment="1">
      <alignment horizontal="right" wrapText="1" indent="2"/>
    </xf>
    <xf numFmtId="9" fontId="112" fillId="0" borderId="12" xfId="2" applyFont="1" applyFill="1" applyBorder="1" applyAlignment="1">
      <alignment horizontal="right"/>
    </xf>
    <xf numFmtId="167" fontId="47" fillId="0" borderId="124" xfId="1" quotePrefix="1" applyNumberFormat="1" applyFont="1" applyFill="1" applyBorder="1" applyAlignment="1">
      <alignment wrapText="1"/>
    </xf>
    <xf numFmtId="49" fontId="0" fillId="0" borderId="0" xfId="0" applyNumberFormat="1" applyAlignment="1">
      <alignment wrapText="1"/>
    </xf>
    <xf numFmtId="49" fontId="104" fillId="0" borderId="0" xfId="0" applyNumberFormat="1" applyFont="1" applyAlignment="1">
      <alignment wrapText="1"/>
    </xf>
    <xf numFmtId="49" fontId="223" fillId="0" borderId="0" xfId="0" applyNumberFormat="1" applyFont="1" applyAlignment="1">
      <alignment wrapText="1"/>
    </xf>
    <xf numFmtId="0" fontId="83" fillId="11" borderId="208" xfId="0" applyFont="1" applyFill="1" applyBorder="1" applyAlignment="1">
      <alignment horizontal="left" vertical="center" wrapText="1"/>
    </xf>
    <xf numFmtId="43" fontId="71" fillId="11" borderId="176" xfId="24" applyFont="1" applyFill="1" applyBorder="1" applyAlignment="1" applyProtection="1">
      <alignment horizontal="center"/>
      <protection locked="0"/>
    </xf>
    <xf numFmtId="167" fontId="83" fillId="11" borderId="201" xfId="24" applyNumberFormat="1" applyFont="1" applyFill="1" applyBorder="1" applyProtection="1">
      <protection locked="0"/>
    </xf>
    <xf numFmtId="43" fontId="75" fillId="11" borderId="176" xfId="24" applyFont="1" applyFill="1" applyBorder="1" applyAlignment="1" applyProtection="1">
      <alignment horizontal="center"/>
      <protection locked="0"/>
    </xf>
    <xf numFmtId="167" fontId="76" fillId="11" borderId="201" xfId="24" applyNumberFormat="1" applyFont="1" applyFill="1" applyBorder="1" applyProtection="1">
      <protection locked="0"/>
    </xf>
    <xf numFmtId="0" fontId="100" fillId="11" borderId="201" xfId="0" applyFont="1" applyFill="1" applyBorder="1" applyAlignment="1">
      <alignment horizontal="left" vertical="center" wrapText="1"/>
    </xf>
    <xf numFmtId="43" fontId="91" fillId="11" borderId="201" xfId="24" applyFont="1" applyFill="1" applyBorder="1" applyAlignment="1" applyProtection="1">
      <alignment horizontal="center"/>
      <protection locked="0"/>
    </xf>
    <xf numFmtId="167" fontId="87" fillId="11" borderId="104" xfId="24" applyNumberFormat="1" applyFont="1" applyFill="1" applyBorder="1" applyAlignment="1" applyProtection="1">
      <alignment horizontal="center" vertical="center"/>
      <protection locked="0"/>
    </xf>
    <xf numFmtId="167" fontId="215" fillId="15" borderId="176" xfId="24" applyNumberFormat="1" applyFont="1" applyFill="1" applyBorder="1" applyAlignment="1" applyProtection="1">
      <alignment horizontal="center"/>
      <protection locked="0"/>
    </xf>
    <xf numFmtId="167" fontId="215" fillId="15" borderId="176" xfId="24" applyNumberFormat="1" applyFont="1" applyFill="1" applyBorder="1" applyProtection="1">
      <protection locked="0"/>
    </xf>
    <xf numFmtId="167" fontId="215" fillId="14" borderId="176" xfId="24" applyNumberFormat="1" applyFont="1" applyFill="1" applyBorder="1" applyProtection="1">
      <protection locked="0"/>
    </xf>
    <xf numFmtId="43" fontId="389" fillId="15" borderId="176" xfId="24" applyFont="1" applyFill="1" applyBorder="1" applyProtection="1">
      <protection locked="0"/>
    </xf>
    <xf numFmtId="43" fontId="384" fillId="11" borderId="152" xfId="24" applyFont="1" applyFill="1" applyBorder="1" applyAlignment="1" applyProtection="1">
      <alignment horizontal="center"/>
      <protection locked="0"/>
    </xf>
    <xf numFmtId="167" fontId="115" fillId="11" borderId="152" xfId="24" applyNumberFormat="1" applyFont="1" applyFill="1" applyBorder="1" applyProtection="1">
      <protection locked="0"/>
    </xf>
    <xf numFmtId="167" fontId="115" fillId="14" borderId="152" xfId="24" applyNumberFormat="1" applyFont="1" applyFill="1" applyBorder="1" applyProtection="1">
      <protection locked="0"/>
    </xf>
    <xf numFmtId="167" fontId="83" fillId="17" borderId="175" xfId="23" applyNumberFormat="1" applyFont="1" applyFill="1" applyBorder="1" applyProtection="1">
      <protection locked="0"/>
    </xf>
    <xf numFmtId="0" fontId="87" fillId="11" borderId="201" xfId="0" applyFont="1" applyFill="1" applyBorder="1" applyAlignment="1">
      <alignment horizontal="left" vertical="center" wrapText="1"/>
    </xf>
    <xf numFmtId="167" fontId="76" fillId="11" borderId="176" xfId="24" applyNumberFormat="1" applyFont="1" applyFill="1" applyBorder="1" applyProtection="1">
      <protection locked="0"/>
    </xf>
    <xf numFmtId="0" fontId="72" fillId="11" borderId="201" xfId="0" applyFont="1" applyFill="1" applyBorder="1"/>
    <xf numFmtId="0" fontId="375" fillId="11" borderId="201" xfId="0" applyFont="1" applyFill="1" applyBorder="1" applyAlignment="1">
      <alignment vertical="center" wrapText="1"/>
    </xf>
    <xf numFmtId="167" fontId="87" fillId="11" borderId="176" xfId="24" applyNumberFormat="1" applyFont="1" applyFill="1" applyBorder="1" applyAlignment="1" applyProtection="1">
      <alignment vertical="center"/>
      <protection locked="0"/>
    </xf>
    <xf numFmtId="167" fontId="72" fillId="34" borderId="201" xfId="24" applyNumberFormat="1" applyFont="1" applyFill="1" applyBorder="1" applyProtection="1">
      <protection locked="0"/>
    </xf>
    <xf numFmtId="167" fontId="72" fillId="11" borderId="201" xfId="24" applyNumberFormat="1" applyFont="1" applyFill="1" applyBorder="1" applyProtection="1">
      <protection locked="0"/>
    </xf>
    <xf numFmtId="167" fontId="87" fillId="11" borderId="176" xfId="24" applyNumberFormat="1" applyFont="1" applyFill="1" applyBorder="1" applyAlignment="1" applyProtection="1">
      <alignment horizontal="center" wrapText="1"/>
      <protection locked="0"/>
    </xf>
    <xf numFmtId="0" fontId="101" fillId="11" borderId="201" xfId="0" applyFont="1" applyFill="1" applyBorder="1" applyAlignment="1">
      <alignment wrapText="1"/>
    </xf>
    <xf numFmtId="167" fontId="83" fillId="11" borderId="201" xfId="19" applyNumberFormat="1" applyFont="1" applyFill="1" applyBorder="1" applyProtection="1">
      <protection locked="0"/>
    </xf>
    <xf numFmtId="167" fontId="115" fillId="17" borderId="175" xfId="24" applyNumberFormat="1" applyFont="1" applyFill="1" applyBorder="1" applyProtection="1">
      <protection locked="0"/>
    </xf>
    <xf numFmtId="167" fontId="47" fillId="6" borderId="12" xfId="1" quotePrefix="1" applyNumberFormat="1" applyFont="1" applyFill="1" applyBorder="1" applyAlignment="1">
      <alignment horizontal="left" wrapText="1"/>
    </xf>
    <xf numFmtId="49" fontId="112" fillId="6" borderId="11" xfId="43" applyNumberFormat="1" applyFont="1" applyFill="1" applyBorder="1" applyAlignment="1">
      <alignment horizontal="right" wrapText="1" indent="2"/>
    </xf>
    <xf numFmtId="3" fontId="112" fillId="6" borderId="12" xfId="3" applyNumberFormat="1" applyFont="1" applyFill="1" applyBorder="1"/>
    <xf numFmtId="167" fontId="215" fillId="15" borderId="175" xfId="23" applyNumberFormat="1" applyFont="1" applyFill="1" applyBorder="1" applyProtection="1">
      <protection locked="0"/>
    </xf>
    <xf numFmtId="167" fontId="215" fillId="14" borderId="175" xfId="23" applyNumberFormat="1" applyFont="1" applyFill="1" applyBorder="1" applyProtection="1">
      <protection locked="0"/>
    </xf>
    <xf numFmtId="0" fontId="115" fillId="0" borderId="0" xfId="0" applyFont="1" applyAlignment="1">
      <alignment wrapText="1"/>
    </xf>
    <xf numFmtId="167" fontId="115" fillId="11" borderId="175" xfId="23" applyNumberFormat="1" applyFont="1" applyFill="1" applyBorder="1" applyProtection="1">
      <protection locked="0"/>
    </xf>
    <xf numFmtId="167" fontId="115" fillId="14" borderId="175" xfId="23" applyNumberFormat="1" applyFont="1" applyFill="1" applyBorder="1" applyProtection="1">
      <protection locked="0"/>
    </xf>
    <xf numFmtId="0" fontId="384" fillId="0" borderId="0" xfId="0" applyFont="1" applyAlignment="1">
      <alignment wrapText="1"/>
    </xf>
    <xf numFmtId="49" fontId="95" fillId="0" borderId="86" xfId="0" applyNumberFormat="1" applyFont="1" applyBorder="1"/>
    <xf numFmtId="0" fontId="95" fillId="0" borderId="110" xfId="0" applyFont="1" applyBorder="1" applyAlignment="1">
      <alignment horizontal="center"/>
    </xf>
    <xf numFmtId="0" fontId="95" fillId="0" borderId="110" xfId="0" applyFont="1" applyBorder="1" applyAlignment="1">
      <alignment horizontal="left" vertical="center" wrapText="1"/>
    </xf>
    <xf numFmtId="167" fontId="95" fillId="15" borderId="175" xfId="23" applyNumberFormat="1" applyFont="1" applyFill="1" applyBorder="1" applyProtection="1">
      <protection locked="0"/>
    </xf>
    <xf numFmtId="49" fontId="92" fillId="11" borderId="110" xfId="0" applyNumberFormat="1" applyFont="1" applyFill="1" applyBorder="1"/>
    <xf numFmtId="0" fontId="92" fillId="11" borderId="110" xfId="0" applyFont="1" applyFill="1" applyBorder="1" applyAlignment="1">
      <alignment horizontal="center"/>
    </xf>
    <xf numFmtId="167" fontId="92" fillId="11" borderId="175" xfId="23" applyNumberFormat="1" applyFont="1" applyFill="1" applyBorder="1" applyProtection="1">
      <protection locked="0"/>
    </xf>
    <xf numFmtId="3" fontId="52" fillId="4" borderId="8" xfId="3" applyNumberFormat="1" applyFont="1" applyFill="1" applyBorder="1"/>
    <xf numFmtId="0" fontId="111" fillId="0" borderId="160" xfId="0" applyFont="1" applyBorder="1"/>
    <xf numFmtId="0" fontId="100" fillId="86" borderId="46" xfId="22" applyNumberFormat="1" applyFont="1" applyFill="1" applyBorder="1" applyAlignment="1">
      <alignment wrapText="1"/>
    </xf>
    <xf numFmtId="0" fontId="83" fillId="17" borderId="201" xfId="22" applyNumberFormat="1" applyFont="1" applyFill="1" applyBorder="1" applyAlignment="1">
      <alignment wrapText="1"/>
    </xf>
    <xf numFmtId="0" fontId="100" fillId="86" borderId="201" xfId="22" applyNumberFormat="1" applyFont="1" applyFill="1" applyBorder="1" applyAlignment="1">
      <alignment wrapText="1"/>
    </xf>
    <xf numFmtId="0" fontId="100" fillId="86" borderId="56" xfId="249" applyFont="1" applyFill="1" applyBorder="1" applyAlignment="1">
      <alignment horizontal="left" vertical="center" wrapText="1"/>
    </xf>
    <xf numFmtId="0" fontId="100" fillId="86" borderId="46" xfId="249" applyFont="1" applyFill="1" applyBorder="1" applyAlignment="1">
      <alignment horizontal="left" vertical="center" wrapText="1"/>
    </xf>
    <xf numFmtId="167" fontId="0" fillId="0" borderId="0" xfId="1" applyNumberFormat="1" applyFont="1" applyAlignment="1">
      <alignment horizontal="right"/>
    </xf>
    <xf numFmtId="167" fontId="83" fillId="17" borderId="102" xfId="19" applyNumberFormat="1" applyFont="1" applyFill="1" applyBorder="1" applyProtection="1">
      <protection locked="0"/>
    </xf>
    <xf numFmtId="3" fontId="83" fillId="17" borderId="135" xfId="19" applyNumberFormat="1" applyFont="1" applyFill="1" applyBorder="1" applyProtection="1">
      <protection locked="0"/>
    </xf>
    <xf numFmtId="167" fontId="83" fillId="17" borderId="175" xfId="1" applyNumberFormat="1" applyFont="1" applyFill="1" applyBorder="1" applyProtection="1"/>
    <xf numFmtId="167" fontId="83" fillId="17" borderId="67" xfId="19" applyNumberFormat="1" applyFont="1" applyFill="1" applyBorder="1" applyProtection="1">
      <protection locked="0"/>
    </xf>
    <xf numFmtId="167" fontId="83" fillId="17" borderId="145" xfId="1" applyNumberFormat="1" applyFont="1" applyFill="1" applyBorder="1" applyProtection="1">
      <protection locked="0"/>
    </xf>
    <xf numFmtId="167" fontId="86" fillId="17" borderId="145" xfId="19" applyNumberFormat="1" applyFont="1" applyFill="1" applyBorder="1" applyProtection="1">
      <protection locked="0"/>
    </xf>
    <xf numFmtId="167" fontId="83" fillId="17" borderId="173" xfId="19" applyNumberFormat="1" applyFont="1" applyFill="1" applyBorder="1" applyAlignment="1">
      <alignment vertical="top"/>
    </xf>
    <xf numFmtId="167" fontId="83" fillId="17" borderId="86" xfId="19" applyNumberFormat="1" applyFont="1" applyFill="1" applyBorder="1"/>
    <xf numFmtId="167" fontId="92" fillId="17" borderId="173" xfId="23" applyNumberFormat="1" applyFont="1" applyFill="1" applyBorder="1" applyProtection="1">
      <protection locked="0"/>
    </xf>
    <xf numFmtId="167" fontId="83" fillId="17" borderId="173" xfId="23" applyNumberFormat="1" applyFont="1" applyFill="1" applyBorder="1" applyAlignment="1" applyProtection="1">
      <alignment horizontal="right"/>
      <protection locked="0"/>
    </xf>
    <xf numFmtId="167" fontId="83" fillId="17" borderId="173" xfId="23" applyNumberFormat="1" applyFont="1" applyFill="1" applyBorder="1" applyAlignment="1" applyProtection="1">
      <protection locked="0"/>
    </xf>
    <xf numFmtId="167" fontId="204" fillId="11" borderId="201" xfId="23" applyNumberFormat="1" applyFont="1" applyFill="1" applyBorder="1" applyProtection="1">
      <protection locked="0"/>
    </xf>
    <xf numFmtId="167" fontId="83" fillId="11" borderId="201" xfId="23" applyNumberFormat="1" applyFont="1" applyFill="1" applyBorder="1" applyProtection="1">
      <protection locked="0"/>
    </xf>
    <xf numFmtId="167" fontId="87" fillId="11" borderId="201" xfId="23" applyNumberFormat="1" applyFont="1" applyFill="1" applyBorder="1" applyProtection="1">
      <protection locked="0"/>
    </xf>
    <xf numFmtId="167" fontId="83" fillId="14" borderId="201" xfId="23" applyNumberFormat="1" applyFont="1" applyFill="1" applyBorder="1" applyProtection="1">
      <protection locked="0"/>
    </xf>
    <xf numFmtId="0" fontId="95" fillId="0" borderId="89" xfId="0" applyFont="1" applyBorder="1" applyAlignment="1">
      <alignment horizontal="left" vertical="center" wrapText="1"/>
    </xf>
    <xf numFmtId="167" fontId="95" fillId="15" borderId="176" xfId="24" applyNumberFormat="1" applyFont="1" applyFill="1" applyBorder="1" applyAlignment="1" applyProtection="1">
      <alignment horizontal="center"/>
      <protection locked="0"/>
    </xf>
    <xf numFmtId="43" fontId="247" fillId="15" borderId="176" xfId="24" applyFont="1" applyFill="1" applyBorder="1" applyProtection="1">
      <protection locked="0"/>
    </xf>
    <xf numFmtId="43" fontId="247" fillId="11" borderId="152" xfId="24" applyFont="1" applyFill="1" applyBorder="1" applyAlignment="1" applyProtection="1">
      <alignment horizontal="center"/>
      <protection locked="0"/>
    </xf>
    <xf numFmtId="167" fontId="92" fillId="11" borderId="151" xfId="24" applyNumberFormat="1" applyFont="1" applyFill="1" applyBorder="1" applyProtection="1">
      <protection locked="0"/>
    </xf>
    <xf numFmtId="167" fontId="126" fillId="12" borderId="0" xfId="0" applyNumberFormat="1" applyFont="1" applyFill="1"/>
    <xf numFmtId="167" fontId="126" fillId="13" borderId="0" xfId="0" applyNumberFormat="1" applyFont="1" applyFill="1"/>
    <xf numFmtId="167" fontId="126" fillId="80" borderId="0" xfId="0" applyNumberFormat="1" applyFont="1" applyFill="1"/>
    <xf numFmtId="0" fontId="0" fillId="6" borderId="209" xfId="0" applyFill="1" applyBorder="1"/>
    <xf numFmtId="0" fontId="0" fillId="6" borderId="210" xfId="0" applyFill="1" applyBorder="1"/>
    <xf numFmtId="0" fontId="0" fillId="6" borderId="188" xfId="0" applyFill="1" applyBorder="1"/>
    <xf numFmtId="0" fontId="390" fillId="6" borderId="196" xfId="0" applyFont="1" applyFill="1" applyBorder="1" applyAlignment="1">
      <alignment horizontal="right"/>
    </xf>
    <xf numFmtId="167" fontId="390" fillId="0" borderId="197" xfId="1" applyNumberFormat="1" applyFont="1" applyBorder="1"/>
    <xf numFmtId="0" fontId="390" fillId="0" borderId="0" xfId="0" applyFont="1"/>
    <xf numFmtId="167" fontId="390" fillId="0" borderId="156" xfId="1" applyNumberFormat="1" applyFont="1" applyBorder="1"/>
    <xf numFmtId="0" fontId="190" fillId="0" borderId="0" xfId="0" applyFont="1" applyAlignment="1">
      <alignment horizontal="right"/>
    </xf>
    <xf numFmtId="167" fontId="119" fillId="0" borderId="0" xfId="1" applyNumberFormat="1" applyFont="1" applyFill="1" applyBorder="1"/>
    <xf numFmtId="167" fontId="119" fillId="0" borderId="0" xfId="0" applyNumberFormat="1" applyFont="1" applyAlignment="1">
      <alignment horizontal="center" wrapText="1"/>
    </xf>
    <xf numFmtId="167" fontId="115" fillId="17" borderId="175" xfId="19" applyNumberFormat="1" applyFont="1" applyFill="1" applyBorder="1" applyProtection="1">
      <protection locked="0"/>
    </xf>
    <xf numFmtId="167" fontId="83" fillId="11" borderId="201" xfId="23" applyNumberFormat="1" applyFont="1" applyFill="1" applyBorder="1" applyAlignment="1" applyProtection="1">
      <alignment horizontal="right"/>
      <protection locked="0"/>
    </xf>
    <xf numFmtId="174" fontId="382" fillId="0" borderId="0" xfId="1" applyNumberFormat="1" applyFont="1" applyBorder="1"/>
    <xf numFmtId="0" fontId="274" fillId="0" borderId="0" xfId="0" applyFont="1" applyAlignment="1">
      <alignment horizontal="right"/>
    </xf>
    <xf numFmtId="0" fontId="81" fillId="0" borderId="0" xfId="0" applyFont="1" applyAlignment="1">
      <alignment horizontal="right"/>
    </xf>
    <xf numFmtId="0" fontId="81" fillId="0" borderId="153" xfId="0" applyFont="1" applyBorder="1" applyAlignment="1">
      <alignment horizontal="right"/>
    </xf>
    <xf numFmtId="174" fontId="75" fillId="0" borderId="153" xfId="1" applyNumberFormat="1" applyFont="1" applyFill="1" applyBorder="1" applyAlignment="1">
      <alignment horizontal="right"/>
    </xf>
    <xf numFmtId="0" fontId="84" fillId="0" borderId="153" xfId="0" applyFont="1" applyBorder="1" applyAlignment="1">
      <alignment horizontal="right"/>
    </xf>
    <xf numFmtId="180" fontId="268" fillId="25" borderId="0" xfId="1" applyNumberFormat="1" applyFont="1" applyFill="1" applyBorder="1"/>
    <xf numFmtId="0" fontId="89" fillId="11" borderId="201" xfId="0" applyFont="1" applyFill="1" applyBorder="1"/>
    <xf numFmtId="167" fontId="83" fillId="11" borderId="201" xfId="22" applyNumberFormat="1" applyFont="1" applyFill="1" applyBorder="1" applyProtection="1">
      <protection locked="0"/>
    </xf>
    <xf numFmtId="167" fontId="87" fillId="11" borderId="201" xfId="22" applyNumberFormat="1" applyFont="1" applyFill="1" applyBorder="1" applyProtection="1">
      <protection locked="0"/>
    </xf>
    <xf numFmtId="167" fontId="86" fillId="14" borderId="201" xfId="22" applyNumberFormat="1" applyFont="1" applyFill="1" applyBorder="1" applyProtection="1">
      <protection locked="0"/>
    </xf>
    <xf numFmtId="167" fontId="86" fillId="11" borderId="201" xfId="22" applyNumberFormat="1" applyFont="1" applyFill="1" applyBorder="1" applyProtection="1">
      <protection locked="0"/>
    </xf>
    <xf numFmtId="0" fontId="87" fillId="13" borderId="201" xfId="0" applyFont="1" applyFill="1" applyBorder="1" applyAlignment="1">
      <alignment horizontal="right" vertical="center" wrapText="1"/>
    </xf>
    <xf numFmtId="174" fontId="230" fillId="19" borderId="0" xfId="1" applyNumberFormat="1" applyFont="1" applyFill="1" applyBorder="1"/>
    <xf numFmtId="0" fontId="63" fillId="19" borderId="0" xfId="0" applyFont="1" applyFill="1" applyAlignment="1">
      <alignment horizontal="right"/>
    </xf>
    <xf numFmtId="168" fontId="0" fillId="0" borderId="0" xfId="2" applyNumberFormat="1" applyFont="1" applyBorder="1"/>
    <xf numFmtId="168" fontId="0" fillId="0" borderId="0" xfId="0" applyNumberFormat="1"/>
    <xf numFmtId="167" fontId="111" fillId="34" borderId="156" xfId="1" applyNumberFormat="1" applyFont="1" applyFill="1" applyBorder="1"/>
    <xf numFmtId="167" fontId="63" fillId="0" borderId="0" xfId="1" applyNumberFormat="1" applyFont="1" applyBorder="1"/>
    <xf numFmtId="180" fontId="126" fillId="72" borderId="0" xfId="1" applyNumberFormat="1" applyFont="1" applyFill="1" applyBorder="1"/>
    <xf numFmtId="0" fontId="52" fillId="0" borderId="201" xfId="43" applyFont="1" applyBorder="1" applyAlignment="1">
      <alignment horizontal="center" vertical="center"/>
    </xf>
    <xf numFmtId="0" fontId="52" fillId="0" borderId="201" xfId="43" applyFont="1" applyBorder="1" applyAlignment="1">
      <alignment horizontal="center" vertical="center" wrapText="1"/>
    </xf>
    <xf numFmtId="0" fontId="56" fillId="0" borderId="201" xfId="7" applyFont="1" applyBorder="1" applyAlignment="1">
      <alignment horizontal="center" vertical="center" wrapText="1"/>
    </xf>
    <xf numFmtId="0" fontId="55" fillId="0" borderId="201" xfId="7" applyFont="1" applyBorder="1" applyAlignment="1">
      <alignment horizontal="center" vertical="center" wrapText="1"/>
    </xf>
    <xf numFmtId="0" fontId="52" fillId="0" borderId="201" xfId="7" applyFont="1" applyBorder="1" applyAlignment="1">
      <alignment horizontal="center" vertical="center" wrapText="1"/>
    </xf>
    <xf numFmtId="43" fontId="52" fillId="0" borderId="201" xfId="1" applyFont="1" applyBorder="1" applyAlignment="1">
      <alignment horizontal="center" vertical="center" wrapText="1"/>
    </xf>
    <xf numFmtId="49" fontId="144" fillId="6" borderId="201" xfId="43" applyNumberFormat="1" applyFont="1" applyFill="1" applyBorder="1" applyAlignment="1">
      <alignment horizontal="left" indent="1"/>
    </xf>
    <xf numFmtId="49" fontId="144" fillId="6" borderId="201" xfId="43" applyNumberFormat="1" applyFont="1" applyFill="1" applyBorder="1" applyAlignment="1">
      <alignment horizontal="right" wrapText="1" indent="2"/>
    </xf>
    <xf numFmtId="3" fontId="144" fillId="6" borderId="201" xfId="3" applyNumberFormat="1" applyFont="1" applyFill="1" applyBorder="1"/>
    <xf numFmtId="3" fontId="55" fillId="6" borderId="201" xfId="3" applyNumberFormat="1" applyFont="1" applyFill="1" applyBorder="1"/>
    <xf numFmtId="3" fontId="144" fillId="6" borderId="201" xfId="43" applyNumberFormat="1" applyFont="1" applyFill="1" applyBorder="1"/>
    <xf numFmtId="9" fontId="144" fillId="6" borderId="201" xfId="2" applyFont="1" applyFill="1" applyBorder="1" applyAlignment="1">
      <alignment horizontal="right"/>
    </xf>
    <xf numFmtId="49" fontId="154" fillId="6" borderId="201" xfId="43" applyNumberFormat="1" applyFont="1" applyFill="1" applyBorder="1" applyAlignment="1">
      <alignment horizontal="left" indent="1"/>
    </xf>
    <xf numFmtId="49" fontId="154" fillId="6" borderId="201" xfId="43" applyNumberFormat="1" applyFont="1" applyFill="1" applyBorder="1" applyAlignment="1">
      <alignment horizontal="right" wrapText="1" indent="2"/>
    </xf>
    <xf numFmtId="3" fontId="154" fillId="6" borderId="201" xfId="3" applyNumberFormat="1" applyFont="1" applyFill="1" applyBorder="1"/>
    <xf numFmtId="3" fontId="49" fillId="6" borderId="201" xfId="3" applyNumberFormat="1" applyFont="1" applyFill="1" applyBorder="1"/>
    <xf numFmtId="3" fontId="154" fillId="6" borderId="201" xfId="43" applyNumberFormat="1" applyFont="1" applyFill="1" applyBorder="1"/>
    <xf numFmtId="9" fontId="154" fillId="6" borderId="201" xfId="2" applyFont="1" applyFill="1" applyBorder="1" applyAlignment="1">
      <alignment horizontal="right"/>
    </xf>
    <xf numFmtId="49" fontId="196" fillId="6" borderId="201" xfId="43" applyNumberFormat="1" applyFont="1" applyFill="1" applyBorder="1" applyAlignment="1">
      <alignment horizontal="left" indent="1"/>
    </xf>
    <xf numFmtId="49" fontId="196" fillId="6" borderId="201" xfId="43" applyNumberFormat="1" applyFont="1" applyFill="1" applyBorder="1" applyAlignment="1">
      <alignment horizontal="right" wrapText="1" indent="2"/>
    </xf>
    <xf numFmtId="3" fontId="196" fillId="6" borderId="201" xfId="3" applyNumberFormat="1" applyFont="1" applyFill="1" applyBorder="1"/>
    <xf numFmtId="3" fontId="148" fillId="6" borderId="201" xfId="3" applyNumberFormat="1" applyFont="1" applyFill="1" applyBorder="1"/>
    <xf numFmtId="3" fontId="196" fillId="6" borderId="201" xfId="43" applyNumberFormat="1" applyFont="1" applyFill="1" applyBorder="1"/>
    <xf numFmtId="9" fontId="196" fillId="6" borderId="201" xfId="2" applyFont="1" applyFill="1" applyBorder="1" applyAlignment="1">
      <alignment horizontal="right"/>
    </xf>
    <xf numFmtId="49" fontId="62" fillId="0" borderId="0" xfId="0" applyNumberFormat="1" applyFont="1"/>
    <xf numFmtId="0" fontId="286" fillId="0" borderId="0" xfId="0" applyFont="1"/>
    <xf numFmtId="0" fontId="47" fillId="0" borderId="0" xfId="0" quotePrefix="1" applyFont="1"/>
    <xf numFmtId="167" fontId="49" fillId="0" borderId="0" xfId="1" quotePrefix="1" applyNumberFormat="1" applyFont="1"/>
    <xf numFmtId="43" fontId="47" fillId="0" borderId="0" xfId="1" applyFont="1" applyAlignment="1">
      <alignment wrapText="1"/>
    </xf>
    <xf numFmtId="0" fontId="62" fillId="0" borderId="0" xfId="0" applyFont="1" applyAlignment="1">
      <alignment wrapText="1"/>
    </xf>
    <xf numFmtId="0" fontId="62" fillId="0" borderId="201" xfId="0" applyFont="1" applyBorder="1" applyAlignment="1">
      <alignment horizontal="center"/>
    </xf>
    <xf numFmtId="0" fontId="62" fillId="0" borderId="201" xfId="0" applyFont="1" applyBorder="1"/>
    <xf numFmtId="43" fontId="391" fillId="0" borderId="0" xfId="1" applyFont="1" applyAlignment="1">
      <alignment wrapText="1"/>
    </xf>
    <xf numFmtId="43" fontId="47" fillId="0" borderId="0" xfId="1" applyFont="1" applyAlignment="1">
      <alignment horizontal="left" wrapText="1"/>
    </xf>
    <xf numFmtId="43" fontId="49" fillId="0" borderId="0" xfId="1" applyFont="1" applyAlignment="1">
      <alignment wrapText="1"/>
    </xf>
    <xf numFmtId="0" fontId="286" fillId="0" borderId="201" xfId="0" applyFont="1" applyBorder="1" applyAlignment="1">
      <alignment horizontal="right"/>
    </xf>
    <xf numFmtId="49" fontId="52" fillId="5" borderId="20" xfId="43" applyNumberFormat="1" applyFont="1" applyFill="1" applyBorder="1" applyAlignment="1">
      <alignment horizontal="center"/>
    </xf>
    <xf numFmtId="49" fontId="144" fillId="6" borderId="10" xfId="43" applyNumberFormat="1" applyFont="1" applyFill="1" applyBorder="1" applyAlignment="1">
      <alignment horizontal="center"/>
    </xf>
    <xf numFmtId="49" fontId="144" fillId="6" borderId="53" xfId="43" applyNumberFormat="1" applyFont="1" applyFill="1" applyBorder="1" applyAlignment="1">
      <alignment horizontal="center"/>
    </xf>
    <xf numFmtId="49" fontId="154" fillId="6" borderId="93" xfId="43" applyNumberFormat="1" applyFont="1" applyFill="1" applyBorder="1" applyAlignment="1">
      <alignment horizontal="center"/>
    </xf>
    <xf numFmtId="49" fontId="154" fillId="6" borderId="121" xfId="43" applyNumberFormat="1" applyFont="1" applyFill="1" applyBorder="1" applyAlignment="1">
      <alignment horizontal="center"/>
    </xf>
    <xf numFmtId="49" fontId="52" fillId="5" borderId="10" xfId="43" applyNumberFormat="1" applyFont="1" applyFill="1" applyBorder="1" applyAlignment="1">
      <alignment horizontal="center"/>
    </xf>
    <xf numFmtId="49" fontId="47" fillId="6" borderId="10" xfId="43" applyNumberFormat="1" applyFont="1" applyFill="1" applyBorder="1" applyAlignment="1">
      <alignment horizontal="center"/>
    </xf>
    <xf numFmtId="49" fontId="47" fillId="6" borderId="53" xfId="43" applyNumberFormat="1" applyFont="1" applyFill="1" applyBorder="1" applyAlignment="1">
      <alignment horizontal="center"/>
    </xf>
    <xf numFmtId="49" fontId="49" fillId="6" borderId="165" xfId="43" applyNumberFormat="1" applyFont="1" applyFill="1" applyBorder="1" applyAlignment="1">
      <alignment horizontal="center"/>
    </xf>
    <xf numFmtId="49" fontId="221" fillId="6" borderId="10" xfId="43" applyNumberFormat="1" applyFont="1" applyFill="1" applyBorder="1" applyAlignment="1">
      <alignment horizontal="center"/>
    </xf>
    <xf numFmtId="49" fontId="60" fillId="6" borderId="125" xfId="43" applyNumberFormat="1" applyFont="1" applyFill="1" applyBorder="1" applyAlignment="1">
      <alignment horizontal="center"/>
    </xf>
    <xf numFmtId="49" fontId="144" fillId="6" borderId="165" xfId="43" applyNumberFormat="1" applyFont="1" applyFill="1" applyBorder="1" applyAlignment="1">
      <alignment horizontal="center"/>
    </xf>
    <xf numFmtId="49" fontId="221" fillId="6" borderId="53" xfId="43" applyNumberFormat="1" applyFont="1" applyFill="1" applyBorder="1" applyAlignment="1">
      <alignment horizontal="center"/>
    </xf>
    <xf numFmtId="49" fontId="154" fillId="6" borderId="10" xfId="43" applyNumberFormat="1" applyFont="1" applyFill="1" applyBorder="1" applyAlignment="1">
      <alignment horizontal="center"/>
    </xf>
    <xf numFmtId="49" fontId="154" fillId="6" borderId="53" xfId="43" applyNumberFormat="1" applyFont="1" applyFill="1" applyBorder="1" applyAlignment="1">
      <alignment horizontal="center"/>
    </xf>
    <xf numFmtId="49" fontId="192" fillId="6" borderId="53" xfId="43" applyNumberFormat="1" applyFont="1" applyFill="1" applyBorder="1" applyAlignment="1">
      <alignment horizontal="center"/>
    </xf>
    <xf numFmtId="49" fontId="222" fillId="6" borderId="10" xfId="43" applyNumberFormat="1" applyFont="1" applyFill="1" applyBorder="1" applyAlignment="1">
      <alignment horizontal="center"/>
    </xf>
    <xf numFmtId="0" fontId="62" fillId="0" borderId="159" xfId="0" applyFont="1" applyBorder="1"/>
    <xf numFmtId="167" fontId="63" fillId="14" borderId="215" xfId="1" applyNumberFormat="1" applyFont="1" applyFill="1" applyBorder="1" applyAlignment="1">
      <alignment horizontal="center" wrapText="1"/>
    </xf>
    <xf numFmtId="167" fontId="111" fillId="0" borderId="215" xfId="0" applyNumberFormat="1" applyFont="1" applyBorder="1" applyAlignment="1">
      <alignment horizontal="center" wrapText="1"/>
    </xf>
    <xf numFmtId="167" fontId="126" fillId="32" borderId="215" xfId="0" applyNumberFormat="1" applyFont="1" applyFill="1" applyBorder="1" applyAlignment="1">
      <alignment horizontal="center" wrapText="1"/>
    </xf>
    <xf numFmtId="0" fontId="190" fillId="6" borderId="218" xfId="0" applyFont="1" applyFill="1" applyBorder="1" applyAlignment="1">
      <alignment horizontal="right"/>
    </xf>
    <xf numFmtId="167" fontId="119" fillId="0" borderId="219" xfId="1" applyNumberFormat="1" applyFont="1" applyBorder="1"/>
    <xf numFmtId="167" fontId="119" fillId="0" borderId="202" xfId="0" applyNumberFormat="1" applyFont="1" applyBorder="1" applyAlignment="1">
      <alignment horizontal="center" wrapText="1"/>
    </xf>
    <xf numFmtId="167" fontId="119" fillId="0" borderId="220" xfId="0" applyNumberFormat="1" applyFont="1" applyBorder="1" applyAlignment="1">
      <alignment horizontal="center" wrapText="1"/>
    </xf>
    <xf numFmtId="49" fontId="62" fillId="0" borderId="159" xfId="0" applyNumberFormat="1" applyFont="1" applyBorder="1"/>
    <xf numFmtId="0" fontId="63" fillId="0" borderId="118" xfId="0" applyFont="1" applyBorder="1" applyAlignment="1">
      <alignment horizontal="right"/>
    </xf>
    <xf numFmtId="174" fontId="111" fillId="0" borderId="38" xfId="1" applyNumberFormat="1" applyFont="1" applyBorder="1"/>
    <xf numFmtId="0" fontId="63" fillId="78" borderId="118" xfId="0" applyFont="1" applyFill="1" applyBorder="1" applyAlignment="1">
      <alignment horizontal="right"/>
    </xf>
    <xf numFmtId="49" fontId="126" fillId="78" borderId="38" xfId="1" applyNumberFormat="1" applyFont="1" applyFill="1" applyBorder="1" applyAlignment="1">
      <alignment horizontal="right"/>
    </xf>
    <xf numFmtId="174" fontId="111" fillId="12" borderId="38" xfId="1" applyNumberFormat="1" applyFont="1" applyFill="1" applyBorder="1"/>
    <xf numFmtId="0" fontId="63" fillId="19" borderId="118" xfId="0" applyFont="1" applyFill="1" applyBorder="1" applyAlignment="1">
      <alignment horizontal="right"/>
    </xf>
    <xf numFmtId="49" fontId="230" fillId="19" borderId="38" xfId="1" applyNumberFormat="1" applyFont="1" applyFill="1" applyBorder="1" applyAlignment="1">
      <alignment horizontal="right"/>
    </xf>
    <xf numFmtId="0" fontId="63" fillId="0" borderId="118" xfId="0" applyFont="1" applyBorder="1"/>
    <xf numFmtId="174" fontId="104" fillId="0" borderId="38" xfId="1" applyNumberFormat="1" applyFont="1" applyBorder="1"/>
    <xf numFmtId="0" fontId="63" fillId="19" borderId="118" xfId="0" applyFont="1" applyFill="1" applyBorder="1"/>
    <xf numFmtId="0" fontId="63" fillId="24" borderId="118" xfId="0" applyFont="1" applyFill="1" applyBorder="1" applyAlignment="1">
      <alignment horizontal="right"/>
    </xf>
    <xf numFmtId="0" fontId="274" fillId="0" borderId="118" xfId="0" applyFont="1" applyBorder="1" applyAlignment="1">
      <alignment horizontal="right"/>
    </xf>
    <xf numFmtId="174" fontId="382" fillId="0" borderId="38" xfId="1" applyNumberFormat="1" applyFont="1" applyBorder="1"/>
    <xf numFmtId="0" fontId="382" fillId="0" borderId="118" xfId="0" applyFont="1" applyBorder="1" applyAlignment="1">
      <alignment horizontal="right"/>
    </xf>
    <xf numFmtId="49" fontId="381" fillId="25" borderId="38" xfId="1" applyNumberFormat="1" applyFont="1" applyFill="1" applyBorder="1" applyAlignment="1">
      <alignment horizontal="right"/>
    </xf>
    <xf numFmtId="49" fontId="111" fillId="0" borderId="38" xfId="1" applyNumberFormat="1" applyFont="1" applyBorder="1" applyAlignment="1">
      <alignment horizontal="right"/>
    </xf>
    <xf numFmtId="0" fontId="271" fillId="72" borderId="172" xfId="0" applyFont="1" applyFill="1" applyBorder="1" applyAlignment="1">
      <alignment horizontal="right"/>
    </xf>
    <xf numFmtId="49" fontId="381" fillId="25" borderId="221" xfId="1" applyNumberFormat="1" applyFont="1" applyFill="1" applyBorder="1"/>
    <xf numFmtId="3" fontId="111" fillId="0" borderId="171" xfId="0" applyNumberFormat="1" applyFont="1" applyBorder="1"/>
    <xf numFmtId="3" fontId="111" fillId="0" borderId="171" xfId="0" applyNumberFormat="1" applyFont="1" applyBorder="1" applyAlignment="1">
      <alignment horizontal="right"/>
    </xf>
    <xf numFmtId="174" fontId="126" fillId="78" borderId="171" xfId="1" applyNumberFormat="1" applyFont="1" applyFill="1" applyBorder="1"/>
    <xf numFmtId="174" fontId="0" fillId="0" borderId="171" xfId="1" applyNumberFormat="1" applyFont="1" applyBorder="1"/>
    <xf numFmtId="174" fontId="0" fillId="19" borderId="171" xfId="1" applyNumberFormat="1" applyFont="1" applyFill="1" applyBorder="1"/>
    <xf numFmtId="0" fontId="131" fillId="0" borderId="171" xfId="0" applyFont="1" applyBorder="1"/>
    <xf numFmtId="0" fontId="257" fillId="72" borderId="152" xfId="0" applyFont="1" applyFill="1" applyBorder="1"/>
    <xf numFmtId="0" fontId="63" fillId="0" borderId="201" xfId="0" applyFont="1" applyBorder="1" applyAlignment="1">
      <alignment horizontal="right"/>
    </xf>
    <xf numFmtId="0" fontId="63" fillId="0" borderId="208" xfId="0" applyFont="1" applyBorder="1" applyAlignment="1">
      <alignment horizontal="right"/>
    </xf>
    <xf numFmtId="49" fontId="160" fillId="0" borderId="0" xfId="0" applyNumberFormat="1" applyFont="1"/>
    <xf numFmtId="0" fontId="0" fillId="0" borderId="171" xfId="0" applyBorder="1" applyAlignment="1">
      <alignment horizontal="right"/>
    </xf>
    <xf numFmtId="0" fontId="0" fillId="19" borderId="171" xfId="0" applyFill="1" applyBorder="1"/>
    <xf numFmtId="0" fontId="0" fillId="0" borderId="118" xfId="0" applyBorder="1" applyAlignment="1">
      <alignment horizontal="right"/>
    </xf>
    <xf numFmtId="0" fontId="0" fillId="24" borderId="171" xfId="0" applyFill="1" applyBorder="1" applyAlignment="1">
      <alignment horizontal="right"/>
    </xf>
    <xf numFmtId="0" fontId="0" fillId="6" borderId="214" xfId="0" applyFill="1" applyBorder="1"/>
    <xf numFmtId="0" fontId="0" fillId="6" borderId="216" xfId="0" applyFill="1" applyBorder="1" applyAlignment="1">
      <alignment horizontal="right"/>
    </xf>
    <xf numFmtId="0" fontId="0" fillId="0" borderId="38" xfId="0" applyBorder="1"/>
    <xf numFmtId="0" fontId="289" fillId="6" borderId="216" xfId="0" applyFont="1" applyFill="1" applyBorder="1" applyAlignment="1">
      <alignment horizontal="right"/>
    </xf>
    <xf numFmtId="167" fontId="289" fillId="0" borderId="197" xfId="1" applyNumberFormat="1" applyFont="1" applyBorder="1"/>
    <xf numFmtId="167" fontId="289" fillId="0" borderId="156" xfId="1" applyNumberFormat="1" applyFont="1" applyBorder="1"/>
    <xf numFmtId="167" fontId="289" fillId="0" borderId="217" xfId="1" applyNumberFormat="1" applyFont="1" applyBorder="1"/>
    <xf numFmtId="0" fontId="111" fillId="0" borderId="157" xfId="0" applyFont="1" applyBorder="1"/>
    <xf numFmtId="0" fontId="62" fillId="0" borderId="0" xfId="0" applyFont="1" applyAlignment="1">
      <alignment horizontal="left"/>
    </xf>
    <xf numFmtId="0" fontId="0" fillId="0" borderId="0" xfId="0" applyAlignment="1">
      <alignment horizontal="left" indent="2"/>
    </xf>
    <xf numFmtId="0" fontId="381" fillId="0" borderId="0" xfId="0" applyFont="1"/>
    <xf numFmtId="0" fontId="0" fillId="17" borderId="223" xfId="0" applyFill="1" applyBorder="1"/>
    <xf numFmtId="0" fontId="111" fillId="17" borderId="223" xfId="0" applyFont="1" applyFill="1" applyBorder="1"/>
    <xf numFmtId="0" fontId="100" fillId="17" borderId="224" xfId="22" applyNumberFormat="1" applyFont="1" applyFill="1" applyBorder="1" applyAlignment="1">
      <alignment wrapText="1"/>
    </xf>
    <xf numFmtId="167" fontId="214" fillId="17" borderId="223" xfId="1" applyNumberFormat="1" applyFont="1" applyFill="1" applyBorder="1"/>
    <xf numFmtId="167" fontId="104" fillId="17" borderId="225" xfId="1" applyNumberFormat="1" applyFont="1" applyFill="1" applyBorder="1"/>
    <xf numFmtId="167" fontId="104" fillId="17" borderId="223" xfId="1" applyNumberFormat="1" applyFont="1" applyFill="1" applyBorder="1"/>
    <xf numFmtId="167" fontId="104" fillId="17" borderId="222" xfId="1" applyNumberFormat="1" applyFont="1" applyFill="1" applyBorder="1"/>
    <xf numFmtId="0" fontId="144" fillId="0" borderId="3" xfId="7" applyFont="1" applyBorder="1" applyAlignment="1">
      <alignment horizontal="center" vertical="center" wrapText="1"/>
    </xf>
    <xf numFmtId="3" fontId="144" fillId="0" borderId="17" xfId="3" applyNumberFormat="1" applyFont="1" applyBorder="1"/>
    <xf numFmtId="0" fontId="82" fillId="11" borderId="201" xfId="0" applyFont="1" applyFill="1" applyBorder="1"/>
    <xf numFmtId="167" fontId="87" fillId="11" borderId="201" xfId="19" applyNumberFormat="1" applyFont="1" applyFill="1" applyBorder="1" applyProtection="1">
      <protection locked="0"/>
    </xf>
    <xf numFmtId="167" fontId="86" fillId="14" borderId="201" xfId="19" applyNumberFormat="1" applyFont="1" applyFill="1" applyBorder="1" applyProtection="1">
      <protection locked="0"/>
    </xf>
    <xf numFmtId="167" fontId="86" fillId="11" borderId="201" xfId="19" applyNumberFormat="1" applyFont="1" applyFill="1" applyBorder="1" applyProtection="1">
      <protection locked="0"/>
    </xf>
    <xf numFmtId="43" fontId="393" fillId="6" borderId="12" xfId="1" applyFont="1" applyFill="1" applyBorder="1"/>
    <xf numFmtId="167" fontId="111" fillId="0" borderId="156" xfId="1" applyNumberFormat="1" applyFont="1" applyBorder="1" applyAlignment="1">
      <alignment horizontal="center" wrapText="1"/>
    </xf>
    <xf numFmtId="0" fontId="83" fillId="11" borderId="226" xfId="0" applyFont="1" applyFill="1" applyBorder="1"/>
    <xf numFmtId="0" fontId="87" fillId="11" borderId="226" xfId="0" applyFont="1" applyFill="1" applyBorder="1" applyAlignment="1">
      <alignment horizontal="right" vertical="center" wrapText="1"/>
    </xf>
    <xf numFmtId="167" fontId="83" fillId="11" borderId="226" xfId="19" applyNumberFormat="1" applyFont="1" applyFill="1" applyBorder="1" applyProtection="1">
      <protection locked="0"/>
    </xf>
    <xf numFmtId="167" fontId="87" fillId="11" borderId="226" xfId="19" applyNumberFormat="1" applyFont="1" applyFill="1" applyBorder="1" applyProtection="1">
      <protection locked="0"/>
    </xf>
    <xf numFmtId="167" fontId="72" fillId="14" borderId="226" xfId="19" applyNumberFormat="1" applyFont="1" applyFill="1" applyBorder="1" applyProtection="1">
      <protection locked="0"/>
    </xf>
    <xf numFmtId="167" fontId="86" fillId="14" borderId="226" xfId="19" applyNumberFormat="1" applyFont="1" applyFill="1" applyBorder="1" applyProtection="1">
      <protection locked="0"/>
    </xf>
    <xf numFmtId="167" fontId="86" fillId="11" borderId="226" xfId="19" applyNumberFormat="1" applyFont="1" applyFill="1" applyBorder="1" applyProtection="1">
      <protection locked="0"/>
    </xf>
    <xf numFmtId="167" fontId="83" fillId="79" borderId="226" xfId="19" applyNumberFormat="1" applyFont="1" applyFill="1" applyBorder="1" applyProtection="1">
      <protection locked="0"/>
    </xf>
    <xf numFmtId="167" fontId="72" fillId="79" borderId="131" xfId="19" applyNumberFormat="1" applyFont="1" applyFill="1" applyBorder="1"/>
    <xf numFmtId="167" fontId="83" fillId="79" borderId="103" xfId="19" applyNumberFormat="1" applyFont="1" applyFill="1" applyBorder="1"/>
    <xf numFmtId="167" fontId="86" fillId="23" borderId="0" xfId="0" applyNumberFormat="1" applyFont="1" applyFill="1"/>
    <xf numFmtId="167" fontId="214" fillId="34" borderId="156" xfId="1" applyNumberFormat="1" applyFont="1" applyFill="1" applyBorder="1"/>
    <xf numFmtId="167" fontId="72" fillId="31" borderId="175" xfId="1" applyNumberFormat="1" applyFont="1" applyFill="1" applyBorder="1" applyAlignment="1" applyProtection="1">
      <alignment horizontal="center" vertical="center"/>
      <protection locked="0"/>
    </xf>
    <xf numFmtId="0" fontId="123" fillId="11" borderId="226" xfId="0" applyFont="1" applyFill="1" applyBorder="1" applyAlignment="1">
      <alignment horizontal="left" vertical="center" wrapText="1"/>
    </xf>
    <xf numFmtId="167" fontId="76" fillId="70" borderId="226" xfId="1" applyNumberFormat="1" applyFont="1" applyFill="1" applyBorder="1" applyAlignment="1" applyProtection="1">
      <alignment horizontal="center" vertical="center"/>
      <protection locked="0"/>
    </xf>
    <xf numFmtId="167" fontId="72" fillId="70" borderId="226" xfId="1" applyNumberFormat="1" applyFont="1" applyFill="1" applyBorder="1" applyAlignment="1" applyProtection="1">
      <alignment horizontal="center" vertical="center"/>
      <protection locked="0"/>
    </xf>
    <xf numFmtId="167" fontId="86" fillId="70" borderId="226" xfId="1" applyNumberFormat="1" applyFont="1" applyFill="1" applyBorder="1" applyAlignment="1" applyProtection="1">
      <alignment horizontal="center" vertical="center"/>
      <protection locked="0"/>
    </xf>
    <xf numFmtId="0" fontId="123" fillId="11" borderId="147" xfId="0" applyFont="1" applyFill="1" applyBorder="1" applyAlignment="1">
      <alignment horizontal="left" vertical="center" wrapText="1"/>
    </xf>
    <xf numFmtId="167" fontId="98" fillId="11" borderId="226" xfId="1" applyNumberFormat="1" applyFont="1" applyFill="1" applyBorder="1" applyAlignment="1" applyProtection="1">
      <alignment horizontal="center" vertical="center"/>
      <protection locked="0"/>
    </xf>
    <xf numFmtId="167" fontId="87" fillId="11" borderId="226" xfId="1" applyNumberFormat="1" applyFont="1" applyFill="1" applyBorder="1" applyAlignment="1" applyProtection="1">
      <alignment horizontal="center" vertical="center"/>
      <protection locked="0"/>
    </xf>
    <xf numFmtId="167" fontId="86" fillId="14" borderId="226" xfId="1" applyNumberFormat="1" applyFont="1" applyFill="1" applyBorder="1" applyProtection="1">
      <protection locked="0"/>
    </xf>
    <xf numFmtId="167" fontId="96" fillId="11" borderId="226" xfId="1" applyNumberFormat="1" applyFont="1" applyFill="1" applyBorder="1" applyAlignment="1" applyProtection="1">
      <alignment horizontal="center" vertical="center"/>
      <protection locked="0"/>
    </xf>
    <xf numFmtId="0" fontId="123" fillId="11" borderId="226" xfId="0" applyFont="1" applyFill="1" applyBorder="1"/>
    <xf numFmtId="0" fontId="123" fillId="11" borderId="226" xfId="0" applyFont="1" applyFill="1" applyBorder="1" applyAlignment="1">
      <alignment horizontal="center" vertical="center"/>
    </xf>
    <xf numFmtId="49" fontId="123" fillId="11" borderId="226" xfId="0" applyNumberFormat="1" applyFont="1" applyFill="1" applyBorder="1" applyAlignment="1">
      <alignment horizontal="center" vertical="center"/>
    </xf>
    <xf numFmtId="0" fontId="123" fillId="11" borderId="226" xfId="0" applyFont="1" applyFill="1" applyBorder="1" applyAlignment="1">
      <alignment horizontal="left" vertical="center"/>
    </xf>
    <xf numFmtId="167" fontId="394" fillId="11" borderId="226" xfId="1" applyNumberFormat="1" applyFont="1" applyFill="1" applyBorder="1" applyAlignment="1" applyProtection="1">
      <alignment horizontal="center" vertical="center"/>
      <protection locked="0"/>
    </xf>
    <xf numFmtId="167" fontId="123" fillId="11" borderId="226" xfId="1" applyNumberFormat="1" applyFont="1" applyFill="1" applyBorder="1" applyAlignment="1" applyProtection="1">
      <alignment horizontal="center" vertical="center"/>
      <protection locked="0"/>
    </xf>
    <xf numFmtId="167" fontId="123" fillId="14" borderId="226" xfId="1" applyNumberFormat="1" applyFont="1" applyFill="1" applyBorder="1" applyProtection="1">
      <protection locked="0"/>
    </xf>
    <xf numFmtId="167" fontId="84" fillId="11" borderId="226" xfId="1" applyNumberFormat="1" applyFont="1" applyFill="1" applyBorder="1" applyAlignment="1" applyProtection="1">
      <alignment horizontal="center" vertical="center"/>
      <protection locked="0"/>
    </xf>
    <xf numFmtId="167" fontId="111" fillId="34" borderId="160" xfId="1" applyNumberFormat="1" applyFont="1" applyFill="1" applyBorder="1"/>
    <xf numFmtId="0" fontId="111" fillId="27" borderId="156" xfId="0" applyFont="1" applyFill="1" applyBorder="1" applyAlignment="1">
      <alignment wrapText="1"/>
    </xf>
    <xf numFmtId="167" fontId="111" fillId="13" borderId="156" xfId="0" applyNumberFormat="1" applyFont="1" applyFill="1" applyBorder="1" applyAlignment="1">
      <alignment horizontal="center" wrapText="1"/>
    </xf>
    <xf numFmtId="0" fontId="0" fillId="0" borderId="223" xfId="0" applyBorder="1"/>
    <xf numFmtId="0" fontId="111" fillId="0" borderId="223" xfId="0" applyFont="1" applyBorder="1"/>
    <xf numFmtId="167" fontId="104" fillId="0" borderId="223" xfId="1" applyNumberFormat="1" applyFont="1" applyFill="1" applyBorder="1"/>
    <xf numFmtId="167" fontId="104" fillId="0" borderId="222" xfId="1" applyNumberFormat="1" applyFont="1" applyFill="1" applyBorder="1"/>
    <xf numFmtId="0" fontId="166" fillId="85" borderId="46" xfId="22" applyNumberFormat="1" applyFont="1" applyFill="1" applyBorder="1" applyAlignment="1">
      <alignment wrapText="1"/>
    </xf>
    <xf numFmtId="0" fontId="395" fillId="86" borderId="201" xfId="22" applyNumberFormat="1" applyFont="1" applyFill="1" applyBorder="1" applyAlignment="1">
      <alignment wrapText="1"/>
    </xf>
    <xf numFmtId="0" fontId="395" fillId="85" borderId="46" xfId="22" applyNumberFormat="1" applyFont="1" applyFill="1" applyBorder="1" applyAlignment="1">
      <alignment wrapText="1"/>
    </xf>
    <xf numFmtId="0" fontId="395" fillId="85" borderId="134" xfId="22" applyNumberFormat="1" applyFont="1" applyFill="1" applyBorder="1" applyAlignment="1">
      <alignment wrapText="1"/>
    </xf>
    <xf numFmtId="0" fontId="0" fillId="0" borderId="161" xfId="0" applyBorder="1" applyAlignment="1">
      <alignment wrapText="1"/>
    </xf>
    <xf numFmtId="167" fontId="111" fillId="0" borderId="153" xfId="1" applyNumberFormat="1" applyFont="1" applyFill="1" applyBorder="1"/>
    <xf numFmtId="167" fontId="111" fillId="0" borderId="202" xfId="1" applyNumberFormat="1" applyFont="1" applyFill="1" applyBorder="1"/>
    <xf numFmtId="167" fontId="104" fillId="0" borderId="202" xfId="1" applyNumberFormat="1" applyFont="1" applyBorder="1"/>
    <xf numFmtId="0" fontId="257" fillId="0" borderId="0" xfId="0" applyFont="1"/>
    <xf numFmtId="0" fontId="257" fillId="0" borderId="0" xfId="0" applyFont="1" applyAlignment="1">
      <alignment wrapText="1"/>
    </xf>
    <xf numFmtId="0" fontId="257" fillId="0" borderId="156" xfId="0" applyFont="1" applyBorder="1"/>
    <xf numFmtId="0" fontId="257" fillId="12" borderId="0" xfId="0" applyFont="1" applyFill="1"/>
    <xf numFmtId="49" fontId="60" fillId="6" borderId="58" xfId="43" applyNumberFormat="1" applyFont="1" applyFill="1" applyBorder="1" applyAlignment="1">
      <alignment horizontal="right" wrapText="1" indent="2"/>
    </xf>
    <xf numFmtId="3" fontId="52" fillId="5" borderId="52" xfId="43" applyNumberFormat="1" applyFont="1" applyFill="1" applyBorder="1"/>
    <xf numFmtId="0" fontId="397" fillId="0" borderId="0" xfId="83" applyFont="1"/>
    <xf numFmtId="0" fontId="49" fillId="0" borderId="0" xfId="43" applyFont="1" applyAlignment="1">
      <alignment wrapText="1"/>
    </xf>
    <xf numFmtId="0" fontId="49" fillId="0" borderId="112" xfId="43" applyFont="1" applyBorder="1" applyAlignment="1">
      <alignment horizontal="left" wrapText="1" indent="2"/>
    </xf>
    <xf numFmtId="49" fontId="49" fillId="4" borderId="102" xfId="43" applyNumberFormat="1" applyFont="1" applyFill="1" applyBorder="1" applyAlignment="1">
      <alignment horizontal="left" wrapText="1" indent="2"/>
    </xf>
    <xf numFmtId="49" fontId="55" fillId="5" borderId="102" xfId="43" applyNumberFormat="1" applyFont="1" applyFill="1" applyBorder="1" applyAlignment="1">
      <alignment wrapText="1"/>
    </xf>
    <xf numFmtId="3" fontId="49" fillId="0" borderId="0" xfId="43" applyNumberFormat="1" applyFont="1"/>
    <xf numFmtId="167" fontId="55" fillId="0" borderId="0" xfId="5" applyNumberFormat="1" applyFont="1"/>
    <xf numFmtId="167" fontId="55" fillId="0" borderId="0" xfId="1" applyNumberFormat="1" applyFont="1"/>
    <xf numFmtId="3" fontId="49" fillId="0" borderId="94" xfId="43" applyNumberFormat="1" applyFont="1" applyBorder="1"/>
    <xf numFmtId="3" fontId="49" fillId="0" borderId="166" xfId="43" applyNumberFormat="1" applyFont="1" applyBorder="1"/>
    <xf numFmtId="3" fontId="49" fillId="0" borderId="151" xfId="43" applyNumberFormat="1" applyFont="1" applyBorder="1"/>
    <xf numFmtId="10" fontId="49" fillId="0" borderId="0" xfId="9" applyNumberFormat="1" applyFont="1"/>
    <xf numFmtId="3" fontId="55" fillId="4" borderId="12" xfId="43" applyNumberFormat="1" applyFont="1" applyFill="1" applyBorder="1"/>
    <xf numFmtId="3" fontId="49" fillId="6" borderId="94" xfId="43" applyNumberFormat="1" applyFont="1" applyFill="1" applyBorder="1"/>
    <xf numFmtId="3" fontId="49" fillId="6" borderId="124" xfId="43" applyNumberFormat="1" applyFont="1" applyFill="1" applyBorder="1"/>
    <xf numFmtId="3" fontId="49" fillId="14" borderId="12" xfId="43" applyNumberFormat="1" applyFont="1" applyFill="1" applyBorder="1"/>
    <xf numFmtId="0" fontId="0" fillId="0" borderId="157" xfId="0" applyBorder="1" applyAlignment="1">
      <alignment wrapText="1"/>
    </xf>
    <xf numFmtId="167" fontId="104" fillId="0" borderId="157" xfId="1" applyNumberFormat="1" applyFont="1" applyBorder="1" applyAlignment="1">
      <alignment wrapText="1"/>
    </xf>
    <xf numFmtId="167" fontId="111" fillId="13" borderId="161" xfId="1" applyNumberFormat="1" applyFont="1" applyFill="1" applyBorder="1"/>
    <xf numFmtId="167" fontId="111" fillId="13" borderId="160" xfId="1" applyNumberFormat="1" applyFont="1" applyFill="1" applyBorder="1"/>
    <xf numFmtId="0" fontId="47" fillId="7" borderId="102" xfId="43" applyFont="1" applyFill="1" applyBorder="1" applyAlignment="1">
      <alignment horizontal="left" wrapText="1" indent="2"/>
    </xf>
    <xf numFmtId="49" fontId="47" fillId="0" borderId="102" xfId="43" applyNumberFormat="1" applyFont="1" applyBorder="1" applyAlignment="1">
      <alignment horizontal="left" wrapText="1" indent="4"/>
    </xf>
    <xf numFmtId="3" fontId="47" fillId="26" borderId="12" xfId="43" applyNumberFormat="1" applyFont="1" applyFill="1" applyBorder="1"/>
    <xf numFmtId="0" fontId="47" fillId="4" borderId="102" xfId="43" applyFont="1" applyFill="1" applyBorder="1" applyAlignment="1">
      <alignment horizontal="left" wrapText="1" indent="2"/>
    </xf>
    <xf numFmtId="49" fontId="47" fillId="0" borderId="102" xfId="43" applyNumberFormat="1" applyFont="1" applyBorder="1" applyAlignment="1">
      <alignment horizontal="left" wrapText="1" indent="2"/>
    </xf>
    <xf numFmtId="0" fontId="47" fillId="6" borderId="108" xfId="43" applyFont="1" applyFill="1" applyBorder="1" applyAlignment="1">
      <alignment horizontal="left" indent="3"/>
    </xf>
    <xf numFmtId="49" fontId="47" fillId="4" borderId="102" xfId="43" applyNumberFormat="1" applyFont="1" applyFill="1" applyBorder="1" applyAlignment="1">
      <alignment horizontal="left" wrapText="1" indent="2"/>
    </xf>
    <xf numFmtId="167" fontId="111" fillId="13" borderId="156" xfId="1" applyNumberFormat="1" applyFont="1" applyFill="1" applyBorder="1"/>
    <xf numFmtId="167" fontId="214" fillId="13" borderId="156" xfId="1" applyNumberFormat="1" applyFont="1" applyFill="1" applyBorder="1"/>
    <xf numFmtId="0" fontId="1" fillId="0" borderId="0" xfId="43" applyFont="1"/>
    <xf numFmtId="167" fontId="111" fillId="87" borderId="161" xfId="1" applyNumberFormat="1" applyFont="1" applyFill="1" applyBorder="1"/>
    <xf numFmtId="0" fontId="111" fillId="0" borderId="160" xfId="0" applyFont="1" applyBorder="1" applyAlignment="1">
      <alignment horizontal="left" wrapText="1" indent="2"/>
    </xf>
    <xf numFmtId="49" fontId="111" fillId="0" borderId="157" xfId="0" applyNumberFormat="1" applyFont="1" applyBorder="1" applyAlignment="1">
      <alignment horizontal="left"/>
    </xf>
    <xf numFmtId="0" fontId="0" fillId="0" borderId="227" xfId="0" applyBorder="1"/>
    <xf numFmtId="49" fontId="111" fillId="0" borderId="227" xfId="0" applyNumberFormat="1" applyFont="1" applyBorder="1" applyAlignment="1">
      <alignment horizontal="left"/>
    </xf>
    <xf numFmtId="0" fontId="111" fillId="0" borderId="227" xfId="0" applyFont="1" applyBorder="1" applyAlignment="1">
      <alignment wrapText="1"/>
    </xf>
    <xf numFmtId="167" fontId="111" fillId="0" borderId="227" xfId="1" applyNumberFormat="1" applyFont="1" applyBorder="1"/>
    <xf numFmtId="167" fontId="111" fillId="0" borderId="228" xfId="1" applyNumberFormat="1" applyFont="1" applyFill="1" applyBorder="1"/>
    <xf numFmtId="0" fontId="47" fillId="74" borderId="102" xfId="43" applyFont="1" applyFill="1" applyBorder="1" applyAlignment="1">
      <alignment horizontal="left" wrapText="1" indent="2"/>
    </xf>
    <xf numFmtId="49" fontId="47" fillId="4" borderId="123" xfId="43" applyNumberFormat="1" applyFont="1" applyFill="1" applyBorder="1" applyAlignment="1">
      <alignment horizontal="left" wrapText="1" indent="2"/>
    </xf>
    <xf numFmtId="3" fontId="47" fillId="13" borderId="124" xfId="43" applyNumberFormat="1" applyFont="1" applyFill="1" applyBorder="1"/>
    <xf numFmtId="0" fontId="47" fillId="0" borderId="129" xfId="43" applyFont="1" applyBorder="1" applyAlignment="1">
      <alignment horizontal="left" wrapText="1" indent="2"/>
    </xf>
    <xf numFmtId="49" fontId="47" fillId="4" borderId="151" xfId="43" applyNumberFormat="1" applyFont="1" applyFill="1" applyBorder="1" applyAlignment="1">
      <alignment horizontal="left" wrapText="1" indent="2"/>
    </xf>
    <xf numFmtId="49" fontId="47" fillId="4" borderId="129" xfId="43" applyNumberFormat="1" applyFont="1" applyFill="1" applyBorder="1" applyAlignment="1">
      <alignment horizontal="left" wrapText="1" indent="2"/>
    </xf>
    <xf numFmtId="167" fontId="47" fillId="0" borderId="62" xfId="1" applyNumberFormat="1" applyFont="1" applyFill="1" applyBorder="1"/>
    <xf numFmtId="3" fontId="47" fillId="0" borderId="92" xfId="43" applyNumberFormat="1" applyFont="1" applyBorder="1"/>
    <xf numFmtId="3" fontId="47" fillId="0" borderId="164" xfId="43" applyNumberFormat="1" applyFont="1" applyBorder="1"/>
    <xf numFmtId="3" fontId="47" fillId="0" borderId="151" xfId="43" applyNumberFormat="1" applyFont="1" applyBorder="1"/>
    <xf numFmtId="3" fontId="47" fillId="7" borderId="124" xfId="43" applyNumberFormat="1" applyFont="1" applyFill="1" applyBorder="1"/>
    <xf numFmtId="3" fontId="47" fillId="14" borderId="124" xfId="43" applyNumberFormat="1" applyFont="1" applyFill="1" applyBorder="1"/>
    <xf numFmtId="3" fontId="47" fillId="14" borderId="94" xfId="43" applyNumberFormat="1" applyFont="1" applyFill="1" applyBorder="1"/>
    <xf numFmtId="3" fontId="47" fillId="33" borderId="12" xfId="43" applyNumberFormat="1" applyFont="1" applyFill="1" applyBorder="1"/>
    <xf numFmtId="3" fontId="60" fillId="0" borderId="94" xfId="43" applyNumberFormat="1" applyFont="1" applyBorder="1"/>
    <xf numFmtId="0" fontId="47" fillId="6" borderId="114" xfId="43" applyFont="1" applyFill="1" applyBorder="1" applyAlignment="1">
      <alignment horizontal="left" indent="3"/>
    </xf>
    <xf numFmtId="0" fontId="47" fillId="0" borderId="108" xfId="43" applyFont="1" applyBorder="1" applyAlignment="1">
      <alignment horizontal="left" indent="3"/>
    </xf>
    <xf numFmtId="3" fontId="60" fillId="0" borderId="124" xfId="43" applyNumberFormat="1" applyFont="1" applyBorder="1"/>
    <xf numFmtId="49" fontId="52" fillId="5" borderId="102" xfId="43" applyNumberFormat="1" applyFont="1" applyFill="1" applyBorder="1" applyAlignment="1">
      <alignment wrapText="1"/>
    </xf>
    <xf numFmtId="0" fontId="214" fillId="0" borderId="0" xfId="0" applyFont="1" applyAlignment="1">
      <alignment horizontal="center" wrapText="1"/>
    </xf>
    <xf numFmtId="167" fontId="214" fillId="0" borderId="156" xfId="0" applyNumberFormat="1" applyFont="1" applyBorder="1" applyAlignment="1">
      <alignment horizontal="center" wrapText="1"/>
    </xf>
    <xf numFmtId="0" fontId="49" fillId="0" borderId="0" xfId="43" quotePrefix="1" applyFont="1"/>
    <xf numFmtId="0" fontId="47" fillId="6" borderId="102" xfId="43" applyFont="1" applyFill="1" applyBorder="1" applyAlignment="1">
      <alignment horizontal="left" wrapText="1" indent="3"/>
    </xf>
    <xf numFmtId="0" fontId="47" fillId="0" borderId="102" xfId="43" applyFont="1" applyBorder="1" applyAlignment="1">
      <alignment horizontal="left" wrapText="1" indent="3"/>
    </xf>
    <xf numFmtId="167" fontId="214" fillId="34" borderId="156" xfId="0" applyNumberFormat="1" applyFont="1" applyFill="1" applyBorder="1" applyAlignment="1">
      <alignment horizontal="center" wrapText="1"/>
    </xf>
    <xf numFmtId="0" fontId="47" fillId="6" borderId="226" xfId="43" applyFont="1" applyFill="1" applyBorder="1" applyAlignment="1">
      <alignment horizontal="left" wrapText="1" indent="3"/>
    </xf>
    <xf numFmtId="0" fontId="47" fillId="0" borderId="123" xfId="43" applyFont="1" applyBorder="1" applyAlignment="1">
      <alignment horizontal="left" wrapText="1" indent="3"/>
    </xf>
    <xf numFmtId="0" fontId="47" fillId="0" borderId="226" xfId="43" applyFont="1" applyBorder="1" applyAlignment="1">
      <alignment horizontal="left" wrapText="1" indent="3"/>
    </xf>
    <xf numFmtId="0" fontId="214" fillId="0" borderId="156" xfId="0" applyFont="1" applyBorder="1" applyAlignment="1">
      <alignment horizontal="left" wrapText="1"/>
    </xf>
    <xf numFmtId="0" fontId="214" fillId="0" borderId="156" xfId="0" applyFont="1" applyBorder="1" applyAlignment="1">
      <alignment wrapText="1"/>
    </xf>
    <xf numFmtId="49" fontId="52" fillId="4" borderId="102" xfId="43" applyNumberFormat="1" applyFont="1" applyFill="1" applyBorder="1" applyAlignment="1">
      <alignment horizontal="left" wrapText="1" indent="2"/>
    </xf>
    <xf numFmtId="49" fontId="47" fillId="0" borderId="147" xfId="43" applyNumberFormat="1" applyFont="1" applyBorder="1" applyAlignment="1">
      <alignment horizontal="left" wrapText="1" indent="4"/>
    </xf>
    <xf numFmtId="0" fontId="47" fillId="6" borderId="123" xfId="43" applyFont="1" applyFill="1" applyBorder="1" applyAlignment="1">
      <alignment horizontal="left" wrapText="1" indent="3"/>
    </xf>
    <xf numFmtId="0" fontId="214" fillId="27" borderId="156" xfId="0" applyFont="1" applyFill="1" applyBorder="1" applyAlignment="1">
      <alignment wrapText="1"/>
    </xf>
    <xf numFmtId="167" fontId="214" fillId="0" borderId="156" xfId="1" applyNumberFormat="1" applyFont="1" applyBorder="1" applyAlignment="1">
      <alignment wrapText="1"/>
    </xf>
    <xf numFmtId="167" fontId="214" fillId="0" borderId="0" xfId="1" applyNumberFormat="1" applyFont="1" applyFill="1"/>
    <xf numFmtId="49" fontId="47" fillId="0" borderId="151" xfId="43" applyNumberFormat="1" applyFont="1" applyBorder="1" applyAlignment="1">
      <alignment horizontal="left" wrapText="1" indent="4"/>
    </xf>
    <xf numFmtId="167" fontId="47" fillId="0" borderId="151" xfId="1" applyNumberFormat="1" applyFont="1" applyBorder="1"/>
    <xf numFmtId="0" fontId="47" fillId="6" borderId="151" xfId="43" applyFont="1" applyFill="1" applyBorder="1" applyAlignment="1">
      <alignment horizontal="left" wrapText="1" indent="3"/>
    </xf>
    <xf numFmtId="0" fontId="214" fillId="0" borderId="156" xfId="0" applyFont="1" applyBorder="1"/>
    <xf numFmtId="49" fontId="47" fillId="0" borderId="142" xfId="43" applyNumberFormat="1" applyFont="1" applyBorder="1" applyAlignment="1">
      <alignment horizontal="left" wrapText="1" indent="4"/>
    </xf>
    <xf numFmtId="167" fontId="47" fillId="0" borderId="164" xfId="1" applyNumberFormat="1" applyFont="1" applyBorder="1"/>
    <xf numFmtId="49" fontId="47" fillId="0" borderId="165" xfId="43" applyNumberFormat="1" applyFont="1" applyBorder="1" applyAlignment="1">
      <alignment horizontal="left" indent="2"/>
    </xf>
    <xf numFmtId="49" fontId="47" fillId="0" borderId="226" xfId="43" applyNumberFormat="1" applyFont="1" applyBorder="1" applyAlignment="1">
      <alignment horizontal="left" wrapText="1" indent="4"/>
    </xf>
    <xf numFmtId="167" fontId="47" fillId="0" borderId="92" xfId="1" applyNumberFormat="1" applyFont="1" applyBorder="1"/>
    <xf numFmtId="0" fontId="47" fillId="0" borderId="123" xfId="43" applyFont="1" applyBorder="1" applyAlignment="1">
      <alignment horizontal="left" wrapText="1" indent="2"/>
    </xf>
    <xf numFmtId="49" fontId="52" fillId="4" borderId="123" xfId="43" applyNumberFormat="1" applyFont="1" applyFill="1" applyBorder="1" applyAlignment="1">
      <alignment horizontal="left" wrapText="1" indent="2"/>
    </xf>
    <xf numFmtId="0" fontId="214" fillId="0" borderId="156" xfId="0" quotePrefix="1" applyFont="1" applyBorder="1" applyAlignment="1">
      <alignment wrapText="1"/>
    </xf>
    <xf numFmtId="0" fontId="214" fillId="0" borderId="194" xfId="0" applyFont="1" applyBorder="1" applyAlignment="1">
      <alignment wrapText="1"/>
    </xf>
    <xf numFmtId="167" fontId="214" fillId="0" borderId="194" xfId="1" applyNumberFormat="1" applyFont="1" applyFill="1" applyBorder="1" applyAlignment="1">
      <alignment wrapText="1"/>
    </xf>
    <xf numFmtId="167" fontId="214" fillId="0" borderId="195" xfId="1" applyNumberFormat="1" applyFont="1" applyFill="1" applyBorder="1" applyAlignment="1">
      <alignment wrapText="1"/>
    </xf>
    <xf numFmtId="0" fontId="214" fillId="0" borderId="161" xfId="0" applyFont="1" applyBorder="1" applyAlignment="1">
      <alignment wrapText="1"/>
    </xf>
    <xf numFmtId="167" fontId="214" fillId="0" borderId="161" xfId="1" applyNumberFormat="1" applyFont="1" applyFill="1" applyBorder="1" applyAlignment="1">
      <alignment wrapText="1"/>
    </xf>
    <xf numFmtId="167" fontId="214" fillId="0" borderId="161" xfId="1" applyNumberFormat="1" applyFont="1" applyFill="1" applyBorder="1"/>
    <xf numFmtId="167" fontId="214" fillId="0" borderId="161" xfId="1" applyNumberFormat="1" applyFont="1" applyBorder="1"/>
    <xf numFmtId="167" fontId="214" fillId="0" borderId="161" xfId="1" applyNumberFormat="1" applyFont="1" applyBorder="1" applyAlignment="1">
      <alignment wrapText="1"/>
    </xf>
    <xf numFmtId="167" fontId="214" fillId="0" borderId="160" xfId="1" applyNumberFormat="1" applyFont="1" applyFill="1" applyBorder="1" applyAlignment="1"/>
    <xf numFmtId="49" fontId="47" fillId="0" borderId="129" xfId="43" applyNumberFormat="1" applyFont="1" applyBorder="1" applyAlignment="1">
      <alignment horizontal="left" wrapText="1" indent="4"/>
    </xf>
    <xf numFmtId="0" fontId="214" fillId="0" borderId="160" xfId="0" applyFont="1" applyBorder="1" applyAlignment="1">
      <alignment wrapText="1"/>
    </xf>
    <xf numFmtId="167" fontId="214" fillId="0" borderId="160" xfId="1" applyNumberFormat="1" applyFont="1" applyBorder="1"/>
    <xf numFmtId="0" fontId="214" fillId="0" borderId="189" xfId="0" applyFont="1" applyBorder="1" applyAlignment="1">
      <alignment wrapText="1"/>
    </xf>
    <xf numFmtId="167" fontId="214" fillId="0" borderId="189" xfId="1" applyNumberFormat="1" applyFont="1" applyBorder="1"/>
    <xf numFmtId="167" fontId="214" fillId="0" borderId="0" xfId="1" applyNumberFormat="1" applyFont="1" applyFill="1" applyBorder="1" applyAlignment="1">
      <alignment horizontal="center"/>
    </xf>
    <xf numFmtId="167" fontId="214" fillId="0" borderId="156" xfId="1" applyNumberFormat="1" applyFont="1" applyBorder="1" applyAlignment="1"/>
    <xf numFmtId="167" fontId="214" fillId="0" borderId="189" xfId="1" applyNumberFormat="1" applyFont="1" applyBorder="1" applyAlignment="1">
      <alignment wrapText="1"/>
    </xf>
    <xf numFmtId="167" fontId="214" fillId="0" borderId="189" xfId="1" applyNumberFormat="1" applyFont="1" applyFill="1" applyBorder="1"/>
    <xf numFmtId="0" fontId="214" fillId="0" borderId="161" xfId="0" applyFont="1" applyBorder="1" applyAlignment="1">
      <alignment horizontal="left" wrapText="1"/>
    </xf>
    <xf numFmtId="0" fontId="214" fillId="0" borderId="189" xfId="0" applyFont="1" applyBorder="1" applyAlignment="1">
      <alignment horizontal="left" wrapText="1"/>
    </xf>
    <xf numFmtId="167" fontId="214" fillId="27" borderId="156" xfId="1" applyNumberFormat="1" applyFont="1" applyFill="1" applyBorder="1"/>
    <xf numFmtId="0" fontId="224" fillId="29" borderId="156" xfId="0" applyFont="1" applyFill="1" applyBorder="1" applyAlignment="1">
      <alignment wrapText="1"/>
    </xf>
    <xf numFmtId="167" fontId="224" fillId="29" borderId="156" xfId="1" applyNumberFormat="1" applyFont="1" applyFill="1" applyBorder="1"/>
    <xf numFmtId="167" fontId="224" fillId="29" borderId="0" xfId="1" applyNumberFormat="1" applyFont="1" applyFill="1" applyBorder="1"/>
    <xf numFmtId="167" fontId="214" fillId="29" borderId="156" xfId="1" applyNumberFormat="1" applyFont="1" applyFill="1" applyBorder="1"/>
    <xf numFmtId="0" fontId="214" fillId="0" borderId="156" xfId="0" applyFont="1" applyBorder="1" applyAlignment="1">
      <alignment horizontal="left" indent="2"/>
    </xf>
    <xf numFmtId="0" fontId="214" fillId="0" borderId="156" xfId="0" applyFont="1" applyBorder="1" applyAlignment="1">
      <alignment horizontal="left" wrapText="1" indent="2"/>
    </xf>
    <xf numFmtId="167" fontId="214" fillId="0" borderId="156" xfId="1" applyNumberFormat="1" applyFont="1" applyFill="1" applyBorder="1" applyAlignment="1">
      <alignment wrapText="1"/>
    </xf>
    <xf numFmtId="0" fontId="214" fillId="0" borderId="189" xfId="0" applyFont="1" applyBorder="1" applyAlignment="1">
      <alignment horizontal="left" indent="2"/>
    </xf>
    <xf numFmtId="167" fontId="214" fillId="29" borderId="0" xfId="1" applyNumberFormat="1" applyFont="1" applyFill="1" applyBorder="1"/>
    <xf numFmtId="0" fontId="214" fillId="0" borderId="194" xfId="0" applyFont="1" applyBorder="1" applyAlignment="1">
      <alignment horizontal="left" wrapText="1"/>
    </xf>
    <xf numFmtId="167" fontId="214" fillId="0" borderId="194" xfId="1" applyNumberFormat="1" applyFont="1" applyFill="1" applyBorder="1"/>
    <xf numFmtId="167" fontId="214" fillId="0" borderId="195" xfId="1" applyNumberFormat="1" applyFont="1" applyFill="1" applyBorder="1"/>
    <xf numFmtId="0" fontId="47" fillId="6" borderId="102" xfId="43" applyFont="1" applyFill="1" applyBorder="1" applyAlignment="1">
      <alignment horizontal="left" indent="2"/>
    </xf>
    <xf numFmtId="0" fontId="60" fillId="6" borderId="151" xfId="43" applyFont="1" applyFill="1" applyBorder="1" applyAlignment="1">
      <alignment horizontal="left" wrapText="1" indent="6"/>
    </xf>
    <xf numFmtId="3" fontId="60" fillId="31" borderId="94" xfId="43" applyNumberFormat="1" applyFont="1" applyFill="1" applyBorder="1"/>
    <xf numFmtId="0" fontId="60" fillId="0" borderId="0" xfId="43" applyFont="1"/>
    <xf numFmtId="3" fontId="47" fillId="31" borderId="94" xfId="43" applyNumberFormat="1" applyFont="1" applyFill="1" applyBorder="1"/>
    <xf numFmtId="49" fontId="52" fillId="5" borderId="84" xfId="43" applyNumberFormat="1" applyFont="1" applyFill="1" applyBorder="1" applyAlignment="1">
      <alignment wrapText="1"/>
    </xf>
    <xf numFmtId="49" fontId="47" fillId="0" borderId="129" xfId="43" applyNumberFormat="1" applyFont="1" applyBorder="1" applyAlignment="1">
      <alignment horizontal="left" wrapText="1" indent="2"/>
    </xf>
    <xf numFmtId="0" fontId="214" fillId="0" borderId="202" xfId="0" applyFont="1" applyBorder="1" applyAlignment="1">
      <alignment wrapText="1"/>
    </xf>
    <xf numFmtId="167" fontId="214" fillId="0" borderId="202" xfId="1" applyNumberFormat="1" applyFont="1" applyBorder="1" applyAlignment="1">
      <alignment wrapText="1"/>
    </xf>
    <xf numFmtId="167" fontId="214" fillId="0" borderId="153" xfId="1" applyNumberFormat="1" applyFont="1" applyFill="1" applyBorder="1" applyAlignment="1">
      <alignment wrapText="1"/>
    </xf>
    <xf numFmtId="0" fontId="214" fillId="0" borderId="157" xfId="0" applyFont="1" applyBorder="1" applyAlignment="1">
      <alignment wrapText="1"/>
    </xf>
    <xf numFmtId="167" fontId="214" fillId="0" borderId="157" xfId="1" applyNumberFormat="1" applyFont="1" applyBorder="1" applyAlignment="1">
      <alignment wrapText="1"/>
    </xf>
    <xf numFmtId="167" fontId="214" fillId="0" borderId="0" xfId="1" applyNumberFormat="1" applyFont="1" applyFill="1" applyBorder="1" applyAlignment="1">
      <alignment wrapText="1"/>
    </xf>
    <xf numFmtId="0" fontId="149" fillId="0" borderId="224" xfId="22" applyNumberFormat="1" applyFont="1" applyFill="1" applyBorder="1" applyAlignment="1">
      <alignment wrapText="1"/>
    </xf>
    <xf numFmtId="167" fontId="214" fillId="0" borderId="223" xfId="1" applyNumberFormat="1" applyFont="1" applyFill="1" applyBorder="1"/>
    <xf numFmtId="167" fontId="214" fillId="0" borderId="225" xfId="1" applyNumberFormat="1" applyFont="1" applyFill="1" applyBorder="1"/>
    <xf numFmtId="0" fontId="214" fillId="0" borderId="189" xfId="0" applyFont="1" applyBorder="1" applyAlignment="1">
      <alignment horizontal="left" wrapText="1" indent="2"/>
    </xf>
    <xf numFmtId="0" fontId="52" fillId="5" borderId="115" xfId="43" applyFont="1" applyFill="1" applyBorder="1" applyAlignment="1">
      <alignment wrapText="1"/>
    </xf>
    <xf numFmtId="0" fontId="214" fillId="0" borderId="193" xfId="0" applyFont="1" applyBorder="1" applyAlignment="1">
      <alignment wrapText="1"/>
    </xf>
    <xf numFmtId="167" fontId="214" fillId="0" borderId="193" xfId="1" applyNumberFormat="1" applyFont="1" applyBorder="1"/>
    <xf numFmtId="167" fontId="214" fillId="0" borderId="193" xfId="1" applyNumberFormat="1" applyFont="1" applyFill="1" applyBorder="1"/>
    <xf numFmtId="49" fontId="47" fillId="7" borderId="102" xfId="43" applyNumberFormat="1" applyFont="1" applyFill="1" applyBorder="1" applyAlignment="1">
      <alignment horizontal="left" wrapText="1" indent="4"/>
    </xf>
    <xf numFmtId="167" fontId="214" fillId="17" borderId="189" xfId="1" applyNumberFormat="1" applyFont="1" applyFill="1" applyBorder="1"/>
    <xf numFmtId="0" fontId="214" fillId="0" borderId="205" xfId="0" applyFont="1" applyBorder="1" applyAlignment="1">
      <alignment wrapText="1"/>
    </xf>
    <xf numFmtId="167" fontId="214" fillId="0" borderId="205" xfId="1" applyNumberFormat="1" applyFont="1" applyBorder="1"/>
    <xf numFmtId="167" fontId="214" fillId="0" borderId="204" xfId="1" applyNumberFormat="1" applyFont="1" applyFill="1" applyBorder="1"/>
    <xf numFmtId="167" fontId="214" fillId="17" borderId="205" xfId="1" applyNumberFormat="1" applyFont="1" applyFill="1" applyBorder="1"/>
    <xf numFmtId="49" fontId="52" fillId="0" borderId="102" xfId="43" applyNumberFormat="1" applyFont="1" applyBorder="1" applyAlignment="1">
      <alignment horizontal="left" wrapText="1" indent="4"/>
    </xf>
    <xf numFmtId="0" fontId="214" fillId="0" borderId="161" xfId="0" applyFont="1" applyBorder="1"/>
    <xf numFmtId="49" fontId="47" fillId="0" borderId="123" xfId="43" applyNumberFormat="1" applyFont="1" applyBorder="1" applyAlignment="1">
      <alignment horizontal="left" wrapText="1" indent="4"/>
    </xf>
    <xf numFmtId="0" fontId="214" fillId="86" borderId="46" xfId="22" applyNumberFormat="1" applyFont="1" applyFill="1" applyBorder="1" applyAlignment="1">
      <alignment wrapText="1"/>
    </xf>
    <xf numFmtId="0" fontId="214" fillId="17" borderId="201" xfId="22" applyNumberFormat="1" applyFont="1" applyFill="1" applyBorder="1" applyAlignment="1">
      <alignment wrapText="1"/>
    </xf>
    <xf numFmtId="0" fontId="214" fillId="86" borderId="201" xfId="22" applyNumberFormat="1" applyFont="1" applyFill="1" applyBorder="1" applyAlignment="1">
      <alignment wrapText="1"/>
    </xf>
    <xf numFmtId="0" fontId="214" fillId="86" borderId="56" xfId="249" applyFont="1" applyFill="1" applyBorder="1" applyAlignment="1">
      <alignment horizontal="left" vertical="center" wrapText="1"/>
    </xf>
    <xf numFmtId="0" fontId="149" fillId="86" borderId="56" xfId="249" applyFont="1" applyFill="1" applyBorder="1" applyAlignment="1">
      <alignment horizontal="left" vertical="center" wrapText="1"/>
    </xf>
    <xf numFmtId="167" fontId="214" fillId="33" borderId="156" xfId="1" applyNumberFormat="1" applyFont="1" applyFill="1" applyBorder="1"/>
    <xf numFmtId="167" fontId="214" fillId="33" borderId="189" xfId="1" applyNumberFormat="1" applyFont="1" applyFill="1" applyBorder="1"/>
    <xf numFmtId="0" fontId="214" fillId="85" borderId="46" xfId="22" applyNumberFormat="1" applyFont="1" applyFill="1" applyBorder="1" applyAlignment="1">
      <alignment wrapText="1"/>
    </xf>
    <xf numFmtId="0" fontId="214" fillId="86" borderId="134" xfId="22" applyNumberFormat="1" applyFont="1" applyFill="1" applyBorder="1" applyAlignment="1">
      <alignment wrapText="1"/>
    </xf>
    <xf numFmtId="49" fontId="52" fillId="0" borderId="16" xfId="43" applyNumberFormat="1" applyFont="1" applyBorder="1" applyAlignment="1">
      <alignment horizontal="right" wrapText="1"/>
    </xf>
    <xf numFmtId="49" fontId="52" fillId="5" borderId="26" xfId="43" applyNumberFormat="1" applyFont="1" applyFill="1" applyBorder="1" applyAlignment="1">
      <alignment wrapText="1"/>
    </xf>
    <xf numFmtId="174" fontId="0" fillId="0" borderId="0" xfId="0" applyNumberFormat="1"/>
    <xf numFmtId="0" fontId="52" fillId="0" borderId="36" xfId="43" applyFont="1" applyBorder="1" applyAlignment="1">
      <alignment horizontal="right" wrapText="1"/>
    </xf>
    <xf numFmtId="0" fontId="47" fillId="16" borderId="10" xfId="43" applyFont="1" applyFill="1" applyBorder="1" applyAlignment="1">
      <alignment horizontal="left" indent="1"/>
    </xf>
    <xf numFmtId="0" fontId="47" fillId="16" borderId="11" xfId="43" applyFont="1" applyFill="1" applyBorder="1" applyAlignment="1">
      <alignment horizontal="left" wrapText="1" indent="2"/>
    </xf>
    <xf numFmtId="3" fontId="50" fillId="16" borderId="94" xfId="3" applyNumberFormat="1" applyFont="1" applyFill="1" applyBorder="1"/>
    <xf numFmtId="3" fontId="47" fillId="16" borderId="94" xfId="3" applyNumberFormat="1" applyFont="1" applyFill="1" applyBorder="1"/>
    <xf numFmtId="3" fontId="47" fillId="16" borderId="94" xfId="43" applyNumberFormat="1" applyFont="1" applyFill="1" applyBorder="1"/>
    <xf numFmtId="9" fontId="47" fillId="16" borderId="94" xfId="2" applyFont="1" applyFill="1" applyBorder="1" applyAlignment="1">
      <alignment horizontal="right"/>
    </xf>
    <xf numFmtId="0" fontId="47" fillId="16" borderId="151" xfId="43" applyFont="1" applyFill="1" applyBorder="1" applyAlignment="1">
      <alignment horizontal="left" wrapText="1" indent="2"/>
    </xf>
    <xf numFmtId="3" fontId="50" fillId="16" borderId="128" xfId="43" applyNumberFormat="1" applyFont="1" applyFill="1" applyBorder="1"/>
    <xf numFmtId="3" fontId="47" fillId="16" borderId="128" xfId="43" applyNumberFormat="1" applyFont="1" applyFill="1" applyBorder="1"/>
    <xf numFmtId="3" fontId="47" fillId="16" borderId="97" xfId="43" applyNumberFormat="1" applyFont="1" applyFill="1" applyBorder="1"/>
    <xf numFmtId="9" fontId="47" fillId="16" borderId="97" xfId="2" applyFont="1" applyFill="1" applyBorder="1" applyAlignment="1">
      <alignment horizontal="right"/>
    </xf>
    <xf numFmtId="0" fontId="52" fillId="0" borderId="116" xfId="43" applyFont="1" applyBorder="1" applyAlignment="1">
      <alignment wrapText="1"/>
    </xf>
    <xf numFmtId="49" fontId="47" fillId="0" borderId="115" xfId="43" applyNumberFormat="1" applyFont="1" applyBorder="1" applyAlignment="1">
      <alignment horizontal="left" wrapText="1" indent="4"/>
    </xf>
    <xf numFmtId="0" fontId="63" fillId="14" borderId="212" xfId="0" applyFont="1" applyFill="1" applyBorder="1" applyAlignment="1">
      <alignment horizontal="center"/>
    </xf>
    <xf numFmtId="0" fontId="63" fillId="14" borderId="213" xfId="0" applyFont="1" applyFill="1" applyBorder="1" applyAlignment="1">
      <alignment horizontal="center"/>
    </xf>
    <xf numFmtId="0" fontId="63" fillId="14" borderId="211" xfId="0" applyFont="1" applyFill="1" applyBorder="1" applyAlignment="1">
      <alignment horizontal="center" wrapText="1"/>
    </xf>
    <xf numFmtId="0" fontId="63" fillId="14" borderId="199" xfId="0" applyFont="1" applyFill="1" applyBorder="1" applyAlignment="1">
      <alignment horizontal="center" wrapText="1"/>
    </xf>
    <xf numFmtId="167" fontId="378" fillId="11" borderId="151" xfId="19" applyNumberFormat="1" applyFont="1" applyFill="1" applyBorder="1" applyAlignment="1" applyProtection="1">
      <alignment horizontal="center" vertical="center"/>
      <protection locked="0"/>
    </xf>
    <xf numFmtId="167" fontId="87" fillId="11" borderId="173" xfId="19" applyNumberFormat="1" applyFont="1" applyFill="1" applyBorder="1" applyAlignment="1" applyProtection="1">
      <alignment horizontal="center" vertical="center"/>
      <protection locked="0"/>
    </xf>
    <xf numFmtId="0" fontId="41" fillId="0" borderId="0" xfId="43"/>
    <xf numFmtId="0" fontId="271" fillId="0" borderId="156" xfId="0" applyFont="1" applyBorder="1" applyAlignment="1">
      <alignment horizontal="center" wrapText="1"/>
    </xf>
    <xf numFmtId="0" fontId="257" fillId="0" borderId="196" xfId="0" applyFont="1" applyBorder="1" applyAlignment="1">
      <alignment horizontal="center"/>
    </xf>
    <xf numFmtId="0" fontId="83" fillId="0" borderId="188" xfId="0" applyFont="1" applyBorder="1" applyAlignment="1">
      <alignment horizontal="left" vertical="top" wrapText="1"/>
    </xf>
    <xf numFmtId="0" fontId="83" fillId="0" borderId="0" xfId="0" applyFont="1" applyAlignment="1">
      <alignment horizontal="left" vertical="top" wrapText="1"/>
    </xf>
    <xf numFmtId="0" fontId="126" fillId="34" borderId="156" xfId="0" applyFont="1" applyFill="1" applyBorder="1" applyAlignment="1">
      <alignment horizontal="center" wrapText="1"/>
    </xf>
    <xf numFmtId="0" fontId="126" fillId="34" borderId="156" xfId="0" applyFont="1" applyFill="1" applyBorder="1" applyAlignment="1">
      <alignment horizontal="center"/>
    </xf>
    <xf numFmtId="0" fontId="126" fillId="14" borderId="156" xfId="0" applyFont="1" applyFill="1" applyBorder="1" applyAlignment="1">
      <alignment horizontal="center"/>
    </xf>
    <xf numFmtId="0" fontId="63" fillId="14" borderId="156" xfId="0" applyFont="1" applyFill="1" applyBorder="1" applyAlignment="1">
      <alignment horizontal="center" wrapText="1"/>
    </xf>
    <xf numFmtId="0" fontId="63" fillId="14" borderId="160" xfId="0" applyFont="1" applyFill="1" applyBorder="1" applyAlignment="1">
      <alignment horizontal="center" wrapText="1"/>
    </xf>
    <xf numFmtId="0" fontId="63" fillId="14" borderId="161" xfId="0" applyFont="1" applyFill="1" applyBorder="1" applyAlignment="1">
      <alignment horizontal="center" wrapText="1"/>
    </xf>
    <xf numFmtId="0" fontId="126" fillId="14" borderId="156" xfId="0" applyFont="1" applyFill="1" applyBorder="1" applyAlignment="1">
      <alignment horizontal="center" wrapText="1"/>
    </xf>
    <xf numFmtId="0" fontId="63" fillId="14" borderId="156" xfId="0" applyFont="1" applyFill="1" applyBorder="1" applyAlignment="1">
      <alignment horizontal="center"/>
    </xf>
    <xf numFmtId="0" fontId="284" fillId="17" borderId="160" xfId="0" applyFont="1" applyFill="1" applyBorder="1" applyAlignment="1">
      <alignment horizontal="center" wrapText="1"/>
    </xf>
    <xf numFmtId="0" fontId="284" fillId="17" borderId="161" xfId="0" applyFont="1" applyFill="1" applyBorder="1" applyAlignment="1">
      <alignment horizontal="center" wrapText="1"/>
    </xf>
    <xf numFmtId="0" fontId="284" fillId="17" borderId="156" xfId="0" applyFont="1" applyFill="1" applyBorder="1" applyAlignment="1">
      <alignment horizontal="center" wrapText="1"/>
    </xf>
    <xf numFmtId="0" fontId="284" fillId="17" borderId="156" xfId="0" applyFont="1" applyFill="1" applyBorder="1" applyAlignment="1">
      <alignment horizontal="center"/>
    </xf>
    <xf numFmtId="0" fontId="63" fillId="34" borderId="156" xfId="0" applyFont="1" applyFill="1" applyBorder="1" applyAlignment="1">
      <alignment horizontal="center" wrapText="1"/>
    </xf>
    <xf numFmtId="0" fontId="63" fillId="34" borderId="160" xfId="0" applyFont="1" applyFill="1" applyBorder="1" applyAlignment="1">
      <alignment horizontal="center" wrapText="1"/>
    </xf>
    <xf numFmtId="0" fontId="63" fillId="34" borderId="161" xfId="0" applyFont="1" applyFill="1" applyBorder="1" applyAlignment="1">
      <alignment horizontal="center" wrapText="1"/>
    </xf>
    <xf numFmtId="0" fontId="163" fillId="0" borderId="0" xfId="83" applyFont="1"/>
    <xf numFmtId="0" fontId="162" fillId="0" borderId="0" xfId="83" applyFont="1"/>
    <xf numFmtId="0" fontId="387" fillId="0" borderId="29" xfId="251" applyFont="1" applyBorder="1" applyAlignment="1">
      <alignment vertical="center" wrapText="1"/>
    </xf>
    <xf numFmtId="0" fontId="387" fillId="0" borderId="37" xfId="251" applyFont="1" applyBorder="1" applyAlignment="1">
      <alignment vertical="center" wrapText="1"/>
    </xf>
    <xf numFmtId="0" fontId="387" fillId="0" borderId="31" xfId="251" applyFont="1" applyBorder="1" applyAlignment="1">
      <alignment vertical="center" wrapText="1"/>
    </xf>
    <xf numFmtId="43" fontId="387" fillId="0" borderId="29" xfId="252" applyFont="1" applyBorder="1" applyAlignment="1">
      <alignment horizontal="right" vertical="center"/>
    </xf>
    <xf numFmtId="43" fontId="387" fillId="0" borderId="37" xfId="252" applyFont="1" applyBorder="1" applyAlignment="1">
      <alignment horizontal="right" vertical="center"/>
    </xf>
    <xf numFmtId="43" fontId="387" fillId="0" borderId="31" xfId="252" applyFont="1" applyBorder="1" applyAlignment="1">
      <alignment horizontal="right" vertical="center"/>
    </xf>
    <xf numFmtId="0" fontId="259" fillId="0" borderId="0" xfId="245" applyFont="1" applyAlignment="1">
      <alignment horizontal="center"/>
    </xf>
    <xf numFmtId="0" fontId="8" fillId="0" borderId="150" xfId="245" applyBorder="1" applyAlignment="1">
      <alignment horizontal="center" vertical="center"/>
    </xf>
    <xf numFmtId="0" fontId="8" fillId="0" borderId="176" xfId="245" applyBorder="1" applyAlignment="1">
      <alignment horizontal="center" vertical="center"/>
    </xf>
    <xf numFmtId="0" fontId="64" fillId="0" borderId="150" xfId="245" applyFont="1" applyBorder="1" applyAlignment="1">
      <alignment horizontal="center" vertical="center" wrapText="1"/>
    </xf>
    <xf numFmtId="0" fontId="64" fillId="0" borderId="176" xfId="245" applyFont="1" applyBorder="1" applyAlignment="1">
      <alignment horizontal="center" vertical="center" wrapText="1"/>
    </xf>
    <xf numFmtId="0" fontId="113" fillId="0" borderId="147" xfId="245" applyFont="1" applyBorder="1" applyAlignment="1">
      <alignment horizontal="center"/>
    </xf>
    <xf numFmtId="0" fontId="113" fillId="0" borderId="170" xfId="245" applyFont="1" applyBorder="1" applyAlignment="1">
      <alignment horizontal="center"/>
    </xf>
    <xf numFmtId="0" fontId="8" fillId="0" borderId="118" xfId="245" applyBorder="1" applyAlignment="1">
      <alignment horizontal="center" vertical="center"/>
    </xf>
    <xf numFmtId="0" fontId="46" fillId="0" borderId="171" xfId="245" applyFont="1" applyBorder="1" applyAlignment="1">
      <alignment horizontal="center" vertical="center" wrapText="1"/>
    </xf>
    <xf numFmtId="0" fontId="46" fillId="0" borderId="176" xfId="245" applyFont="1" applyBorder="1" applyAlignment="1">
      <alignment horizontal="center" vertical="center" wrapText="1"/>
    </xf>
    <xf numFmtId="0" fontId="46" fillId="0" borderId="150" xfId="245" applyFont="1" applyBorder="1" applyAlignment="1">
      <alignment horizontal="center" vertical="center" wrapText="1"/>
    </xf>
    <xf numFmtId="1" fontId="8" fillId="0" borderId="150" xfId="245" applyNumberFormat="1" applyBorder="1" applyAlignment="1">
      <alignment horizontal="center" vertical="center" wrapText="1"/>
    </xf>
    <xf numFmtId="1" fontId="8" fillId="0" borderId="171" xfId="245" applyNumberFormat="1" applyBorder="1" applyAlignment="1">
      <alignment horizontal="center" vertical="center" wrapText="1"/>
    </xf>
    <xf numFmtId="1" fontId="8" fillId="0" borderId="176" xfId="245" applyNumberFormat="1" applyBorder="1" applyAlignment="1">
      <alignment horizontal="center" vertical="center" wrapText="1"/>
    </xf>
    <xf numFmtId="1" fontId="46" fillId="0" borderId="118" xfId="245" applyNumberFormat="1" applyFont="1" applyBorder="1" applyAlignment="1">
      <alignment horizontal="center" vertical="center"/>
    </xf>
    <xf numFmtId="0" fontId="0" fillId="0" borderId="150" xfId="0" applyBorder="1" applyAlignment="1">
      <alignment horizontal="center" vertical="center" wrapText="1"/>
    </xf>
    <xf numFmtId="0" fontId="0" fillId="0" borderId="171" xfId="0" applyBorder="1" applyAlignment="1">
      <alignment horizontal="center" vertical="center" wrapText="1"/>
    </xf>
    <xf numFmtId="0" fontId="357" fillId="0" borderId="153" xfId="0" applyFont="1" applyBorder="1" applyAlignment="1">
      <alignment horizontal="left" vertical="top" wrapText="1"/>
    </xf>
    <xf numFmtId="16" fontId="365" fillId="0" borderId="150" xfId="0" applyNumberFormat="1" applyFont="1" applyBorder="1" applyAlignment="1">
      <alignment horizontal="center" vertical="top" wrapText="1"/>
    </xf>
    <xf numFmtId="16" fontId="365" fillId="0" borderId="171" xfId="0" applyNumberFormat="1" applyFont="1" applyBorder="1" applyAlignment="1">
      <alignment horizontal="center" vertical="top" wrapText="1"/>
    </xf>
    <xf numFmtId="16" fontId="365" fillId="0" borderId="176" xfId="0" applyNumberFormat="1" applyFont="1" applyBorder="1" applyAlignment="1">
      <alignment horizontal="center" vertical="top" wrapText="1"/>
    </xf>
    <xf numFmtId="49" fontId="344" fillId="0" borderId="134" xfId="0" applyNumberFormat="1" applyFont="1" applyBorder="1" applyAlignment="1">
      <alignment horizontal="center" vertical="center" wrapText="1"/>
    </xf>
    <xf numFmtId="0" fontId="54" fillId="0" borderId="55" xfId="0" applyFont="1" applyBorder="1"/>
    <xf numFmtId="0" fontId="349" fillId="0" borderId="0" xfId="0" applyFont="1" applyAlignment="1">
      <alignment horizontal="left" wrapText="1"/>
    </xf>
    <xf numFmtId="0" fontId="104" fillId="0" borderId="0" xfId="0" applyFont="1" applyAlignment="1">
      <alignment horizontal="left" wrapText="1"/>
    </xf>
    <xf numFmtId="0" fontId="353" fillId="19" borderId="0" xfId="0" applyFont="1" applyFill="1" applyAlignment="1">
      <alignment horizontal="left" wrapText="1"/>
    </xf>
    <xf numFmtId="0" fontId="355" fillId="0" borderId="0" xfId="0" applyFont="1" applyAlignment="1">
      <alignment horizontal="left" wrapText="1"/>
    </xf>
    <xf numFmtId="0" fontId="355" fillId="0" borderId="153" xfId="0" applyFont="1" applyBorder="1" applyAlignment="1">
      <alignment horizontal="left" wrapText="1"/>
    </xf>
    <xf numFmtId="0" fontId="336" fillId="0" borderId="32" xfId="0" applyFont="1" applyBorder="1" applyAlignment="1">
      <alignment horizontal="left" vertical="center" wrapText="1" indent="5"/>
    </xf>
    <xf numFmtId="0" fontId="336" fillId="0" borderId="33" xfId="0" applyFont="1" applyBorder="1" applyAlignment="1">
      <alignment horizontal="left" vertical="center" wrapText="1" indent="5"/>
    </xf>
    <xf numFmtId="0" fontId="336" fillId="0" borderId="19" xfId="0" applyFont="1" applyBorder="1" applyAlignment="1">
      <alignment horizontal="left" vertical="center" wrapText="1" indent="5"/>
    </xf>
    <xf numFmtId="0" fontId="127" fillId="0" borderId="179" xfId="0" applyFont="1" applyBorder="1" applyAlignment="1">
      <alignment horizontal="right"/>
    </xf>
    <xf numFmtId="0" fontId="116" fillId="0" borderId="180" xfId="0" applyFont="1" applyBorder="1"/>
    <xf numFmtId="0" fontId="116" fillId="0" borderId="56" xfId="0" applyFont="1" applyBorder="1"/>
    <xf numFmtId="0" fontId="0" fillId="0" borderId="175" xfId="0" applyBorder="1" applyAlignment="1">
      <alignment horizontal="center" vertical="center"/>
    </xf>
    <xf numFmtId="0" fontId="0" fillId="0" borderId="0" xfId="0" applyAlignment="1">
      <alignment horizontal="center"/>
    </xf>
    <xf numFmtId="0" fontId="0" fillId="0" borderId="38" xfId="0" applyBorder="1" applyAlignment="1">
      <alignment horizontal="center"/>
    </xf>
    <xf numFmtId="0" fontId="336" fillId="0" borderId="49" xfId="0" applyFont="1" applyBorder="1" applyAlignment="1">
      <alignment horizontal="left" vertical="center" wrapText="1" indent="5"/>
    </xf>
    <xf numFmtId="0" fontId="336" fillId="0" borderId="0" xfId="0" applyFont="1" applyAlignment="1">
      <alignment horizontal="left" vertical="center" wrapText="1" indent="5"/>
    </xf>
    <xf numFmtId="0" fontId="336" fillId="0" borderId="39" xfId="0" applyFont="1" applyBorder="1" applyAlignment="1">
      <alignment horizontal="left" vertical="center" wrapText="1" indent="5"/>
    </xf>
    <xf numFmtId="0" fontId="63" fillId="0" borderId="0" xfId="0" applyFont="1" applyAlignment="1">
      <alignment horizontal="center"/>
    </xf>
    <xf numFmtId="0" fontId="0" fillId="0" borderId="175" xfId="0" applyBorder="1" applyAlignment="1">
      <alignment horizontal="center"/>
    </xf>
    <xf numFmtId="0" fontId="0" fillId="0" borderId="111" xfId="0" applyBorder="1" applyAlignment="1">
      <alignment horizontal="center"/>
    </xf>
    <xf numFmtId="0" fontId="336" fillId="0" borderId="47" xfId="0" applyFont="1" applyBorder="1" applyAlignment="1">
      <alignment horizontal="left" vertical="center" wrapText="1" indent="5"/>
    </xf>
    <xf numFmtId="0" fontId="336" fillId="0" borderId="40" xfId="0" applyFont="1" applyBorder="1" applyAlignment="1">
      <alignment horizontal="left" vertical="center" wrapText="1" indent="5"/>
    </xf>
    <xf numFmtId="0" fontId="336" fillId="0" borderId="48" xfId="0" applyFont="1" applyBorder="1" applyAlignment="1">
      <alignment horizontal="left" vertical="center" wrapText="1" indent="5"/>
    </xf>
    <xf numFmtId="0" fontId="106" fillId="6" borderId="15" xfId="167" applyFont="1" applyFill="1" applyBorder="1" applyAlignment="1">
      <alignment horizontal="center" vertical="center"/>
    </xf>
    <xf numFmtId="0" fontId="106" fillId="6" borderId="28" xfId="167" applyFont="1" applyFill="1" applyBorder="1" applyAlignment="1">
      <alignment horizontal="center" vertical="center"/>
    </xf>
    <xf numFmtId="0" fontId="106" fillId="6" borderId="5" xfId="167" applyFont="1" applyFill="1" applyBorder="1" applyAlignment="1">
      <alignment horizontal="center" vertical="center"/>
    </xf>
    <xf numFmtId="0" fontId="67" fillId="24" borderId="15" xfId="240" applyFont="1" applyFill="1" applyBorder="1" applyAlignment="1">
      <alignment horizontal="center" vertical="center" wrapText="1"/>
    </xf>
    <xf numFmtId="0" fontId="67" fillId="24" borderId="28" xfId="240" applyFont="1" applyFill="1" applyBorder="1" applyAlignment="1">
      <alignment horizontal="center" vertical="center" wrapText="1"/>
    </xf>
    <xf numFmtId="0" fontId="67" fillId="24" borderId="5" xfId="240" applyFont="1" applyFill="1" applyBorder="1" applyAlignment="1">
      <alignment horizontal="center" vertical="center" wrapText="1"/>
    </xf>
    <xf numFmtId="0" fontId="106" fillId="6" borderId="15" xfId="167" applyFont="1" applyFill="1" applyBorder="1" applyAlignment="1">
      <alignment horizontal="center" vertical="center" wrapText="1"/>
    </xf>
    <xf numFmtId="0" fontId="106" fillId="6" borderId="28" xfId="167" applyFont="1" applyFill="1" applyBorder="1" applyAlignment="1">
      <alignment horizontal="center" vertical="center" wrapText="1"/>
    </xf>
    <xf numFmtId="0" fontId="106" fillId="6" borderId="5" xfId="167" applyFont="1" applyFill="1" applyBorder="1" applyAlignment="1">
      <alignment horizontal="center" vertical="center" wrapText="1"/>
    </xf>
    <xf numFmtId="0" fontId="106" fillId="6" borderId="139" xfId="241" applyFont="1" applyFill="1" applyBorder="1" applyAlignment="1">
      <alignment horizontal="left" wrapText="1"/>
    </xf>
    <xf numFmtId="0" fontId="106" fillId="6" borderId="170" xfId="241" applyFont="1" applyFill="1" applyBorder="1" applyAlignment="1">
      <alignment horizontal="left" wrapText="1"/>
    </xf>
    <xf numFmtId="0" fontId="106" fillId="6" borderId="162" xfId="241" applyFont="1" applyFill="1" applyBorder="1" applyAlignment="1">
      <alignment horizontal="left" wrapText="1"/>
    </xf>
    <xf numFmtId="0" fontId="208" fillId="6" borderId="15" xfId="167" applyFont="1" applyFill="1" applyBorder="1" applyAlignment="1">
      <alignment horizontal="center" vertical="center" wrapText="1"/>
    </xf>
    <xf numFmtId="0" fontId="208" fillId="6" borderId="28" xfId="167" applyFont="1" applyFill="1" applyBorder="1" applyAlignment="1">
      <alignment horizontal="center" vertical="center" wrapText="1"/>
    </xf>
    <xf numFmtId="0" fontId="208" fillId="6" borderId="5" xfId="167" applyFont="1" applyFill="1" applyBorder="1" applyAlignment="1">
      <alignment horizontal="center" vertical="center" wrapText="1"/>
    </xf>
  </cellXfs>
  <cellStyles count="273">
    <cellStyle name="20% - Accent1" xfId="118" builtinId="30" customBuiltin="1"/>
    <cellStyle name="20% - Accent1 2" xfId="178" xr:uid="{363495CB-4EFD-4075-8AF2-8C15E33F265E}"/>
    <cellStyle name="20% - Accent1 3" xfId="255" xr:uid="{E5B18DE7-613F-46E6-83F3-B8D166189AAE}"/>
    <cellStyle name="20% - Accent2" xfId="122" builtinId="34" customBuiltin="1"/>
    <cellStyle name="20% - Accent2 2" xfId="181" xr:uid="{A18B77CC-0EE2-4068-8D7D-EF36B82D4569}"/>
    <cellStyle name="20% - Accent2 3" xfId="258" xr:uid="{0B5741FD-8B26-42B3-AD92-C666C48C2E56}"/>
    <cellStyle name="20% - Accent3" xfId="126" builtinId="38" customBuiltin="1"/>
    <cellStyle name="20% - Accent3 2" xfId="184" xr:uid="{828B7FC4-D874-45AB-90C4-80E102CDA5BC}"/>
    <cellStyle name="20% - Accent3 3" xfId="261" xr:uid="{1E6C9157-3BCC-462D-A9DA-092044DD508A}"/>
    <cellStyle name="20% - Accent4" xfId="130" builtinId="42" customBuiltin="1"/>
    <cellStyle name="20% - Accent4 2" xfId="187" xr:uid="{D6C29F7D-F1D1-4B50-B51D-8C757C4F426E}"/>
    <cellStyle name="20% - Accent4 3" xfId="264" xr:uid="{C8AB55DE-1FCC-4428-9A86-267BA79876C2}"/>
    <cellStyle name="20% - Accent5" xfId="134" builtinId="46" customBuiltin="1"/>
    <cellStyle name="20% - Accent5 2" xfId="190" xr:uid="{FCD4D055-3930-49A6-8889-90B080C6E772}"/>
    <cellStyle name="20% - Accent5 3" xfId="267" xr:uid="{F587695F-375B-4967-B352-43DE04DA1E20}"/>
    <cellStyle name="20% - Accent6" xfId="138" builtinId="50" customBuiltin="1"/>
    <cellStyle name="20% - Accent6 2" xfId="193" xr:uid="{27DC87F4-78AB-4578-80CF-0B1BFA91BF76}"/>
    <cellStyle name="20% - Accent6 3" xfId="270" xr:uid="{6401CBB4-6642-461B-ACAA-8610AEB4F886}"/>
    <cellStyle name="20% no 1. izcēluma 2" xfId="148" xr:uid="{00000000-0005-0000-0000-000001000000}"/>
    <cellStyle name="20% no 1. izcēluma 3" xfId="222" xr:uid="{784540F9-359C-423E-BC1B-C1AEB3C33C54}"/>
    <cellStyle name="20% no 2. izcēluma 2" xfId="150" xr:uid="{00000000-0005-0000-0000-000003000000}"/>
    <cellStyle name="20% no 2. izcēluma 3" xfId="225" xr:uid="{825A49D2-CB0F-4EA0-883E-62C47A8A74EE}"/>
    <cellStyle name="20% no 3. izcēluma 2" xfId="152" xr:uid="{00000000-0005-0000-0000-000005000000}"/>
    <cellStyle name="20% no 3. izcēluma 3" xfId="228" xr:uid="{BDB0685F-E89F-4E5B-8878-13EC8CEB3F6B}"/>
    <cellStyle name="20% no 4. izcēluma 2" xfId="154" xr:uid="{00000000-0005-0000-0000-000007000000}"/>
    <cellStyle name="20% no 4. izcēluma 3" xfId="231" xr:uid="{A8DB4D5F-6BB0-4C95-BF37-19DF26094270}"/>
    <cellStyle name="20% no 5. izcēluma 2" xfId="156" xr:uid="{00000000-0005-0000-0000-000009000000}"/>
    <cellStyle name="20% no 5. izcēluma 3" xfId="234" xr:uid="{A32F06B0-3F09-44A7-8CC2-04FCC134D7A2}"/>
    <cellStyle name="20% no 6. izcēluma 2" xfId="158" xr:uid="{00000000-0005-0000-0000-00000B000000}"/>
    <cellStyle name="20% no 6. izcēluma 3" xfId="237" xr:uid="{D91FA401-D48B-4953-A089-E6168A38A39B}"/>
    <cellStyle name="40% - Accent1" xfId="119" builtinId="31" customBuiltin="1"/>
    <cellStyle name="40% - Accent1 2" xfId="179" xr:uid="{52F15773-EEB9-4FAB-B1D0-72EF0155F97D}"/>
    <cellStyle name="40% - Accent1 3" xfId="256" xr:uid="{3E5A396A-0448-4C32-9011-01F9C66BC61D}"/>
    <cellStyle name="40% - Accent2" xfId="123" builtinId="35" customBuiltin="1"/>
    <cellStyle name="40% - Accent2 2" xfId="182" xr:uid="{3B8FAB79-3B2B-45F3-A5EB-B230A3278B50}"/>
    <cellStyle name="40% - Accent2 3" xfId="259" xr:uid="{1181E458-A323-45CD-9455-A05C791EED05}"/>
    <cellStyle name="40% - Accent3" xfId="127" builtinId="39" customBuiltin="1"/>
    <cellStyle name="40% - Accent3 2" xfId="185" xr:uid="{2B662775-B899-4B35-8D7E-FCE4CD58456D}"/>
    <cellStyle name="40% - Accent3 3" xfId="262" xr:uid="{9AF3EAC6-520A-4CDF-9CAA-4E7F85768EEB}"/>
    <cellStyle name="40% - Accent4" xfId="131" builtinId="43" customBuiltin="1"/>
    <cellStyle name="40% - Accent4 2" xfId="188" xr:uid="{64C688F0-7CEF-4FE8-9E4F-59C5F7B42BEF}"/>
    <cellStyle name="40% - Accent4 3" xfId="265" xr:uid="{4CD6D80D-3FF9-4D61-B545-31BC888C668F}"/>
    <cellStyle name="40% - Accent5" xfId="135" builtinId="47" customBuiltin="1"/>
    <cellStyle name="40% - Accent5 2" xfId="191" xr:uid="{AF63A63F-2393-4DDD-B11E-1E8547F0F85D}"/>
    <cellStyle name="40% - Accent5 3" xfId="268" xr:uid="{549B5969-3EB4-4DD1-BDD8-95D7A6E0C93E}"/>
    <cellStyle name="40% - Accent6" xfId="139" builtinId="51" customBuiltin="1"/>
    <cellStyle name="40% - Accent6 2" xfId="194" xr:uid="{3A5C1458-F927-4ED5-9DF6-2B52D0C9B7BA}"/>
    <cellStyle name="40% - Accent6 3" xfId="271" xr:uid="{0D42A310-8352-4F0C-A4E1-061959AAB9CB}"/>
    <cellStyle name="40% no 1. izcēluma 2" xfId="149" xr:uid="{00000000-0005-0000-0000-00000D000000}"/>
    <cellStyle name="40% no 1. izcēluma 3" xfId="223" xr:uid="{79A19D2E-A8A2-4715-83EE-F09F8D21670E}"/>
    <cellStyle name="40% no 2. izcēluma 2" xfId="151" xr:uid="{00000000-0005-0000-0000-00000F000000}"/>
    <cellStyle name="40% no 2. izcēluma 3" xfId="226" xr:uid="{6D9775AC-6734-46A7-8000-8D06F849011F}"/>
    <cellStyle name="40% no 3. izcēluma 2" xfId="153" xr:uid="{00000000-0005-0000-0000-000011000000}"/>
    <cellStyle name="40% no 3. izcēluma 3" xfId="229" xr:uid="{1DBDB1B2-71C4-4862-AD1C-CDF14924E251}"/>
    <cellStyle name="40% no 4. izcēluma 2" xfId="155" xr:uid="{00000000-0005-0000-0000-000013000000}"/>
    <cellStyle name="40% no 4. izcēluma 3" xfId="232" xr:uid="{4A868E76-6305-44D7-A20B-7EEE03FAFAB6}"/>
    <cellStyle name="40% no 5. izcēluma 2" xfId="157" xr:uid="{00000000-0005-0000-0000-000015000000}"/>
    <cellStyle name="40% no 5. izcēluma 3" xfId="235" xr:uid="{4F8CC661-C589-4E31-9949-FDD729F9FFE2}"/>
    <cellStyle name="40% no 6. izcēluma 2" xfId="159" xr:uid="{00000000-0005-0000-0000-000017000000}"/>
    <cellStyle name="40% no 6. izcēluma 3" xfId="238" xr:uid="{21B6D52D-3270-4A1B-841E-69E38C4EE0ED}"/>
    <cellStyle name="60% - Accent1" xfId="120" builtinId="32" customBuiltin="1"/>
    <cellStyle name="60% - Accent1 2" xfId="180" xr:uid="{2FF805B4-7736-476D-9441-E38DA002F17C}"/>
    <cellStyle name="60% - Accent1 3" xfId="257" xr:uid="{1D71ECB8-1786-4327-A481-1DBC41CD12F6}"/>
    <cellStyle name="60% - Accent2" xfId="124" builtinId="36" customBuiltin="1"/>
    <cellStyle name="60% - Accent2 2" xfId="183" xr:uid="{C36BDC48-DDDB-44C7-9E4B-3FEFC6C7EE83}"/>
    <cellStyle name="60% - Accent2 3" xfId="260" xr:uid="{1FE7452F-6B7B-4BB2-8685-1812FF4DC364}"/>
    <cellStyle name="60% - Accent3" xfId="128" builtinId="40" customBuiltin="1"/>
    <cellStyle name="60% - Accent3 2" xfId="186" xr:uid="{129DABD0-E58B-4402-90C0-1CDA297E49E8}"/>
    <cellStyle name="60% - Accent3 3" xfId="263" xr:uid="{08802A62-7D09-45F3-ADFC-7526242635C2}"/>
    <cellStyle name="60% - Accent4" xfId="132" builtinId="44" customBuiltin="1"/>
    <cellStyle name="60% - Accent4 2" xfId="189" xr:uid="{4DF1C865-0303-4E8E-8163-9614765FC054}"/>
    <cellStyle name="60% - Accent4 3" xfId="266" xr:uid="{68A38B11-F7FC-4586-93CC-9F039F4577DA}"/>
    <cellStyle name="60% - Accent5" xfId="136" builtinId="48" customBuiltin="1"/>
    <cellStyle name="60% - Accent5 2" xfId="192" xr:uid="{49CE04F7-7C67-4035-B478-D5A0BC67A4F9}"/>
    <cellStyle name="60% - Accent5 3" xfId="269" xr:uid="{B7B32AEA-8954-41E2-ACA2-AF1C9415F3A5}"/>
    <cellStyle name="60% - Accent6" xfId="140" builtinId="52" customBuiltin="1"/>
    <cellStyle name="60% - Accent6 2" xfId="195" xr:uid="{E49FFC8E-C988-475A-9C83-E9CFCB701DBF}"/>
    <cellStyle name="60% - Accent6 3" xfId="272" xr:uid="{CE0272C9-98EC-4F79-8EFD-9FFA00968D36}"/>
    <cellStyle name="60% no 1. izcēluma 2" xfId="224" xr:uid="{BACF85F9-4A7D-4C85-89B8-81505C9E67CC}"/>
    <cellStyle name="60% no 2. izcēluma 2" xfId="227" xr:uid="{E8127104-1405-4FB8-A7A8-A9AC3EFE9E68}"/>
    <cellStyle name="60% no 3. izcēluma 2" xfId="230" xr:uid="{DF56DC40-6B6E-4ECB-9EB0-25F22FE902E7}"/>
    <cellStyle name="60% no 4. izcēluma 2" xfId="233" xr:uid="{B21BC850-C4D2-4CC5-A843-4B748E0B26A3}"/>
    <cellStyle name="60% no 5. izcēluma 2" xfId="236" xr:uid="{93DD5956-1773-4ED8-803E-11AD19B3C5C4}"/>
    <cellStyle name="60% no 6. izcēluma 2" xfId="239" xr:uid="{521FF28F-DC94-43B6-BBAC-663C1ED4DF4C}"/>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2" xfId="218" xr:uid="{A6C95BC1-19F2-4D14-8F05-F1BCAFFD66B6}"/>
    <cellStyle name="Comma 2 2" xfId="25" xr:uid="{00000000-0005-0000-0000-000020000000}"/>
    <cellStyle name="Comma 3" xfId="30" xr:uid="{00000000-0005-0000-0000-000021000000}"/>
    <cellStyle name="Comma 3 2" xfId="98" xr:uid="{00000000-0005-0000-0000-000022000000}"/>
    <cellStyle name="Comma 3 3" xfId="12" xr:uid="{00000000-0005-0000-0000-000023000000}"/>
    <cellStyle name="Comma 4" xfId="250" xr:uid="{AC4A0D79-086A-4C7A-AFC2-E1C60832C341}"/>
    <cellStyle name="Comma 4 2" xfId="11" xr:uid="{00000000-0005-0000-0000-000024000000}"/>
    <cellStyle name="Comma 5" xfId="8" xr:uid="{00000000-0005-0000-0000-000025000000}"/>
    <cellStyle name="Comma 6" xfId="252" xr:uid="{20C29D04-42EB-4FAE-971A-CDD78EB55D47}"/>
    <cellStyle name="Comma 6 2" xfId="15" xr:uid="{00000000-0005-0000-0000-000026000000}"/>
    <cellStyle name="Currency 2" xfId="215" xr:uid="{A0439C78-5394-45FD-B783-E1E5BD692DBF}"/>
    <cellStyle name="Datums" xfId="210" xr:uid="{177CD88D-07C8-4806-B238-51403151868B}"/>
    <cellStyle name="Excel Built-in Comma" xfId="69" xr:uid="{00000000-0005-0000-0000-000028000000}"/>
    <cellStyle name="Excel Built-in Normal" xfId="54" xr:uid="{00000000-0005-0000-0000-000029000000}"/>
    <cellStyle name="Excel Built-in Percent" xfId="68" xr:uid="{00000000-0005-0000-0000-00002A000000}"/>
    <cellStyle name="Explanatory Text" xfId="115" builtinId="53" customBuiltin="1"/>
    <cellStyle name="Explanatory Text 2" xfId="208" xr:uid="{A0498B9A-D992-4E78-BF25-546CAE2BE786}"/>
    <cellStyle name="Good" xfId="106" builtinId="26" customBuiltin="1"/>
    <cellStyle name="Heading 1" xfId="102" builtinId="16" customBuiltin="1"/>
    <cellStyle name="Heading 1 2" xfId="205" xr:uid="{E98B7448-A897-4EA1-9906-18A8FE0D192D}"/>
    <cellStyle name="Heading 2" xfId="103" builtinId="17" customBuiltin="1"/>
    <cellStyle name="Heading 2 2" xfId="209" xr:uid="{FF1DA6CD-3B3A-4E9F-90B0-39C524CC5C89}"/>
    <cellStyle name="Heading 3" xfId="104" builtinId="18" customBuiltin="1"/>
    <cellStyle name="Heading 3 2" xfId="212" xr:uid="{EC5204E5-D883-4752-94D0-7259464FE54C}"/>
    <cellStyle name="Heading 4" xfId="105" builtinId="19" customBuiltin="1"/>
    <cellStyle name="Heading 4 2" xfId="213" xr:uid="{5BE628C0-8046-4E7E-9D76-388CC31BADE7}"/>
    <cellStyle name="Hipersaite 2" xfId="41" xr:uid="{00000000-0005-0000-0000-00002C000000}"/>
    <cellStyle name="Hipersaite 3" xfId="91" xr:uid="{00000000-0005-0000-0000-00002D000000}"/>
    <cellStyle name="Hipersaite 4" xfId="198" xr:uid="{6744AC71-A348-4DB4-9CF9-D7854F4985EF}"/>
    <cellStyle name="Hyperlink" xfId="173" builtinId="8"/>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4" xfId="145" xr:uid="{00000000-0005-0000-0000-00003D000000}"/>
    <cellStyle name="Komats 15" xfId="202" xr:uid="{B05EB464-085D-4EEA-BAF8-CC5AD2B4A2D0}"/>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5" xfId="67" xr:uid="{00000000-0005-0000-0000-00004E000000}"/>
    <cellStyle name="Komats 6" xfId="22" xr:uid="{00000000-0005-0000-0000-00004F000000}"/>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4" xr:uid="{01923C97-C140-46F8-BB35-E6786FEC1363}"/>
    <cellStyle name="Labs 2" xfId="27" xr:uid="{00000000-0005-0000-0000-000056000000}"/>
    <cellStyle name="Linked Cell" xfId="112" builtinId="24" customBuiltin="1"/>
    <cellStyle name="Neitrāls 2" xfId="220"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6" xr:uid="{5575246C-A952-4A15-BADA-9F19CD9E65C6}"/>
    <cellStyle name="Normal 12" xfId="249" xr:uid="{1D4F9D85-0A78-43F9-9239-E886866C899F}"/>
    <cellStyle name="Normal 13" xfId="251" xr:uid="{70DA57D8-BE06-4782-A262-EFEB9F93E445}"/>
    <cellStyle name="Normal 14" xfId="253" xr:uid="{665D8E63-7A1E-4286-B974-6D3B17E8B04A}"/>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3" xfId="64" xr:uid="{00000000-0005-0000-0000-00005D000000}"/>
    <cellStyle name="Normal 2 4" xfId="167" xr:uid="{00000000-0005-0000-0000-00005E000000}"/>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200" xr:uid="{7941E8FE-1001-4537-B72B-74FF7E985732}"/>
    <cellStyle name="Normal 4 3 2 2" xfId="242" xr:uid="{07A6D629-704A-4AD3-960C-E38FF4D2C387}"/>
    <cellStyle name="Normal 4 3 3" xfId="204" xr:uid="{1EEB7F85-9DF1-4FF9-BB7F-7A0A3BDFEC8F}"/>
    <cellStyle name="Normal 4 3 4" xfId="241"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7" xr:uid="{B39A0216-0C63-4619-93B3-621879552DDB}"/>
    <cellStyle name="Normal 8" xfId="207" xr:uid="{06CF81E4-4CEE-4FB3-98A1-BFD93CCD82A7}"/>
    <cellStyle name="Normal 9" xfId="244" xr:uid="{E2B71D29-652D-40F2-B8AC-0C8EC8E6795B}"/>
    <cellStyle name="Normal_Sheet1" xfId="197" xr:uid="{61CCF177-D2F4-45C7-A056-0991A2629B20}"/>
    <cellStyle name="Note 2" xfId="177" xr:uid="{AA97006D-4E69-4CC6-8481-354EBBA19CC9}"/>
    <cellStyle name="Note 3" xfId="216" xr:uid="{C0D84A79-D75B-4349-B990-6E2C649B60A1}"/>
    <cellStyle name="Note 4" xfId="254"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2" xfId="247" xr:uid="{AC96DA57-6BDC-46BB-80C2-D97C9371E98E}"/>
    <cellStyle name="Parasts 2 2 3" xfId="32" xr:uid="{00000000-0005-0000-0000-00007E000000}"/>
    <cellStyle name="Parasts 2 2 4" xfId="35" xr:uid="{00000000-0005-0000-0000-00007F000000}"/>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3" xfId="86" xr:uid="{00000000-0005-0000-0000-000085000000}"/>
    <cellStyle name="Parasts 2 4" xfId="170" xr:uid="{00000000-0005-0000-0000-000086000000}"/>
    <cellStyle name="Parasts 20" xfId="166" xr:uid="{00000000-0005-0000-0000-000087000000}"/>
    <cellStyle name="Parasts 20 2" xfId="199" xr:uid="{75C7A2B3-6BCE-4112-A10A-55E82BAF20CE}"/>
    <cellStyle name="Parasts 20 3" xfId="203" xr:uid="{9577B0DB-EFB8-4226-AE75-FBD61AB104D3}"/>
    <cellStyle name="Parasts 20 4" xfId="240" xr:uid="{96EF8392-9C93-4913-B028-411468475788}"/>
    <cellStyle name="Parasts 21" xfId="172" xr:uid="{00000000-0005-0000-0000-000088000000}"/>
    <cellStyle name="Parasts 22" xfId="196" xr:uid="{838BED57-F8F7-4C64-A2D0-8B3E18F8B431}"/>
    <cellStyle name="Parasts 23" xfId="201" xr:uid="{A9EB4556-2728-4537-8824-E4B437D8C3EC}"/>
    <cellStyle name="Parasts 24" xfId="219" xr:uid="{B555F44A-3B4B-4C67-8753-6B33B9A32A6D}"/>
    <cellStyle name="Parasts 24 2" xfId="245" xr:uid="{C7F7D1DA-786D-40A6-8C6D-C94B002410C9}"/>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8" xr:uid="{AF31DD25-E13D-4B36-B8CB-BC7F8C6466B8}"/>
    <cellStyle name="Parasts 3 5" xfId="163" xr:uid="{00000000-0005-0000-0000-00008D000000}"/>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1" xr:uid="{31E00C30-DE24-4229-8B20-70128355722C}"/>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Style 1" xfId="169" xr:uid="{00000000-0005-0000-0000-0000AA000000}"/>
    <cellStyle name="Tālruņa numurs" xfId="211" xr:uid="{B8C2BBA4-491B-4C8E-967C-8909EA0A9A6D}"/>
    <cellStyle name="Title" xfId="101" builtinId="15" customBuiltin="1"/>
    <cellStyle name="Title 2" xfId="206" xr:uid="{F7EDA3B8-B2E2-476D-9C0C-F20AEF5341CE}"/>
    <cellStyle name="Total" xfId="116" builtinId="25" customBuiltin="1"/>
    <cellStyle name="Valūta 2" xfId="21" xr:uid="{00000000-0005-0000-0000-0000AC000000}"/>
    <cellStyle name="Valūta 3" xfId="79" xr:uid="{00000000-0005-0000-0000-0000AD000000}"/>
    <cellStyle name="Valūta 4" xfId="243" xr:uid="{E97C5B63-0097-415C-A38C-0E0328028B59}"/>
    <cellStyle name="Virsraksts 2 2" xfId="85" xr:uid="{00000000-0005-0000-0000-0000B0000000}"/>
    <cellStyle name="Warning Text" xfId="114" builtinId="11" customBuiltin="1"/>
  </cellStyles>
  <dxfs count="6">
    <dxf>
      <font>
        <condense val="0"/>
        <extend val="0"/>
        <color rgb="FF9C0006"/>
      </font>
      <fill>
        <patternFill>
          <bgColor rgb="FFFFC7CE"/>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5"/>
      <tableStyleElement type="headerRow" dxfId="4"/>
      <tableStyleElement type="totalRow" dxfId="3"/>
      <tableStyleElement type="lastColumn" dxfId="2"/>
      <tableStyleElement type="lastTotalCell" dxfId="1"/>
    </tableStyle>
  </tableStyles>
  <colors>
    <mruColors>
      <color rgb="FFFFFF99"/>
      <color rgb="FF8E267F"/>
      <color rgb="FFFF8B8B"/>
      <color rgb="FF6CA644"/>
      <color rgb="FFFFCC66"/>
      <color rgb="FF0FA8C1"/>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sadalījums, 2023</a:t>
            </a:r>
          </a:p>
          <a:p>
            <a:pPr>
              <a:defRPr/>
            </a:pPr>
            <a:endParaRPr lang="lv-LV"/>
          </a:p>
        </c:rich>
      </c:tx>
      <c:layout>
        <c:manualLayout>
          <c:xMode val="edge"/>
          <c:yMode val="edge"/>
          <c:x val="0.2485523955931335"/>
          <c:y val="1.75554092604783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0.24022484689413823"/>
          <c:y val="0.24022972565408934"/>
          <c:w val="0.3639002152024533"/>
          <c:h val="0.6817147831191633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55-4DAF-B018-F9EF68305EC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55-4DAF-B018-F9EF68305EC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E55-4DAF-B018-F9EF68305EC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E55-4DAF-B018-F9EF68305EC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E55-4DAF-B018-F9EF68305EC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3BE0-40FA-94E7-ED7210831DDD}"/>
              </c:ext>
            </c:extLst>
          </c:dPt>
          <c:dLbls>
            <c:dLbl>
              <c:idx val="0"/>
              <c:layout>
                <c:manualLayout>
                  <c:x val="0.10523511003432263"/>
                  <c:y val="7.2330877995089318E-2"/>
                </c:manualLayout>
              </c:layout>
              <c:showLegendKey val="0"/>
              <c:showVal val="0"/>
              <c:showCatName val="1"/>
              <c:showSerName val="0"/>
              <c:showPercent val="1"/>
              <c:showBubbleSize val="0"/>
              <c:extLst>
                <c:ext xmlns:c15="http://schemas.microsoft.com/office/drawing/2012/chart" uri="{CE6537A1-D6FC-4f65-9D91-7224C49458BB}">
                  <c15:layout>
                    <c:manualLayout>
                      <c:w val="0.15732152230971128"/>
                      <c:h val="0.11640747122676147"/>
                    </c:manualLayout>
                  </c15:layout>
                </c:ext>
                <c:ext xmlns:c16="http://schemas.microsoft.com/office/drawing/2014/chart" uri="{C3380CC4-5D6E-409C-BE32-E72D297353CC}">
                  <c16:uniqueId val="{00000001-AE55-4DAF-B018-F9EF68305EC4}"/>
                </c:ext>
              </c:extLst>
            </c:dLbl>
            <c:dLbl>
              <c:idx val="1"/>
              <c:layout>
                <c:manualLayout>
                  <c:x val="-8.8653097131107111E-2"/>
                  <c:y val="8.6123389685369145E-2"/>
                </c:manualLayout>
              </c:layout>
              <c:showLegendKey val="0"/>
              <c:showVal val="0"/>
              <c:showCatName val="1"/>
              <c:showSerName val="0"/>
              <c:showPercent val="1"/>
              <c:showBubbleSize val="0"/>
              <c:extLst>
                <c:ext xmlns:c15="http://schemas.microsoft.com/office/drawing/2012/chart" uri="{CE6537A1-D6FC-4f65-9D91-7224C49458BB}">
                  <c15:layout>
                    <c:manualLayout>
                      <c:w val="0.13463035870516185"/>
                      <c:h val="0.11640747122676147"/>
                    </c:manualLayout>
                  </c15:layout>
                </c:ext>
                <c:ext xmlns:c16="http://schemas.microsoft.com/office/drawing/2014/chart" uri="{C3380CC4-5D6E-409C-BE32-E72D297353CC}">
                  <c16:uniqueId val="{00000003-AE55-4DAF-B018-F9EF68305EC4}"/>
                </c:ext>
              </c:extLst>
            </c:dLbl>
            <c:dLbl>
              <c:idx val="2"/>
              <c:layout>
                <c:manualLayout>
                  <c:x val="-0.17371794871794871"/>
                  <c:y val="-1.983484783296097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E55-4DAF-B018-F9EF68305EC4}"/>
                </c:ext>
              </c:extLst>
            </c:dLbl>
            <c:dLbl>
              <c:idx val="3"/>
              <c:layout>
                <c:manualLayout>
                  <c:x val="-0.16256947512613959"/>
                  <c:y val="-8.97710366849305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E55-4DAF-B018-F9EF68305EC4}"/>
                </c:ext>
              </c:extLst>
            </c:dLbl>
            <c:dLbl>
              <c:idx val="4"/>
              <c:layout>
                <c:manualLayout>
                  <c:x val="-0.10461597277281157"/>
                  <c:y val="-0.18307665458868336"/>
                </c:manualLayout>
              </c:layout>
              <c:showLegendKey val="0"/>
              <c:showVal val="0"/>
              <c:showCatName val="1"/>
              <c:showSerName val="0"/>
              <c:showPercent val="1"/>
              <c:showBubbleSize val="0"/>
              <c:extLst>
                <c:ext xmlns:c15="http://schemas.microsoft.com/office/drawing/2012/chart" uri="{CE6537A1-D6FC-4f65-9D91-7224C49458BB}">
                  <c15:layout>
                    <c:manualLayout>
                      <c:w val="0.13437007874015747"/>
                      <c:h val="0.12879105139558386"/>
                    </c:manualLayout>
                  </c15:layout>
                </c:ext>
                <c:ext xmlns:c16="http://schemas.microsoft.com/office/drawing/2014/chart" uri="{C3380CC4-5D6E-409C-BE32-E72D297353CC}">
                  <c16:uniqueId val="{00000009-AE55-4DAF-B018-F9EF68305EC4}"/>
                </c:ext>
              </c:extLst>
            </c:dLbl>
            <c:dLbl>
              <c:idx val="5"/>
              <c:layout>
                <c:manualLayout>
                  <c:x val="0.10453371377334594"/>
                  <c:y val="-0.16059088191768017"/>
                </c:manualLayout>
              </c:layout>
              <c:tx>
                <c:rich>
                  <a:bodyPr/>
                  <a:lstStyle/>
                  <a:p>
                    <a:fld id="{4342282D-3080-4254-9938-01448FD1E17A}" type="CATEGORYNAME">
                      <a:rPr lang="en-US"/>
                      <a:pPr/>
                      <a:t>[CATEGORY NAME]</a:t>
                    </a:fld>
                    <a:r>
                      <a:rPr lang="en-US" baseline="0"/>
                      <a:t>Pamatsummas atmaksa      </a:t>
                    </a:r>
                    <a:fld id="{352D7A1B-AA2A-45D9-A65F-8032B05D5DB0}" type="PERCENTAGE">
                      <a:rPr lang="en-US" baseline="0"/>
                      <a:pPr/>
                      <a:t>[PERCENTAGE]</a:t>
                    </a:fld>
                    <a:endParaRPr lang="en-US" baseline="0"/>
                  </a:p>
                </c:rich>
              </c:tx>
              <c:showLegendKey val="0"/>
              <c:showVal val="0"/>
              <c:showCatName val="1"/>
              <c:showSerName val="0"/>
              <c:showPercent val="1"/>
              <c:showBubbleSize val="0"/>
              <c:extLst>
                <c:ext xmlns:c15="http://schemas.microsoft.com/office/drawing/2012/chart" uri="{CE6537A1-D6FC-4f65-9D91-7224C49458BB}">
                  <c15:layout>
                    <c:manualLayout>
                      <c:w val="0.13983667468817026"/>
                      <c:h val="0.17072229881838449"/>
                    </c:manualLayout>
                  </c15:layout>
                  <c15:dlblFieldTable/>
                  <c15:showDataLabelsRange val="0"/>
                </c:ext>
                <c:ext xmlns:c16="http://schemas.microsoft.com/office/drawing/2014/chart" uri="{C3380CC4-5D6E-409C-BE32-E72D297353CC}">
                  <c16:uniqueId val="{0000000A-3BE0-40FA-94E7-ED7210831DD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lv-LV"/>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Grafiki_2024!$B$5:$B$9</c:f>
              <c:strCache>
                <c:ptCount val="5"/>
                <c:pt idx="0">
                  <c:v>Atalgojums</c:v>
                </c:pt>
                <c:pt idx="1">
                  <c:v>Bāze</c:v>
                </c:pt>
                <c:pt idx="2">
                  <c:v>Parāda procentu maksājumi</c:v>
                </c:pt>
                <c:pt idx="3">
                  <c:v>Iemaksas PFIF</c:v>
                </c:pt>
                <c:pt idx="4">
                  <c:v>Pabalsti</c:v>
                </c:pt>
              </c:strCache>
            </c:strRef>
          </c:cat>
          <c:val>
            <c:numRef>
              <c:f>Grafiki_2024!$E$5:$E$10</c:f>
              <c:numCache>
                <c:formatCode>0%</c:formatCode>
                <c:ptCount val="6"/>
                <c:pt idx="0">
                  <c:v>0.39307006158156343</c:v>
                </c:pt>
                <c:pt idx="1">
                  <c:v>0.33821143535524967</c:v>
                </c:pt>
                <c:pt idx="2">
                  <c:v>3.2418421953937265E-2</c:v>
                </c:pt>
                <c:pt idx="3">
                  <c:v>0.11724689772766771</c:v>
                </c:pt>
                <c:pt idx="4">
                  <c:v>2.3690920832436818E-2</c:v>
                </c:pt>
                <c:pt idx="5">
                  <c:v>9.5362262549145108E-2</c:v>
                </c:pt>
              </c:numCache>
            </c:numRef>
          </c:val>
          <c:extLst>
            <c:ext xmlns:c16="http://schemas.microsoft.com/office/drawing/2014/chart" uri="{C3380CC4-5D6E-409C-BE32-E72D297353CC}">
              <c16:uniqueId val="{0000000A-AE55-4DAF-B018-F9EF68305EC4}"/>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72405052493438316"/>
          <c:y val="0.28696752241149914"/>
          <c:w val="0.25928280839895007"/>
          <c:h val="0.468031350651805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sadalījums,</a:t>
            </a:r>
            <a:r>
              <a:rPr lang="lv-LV" baseline="0"/>
              <a:t> 2024</a:t>
            </a:r>
          </a:p>
          <a:p>
            <a:pPr>
              <a:defRPr/>
            </a:pPr>
            <a:endParaRPr lang="lv-LV" baseline="0"/>
          </a:p>
          <a:p>
            <a:pPr>
              <a:defRPr/>
            </a:pPr>
            <a:endParaRPr lang="lv-LV"/>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0.24471085748807059"/>
          <c:y val="0.21784286731895638"/>
          <c:w val="0.43074499046872639"/>
          <c:h val="0.70813418320458543"/>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E3-4E95-96A7-3008C704BD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E3-4E95-96A7-3008C704BD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E3-4E95-96A7-3008C704BD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E3-4E95-96A7-3008C704BD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E3-4E95-96A7-3008C704BD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A-0510-4F0F-986F-96805FB8D14A}"/>
              </c:ext>
            </c:extLst>
          </c:dPt>
          <c:dLbls>
            <c:dLbl>
              <c:idx val="0"/>
              <c:layout>
                <c:manualLayout>
                  <c:x val="9.1666666666666646E-2"/>
                  <c:y val="4.1522491349480967E-2"/>
                </c:manualLayout>
              </c:layout>
              <c:showLegendKey val="0"/>
              <c:showVal val="0"/>
              <c:showCatName val="1"/>
              <c:showSerName val="0"/>
              <c:showPercent val="1"/>
              <c:showBubbleSize val="0"/>
              <c:extLst>
                <c:ext xmlns:c15="http://schemas.microsoft.com/office/drawing/2012/chart" uri="{CE6537A1-D6FC-4f65-9D91-7224C49458BB}">
                  <c15:layout>
                    <c:manualLayout>
                      <c:w val="0.14831496062992122"/>
                      <c:h val="0.11576783005930487"/>
                    </c:manualLayout>
                  </c15:layout>
                </c:ext>
                <c:ext xmlns:c16="http://schemas.microsoft.com/office/drawing/2014/chart" uri="{C3380CC4-5D6E-409C-BE32-E72D297353CC}">
                  <c16:uniqueId val="{00000001-82E3-4E95-96A7-3008C704BD42}"/>
                </c:ext>
              </c:extLst>
            </c:dLbl>
            <c:dLbl>
              <c:idx val="1"/>
              <c:layout>
                <c:manualLayout>
                  <c:x val="-6.9444553805774273E-2"/>
                  <c:y val="8.3044982698961933E-2"/>
                </c:manualLayout>
              </c:layout>
              <c:showLegendKey val="0"/>
              <c:showVal val="0"/>
              <c:showCatName val="1"/>
              <c:showSerName val="0"/>
              <c:showPercent val="1"/>
              <c:showBubbleSize val="0"/>
              <c:extLst>
                <c:ext xmlns:c15="http://schemas.microsoft.com/office/drawing/2012/chart" uri="{CE6537A1-D6FC-4f65-9D91-7224C49458BB}">
                  <c15:layout>
                    <c:manualLayout>
                      <c:w val="0.16451290463692037"/>
                      <c:h val="0.11576783005930487"/>
                    </c:manualLayout>
                  </c15:layout>
                </c:ext>
                <c:ext xmlns:c16="http://schemas.microsoft.com/office/drawing/2014/chart" uri="{C3380CC4-5D6E-409C-BE32-E72D297353CC}">
                  <c16:uniqueId val="{00000003-82E3-4E95-96A7-3008C704BD42}"/>
                </c:ext>
              </c:extLst>
            </c:dLbl>
            <c:dLbl>
              <c:idx val="2"/>
              <c:layout>
                <c:manualLayout>
                  <c:x val="-0.17222222222222222"/>
                  <c:y val="-3.6908881199538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2E3-4E95-96A7-3008C704BD42}"/>
                </c:ext>
              </c:extLst>
            </c:dLbl>
            <c:dLbl>
              <c:idx val="3"/>
              <c:layout>
                <c:manualLayout>
                  <c:x val="-0.1"/>
                  <c:y val="-0.110726643598615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2E3-4E95-96A7-3008C704BD42}"/>
                </c:ext>
              </c:extLst>
            </c:dLbl>
            <c:dLbl>
              <c:idx val="4"/>
              <c:layout>
                <c:manualLayout>
                  <c:x val="1.3888888888888215E-3"/>
                  <c:y val="-0.13379469434832758"/>
                </c:manualLayout>
              </c:layout>
              <c:showLegendKey val="0"/>
              <c:showVal val="0"/>
              <c:showCatName val="1"/>
              <c:showSerName val="0"/>
              <c:showPercent val="1"/>
              <c:showBubbleSize val="0"/>
              <c:extLst>
                <c:ext xmlns:c15="http://schemas.microsoft.com/office/drawing/2012/chart" uri="{CE6537A1-D6FC-4f65-9D91-7224C49458BB}">
                  <c15:layout>
                    <c:manualLayout>
                      <c:w val="0.12155883639545054"/>
                      <c:h val="0.11576783005930487"/>
                    </c:manualLayout>
                  </c15:layout>
                </c:ext>
                <c:ext xmlns:c16="http://schemas.microsoft.com/office/drawing/2014/chart" uri="{C3380CC4-5D6E-409C-BE32-E72D297353CC}">
                  <c16:uniqueId val="{00000009-82E3-4E95-96A7-3008C704BD42}"/>
                </c:ext>
              </c:extLst>
            </c:dLbl>
            <c:dLbl>
              <c:idx val="5"/>
              <c:layout>
                <c:manualLayout>
                  <c:x val="0.16371247986525048"/>
                  <c:y val="-0.1191615929720127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510-4F0F-986F-96805FB8D14A}"/>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lv-LV"/>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Grafiki_2024!$B$5:$B$10</c:f>
              <c:strCache>
                <c:ptCount val="6"/>
                <c:pt idx="0">
                  <c:v>Atalgojums</c:v>
                </c:pt>
                <c:pt idx="1">
                  <c:v>Bāze</c:v>
                </c:pt>
                <c:pt idx="2">
                  <c:v>Parāda procentu maksājumi</c:v>
                </c:pt>
                <c:pt idx="3">
                  <c:v>Iemaksas PFIF</c:v>
                </c:pt>
                <c:pt idx="4">
                  <c:v>Pabalsti</c:v>
                </c:pt>
                <c:pt idx="5">
                  <c:v>Pamatsummas atmaksa</c:v>
                </c:pt>
              </c:strCache>
            </c:strRef>
          </c:cat>
          <c:val>
            <c:numRef>
              <c:f>Grafiki_2024!$F$5:$F$10</c:f>
              <c:numCache>
                <c:formatCode>0%</c:formatCode>
                <c:ptCount val="6"/>
                <c:pt idx="0">
                  <c:v>0.39773123014052414</c:v>
                </c:pt>
                <c:pt idx="1">
                  <c:v>0.29222682658710836</c:v>
                </c:pt>
                <c:pt idx="2">
                  <c:v>5.2301542615210243E-2</c:v>
                </c:pt>
                <c:pt idx="3">
                  <c:v>0.15052789473100589</c:v>
                </c:pt>
                <c:pt idx="4">
                  <c:v>2.5423998000474016E-2</c:v>
                </c:pt>
                <c:pt idx="5">
                  <c:v>8.1788507925677309E-2</c:v>
                </c:pt>
              </c:numCache>
            </c:numRef>
          </c:val>
          <c:extLst>
            <c:ext xmlns:c16="http://schemas.microsoft.com/office/drawing/2014/chart" uri="{C3380CC4-5D6E-409C-BE32-E72D297353CC}">
              <c16:uniqueId val="{0000000A-82E3-4E95-96A7-3008C704BD42}"/>
            </c:ext>
          </c:extLst>
        </c:ser>
        <c:dLbls>
          <c:showLegendKey val="0"/>
          <c:showVal val="0"/>
          <c:showCatName val="0"/>
          <c:showSerName val="0"/>
          <c:showPercent val="1"/>
          <c:showBubbleSize val="0"/>
          <c:showLeaderLines val="0"/>
        </c:dLbls>
        <c:firstSliceAng val="0"/>
        <c:holeSize val="50"/>
      </c:doughnutChart>
      <c:spPr>
        <a:noFill/>
        <a:ln>
          <a:noFill/>
        </a:ln>
        <a:effectLst/>
      </c:spPr>
    </c:plotArea>
    <c:legend>
      <c:legendPos val="r"/>
      <c:layout>
        <c:manualLayout>
          <c:xMode val="edge"/>
          <c:yMode val="edge"/>
          <c:x val="0.77127274715660554"/>
          <c:y val="0.27117492666357884"/>
          <c:w val="0.21206058617672791"/>
          <c:h val="0.587661317421827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r>
              <a:rPr lang="lv-LV" b="0"/>
              <a:t>Izdevumi</a:t>
            </a:r>
            <a:r>
              <a:rPr lang="lv-LV" b="0" baseline="0"/>
              <a:t> atbilstoši funkcionālajām kategorijām</a:t>
            </a:r>
            <a:r>
              <a:rPr lang="lv-LV" b="0"/>
              <a:t>, EUR, 2023-2024</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2"/>
              </a:solidFill>
              <a:latin typeface="+mn-lt"/>
              <a:ea typeface="+mn-ea"/>
              <a:cs typeface="+mn-cs"/>
            </a:defRPr>
          </a:pPr>
          <a:endParaRPr lang="lv-LV"/>
        </a:p>
      </c:txPr>
    </c:title>
    <c:autoTitleDeleted val="0"/>
    <c:plotArea>
      <c:layout/>
      <c:barChart>
        <c:barDir val="bar"/>
        <c:grouping val="clustered"/>
        <c:varyColors val="0"/>
        <c:ser>
          <c:idx val="1"/>
          <c:order val="0"/>
          <c:tx>
            <c:strRef>
              <c:f>Grafiki_2024!$D$54</c:f>
              <c:strCache>
                <c:ptCount val="1"/>
                <c:pt idx="0">
                  <c:v>2024</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Grafiki_2024!$B$55:$B$61</c:f>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f>Grafiki_2024!$D$55:$D$61</c:f>
              <c:numCache>
                <c:formatCode>#,##0</c:formatCode>
                <c:ptCount val="7"/>
                <c:pt idx="0">
                  <c:v>11584925.99087845</c:v>
                </c:pt>
                <c:pt idx="1">
                  <c:v>1025367.7769225</c:v>
                </c:pt>
                <c:pt idx="2">
                  <c:v>177686.07229136</c:v>
                </c:pt>
                <c:pt idx="3">
                  <c:v>7852829.0056644836</c:v>
                </c:pt>
                <c:pt idx="4">
                  <c:v>1732258.6714729001</c:v>
                </c:pt>
                <c:pt idx="5">
                  <c:v>2211217.7610668591</c:v>
                </c:pt>
                <c:pt idx="6">
                  <c:v>14553579.751117995</c:v>
                </c:pt>
              </c:numCache>
            </c:numRef>
          </c:val>
          <c:extLst>
            <c:ext xmlns:c16="http://schemas.microsoft.com/office/drawing/2014/chart" uri="{C3380CC4-5D6E-409C-BE32-E72D297353CC}">
              <c16:uniqueId val="{00000000-F369-4B6B-B7CA-567B5D43883E}"/>
            </c:ext>
          </c:extLst>
        </c:ser>
        <c:ser>
          <c:idx val="0"/>
          <c:order val="1"/>
          <c:tx>
            <c:strRef>
              <c:f>Grafiki_2024!$C$54</c:f>
              <c:strCache>
                <c:ptCount val="1"/>
                <c:pt idx="0">
                  <c:v>2023</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Grafiki_2024!$B$55:$B$61</c:f>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f>Grafiki_2024!$C$55:$C$61</c:f>
              <c:numCache>
                <c:formatCode>#,##0</c:formatCode>
                <c:ptCount val="7"/>
                <c:pt idx="0">
                  <c:v>8433604.0545738488</c:v>
                </c:pt>
                <c:pt idx="1">
                  <c:v>935951.53292284999</c:v>
                </c:pt>
                <c:pt idx="2">
                  <c:v>206416.28000000003</c:v>
                </c:pt>
                <c:pt idx="3">
                  <c:v>8009063.8801219994</c:v>
                </c:pt>
                <c:pt idx="4">
                  <c:v>1649161.7610971783</c:v>
                </c:pt>
                <c:pt idx="5">
                  <c:v>1899677.0900724998</c:v>
                </c:pt>
                <c:pt idx="6">
                  <c:v>13034838.032551607</c:v>
                </c:pt>
              </c:numCache>
            </c:numRef>
          </c:val>
          <c:extLst>
            <c:ext xmlns:c16="http://schemas.microsoft.com/office/drawing/2014/chart" uri="{C3380CC4-5D6E-409C-BE32-E72D297353CC}">
              <c16:uniqueId val="{00000001-F369-4B6B-B7CA-567B5D43883E}"/>
            </c:ext>
          </c:extLst>
        </c:ser>
        <c:dLbls>
          <c:showLegendKey val="0"/>
          <c:showVal val="1"/>
          <c:showCatName val="0"/>
          <c:showSerName val="0"/>
          <c:showPercent val="0"/>
          <c:showBubbleSize val="0"/>
        </c:dLbls>
        <c:gapWidth val="100"/>
        <c:axId val="922668992"/>
        <c:axId val="922666496"/>
        <c:extLst>
          <c:ext xmlns:c15="http://schemas.microsoft.com/office/drawing/2012/chart" uri="{02D57815-91ED-43cb-92C2-25804820EDAC}">
            <c15:filteredBarSeries>
              <c15:ser>
                <c:idx val="2"/>
                <c:order val="2"/>
                <c:tx>
                  <c:strRef>
                    <c:extLst>
                      <c:ext uri="{02D57815-91ED-43cb-92C2-25804820EDAC}">
                        <c15:formulaRef>
                          <c15:sqref>Grafiki_2024!$E$54</c15:sqref>
                        </c15:formulaRef>
                      </c:ext>
                    </c:extLst>
                    <c:strCache>
                      <c:ptCount val="1"/>
                      <c:pt idx="0">
                        <c:v>Izmaiņa, EUR</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c:ext uri="{CE6537A1-D6FC-4f65-9D91-7224C49458BB}">
                      <c15:showLeaderLines val="1"/>
                      <c15:leaderLines>
                        <c:spPr>
                          <a:ln w="9525">
                            <a:solidFill>
                              <a:schemeClr val="tx2">
                                <a:lumMod val="35000"/>
                                <a:lumOff val="65000"/>
                              </a:schemeClr>
                            </a:solidFill>
                          </a:ln>
                          <a:effectLst/>
                        </c:spPr>
                      </c15:leaderLines>
                    </c:ext>
                  </c:extLst>
                </c:dLbls>
                <c:cat>
                  <c:strRef>
                    <c:extLst>
                      <c:ext uri="{02D57815-91ED-43cb-92C2-25804820EDAC}">
                        <c15:formulaRef>
                          <c15:sqref>Grafiki_2024!$B$55:$B$61</c15:sqref>
                        </c15:formulaRef>
                      </c:ext>
                    </c:extLst>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extLst>
                      <c:ext uri="{02D57815-91ED-43cb-92C2-25804820EDAC}">
                        <c15:formulaRef>
                          <c15:sqref>Grafiki_2024!$E$55:$E$61</c15:sqref>
                        </c15:formulaRef>
                      </c:ext>
                    </c:extLst>
                    <c:numCache>
                      <c:formatCode>_-* #\ ##0_-;\-* #\ ##0_-;_-* "-"??_-;_-@_-</c:formatCode>
                      <c:ptCount val="7"/>
                      <c:pt idx="0">
                        <c:v>3151321.9363046009</c:v>
                      </c:pt>
                      <c:pt idx="1">
                        <c:v>89416.243999650003</c:v>
                      </c:pt>
                      <c:pt idx="2">
                        <c:v>-28730.207708640024</c:v>
                      </c:pt>
                      <c:pt idx="3">
                        <c:v>-156234.87445751578</c:v>
                      </c:pt>
                      <c:pt idx="4">
                        <c:v>83096.910375721753</c:v>
                      </c:pt>
                      <c:pt idx="5">
                        <c:v>311540.6709943593</c:v>
                      </c:pt>
                      <c:pt idx="6">
                        <c:v>1518741.7185663879</c:v>
                      </c:pt>
                    </c:numCache>
                  </c:numRef>
                </c:val>
                <c:extLst>
                  <c:ext xmlns:c16="http://schemas.microsoft.com/office/drawing/2014/chart" uri="{C3380CC4-5D6E-409C-BE32-E72D297353CC}">
                    <c16:uniqueId val="{00000002-F369-4B6B-B7CA-567B5D43883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Grafiki_2024!$F$54</c15:sqref>
                        </c15:formulaRef>
                      </c:ext>
                    </c:extLst>
                    <c:strCache>
                      <c:ptCount val="1"/>
                      <c:pt idx="0">
                        <c:v>Izmaiņa, %</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lv-LV"/>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xmlns:c15="http://schemas.microsoft.com/office/drawing/2012/chart">
                      <c:ext xmlns:c15="http://schemas.microsoft.com/office/drawing/2012/chart" uri="{02D57815-91ED-43cb-92C2-25804820EDAC}">
                        <c15:formulaRef>
                          <c15:sqref>Grafiki_2024!$B$55:$B$61</c15:sqref>
                        </c15:formulaRef>
                      </c:ext>
                    </c:extLst>
                    <c:strCache>
                      <c:ptCount val="7"/>
                      <c:pt idx="0">
                        <c:v>1. Vispārējie valdības dienesti</c:v>
                      </c:pt>
                      <c:pt idx="1">
                        <c:v>2. Sabiedriskā kārtība un drošība (bāze)</c:v>
                      </c:pt>
                      <c:pt idx="2">
                        <c:v>3. Sabiedriskās attiecības, laikraksts</c:v>
                      </c:pt>
                      <c:pt idx="3">
                        <c:v>4. Pašv. teritoriju un mājokļu apsaimniekošana</c:v>
                      </c:pt>
                      <c:pt idx="4">
                        <c:v>5. Atpūta, kultūra un reliģija</c:v>
                      </c:pt>
                      <c:pt idx="5">
                        <c:v>6. Sociālā aizsardzība</c:v>
                      </c:pt>
                      <c:pt idx="6">
                        <c:v>7. Izglītība</c:v>
                      </c:pt>
                    </c:strCache>
                  </c:strRef>
                </c:cat>
                <c:val>
                  <c:numRef>
                    <c:extLst xmlns:c15="http://schemas.microsoft.com/office/drawing/2012/chart">
                      <c:ext xmlns:c15="http://schemas.microsoft.com/office/drawing/2012/chart" uri="{02D57815-91ED-43cb-92C2-25804820EDAC}">
                        <c15:formulaRef>
                          <c15:sqref>Grafiki_2024!$F$55:$F$61</c15:sqref>
                        </c15:formulaRef>
                      </c:ext>
                    </c:extLst>
                    <c:numCache>
                      <c:formatCode>0%</c:formatCode>
                      <c:ptCount val="7"/>
                      <c:pt idx="0">
                        <c:v>0.37366254283606365</c:v>
                      </c:pt>
                      <c:pt idx="1">
                        <c:v>9.5535122123701396E-2</c:v>
                      </c:pt>
                      <c:pt idx="2">
                        <c:v>-0.1391857643623847</c:v>
                      </c:pt>
                      <c:pt idx="3">
                        <c:v>-1.9507257876326976E-2</c:v>
                      </c:pt>
                      <c:pt idx="4">
                        <c:v>5.0387361831890784E-2</c:v>
                      </c:pt>
                      <c:pt idx="5">
                        <c:v>0.16399664586283427</c:v>
                      </c:pt>
                      <c:pt idx="6">
                        <c:v>0.11651404603368821</c:v>
                      </c:pt>
                    </c:numCache>
                  </c:numRef>
                </c:val>
                <c:extLst xmlns:c15="http://schemas.microsoft.com/office/drawing/2012/chart">
                  <c:ext xmlns:c16="http://schemas.microsoft.com/office/drawing/2014/chart" uri="{C3380CC4-5D6E-409C-BE32-E72D297353CC}">
                    <c16:uniqueId val="{00000003-F369-4B6B-B7CA-567B5D43883E}"/>
                  </c:ext>
                </c:extLst>
              </c15:ser>
            </c15:filteredBarSeries>
          </c:ext>
        </c:extLst>
      </c:barChart>
      <c:catAx>
        <c:axId val="922668992"/>
        <c:scaling>
          <c:orientation val="maxMin"/>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crossAx val="922666496"/>
        <c:crosses val="autoZero"/>
        <c:auto val="1"/>
        <c:lblAlgn val="ctr"/>
        <c:lblOffset val="100"/>
        <c:noMultiLvlLbl val="0"/>
      </c:catAx>
      <c:valAx>
        <c:axId val="922666496"/>
        <c:scaling>
          <c:orientation val="minMax"/>
        </c:scaling>
        <c:delete val="0"/>
        <c:axPos val="t"/>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crossAx val="92266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lv-LV"/>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pieaugums pa funkcionālajām kategorijām,</a:t>
            </a:r>
            <a:endParaRPr lang="lv-LV" sz="1400" b="0" i="0" u="none" strike="noStrike" baseline="0">
              <a:effectLst/>
            </a:endParaRPr>
          </a:p>
          <a:p>
            <a:pPr>
              <a:defRPr/>
            </a:pPr>
            <a:r>
              <a:rPr lang="lv-LV"/>
              <a:t> 2024.</a:t>
            </a:r>
            <a:r>
              <a:rPr lang="lv-LV" baseline="0"/>
              <a:t> pret 2023. gadu, EUR</a:t>
            </a:r>
            <a:endParaRPr lang="lv-LV"/>
          </a:p>
        </c:rich>
      </c:tx>
      <c:layout>
        <c:manualLayout>
          <c:xMode val="edge"/>
          <c:yMode val="edge"/>
          <c:x val="0.24493578586123005"/>
          <c:y val="3.327787021630615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9.502216809902668E-2"/>
          <c:y val="0.17947331133736819"/>
          <c:w val="0.88268750710328314"/>
          <c:h val="0.60755392722439261"/>
        </c:manualLayout>
      </c:layout>
      <c:barChart>
        <c:barDir val="col"/>
        <c:grouping val="stacked"/>
        <c:varyColors val="0"/>
        <c:ser>
          <c:idx val="0"/>
          <c:order val="0"/>
          <c:spPr>
            <a:noFill/>
            <a:ln>
              <a:noFill/>
            </a:ln>
            <a:effectLst/>
          </c:spPr>
          <c:invertIfNegative val="0"/>
          <c:dPt>
            <c:idx val="8"/>
            <c:invertIfNegative val="0"/>
            <c:bubble3D val="0"/>
            <c:spPr>
              <a:solidFill>
                <a:schemeClr val="accent1">
                  <a:lumMod val="75000"/>
                </a:schemeClr>
              </a:solidFill>
              <a:ln>
                <a:noFill/>
              </a:ln>
              <a:effectLst/>
            </c:spPr>
            <c:extLst>
              <c:ext xmlns:c16="http://schemas.microsoft.com/office/drawing/2014/chart" uri="{C3380CC4-5D6E-409C-BE32-E72D297353CC}">
                <c16:uniqueId val="{00000001-FFE7-4687-A3BE-509B9A8DE57D}"/>
              </c:ext>
            </c:extLst>
          </c:dPt>
          <c:dLbls>
            <c:dLbl>
              <c:idx val="8"/>
              <c:layout>
                <c:manualLayout>
                  <c:x val="3.4328243601965953E-3"/>
                  <c:y val="-0.30424602399664946"/>
                </c:manualLayout>
              </c:layout>
              <c:tx>
                <c:strRef>
                  <c:f>Grafiki_2024!$H$88</c:f>
                  <c:strCache>
                    <c:ptCount val="1"/>
                    <c:pt idx="0">
                      <c:v>39 137 865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{8F88D8B7-3C50-415E-ABD1-7C48F1EC541C}</c15:txfldGUID>
                      <c15:f>Grafiki_2024!$H$88</c15:f>
                      <c15:dlblFieldTableCache>
                        <c:ptCount val="1"/>
                        <c:pt idx="0">
                          <c:v>39 137 865</c:v>
                        </c:pt>
                      </c15:dlblFieldTableCache>
                    </c15:dlblFTEntry>
                  </c15:dlblFieldTable>
                  <c15:showDataLabelsRange val="0"/>
                </c:ext>
                <c:ext xmlns:c16="http://schemas.microsoft.com/office/drawing/2014/chart" uri="{C3380CC4-5D6E-409C-BE32-E72D297353CC}">
                  <c16:uniqueId val="{00000001-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Grafiki_2024!$C$80:$C$88</c:f>
              <c:numCache>
                <c:formatCode>#\ ##0_ ;\-#\ ##0\ </c:formatCode>
                <c:ptCount val="9"/>
                <c:pt idx="1">
                  <c:v>34168712.631339982</c:v>
                </c:pt>
                <c:pt idx="2">
                  <c:v>37320034.567644581</c:v>
                </c:pt>
                <c:pt idx="3">
                  <c:v>37380720.603935592</c:v>
                </c:pt>
                <c:pt idx="4">
                  <c:v>37224485.729478076</c:v>
                </c:pt>
                <c:pt idx="5">
                  <c:v>37224485.729478076</c:v>
                </c:pt>
                <c:pt idx="6">
                  <c:v>37307582.639853798</c:v>
                </c:pt>
                <c:pt idx="7">
                  <c:v>37619123.310848154</c:v>
                </c:pt>
                <c:pt idx="8">
                  <c:v>39137865.029414542</c:v>
                </c:pt>
              </c:numCache>
            </c:numRef>
          </c:val>
          <c:extLst>
            <c:ext xmlns:c16="http://schemas.microsoft.com/office/drawing/2014/chart" uri="{C3380CC4-5D6E-409C-BE32-E72D297353CC}">
              <c16:uniqueId val="{00000002-FFE7-4687-A3BE-509B9A8DE57D}"/>
            </c:ext>
          </c:extLst>
        </c:ser>
        <c:ser>
          <c:idx val="1"/>
          <c:order val="1"/>
          <c:spPr>
            <a:solidFill>
              <a:srgbClr val="FF0000"/>
            </a:solidFill>
            <a:ln>
              <a:solidFill>
                <a:srgbClr val="FF0000"/>
              </a:solidFill>
            </a:ln>
            <a:effectLst/>
          </c:spPr>
          <c:invertIfNegative val="0"/>
          <c:dLbls>
            <c:dLbl>
              <c:idx val="1"/>
              <c:layout>
                <c:manualLayout>
                  <c:x val="-1.7168938599769995E-3"/>
                  <c:y val="-0.28816239229736385"/>
                </c:manualLayout>
              </c:layout>
              <c:tx>
                <c:strRef>
                  <c:f>Grafiki_2024!$H$81</c:f>
                  <c:strCache>
                    <c:ptCount val="1"/>
                    <c:pt idx="0">
                      <c:v>3 151 322   (37%)</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7.7877918907855434E-2"/>
                      <c:h val="0.10130114310201779"/>
                    </c:manualLayout>
                  </c15:layout>
                  <c15:dlblFieldTable>
                    <c15:dlblFTEntry>
                      <c15:txfldGUID>{6C199522-A7A9-47C4-AD36-13C93C905E52}</c15:txfldGUID>
                      <c15:f>Grafiki_2024!$H$81</c15:f>
                      <c15:dlblFieldTableCache>
                        <c:ptCount val="1"/>
                        <c:pt idx="0">
                          <c:v>3 151 322   (37%)</c:v>
                        </c:pt>
                      </c15:dlblFieldTableCache>
                    </c15:dlblFTEntry>
                  </c15:dlblFieldTable>
                  <c15:showDataLabelsRange val="0"/>
                </c:ext>
                <c:ext xmlns:c16="http://schemas.microsoft.com/office/drawing/2014/chart" uri="{C3380CC4-5D6E-409C-BE32-E72D297353CC}">
                  <c16:uniqueId val="{0000000C-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Grafiki_2024!$D$80:$D$88</c:f>
              <c:numCache>
                <c:formatCode>#\ ##0_ ;\-#\ ##0\ </c:formatCode>
                <c:ptCount val="9"/>
                <c:pt idx="0">
                  <c:v>0</c:v>
                </c:pt>
                <c:pt idx="1">
                  <c:v>0</c:v>
                </c:pt>
                <c:pt idx="2">
                  <c:v>0</c:v>
                </c:pt>
                <c:pt idx="3">
                  <c:v>28730.207708640024</c:v>
                </c:pt>
                <c:pt idx="4">
                  <c:v>156234.87445751578</c:v>
                </c:pt>
                <c:pt idx="5">
                  <c:v>0</c:v>
                </c:pt>
                <c:pt idx="6">
                  <c:v>0</c:v>
                </c:pt>
                <c:pt idx="7">
                  <c:v>0</c:v>
                </c:pt>
                <c:pt idx="8">
                  <c:v>0</c:v>
                </c:pt>
              </c:numCache>
            </c:numRef>
          </c:val>
          <c:extLst>
            <c:ext xmlns:c16="http://schemas.microsoft.com/office/drawing/2014/chart" uri="{C3380CC4-5D6E-409C-BE32-E72D297353CC}">
              <c16:uniqueId val="{00000003-FFE7-4687-A3BE-509B9A8DE57D}"/>
            </c:ext>
          </c:extLst>
        </c:ser>
        <c:ser>
          <c:idx val="2"/>
          <c:order val="2"/>
          <c:spPr>
            <a:solidFill>
              <a:schemeClr val="accent6">
                <a:lumMod val="75000"/>
              </a:schemeClr>
            </a:solidFill>
            <a:ln>
              <a:noFill/>
            </a:ln>
            <a:effectLst/>
          </c:spPr>
          <c:invertIfNegative val="0"/>
          <c:dPt>
            <c:idx val="0"/>
            <c:invertIfNegative val="0"/>
            <c:bubble3D val="0"/>
            <c:spPr>
              <a:solidFill>
                <a:schemeClr val="accent1">
                  <a:lumMod val="75000"/>
                </a:schemeClr>
              </a:solidFill>
              <a:ln>
                <a:noFill/>
              </a:ln>
              <a:effectLst/>
            </c:spPr>
            <c:extLst>
              <c:ext xmlns:c16="http://schemas.microsoft.com/office/drawing/2014/chart" uri="{C3380CC4-5D6E-409C-BE32-E72D297353CC}">
                <c16:uniqueId val="{00000005-FFE7-4687-A3BE-509B9A8DE57D}"/>
              </c:ext>
            </c:extLst>
          </c:dPt>
          <c:dLbls>
            <c:dLbl>
              <c:idx val="0"/>
              <c:layout>
                <c:manualLayout>
                  <c:x val="-1.7178491648172215E-3"/>
                  <c:y val="-0.13245511593409937"/>
                </c:manualLayout>
              </c:layout>
              <c:tx>
                <c:strRef>
                  <c:f>Grafiki_2024!$H$80</c:f>
                  <c:strCache>
                    <c:ptCount val="1"/>
                    <c:pt idx="0">
                      <c:v>34 168 713</c:v>
                    </c:pt>
                  </c:strCache>
                </c:strRef>
              </c:tx>
              <c:dLblPos val="ctr"/>
              <c:showLegendKey val="0"/>
              <c:showVal val="1"/>
              <c:showCatName val="0"/>
              <c:showSerName val="0"/>
              <c:showPercent val="0"/>
              <c:showBubbleSize val="0"/>
              <c:extLst>
                <c:ext xmlns:c15="http://schemas.microsoft.com/office/drawing/2012/chart" uri="{CE6537A1-D6FC-4f65-9D91-7224C49458BB}">
                  <c15:dlblFieldTable>
                    <c15:dlblFTEntry>
                      <c15:txfldGUID>{8E5A8B32-46F6-4B44-8DA1-BA6E80621695}</c15:txfldGUID>
                      <c15:f>Grafiki_2024!$H$80</c15:f>
                      <c15:dlblFieldTableCache>
                        <c:ptCount val="1"/>
                        <c:pt idx="0">
                          <c:v>34 168 713</c:v>
                        </c:pt>
                      </c15:dlblFieldTableCache>
                    </c15:dlblFTEntry>
                  </c15:dlblFieldTable>
                  <c15:showDataLabelsRange val="0"/>
                </c:ext>
                <c:ext xmlns:c16="http://schemas.microsoft.com/office/drawing/2014/chart" uri="{C3380CC4-5D6E-409C-BE32-E72D297353CC}">
                  <c16:uniqueId val="{00000005-FFE7-4687-A3BE-509B9A8DE57D}"/>
                </c:ext>
              </c:extLst>
            </c:dLbl>
            <c:dLbl>
              <c:idx val="1"/>
              <c:delete val="1"/>
              <c:extLst>
                <c:ext xmlns:c15="http://schemas.microsoft.com/office/drawing/2012/chart" uri="{CE6537A1-D6FC-4f65-9D91-7224C49458BB}">
                  <c15:layout>
                    <c:manualLayout>
                      <c:w val="6.9959685260892482E-2"/>
                      <c:h val="7.2054479613402375E-2"/>
                    </c:manualLayout>
                  </c15:layout>
                </c:ext>
                <c:ext xmlns:c16="http://schemas.microsoft.com/office/drawing/2014/chart" uri="{C3380CC4-5D6E-409C-BE32-E72D297353CC}">
                  <c16:uniqueId val="{00000006-FFE7-4687-A3BE-509B9A8DE57D}"/>
                </c:ext>
              </c:extLst>
            </c:dLbl>
            <c:dLbl>
              <c:idx val="2"/>
              <c:layout>
                <c:manualLayout>
                  <c:x val="0"/>
                  <c:y val="-6.03968081434837E-2"/>
                </c:manualLayout>
              </c:layout>
              <c:tx>
                <c:strRef>
                  <c:f>Grafiki_2024!$H$82</c:f>
                  <c:strCache>
                    <c:ptCount val="1"/>
                    <c:pt idx="0">
                      <c:v>89 416   (10%)</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9200710114590603E-2"/>
                      <c:h val="9.5748817546613393E-2"/>
                    </c:manualLayout>
                  </c15:layout>
                  <c15:dlblFieldTable>
                    <c15:dlblFTEntry>
                      <c15:txfldGUID>{70BC14C4-43AF-4B38-AA32-5BA45D7B66C9}</c15:txfldGUID>
                      <c15:f>Grafiki_2024!$H$82</c15:f>
                      <c15:dlblFieldTableCache>
                        <c:ptCount val="1"/>
                        <c:pt idx="0">
                          <c:v>89 416   (10%)</c:v>
                        </c:pt>
                      </c15:dlblFieldTableCache>
                    </c15:dlblFTEntry>
                  </c15:dlblFieldTable>
                  <c15:showDataLabelsRange val="0"/>
                </c:ext>
                <c:ext xmlns:c16="http://schemas.microsoft.com/office/drawing/2014/chart" uri="{C3380CC4-5D6E-409C-BE32-E72D297353CC}">
                  <c16:uniqueId val="{0000000E-FFE7-4687-A3BE-509B9A8DE57D}"/>
                </c:ext>
              </c:extLst>
            </c:dLbl>
            <c:dLbl>
              <c:idx val="3"/>
              <c:layout>
                <c:manualLayout>
                  <c:x val="-4.292145749776057E-3"/>
                  <c:y val="-5.9627583987659008E-2"/>
                </c:manualLayout>
              </c:layout>
              <c:tx>
                <c:strRef>
                  <c:f>Grafiki_2024!$H$83</c:f>
                  <c:strCache>
                    <c:ptCount val="1"/>
                    <c:pt idx="0">
                      <c:v>-28 730   (-14%)</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6.6881200727418627E-2"/>
                      <c:h val="9.6584487538028271E-2"/>
                    </c:manualLayout>
                  </c15:layout>
                  <c15:dlblFieldTable>
                    <c15:dlblFTEntry>
                      <c15:txfldGUID>{350BE666-121C-4F73-BAB4-D9C447AE6E88}</c15:txfldGUID>
                      <c15:f>Grafiki_2024!$H$83</c15:f>
                      <c15:dlblFieldTableCache>
                        <c:ptCount val="1"/>
                        <c:pt idx="0">
                          <c:v>-28 730   (-14%)</c:v>
                        </c:pt>
                      </c15:dlblFieldTableCache>
                    </c15:dlblFTEntry>
                  </c15:dlblFieldTable>
                  <c15:showDataLabelsRange val="0"/>
                </c:ext>
                <c:ext xmlns:c16="http://schemas.microsoft.com/office/drawing/2014/chart" uri="{C3380CC4-5D6E-409C-BE32-E72D297353CC}">
                  <c16:uniqueId val="{0000000F-FFE7-4687-A3BE-509B9A8DE57D}"/>
                </c:ext>
              </c:extLst>
            </c:dLbl>
            <c:dLbl>
              <c:idx val="4"/>
              <c:layout>
                <c:manualLayout>
                  <c:x val="-3.4337706749495342E-3"/>
                  <c:y val="-4.2929782349971815E-2"/>
                </c:manualLayout>
              </c:layout>
              <c:tx>
                <c:strRef>
                  <c:f>Grafiki_2024!$H$84</c:f>
                  <c:strCache>
                    <c:ptCount val="1"/>
                    <c:pt idx="0">
                      <c:v>-156 235   (-2%)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7.7448697573486755E-2"/>
                      <c:h val="0.10845041187820637"/>
                    </c:manualLayout>
                  </c15:layout>
                  <c15:dlblFieldTable>
                    <c15:dlblFTEntry>
                      <c15:txfldGUID>{E7D3971C-8E44-4AB0-A0FF-DADBCCCA1A44}</c15:txfldGUID>
                      <c15:f>Grafiki_2024!$H$84</c15:f>
                      <c15:dlblFieldTableCache>
                        <c:ptCount val="1"/>
                        <c:pt idx="0">
                          <c:v>-156 235   (-2%)</c:v>
                        </c:pt>
                      </c15:dlblFieldTableCache>
                    </c15:dlblFTEntry>
                  </c15:dlblFieldTable>
                  <c15:showDataLabelsRange val="0"/>
                </c:ext>
                <c:ext xmlns:c16="http://schemas.microsoft.com/office/drawing/2014/chart" uri="{C3380CC4-5D6E-409C-BE32-E72D297353CC}">
                  <c16:uniqueId val="{00000007-FFE7-4687-A3BE-509B9A8DE57D}"/>
                </c:ext>
              </c:extLst>
            </c:dLbl>
            <c:dLbl>
              <c:idx val="5"/>
              <c:layout>
                <c:manualLayout>
                  <c:x val="3.4364744313865026E-3"/>
                  <c:y val="-5.8695499983419247E-2"/>
                </c:manualLayout>
              </c:layout>
              <c:tx>
                <c:strRef>
                  <c:f>Grafiki_2024!$H$85</c:f>
                  <c:strCache>
                    <c:ptCount val="1"/>
                    <c:pt idx="0">
                      <c:v>83 097   (5%)</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3294624553677407E-2"/>
                      <c:h val="0.1265644555310324"/>
                    </c:manualLayout>
                  </c15:layout>
                  <c15:dlblFieldTable>
                    <c15:dlblFTEntry>
                      <c15:txfldGUID>{15D772E2-3ED2-482A-97BB-55C68BCE2D32}</c15:txfldGUID>
                      <c15:f>Grafiki_2024!$H$85</c15:f>
                      <c15:dlblFieldTableCache>
                        <c:ptCount val="1"/>
                        <c:pt idx="0">
                          <c:v>83 097   (5%)</c:v>
                        </c:pt>
                      </c15:dlblFieldTableCache>
                    </c15:dlblFTEntry>
                  </c15:dlblFieldTable>
                  <c15:showDataLabelsRange val="0"/>
                </c:ext>
                <c:ext xmlns:c16="http://schemas.microsoft.com/office/drawing/2014/chart" uri="{C3380CC4-5D6E-409C-BE32-E72D297353CC}">
                  <c16:uniqueId val="{00000008-FFE7-4687-A3BE-509B9A8DE57D}"/>
                </c:ext>
              </c:extLst>
            </c:dLbl>
            <c:dLbl>
              <c:idx val="6"/>
              <c:layout>
                <c:manualLayout>
                  <c:x val="-3.433635487127812E-3"/>
                  <c:y val="-5.9779144359411791E-2"/>
                </c:manualLayout>
              </c:layout>
              <c:tx>
                <c:strRef>
                  <c:f>Grafiki_2024!$H$86</c:f>
                  <c:strCache>
                    <c:ptCount val="1"/>
                    <c:pt idx="0">
                      <c:v>311 541   (16%)</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3294624553677407E-2"/>
                      <c:h val="0.10084610972528761"/>
                    </c:manualLayout>
                  </c15:layout>
                  <c15:dlblFieldTable>
                    <c15:dlblFTEntry>
                      <c15:txfldGUID>{0BA5DE4E-0014-4538-823C-2DE29D1024E1}</c15:txfldGUID>
                      <c15:f>Grafiki_2024!$H$86</c15:f>
                      <c15:dlblFieldTableCache>
                        <c:ptCount val="1"/>
                        <c:pt idx="0">
                          <c:v>311 541   (16%)</c:v>
                        </c:pt>
                      </c15:dlblFieldTableCache>
                    </c15:dlblFTEntry>
                  </c15:dlblFieldTable>
                  <c15:showDataLabelsRange val="0"/>
                </c:ext>
                <c:ext xmlns:c16="http://schemas.microsoft.com/office/drawing/2014/chart" uri="{C3380CC4-5D6E-409C-BE32-E72D297353CC}">
                  <c16:uniqueId val="{00000009-FFE7-4687-A3BE-509B9A8DE57D}"/>
                </c:ext>
              </c:extLst>
            </c:dLbl>
            <c:dLbl>
              <c:idx val="7"/>
              <c:layout>
                <c:manualLayout>
                  <c:x val="-1.7116119122137672E-3"/>
                  <c:y val="-0.10940266785417889"/>
                </c:manualLayout>
              </c:layout>
              <c:tx>
                <c:strRef>
                  <c:f>Grafiki_2024!$H$87</c:f>
                  <c:strCache>
                    <c:ptCount val="1"/>
                    <c:pt idx="0">
                      <c:v>1 518 742   (12%)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ctr"/>
              <c:showLegendKey val="0"/>
              <c:showVal val="1"/>
              <c:showCatName val="0"/>
              <c:showSerName val="0"/>
              <c:showPercent val="0"/>
              <c:showBubbleSize val="0"/>
              <c:extLst>
                <c:ext xmlns:c15="http://schemas.microsoft.com/office/drawing/2012/chart" uri="{CE6537A1-D6FC-4f65-9D91-7224C49458BB}">
                  <c15:layout>
                    <c:manualLayout>
                      <c:w val="8.7750009598335357E-2"/>
                      <c:h val="0.11408590304312101"/>
                    </c:manualLayout>
                  </c15:layout>
                  <c15:dlblFieldTable>
                    <c15:dlblFTEntry>
                      <c15:txfldGUID>{A7A35A47-7B6E-420B-BB1B-C628D3451E0E}</c15:txfldGUID>
                      <c15:f>Grafiki_2024!$H$87</c15:f>
                      <c15:dlblFieldTableCache>
                        <c:ptCount val="1"/>
                        <c:pt idx="0">
                          <c:v>1 518 742   (12%)</c:v>
                        </c:pt>
                      </c15:dlblFieldTableCache>
                    </c15:dlblFTEntry>
                  </c15:dlblFieldTable>
                  <c15:showDataLabelsRange val="0"/>
                </c:ext>
                <c:ext xmlns:c16="http://schemas.microsoft.com/office/drawing/2014/chart" uri="{C3380CC4-5D6E-409C-BE32-E72D297353CC}">
                  <c16:uniqueId val="{0000000A-FFE7-4687-A3BE-509B9A8DE5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Grafiki_2024!$B$80:$B$88</c:f>
              <c:strCache>
                <c:ptCount val="9"/>
                <c:pt idx="0">
                  <c:v>Bāzes izdevumi 2023</c:v>
                </c:pt>
                <c:pt idx="1">
                  <c:v>Visp. vald. dien.</c:v>
                </c:pt>
                <c:pt idx="2">
                  <c:v>Sab. kārtība un drošība</c:v>
                </c:pt>
                <c:pt idx="3">
                  <c:v>Sab. attiecības, laikraksts</c:v>
                </c:pt>
                <c:pt idx="4">
                  <c:v>Pašv. teritoriju un mājokļu apsaimn.</c:v>
                </c:pt>
                <c:pt idx="5">
                  <c:v>Atpūta, kultūra un reliģija</c:v>
                </c:pt>
                <c:pt idx="6">
                  <c:v>Sociālā aizsardz.</c:v>
                </c:pt>
                <c:pt idx="7">
                  <c:v>Izglītība</c:v>
                </c:pt>
                <c:pt idx="8">
                  <c:v>Bāzes izdevumi 2024</c:v>
                </c:pt>
              </c:strCache>
            </c:strRef>
          </c:cat>
          <c:val>
            <c:numRef>
              <c:f>Grafiki_2024!$E$80:$E$88</c:f>
              <c:numCache>
                <c:formatCode>#\ ##0_ ;\-#\ ##0\ </c:formatCode>
                <c:ptCount val="9"/>
                <c:pt idx="0">
                  <c:v>34168712.631339982</c:v>
                </c:pt>
                <c:pt idx="1">
                  <c:v>3151321.9363046009</c:v>
                </c:pt>
                <c:pt idx="2">
                  <c:v>89416.243999650003</c:v>
                </c:pt>
                <c:pt idx="3">
                  <c:v>0</c:v>
                </c:pt>
                <c:pt idx="4">
                  <c:v>0</c:v>
                </c:pt>
                <c:pt idx="5">
                  <c:v>83096.910375721753</c:v>
                </c:pt>
                <c:pt idx="6">
                  <c:v>311540.6709943593</c:v>
                </c:pt>
                <c:pt idx="7">
                  <c:v>1518741.7185663879</c:v>
                </c:pt>
              </c:numCache>
            </c:numRef>
          </c:val>
          <c:extLst>
            <c:ext xmlns:c16="http://schemas.microsoft.com/office/drawing/2014/chart" uri="{C3380CC4-5D6E-409C-BE32-E72D297353CC}">
              <c16:uniqueId val="{0000000B-FFE7-4687-A3BE-509B9A8DE57D}"/>
            </c:ext>
          </c:extLst>
        </c:ser>
        <c:ser>
          <c:idx val="3"/>
          <c:order val="3"/>
          <c:tx>
            <c:strRef>
              <c:f>Grafiki_2024!$G$79</c:f>
              <c:strCache>
                <c:ptCount val="1"/>
                <c:pt idx="0">
                  <c:v>%</c:v>
                </c:pt>
              </c:strCache>
            </c:strRef>
          </c:tx>
          <c:spPr>
            <a:solidFill>
              <a:schemeClr val="accent4"/>
            </a:solidFill>
            <a:ln>
              <a:noFill/>
            </a:ln>
            <a:effectLst/>
          </c:spPr>
          <c:invertIfNegative val="0"/>
          <c:val>
            <c:numRef>
              <c:f>Grafiki_2024!$G$81:$G$87</c:f>
              <c:numCache>
                <c:formatCode>0.0%</c:formatCode>
                <c:ptCount val="7"/>
                <c:pt idx="0">
                  <c:v>0.37366254283606365</c:v>
                </c:pt>
                <c:pt idx="1">
                  <c:v>9.5535122123701396E-2</c:v>
                </c:pt>
                <c:pt idx="2">
                  <c:v>-0.1391857643623847</c:v>
                </c:pt>
                <c:pt idx="3">
                  <c:v>-1.9507257876326976E-2</c:v>
                </c:pt>
                <c:pt idx="4">
                  <c:v>5.0387361831890784E-2</c:v>
                </c:pt>
                <c:pt idx="5">
                  <c:v>0.16399664586283427</c:v>
                </c:pt>
                <c:pt idx="6">
                  <c:v>0.11651404603368821</c:v>
                </c:pt>
              </c:numCache>
            </c:numRef>
          </c:val>
          <c:extLst>
            <c:ext xmlns:c16="http://schemas.microsoft.com/office/drawing/2014/chart" uri="{C3380CC4-5D6E-409C-BE32-E72D297353CC}">
              <c16:uniqueId val="{0000000D-FFE7-4687-A3BE-509B9A8DE57D}"/>
            </c:ext>
          </c:extLst>
        </c:ser>
        <c:dLbls>
          <c:showLegendKey val="0"/>
          <c:showVal val="0"/>
          <c:showCatName val="0"/>
          <c:showSerName val="0"/>
          <c:showPercent val="0"/>
          <c:showBubbleSize val="0"/>
        </c:dLbls>
        <c:gapWidth val="11"/>
        <c:overlap val="100"/>
        <c:axId val="1257728144"/>
        <c:axId val="1257728560"/>
      </c:barChart>
      <c:catAx>
        <c:axId val="125772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560"/>
        <c:crosses val="autoZero"/>
        <c:auto val="1"/>
        <c:lblAlgn val="ctr"/>
        <c:lblOffset val="100"/>
        <c:noMultiLvlLbl val="0"/>
      </c:catAx>
      <c:valAx>
        <c:axId val="1257728560"/>
        <c:scaling>
          <c:orientation val="minMax"/>
          <c:max val="41000000"/>
          <c:min val="3200000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lv-LV"/>
              <a:t>Bāzes izdevumu pieaugums</a:t>
            </a:r>
            <a:r>
              <a:rPr lang="lv-LV" baseline="0"/>
              <a:t> 2024. pret 2023. gadu, EUR</a:t>
            </a:r>
            <a:endParaRPr lang="lv-LV"/>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lv-LV"/>
        </a:p>
      </c:txPr>
    </c:title>
    <c:autoTitleDeleted val="0"/>
    <c:plotArea>
      <c:layout>
        <c:manualLayout>
          <c:layoutTarget val="inner"/>
          <c:xMode val="edge"/>
          <c:yMode val="edge"/>
          <c:x val="9.502216809902668E-2"/>
          <c:y val="0.10363272356246343"/>
          <c:w val="0.88268750710328314"/>
          <c:h val="0.68339432016987922"/>
        </c:manualLayout>
      </c:layout>
      <c:barChart>
        <c:barDir val="col"/>
        <c:grouping val="stacked"/>
        <c:varyColors val="0"/>
        <c:ser>
          <c:idx val="0"/>
          <c:order val="0"/>
          <c:spPr>
            <a:solidFill>
              <a:schemeClr val="accent1"/>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11-9EDD-47D3-BE7C-D30A54B5F5AB}"/>
              </c:ext>
            </c:extLst>
          </c:dPt>
          <c:dPt>
            <c:idx val="2"/>
            <c:invertIfNegative val="0"/>
            <c:bubble3D val="0"/>
            <c:spPr>
              <a:noFill/>
              <a:ln>
                <a:noFill/>
              </a:ln>
              <a:effectLst/>
            </c:spPr>
            <c:extLst>
              <c:ext xmlns:c16="http://schemas.microsoft.com/office/drawing/2014/chart" uri="{C3380CC4-5D6E-409C-BE32-E72D297353CC}">
                <c16:uniqueId val="{00000012-9EDD-47D3-BE7C-D30A54B5F5AB}"/>
              </c:ext>
            </c:extLst>
          </c:dPt>
          <c:dPt>
            <c:idx val="3"/>
            <c:invertIfNegative val="0"/>
            <c:bubble3D val="0"/>
            <c:spPr>
              <a:noFill/>
              <a:ln>
                <a:noFill/>
              </a:ln>
              <a:effectLst/>
            </c:spPr>
            <c:extLst>
              <c:ext xmlns:c16="http://schemas.microsoft.com/office/drawing/2014/chart" uri="{C3380CC4-5D6E-409C-BE32-E72D297353CC}">
                <c16:uniqueId val="{00000013-9EDD-47D3-BE7C-D30A54B5F5AB}"/>
              </c:ext>
            </c:extLst>
          </c:dPt>
          <c:dPt>
            <c:idx val="4"/>
            <c:invertIfNegative val="0"/>
            <c:bubble3D val="0"/>
            <c:spPr>
              <a:noFill/>
              <a:ln>
                <a:noFill/>
              </a:ln>
              <a:effectLst/>
            </c:spPr>
            <c:extLst>
              <c:ext xmlns:c16="http://schemas.microsoft.com/office/drawing/2014/chart" uri="{C3380CC4-5D6E-409C-BE32-E72D297353CC}">
                <c16:uniqueId val="{00000014-9EDD-47D3-BE7C-D30A54B5F5AB}"/>
              </c:ext>
            </c:extLst>
          </c:dPt>
          <c:dPt>
            <c:idx val="5"/>
            <c:invertIfNegative val="0"/>
            <c:bubble3D val="0"/>
            <c:spPr>
              <a:noFill/>
              <a:ln>
                <a:noFill/>
              </a:ln>
              <a:effectLst/>
            </c:spPr>
            <c:extLst>
              <c:ext xmlns:c16="http://schemas.microsoft.com/office/drawing/2014/chart" uri="{C3380CC4-5D6E-409C-BE32-E72D297353CC}">
                <c16:uniqueId val="{00000015-9EDD-47D3-BE7C-D30A54B5F5AB}"/>
              </c:ext>
            </c:extLst>
          </c:dPt>
          <c:dPt>
            <c:idx val="6"/>
            <c:invertIfNegative val="0"/>
            <c:bubble3D val="0"/>
            <c:spPr>
              <a:solidFill>
                <a:srgbClr val="0070C0"/>
              </a:solidFill>
              <a:ln>
                <a:noFill/>
              </a:ln>
              <a:effectLst/>
            </c:spPr>
            <c:extLst>
              <c:ext xmlns:c16="http://schemas.microsoft.com/office/drawing/2014/chart" uri="{C3380CC4-5D6E-409C-BE32-E72D297353CC}">
                <c16:uniqueId val="{00000010-9EDD-47D3-BE7C-D30A54B5F5AB}"/>
              </c:ext>
            </c:extLst>
          </c:dPt>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Grafiki_2024!$C$25:$C$31</c:f>
              <c:numCache>
                <c:formatCode>#\ ##0_ ;\-#\ ##0\ </c:formatCode>
                <c:ptCount val="7"/>
                <c:pt idx="1">
                  <c:v>34168712.631339982</c:v>
                </c:pt>
                <c:pt idx="2">
                  <c:v>35956555.727443025</c:v>
                </c:pt>
                <c:pt idx="3">
                  <c:v>35956555.727443025</c:v>
                </c:pt>
                <c:pt idx="4">
                  <c:v>36961394.389414541</c:v>
                </c:pt>
                <c:pt idx="5">
                  <c:v>38949012.389414541</c:v>
                </c:pt>
                <c:pt idx="6">
                  <c:v>39137865.029414542</c:v>
                </c:pt>
              </c:numCache>
            </c:numRef>
          </c:val>
          <c:extLst>
            <c:ext xmlns:c16="http://schemas.microsoft.com/office/drawing/2014/chart" uri="{C3380CC4-5D6E-409C-BE32-E72D297353CC}">
              <c16:uniqueId val="{00000002-9EDD-47D3-BE7C-D30A54B5F5AB}"/>
            </c:ext>
          </c:extLst>
        </c:ser>
        <c:ser>
          <c:idx val="1"/>
          <c:order val="1"/>
          <c:spPr>
            <a:solidFill>
              <a:srgbClr val="FF000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3-9EDD-47D3-BE7C-D30A54B5F5AB}"/>
                </c:ext>
              </c:extLst>
            </c:dLbl>
            <c:dLbl>
              <c:idx val="2"/>
              <c:layout>
                <c:manualLayout>
                  <c:x val="8.5888505088251455E-4"/>
                  <c:y val="-8.9065757058935074E-2"/>
                </c:manualLayout>
              </c:layout>
              <c:tx>
                <c:strRef>
                  <c:f>Grafiki_2024!$H$27</c:f>
                  <c:strCache>
                    <c:ptCount val="1"/>
                    <c:pt idx="0">
                      <c:v>-318 568   (-2%)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7.9816255407256245E-2"/>
                      <c:h val="0.13259442626522169"/>
                    </c:manualLayout>
                  </c15:layout>
                  <c15:dlblFieldTable>
                    <c15:dlblFTEntry>
                      <c15:txfldGUID>{74B933A5-7684-4F7F-B533-E769346EEC4A}</c15:txfldGUID>
                      <c15:f>Grafiki_2024!$H$27</c15:f>
                      <c15:dlblFieldTableCache>
                        <c:ptCount val="1"/>
                        <c:pt idx="0">
                          <c:v>-318 568   (-2%)</c:v>
                        </c:pt>
                      </c15:dlblFieldTableCache>
                    </c15:dlblFTEntry>
                  </c15:dlblFieldTable>
                  <c15:showDataLabelsRange val="0"/>
                </c:ext>
                <c:ext xmlns:c16="http://schemas.microsoft.com/office/drawing/2014/chart" uri="{C3380CC4-5D6E-409C-BE32-E72D297353CC}">
                  <c16:uniqueId val="{00000016-9EDD-47D3-BE7C-D30A54B5F5AB}"/>
                </c:ext>
              </c:extLst>
            </c:dLbl>
            <c:dLbl>
              <c:idx val="3"/>
              <c:delete val="1"/>
              <c:extLst>
                <c:ext xmlns:c15="http://schemas.microsoft.com/office/drawing/2012/chart" uri="{CE6537A1-D6FC-4f65-9D91-7224C49458BB}"/>
                <c:ext xmlns:c16="http://schemas.microsoft.com/office/drawing/2014/chart" uri="{C3380CC4-5D6E-409C-BE32-E72D297353CC}">
                  <c16:uniqueId val="{00000017-9EDD-47D3-BE7C-D30A54B5F5AB}"/>
                </c:ext>
              </c:extLst>
            </c:dLbl>
            <c:dLbl>
              <c:idx val="4"/>
              <c:delete val="1"/>
              <c:extLst>
                <c:ext xmlns:c15="http://schemas.microsoft.com/office/drawing/2012/chart" uri="{CE6537A1-D6FC-4f65-9D91-7224C49458BB}"/>
                <c:ext xmlns:c16="http://schemas.microsoft.com/office/drawing/2014/chart" uri="{C3380CC4-5D6E-409C-BE32-E72D297353CC}">
                  <c16:uniqueId val="{00000018-9EDD-47D3-BE7C-D30A54B5F5AB}"/>
                </c:ext>
              </c:extLst>
            </c:dLbl>
            <c:dLbl>
              <c:idx val="5"/>
              <c:delete val="1"/>
              <c:extLst>
                <c:ext xmlns:c15="http://schemas.microsoft.com/office/drawing/2012/chart" uri="{CE6537A1-D6FC-4f65-9D91-7224C49458BB}"/>
                <c:ext xmlns:c16="http://schemas.microsoft.com/office/drawing/2014/chart" uri="{C3380CC4-5D6E-409C-BE32-E72D297353CC}">
                  <c16:uniqueId val="{00000019-9EDD-47D3-BE7C-D30A54B5F5AB}"/>
                </c:ext>
              </c:extLst>
            </c:dLbl>
            <c:dLbl>
              <c:idx val="6"/>
              <c:layout>
                <c:manualLayout>
                  <c:x val="-1.2596835226561412E-16"/>
                  <c:y val="-3.4110289937464469E-2"/>
                </c:manualLayout>
              </c:layout>
              <c:tx>
                <c:strRef>
                  <c:f>Grafiki_2024!$H$31</c:f>
                  <c:strCache>
                    <c:ptCount val="1"/>
                    <c:pt idx="0">
                      <c:v>39 137 865</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{5506E054-4705-48D3-B892-AFA4CFE776DF}</c15:txfldGUID>
                      <c15:f>Grafiki_2024!$H$31</c15:f>
                      <c15:dlblFieldTableCache>
                        <c:ptCount val="1"/>
                        <c:pt idx="0">
                          <c:v>39 137 865</c:v>
                        </c:pt>
                      </c15:dlblFieldTableCache>
                    </c15:dlblFTEntry>
                  </c15:dlblFieldTable>
                  <c15:showDataLabelsRange val="0"/>
                </c:ext>
                <c:ext xmlns:c16="http://schemas.microsoft.com/office/drawing/2014/chart" uri="{C3380CC4-5D6E-409C-BE32-E72D297353CC}">
                  <c16:uniqueId val="{0000001A-9EDD-47D3-BE7C-D30A54B5F5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Grafiki_2024!$D$25:$D$31</c:f>
              <c:numCache>
                <c:formatCode>#\ ##0_ ;\-#\ ##0\ </c:formatCode>
                <c:ptCount val="7"/>
                <c:pt idx="0">
                  <c:v>0</c:v>
                </c:pt>
                <c:pt idx="1">
                  <c:v>0</c:v>
                </c:pt>
                <c:pt idx="2">
                  <c:v>318567.66724384017</c:v>
                </c:pt>
                <c:pt idx="3">
                  <c:v>0</c:v>
                </c:pt>
                <c:pt idx="4">
                  <c:v>0</c:v>
                </c:pt>
                <c:pt idx="5">
                  <c:v>0</c:v>
                </c:pt>
                <c:pt idx="6">
                  <c:v>0</c:v>
                </c:pt>
              </c:numCache>
            </c:numRef>
          </c:val>
          <c:extLst>
            <c:ext xmlns:c16="http://schemas.microsoft.com/office/drawing/2014/chart" uri="{C3380CC4-5D6E-409C-BE32-E72D297353CC}">
              <c16:uniqueId val="{00000004-9EDD-47D3-BE7C-D30A54B5F5AB}"/>
            </c:ext>
          </c:extLst>
        </c:ser>
        <c:ser>
          <c:idx val="2"/>
          <c:order val="2"/>
          <c:spPr>
            <a:solidFill>
              <a:schemeClr val="accent3"/>
            </a:solidFill>
            <a:ln>
              <a:noFill/>
            </a:ln>
            <a:effectLst/>
          </c:spPr>
          <c:invertIfNegative val="0"/>
          <c:dPt>
            <c:idx val="0"/>
            <c:invertIfNegative val="0"/>
            <c:bubble3D val="0"/>
            <c:spPr>
              <a:solidFill>
                <a:srgbClr val="0070C0"/>
              </a:solidFill>
              <a:ln>
                <a:noFill/>
              </a:ln>
              <a:effectLst/>
            </c:spPr>
            <c:extLst>
              <c:ext xmlns:c16="http://schemas.microsoft.com/office/drawing/2014/chart" uri="{C3380CC4-5D6E-409C-BE32-E72D297353CC}">
                <c16:uniqueId val="{00000006-9EDD-47D3-BE7C-D30A54B5F5AB}"/>
              </c:ext>
            </c:extLst>
          </c:dPt>
          <c:dPt>
            <c:idx val="1"/>
            <c:invertIfNegative val="0"/>
            <c:bubble3D val="0"/>
            <c:spPr>
              <a:solidFill>
                <a:srgbClr val="6CA644"/>
              </a:solidFill>
              <a:ln>
                <a:noFill/>
              </a:ln>
              <a:effectLst/>
            </c:spPr>
            <c:extLst>
              <c:ext xmlns:c16="http://schemas.microsoft.com/office/drawing/2014/chart" uri="{C3380CC4-5D6E-409C-BE32-E72D297353CC}">
                <c16:uniqueId val="{00000007-9EDD-47D3-BE7C-D30A54B5F5AB}"/>
              </c:ext>
            </c:extLst>
          </c:dPt>
          <c:dPt>
            <c:idx val="3"/>
            <c:invertIfNegative val="0"/>
            <c:bubble3D val="0"/>
            <c:spPr>
              <a:solidFill>
                <a:srgbClr val="6CA644"/>
              </a:solidFill>
              <a:ln>
                <a:noFill/>
              </a:ln>
              <a:effectLst/>
            </c:spPr>
            <c:extLst>
              <c:ext xmlns:c16="http://schemas.microsoft.com/office/drawing/2014/chart" uri="{C3380CC4-5D6E-409C-BE32-E72D297353CC}">
                <c16:uniqueId val="{00000009-9EDD-47D3-BE7C-D30A54B5F5AB}"/>
              </c:ext>
            </c:extLst>
          </c:dPt>
          <c:dPt>
            <c:idx val="4"/>
            <c:invertIfNegative val="0"/>
            <c:bubble3D val="0"/>
            <c:spPr>
              <a:solidFill>
                <a:srgbClr val="6CA644"/>
              </a:solidFill>
              <a:ln>
                <a:noFill/>
              </a:ln>
              <a:effectLst/>
            </c:spPr>
            <c:extLst>
              <c:ext xmlns:c16="http://schemas.microsoft.com/office/drawing/2014/chart" uri="{C3380CC4-5D6E-409C-BE32-E72D297353CC}">
                <c16:uniqueId val="{0000000A-9EDD-47D3-BE7C-D30A54B5F5AB}"/>
              </c:ext>
            </c:extLst>
          </c:dPt>
          <c:dPt>
            <c:idx val="5"/>
            <c:invertIfNegative val="0"/>
            <c:bubble3D val="0"/>
            <c:spPr>
              <a:solidFill>
                <a:srgbClr val="6CA644"/>
              </a:solidFill>
              <a:ln>
                <a:noFill/>
              </a:ln>
              <a:effectLst/>
            </c:spPr>
            <c:extLst>
              <c:ext xmlns:c16="http://schemas.microsoft.com/office/drawing/2014/chart" uri="{C3380CC4-5D6E-409C-BE32-E72D297353CC}">
                <c16:uniqueId val="{0000000B-9EDD-47D3-BE7C-D30A54B5F5AB}"/>
              </c:ext>
            </c:extLst>
          </c:dPt>
          <c:dLbls>
            <c:dLbl>
              <c:idx val="0"/>
              <c:layout>
                <c:manualLayout>
                  <c:x val="1.7177701017650291E-3"/>
                  <c:y val="-0.10991093424294114"/>
                </c:manualLayout>
              </c:layout>
              <c:tx>
                <c:strRef>
                  <c:f>Grafiki_2024!$H$25</c:f>
                  <c:strCache>
                    <c:ptCount val="1"/>
                    <c:pt idx="0">
                      <c:v>34 168 713</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{36C3168E-814D-4827-9076-210F6999E510}</c15:txfldGUID>
                      <c15:f>Grafiki_2024!$H$25</c15:f>
                      <c15:dlblFieldTableCache>
                        <c:ptCount val="1"/>
                        <c:pt idx="0">
                          <c:v>34 168 713</c:v>
                        </c:pt>
                      </c15:dlblFieldTableCache>
                    </c15:dlblFTEntry>
                  </c15:dlblFieldTable>
                  <c15:showDataLabelsRange val="0"/>
                </c:ext>
                <c:ext xmlns:c16="http://schemas.microsoft.com/office/drawing/2014/chart" uri="{C3380CC4-5D6E-409C-BE32-E72D297353CC}">
                  <c16:uniqueId val="{00000006-9EDD-47D3-BE7C-D30A54B5F5AB}"/>
                </c:ext>
              </c:extLst>
            </c:dLbl>
            <c:dLbl>
              <c:idx val="1"/>
              <c:layout>
                <c:manualLayout>
                  <c:x val="4.2944252544125728E-3"/>
                  <c:y val="-0.14023134117899844"/>
                </c:manualLayout>
              </c:layout>
              <c:tx>
                <c:strRef>
                  <c:f>Grafiki_2024!$H$26</c:f>
                  <c:strCache>
                    <c:ptCount val="1"/>
                    <c:pt idx="0">
                      <c:v>2 106 411   (14%)</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8.9513000002975671E-2"/>
                      <c:h val="0.12122432961940018"/>
                    </c:manualLayout>
                  </c15:layout>
                  <c15:dlblFieldTable>
                    <c15:dlblFTEntry>
                      <c15:txfldGUID>{C3172776-4963-4427-B22B-865517AD4CDA}</c15:txfldGUID>
                      <c15:f>Grafiki_2024!$H$26</c15:f>
                      <c15:dlblFieldTableCache>
                        <c:ptCount val="1"/>
                        <c:pt idx="0">
                          <c:v>2 106 411   (14%)</c:v>
                        </c:pt>
                      </c15:dlblFieldTableCache>
                    </c15:dlblFTEntry>
                  </c15:dlblFieldTable>
                  <c15:showDataLabelsRange val="0"/>
                </c:ext>
                <c:ext xmlns:c16="http://schemas.microsoft.com/office/drawing/2014/chart" uri="{C3380CC4-5D6E-409C-BE32-E72D297353CC}">
                  <c16:uniqueId val="{00000007-9EDD-47D3-BE7C-D30A54B5F5AB}"/>
                </c:ext>
              </c:extLst>
            </c:dLbl>
            <c:dLbl>
              <c:idx val="2"/>
              <c:delete val="1"/>
              <c:extLst>
                <c:ext xmlns:c15="http://schemas.microsoft.com/office/drawing/2012/chart" uri="{CE6537A1-D6FC-4f65-9D91-7224C49458BB}">
                  <c15:layout>
                    <c:manualLayout>
                      <c:w val="8.8628280771822512E-2"/>
                      <c:h val="0.10227416854303104"/>
                    </c:manualLayout>
                  </c15:layout>
                </c:ext>
                <c:ext xmlns:c16="http://schemas.microsoft.com/office/drawing/2014/chart" uri="{C3380CC4-5D6E-409C-BE32-E72D297353CC}">
                  <c16:uniqueId val="{00000008-9EDD-47D3-BE7C-D30A54B5F5AB}"/>
                </c:ext>
              </c:extLst>
            </c:dLbl>
            <c:dLbl>
              <c:idx val="3"/>
              <c:layout>
                <c:manualLayout>
                  <c:x val="1.717770101764966E-3"/>
                  <c:y val="-0.10422573670616357"/>
                </c:manualLayout>
              </c:layout>
              <c:tx>
                <c:strRef>
                  <c:f>Grafiki_2024!$H$28</c:f>
                  <c:strCache>
                    <c:ptCount val="1"/>
                    <c:pt idx="0">
                      <c:v>1 004 839   (82%)</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1230770104740691E-2"/>
                      <c:h val="0.11743429740412634"/>
                    </c:manualLayout>
                  </c15:layout>
                  <c15:dlblFieldTable>
                    <c15:dlblFTEntry>
                      <c15:txfldGUID>{C079CEE3-5FCC-44F8-B8DF-65FA0088BD82}</c15:txfldGUID>
                      <c15:f>Grafiki_2024!$H$28</c15:f>
                      <c15:dlblFieldTableCache>
                        <c:ptCount val="1"/>
                        <c:pt idx="0">
                          <c:v>1 004 839   (82%)</c:v>
                        </c:pt>
                      </c15:dlblFieldTableCache>
                    </c15:dlblFTEntry>
                  </c15:dlblFieldTable>
                  <c15:showDataLabelsRange val="0"/>
                </c:ext>
                <c:ext xmlns:c16="http://schemas.microsoft.com/office/drawing/2014/chart" uri="{C3380CC4-5D6E-409C-BE32-E72D297353CC}">
                  <c16:uniqueId val="{00000009-9EDD-47D3-BE7C-D30A54B5F5AB}"/>
                </c:ext>
              </c:extLst>
            </c:dLbl>
            <c:dLbl>
              <c:idx val="4"/>
              <c:layout>
                <c:manualLayout>
                  <c:x val="8.5888505088238857E-4"/>
                  <c:y val="-0.1421262080727686"/>
                </c:manualLayout>
              </c:layout>
              <c:tx>
                <c:strRef>
                  <c:f>Grafiki_2024!$H$29</c:f>
                  <c:strCache>
                    <c:ptCount val="1"/>
                    <c:pt idx="0">
                      <c:v>1 987 618   (45%)</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638408041003578E-2"/>
                      <c:h val="0.1098542329735787"/>
                    </c:manualLayout>
                  </c15:layout>
                  <c15:dlblFieldTable>
                    <c15:dlblFTEntry>
                      <c15:txfldGUID>{CF1389B2-3F5C-458E-A691-8FD0488B9EB1}</c15:txfldGUID>
                      <c15:f>Grafiki_2024!$H$29</c15:f>
                      <c15:dlblFieldTableCache>
                        <c:ptCount val="1"/>
                        <c:pt idx="0">
                          <c:v>1 987 618   (45%)</c:v>
                        </c:pt>
                      </c15:dlblFieldTableCache>
                    </c15:dlblFTEntry>
                  </c15:dlblFieldTable>
                  <c15:showDataLabelsRange val="0"/>
                </c:ext>
                <c:ext xmlns:c16="http://schemas.microsoft.com/office/drawing/2014/chart" uri="{C3380CC4-5D6E-409C-BE32-E72D297353CC}">
                  <c16:uniqueId val="{0000000A-9EDD-47D3-BE7C-D30A54B5F5AB}"/>
                </c:ext>
              </c:extLst>
            </c:dLbl>
            <c:dLbl>
              <c:idx val="5"/>
              <c:layout>
                <c:manualLayout>
                  <c:x val="0"/>
                  <c:y val="-6.2535531552018186E-2"/>
                </c:manualLayout>
              </c:layout>
              <c:tx>
                <c:strRef>
                  <c:f>Grafiki_2024!$H$30</c:f>
                  <c:strCache>
                    <c:ptCount val="1"/>
                    <c:pt idx="0">
                      <c:v>188 853   (21%)</c:v>
                    </c:pt>
                  </c:strCache>
                </c:strRef>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extLst>
                <c:ext xmlns:c15="http://schemas.microsoft.com/office/drawing/2012/chart" uri="{CE6537A1-D6FC-4f65-9D91-7224C49458BB}">
                  <c15:layout>
                    <c:manualLayout>
                      <c:w val="9.0208629265446344E-2"/>
                      <c:h val="0.10227416854303104"/>
                    </c:manualLayout>
                  </c15:layout>
                  <c15:dlblFieldTable>
                    <c15:dlblFTEntry>
                      <c15:txfldGUID>{CE6B0E60-73AA-4B67-9C59-1C681DEF53BB}</c15:txfldGUID>
                      <c15:f>Grafiki_2024!$H$30</c15:f>
                      <c15:dlblFieldTableCache>
                        <c:ptCount val="1"/>
                        <c:pt idx="0">
                          <c:v>188 853   (21%)</c:v>
                        </c:pt>
                      </c15:dlblFieldTableCache>
                    </c15:dlblFTEntry>
                  </c15:dlblFieldTable>
                  <c15:showDataLabelsRange val="0"/>
                </c:ext>
                <c:ext xmlns:c16="http://schemas.microsoft.com/office/drawing/2014/chart" uri="{C3380CC4-5D6E-409C-BE32-E72D297353CC}">
                  <c16:uniqueId val="{0000000B-9EDD-47D3-BE7C-D30A54B5F5A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lv-LV"/>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Grafiki_2024!$E$25:$E$31</c:f>
              <c:numCache>
                <c:formatCode>#\ ##0_ ;\-#\ ##0\ </c:formatCode>
                <c:ptCount val="7"/>
                <c:pt idx="0">
                  <c:v>34168712.631339982</c:v>
                </c:pt>
                <c:pt idx="1">
                  <c:v>2106410.7633468844</c:v>
                </c:pt>
                <c:pt idx="2">
                  <c:v>0</c:v>
                </c:pt>
                <c:pt idx="3">
                  <c:v>1004838.6619715199</c:v>
                </c:pt>
                <c:pt idx="4">
                  <c:v>1987618</c:v>
                </c:pt>
                <c:pt idx="5">
                  <c:v>188852.64</c:v>
                </c:pt>
              </c:numCache>
            </c:numRef>
          </c:val>
          <c:extLst>
            <c:ext xmlns:c16="http://schemas.microsoft.com/office/drawing/2014/chart" uri="{C3380CC4-5D6E-409C-BE32-E72D297353CC}">
              <c16:uniqueId val="{0000000E-9EDD-47D3-BE7C-D30A54B5F5AB}"/>
            </c:ext>
          </c:extLst>
        </c:ser>
        <c:ser>
          <c:idx val="3"/>
          <c:order val="3"/>
          <c:tx>
            <c:strRef>
              <c:f>Grafiki_2024!$G$24</c:f>
              <c:strCache>
                <c:ptCount val="1"/>
                <c:pt idx="0">
                  <c:v>%</c:v>
                </c:pt>
              </c:strCache>
            </c:strRef>
          </c:tx>
          <c:spPr>
            <a:solidFill>
              <a:schemeClr val="accent4"/>
            </a:solidFill>
            <a:ln>
              <a:noFill/>
            </a:ln>
            <a:effectLst/>
          </c:spPr>
          <c:invertIfNegative val="0"/>
          <c:cat>
            <c:strRef>
              <c:f>Grafiki_2024!$B$25:$B$31</c:f>
              <c:strCache>
                <c:ptCount val="7"/>
                <c:pt idx="0">
                  <c:v>Bāzes izdevumi 2023</c:v>
                </c:pt>
                <c:pt idx="1">
                  <c:v>Atalgojums</c:v>
                </c:pt>
                <c:pt idx="2">
                  <c:v>Bāze</c:v>
                </c:pt>
                <c:pt idx="3">
                  <c:v>Parāda procentu maksājumi</c:v>
                </c:pt>
                <c:pt idx="4">
                  <c:v>Iemaksas PFIF</c:v>
                </c:pt>
                <c:pt idx="5">
                  <c:v>Pabalsti</c:v>
                </c:pt>
                <c:pt idx="6">
                  <c:v>Bāzes izdevumi 2024</c:v>
                </c:pt>
              </c:strCache>
            </c:strRef>
          </c:cat>
          <c:val>
            <c:numRef>
              <c:f>Grafiki_2024!$G$26:$G$30</c:f>
              <c:numCache>
                <c:formatCode>0.0%</c:formatCode>
                <c:ptCount val="5"/>
                <c:pt idx="0">
                  <c:v>0.14187934761055576</c:v>
                </c:pt>
                <c:pt idx="1">
                  <c:v>-2.4937877780205842E-2</c:v>
                </c:pt>
                <c:pt idx="2">
                  <c:v>0.82063597231863228</c:v>
                </c:pt>
                <c:pt idx="3">
                  <c:v>0.4488256257330383</c:v>
                </c:pt>
                <c:pt idx="4">
                  <c:v>0.21105089741140892</c:v>
                </c:pt>
              </c:numCache>
            </c:numRef>
          </c:val>
          <c:extLst>
            <c:ext xmlns:c16="http://schemas.microsoft.com/office/drawing/2014/chart" uri="{C3380CC4-5D6E-409C-BE32-E72D297353CC}">
              <c16:uniqueId val="{0000000F-9EDD-47D3-BE7C-D30A54B5F5AB}"/>
            </c:ext>
          </c:extLst>
        </c:ser>
        <c:dLbls>
          <c:showLegendKey val="0"/>
          <c:showVal val="0"/>
          <c:showCatName val="0"/>
          <c:showSerName val="0"/>
          <c:showPercent val="0"/>
          <c:showBubbleSize val="0"/>
        </c:dLbls>
        <c:gapWidth val="14"/>
        <c:overlap val="100"/>
        <c:axId val="1257728144"/>
        <c:axId val="1257728560"/>
      </c:barChart>
      <c:catAx>
        <c:axId val="125772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560"/>
        <c:crosses val="autoZero"/>
        <c:auto val="1"/>
        <c:lblAlgn val="ctr"/>
        <c:lblOffset val="100"/>
        <c:noMultiLvlLbl val="0"/>
      </c:catAx>
      <c:valAx>
        <c:axId val="1257728560"/>
        <c:scaling>
          <c:orientation val="minMax"/>
          <c:max val="41000000"/>
          <c:min val="32000000"/>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1257728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3</xdr:col>
      <xdr:colOff>20956</xdr:colOff>
      <xdr:row>176</xdr:row>
      <xdr:rowOff>17235</xdr:rowOff>
    </xdr:from>
    <xdr:to>
      <xdr:col>10</xdr:col>
      <xdr:colOff>95251</xdr:colOff>
      <xdr:row>186</xdr:row>
      <xdr:rowOff>153950</xdr:rowOff>
    </xdr:to>
    <xdr:pic>
      <xdr:nvPicPr>
        <xdr:cNvPr id="2" name="Attēls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30606" y="29897160"/>
          <a:ext cx="9052560" cy="1851215"/>
        </a:xfrm>
        <a:prstGeom prst="rect">
          <a:avLst/>
        </a:prstGeom>
        <a:ln>
          <a:solidFill>
            <a:schemeClr val="tx1"/>
          </a:solidFill>
        </a:ln>
      </xdr:spPr>
    </xdr:pic>
    <xdr:clientData/>
  </xdr:twoCellAnchor>
  <xdr:twoCellAnchor editAs="oneCell">
    <xdr:from>
      <xdr:col>2</xdr:col>
      <xdr:colOff>523875</xdr:colOff>
      <xdr:row>188</xdr:row>
      <xdr:rowOff>106889</xdr:rowOff>
    </xdr:from>
    <xdr:to>
      <xdr:col>13</xdr:col>
      <xdr:colOff>22093</xdr:colOff>
      <xdr:row>201</xdr:row>
      <xdr:rowOff>129540</xdr:rowOff>
    </xdr:to>
    <xdr:pic>
      <xdr:nvPicPr>
        <xdr:cNvPr id="3" name="Attēls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81075" y="32044214"/>
          <a:ext cx="10697713" cy="2255311"/>
        </a:xfrm>
        <a:prstGeom prst="rect">
          <a:avLst/>
        </a:prstGeom>
        <a:ln>
          <a:solidFill>
            <a:schemeClr val="tx1"/>
          </a:solidFill>
        </a:ln>
      </xdr:spPr>
    </xdr:pic>
    <xdr:clientData/>
  </xdr:twoCellAnchor>
  <xdr:twoCellAnchor editAs="oneCell">
    <xdr:from>
      <xdr:col>2</xdr:col>
      <xdr:colOff>550545</xdr:colOff>
      <xdr:row>203</xdr:row>
      <xdr:rowOff>86741</xdr:rowOff>
    </xdr:from>
    <xdr:to>
      <xdr:col>11</xdr:col>
      <xdr:colOff>419100</xdr:colOff>
      <xdr:row>218</xdr:row>
      <xdr:rowOff>98579</xdr:rowOff>
    </xdr:to>
    <xdr:pic>
      <xdr:nvPicPr>
        <xdr:cNvPr id="5" name="Attēls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1007745" y="34595816"/>
          <a:ext cx="9955530" cy="2591208"/>
        </a:xfrm>
        <a:prstGeom prst="rect">
          <a:avLst/>
        </a:prstGeom>
        <a:ln>
          <a:solidFill>
            <a:schemeClr val="tx1"/>
          </a:solidFill>
        </a:ln>
      </xdr:spPr>
    </xdr:pic>
    <xdr:clientData/>
  </xdr:twoCellAnchor>
  <xdr:twoCellAnchor editAs="oneCell">
    <xdr:from>
      <xdr:col>3</xdr:col>
      <xdr:colOff>1905</xdr:colOff>
      <xdr:row>220</xdr:row>
      <xdr:rowOff>1362</xdr:rowOff>
    </xdr:from>
    <xdr:to>
      <xdr:col>12</xdr:col>
      <xdr:colOff>150495</xdr:colOff>
      <xdr:row>234</xdr:row>
      <xdr:rowOff>151345</xdr:rowOff>
    </xdr:to>
    <xdr:pic>
      <xdr:nvPicPr>
        <xdr:cNvPr id="6" name="Attēls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011555" y="37425087"/>
          <a:ext cx="10235565" cy="2550283"/>
        </a:xfrm>
        <a:prstGeom prst="rect">
          <a:avLst/>
        </a:prstGeom>
        <a:ln>
          <a:solidFill>
            <a:schemeClr val="tx1"/>
          </a:solidFill>
        </a:ln>
      </xdr:spPr>
    </xdr:pic>
    <xdr:clientData/>
  </xdr:twoCellAnchor>
  <xdr:twoCellAnchor editAs="oneCell">
    <xdr:from>
      <xdr:col>4</xdr:col>
      <xdr:colOff>1548765</xdr:colOff>
      <xdr:row>141</xdr:row>
      <xdr:rowOff>34290</xdr:rowOff>
    </xdr:from>
    <xdr:to>
      <xdr:col>7</xdr:col>
      <xdr:colOff>361950</xdr:colOff>
      <xdr:row>151</xdr:row>
      <xdr:rowOff>98506</xdr:rowOff>
    </xdr:to>
    <xdr:pic>
      <xdr:nvPicPr>
        <xdr:cNvPr id="8" name="Attēls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3101340" y="24284940"/>
          <a:ext cx="4591050" cy="1496776"/>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266700</xdr:colOff>
      <xdr:row>1</xdr:row>
      <xdr:rowOff>16192</xdr:rowOff>
    </xdr:from>
    <xdr:to>
      <xdr:col>15</xdr:col>
      <xdr:colOff>18097</xdr:colOff>
      <xdr:row>21</xdr:row>
      <xdr:rowOff>129540</xdr:rowOff>
    </xdr:to>
    <xdr:graphicFrame macro="">
      <xdr:nvGraphicFramePr>
        <xdr:cNvPr id="2" name="Diagramma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281940</xdr:colOff>
      <xdr:row>1</xdr:row>
      <xdr:rowOff>20002</xdr:rowOff>
    </xdr:from>
    <xdr:to>
      <xdr:col>24</xdr:col>
      <xdr:colOff>209550</xdr:colOff>
      <xdr:row>22</xdr:row>
      <xdr:rowOff>0</xdr:rowOff>
    </xdr:to>
    <xdr:graphicFrame macro="">
      <xdr:nvGraphicFramePr>
        <xdr:cNvPr id="3" name="Diagramma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931544</xdr:colOff>
      <xdr:row>51</xdr:row>
      <xdr:rowOff>85725</xdr:rowOff>
    </xdr:from>
    <xdr:to>
      <xdr:col>22</xdr:col>
      <xdr:colOff>15240</xdr:colOff>
      <xdr:row>73</xdr:row>
      <xdr:rowOff>53340</xdr:rowOff>
    </xdr:to>
    <xdr:graphicFrame macro="">
      <xdr:nvGraphicFramePr>
        <xdr:cNvPr id="4" name="Diagramma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76</xdr:row>
      <xdr:rowOff>104775</xdr:rowOff>
    </xdr:from>
    <xdr:to>
      <xdr:col>22</xdr:col>
      <xdr:colOff>1906</xdr:colOff>
      <xdr:row>102</xdr:row>
      <xdr:rowOff>45720</xdr:rowOff>
    </xdr:to>
    <xdr:graphicFrame macro="">
      <xdr:nvGraphicFramePr>
        <xdr:cNvPr id="5" name="Diagramma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23</xdr:row>
      <xdr:rowOff>38101</xdr:rowOff>
    </xdr:from>
    <xdr:to>
      <xdr:col>22</xdr:col>
      <xdr:colOff>529590</xdr:colOff>
      <xdr:row>47</xdr:row>
      <xdr:rowOff>133350</xdr:rowOff>
    </xdr:to>
    <xdr:graphicFrame macro="">
      <xdr:nvGraphicFramePr>
        <xdr:cNvPr id="7" name="Diagramma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28</xdr:row>
      <xdr:rowOff>25400</xdr:rowOff>
    </xdr:from>
    <xdr:to>
      <xdr:col>9</xdr:col>
      <xdr:colOff>364523</xdr:colOff>
      <xdr:row>127</xdr:row>
      <xdr:rowOff>144145</xdr:rowOff>
    </xdr:to>
    <xdr:pic>
      <xdr:nvPicPr>
        <xdr:cNvPr id="2" name="Picture 1" descr="page1image44830784">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3420"/>
          <a:ext cx="10163843" cy="14251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113234</xdr:colOff>
      <xdr:row>131</xdr:row>
      <xdr:rowOff>25021</xdr:rowOff>
    </xdr:from>
    <xdr:to>
      <xdr:col>2</xdr:col>
      <xdr:colOff>1094105</xdr:colOff>
      <xdr:row>131</xdr:row>
      <xdr:rowOff>943590</xdr:rowOff>
    </xdr:to>
    <xdr:pic>
      <xdr:nvPicPr>
        <xdr:cNvPr id="3" name="Attēls 6">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06014" y="22199221"/>
          <a:ext cx="978966" cy="907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20779</xdr:colOff>
      <xdr:row>132</xdr:row>
      <xdr:rowOff>32719</xdr:rowOff>
    </xdr:from>
    <xdr:to>
      <xdr:col>2</xdr:col>
      <xdr:colOff>1172210</xdr:colOff>
      <xdr:row>132</xdr:row>
      <xdr:rowOff>905147</xdr:rowOff>
    </xdr:to>
    <xdr:pic>
      <xdr:nvPicPr>
        <xdr:cNvPr id="4" name="Attēls 8">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13559" y="23197519"/>
          <a:ext cx="1147621" cy="8571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25845</xdr:colOff>
      <xdr:row>133</xdr:row>
      <xdr:rowOff>44630</xdr:rowOff>
    </xdr:from>
    <xdr:to>
      <xdr:col>2</xdr:col>
      <xdr:colOff>1132840</xdr:colOff>
      <xdr:row>133</xdr:row>
      <xdr:rowOff>903514</xdr:rowOff>
    </xdr:to>
    <xdr:pic>
      <xdr:nvPicPr>
        <xdr:cNvPr id="5" name="Attēls 18">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18625" y="24146690"/>
          <a:ext cx="1091755" cy="8398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31102</xdr:colOff>
      <xdr:row>134</xdr:row>
      <xdr:rowOff>44404</xdr:rowOff>
    </xdr:from>
    <xdr:to>
      <xdr:col>2</xdr:col>
      <xdr:colOff>1094105</xdr:colOff>
      <xdr:row>134</xdr:row>
      <xdr:rowOff>826225</xdr:rowOff>
    </xdr:to>
    <xdr:pic>
      <xdr:nvPicPr>
        <xdr:cNvPr id="6" name="Attēls 20">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23882" y="25121824"/>
          <a:ext cx="1061098" cy="770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25214</xdr:colOff>
      <xdr:row>135</xdr:row>
      <xdr:rowOff>48053</xdr:rowOff>
    </xdr:from>
    <xdr:to>
      <xdr:col>2</xdr:col>
      <xdr:colOff>867409</xdr:colOff>
      <xdr:row>135</xdr:row>
      <xdr:rowOff>673826</xdr:rowOff>
    </xdr:to>
    <xdr:pic>
      <xdr:nvPicPr>
        <xdr:cNvPr id="7" name="Attēls 3">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7994" y="26024633"/>
          <a:ext cx="838385" cy="62196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Sarmīte Mūze" id="{02F7BB29-550A-492C-A530-4BF9B1B1D35D}" userId="S::sarmite@Adazi.lv::8598d0af-cc0e-44bc-8069-881eee5df3f5" providerId="AD"/>
  <person displayName="Raivis Pauls" id="{30E28535-C784-4ECF-8B15-B5E68496C835}" userId="S::raivis.pauls@carnikavasskola.lv::76b048a4-4529-4f8e-9fe8-6bc0639557fd" providerId="AD"/>
</personList>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4700" dT="2023-12-17T16:19:30.76" personId="{30E28535-C784-4ECF-8B15-B5E68496C835}" id="{480703BA-EA30-4771-BD30-EA8C7127B8F4}">
    <text xml:space="preserve">No Valsts budžeta mērķdotācijas tiek iegādātas mācību grāmatas un mācību līdzekļi. Digitāliem mācību līdzekļiem tur naudas nesanāk un šādam mērķim naudu iedeva tikai vienreiz un pēkšņi. Pakalpojums ir kļuvis dārgāks (serveru izmaksas) un to ietekmē arī pieaugošais skolēnu skaits, tāpēc nav pieņemams samazinājums!
</text>
  </threadedComment>
  <threadedComment ref="M4703" dT="2023-12-17T16:22:28.75" personId="{30E28535-C784-4ECF-8B15-B5E68496C835}" id="{A7997D48-F6B4-4385-8BC5-F5B7C3833254}">
    <text>Skolēnu skaitam pieaugot un nespējot piedāvāt programmām atbilstošus mācību līdzekļus, ir nepieciešams ļoti lielu apjomu mācību līdzekļu drukāt. Skolēnu skaits, attiecīgi kopiju skaits palielinās.</text>
  </threadedComment>
  <threadedComment ref="M4773" dT="2023-12-17T16:26:24.39" personId="{30E28535-C784-4ECF-8B15-B5E68496C835}" id="{706B0095-3D6E-45C0-9DA0-AD1A69DE9657}">
    <text>Ir nepieciešams skolēniem, kuriem ir mācīšanās grūtības un kuri jau mācās skolā. Tas nav saistīts ar 58. kodu</text>
  </threadedComment>
</ThreadedComments>
</file>

<file path=xl/threadedComments/threadedComment2.xml><?xml version="1.0" encoding="utf-8"?>
<ThreadedComments xmlns="http://schemas.microsoft.com/office/spreadsheetml/2018/threadedcomments" xmlns:x="http://schemas.openxmlformats.org/spreadsheetml/2006/main">
  <threadedComment ref="K303" dT="2023-12-19T14:49:09.93" personId="{02F7BB29-550A-492C-A530-4BF9B1B1D35D}" id="{712FF9CB-9A1B-4EC0-9195-561C5058F9CD}">
    <text>2. Zemsvītras</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hyperlink" Target="mailto:linda@adazikultura.lv"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ralfs.freimanis@adazikultura.lv"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vestnesis.lv/op/2023/57A.1"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berniem.lv/produkti/attistosas-speles/matematiskas-speles/klasifikacija/1/908/loto-skirojam-geometriskas-formas" TargetMode="External"/><Relationship Id="rId13" Type="http://schemas.openxmlformats.org/officeDocument/2006/relationships/hyperlink" Target="https://kokaspeles.lv/products/neatsienamais-mezgls/" TargetMode="External"/><Relationship Id="rId18" Type="http://schemas.openxmlformats.org/officeDocument/2006/relationships/hyperlink" Target="https://www.ikea.lv/lv/products/gulamistaba/atverti-glabasanas-risinajumi-gulamistabai/kastes-un-grozi/kuggis-kaste-ar-vaku-balta-krasa-art-00526875" TargetMode="External"/><Relationship Id="rId3" Type="http://schemas.openxmlformats.org/officeDocument/2006/relationships/hyperlink" Target="https://berniem.lv/produkti/attistosas-speles/matematiskas-speles/skaitisanas-materialsskaitikli/1/2510/skaitamie-kocini-ar--ciparu-kartinam" TargetMode="External"/><Relationship Id="rId21" Type="http://schemas.openxmlformats.org/officeDocument/2006/relationships/hyperlink" Target="https://www.ikea.lv/lv/products/gulamistaba/gulamistabas-tekstils/dekorativas-segas-un-pledi/humlemott-pleds-krembalta-krasa-art-00549546" TargetMode="External"/><Relationship Id="rId7" Type="http://schemas.openxmlformats.org/officeDocument/2006/relationships/hyperlink" Target="https://www.e-upis.lv/lv/berniem/33120610-bernu-skeres-13cm-gripy-wedo-4003801858685.html?search_query=skeres&amp;results=46" TargetMode="External"/><Relationship Id="rId12" Type="http://schemas.openxmlformats.org/officeDocument/2006/relationships/hyperlink" Target="https://kokaspeles.lv/products/sniegavirs/" TargetMode="External"/><Relationship Id="rId17" Type="http://schemas.openxmlformats.org/officeDocument/2006/relationships/hyperlink" Target="https://medicinaspreces.lv/produkts/dezinfekcija-un-sterilizacija/dezinfekcija-un-sterilizacija-dezinfekcijas-lidzekli/dezinfekcijas-lidzekli-virsmam/incidin-oxy-foam-750-ml/" TargetMode="External"/><Relationship Id="rId2" Type="http://schemas.openxmlformats.org/officeDocument/2006/relationships/hyperlink" Target="https://berniem.lv/produkti/attistosas-speles/matematiskas-speles/geometriskas-formas/1/1308/geometriskas-formas-un-lielumi-ii" TargetMode="External"/><Relationship Id="rId16" Type="http://schemas.openxmlformats.org/officeDocument/2006/relationships/hyperlink" Target="https://papirs.lv/katalogs/papira-dvieli/roku-dvieli-loksnes-z-veida-sin-225x19cm-2-kartas-balts-150-gab-pacina" TargetMode="External"/><Relationship Id="rId20" Type="http://schemas.openxmlformats.org/officeDocument/2006/relationships/hyperlink" Target="https://www.mebeles.lv/lv/bernudarziem/paklaji/paklajs-ar-spirali-2-x-2-m-21008" TargetMode="External"/><Relationship Id="rId1" Type="http://schemas.openxmlformats.org/officeDocument/2006/relationships/hyperlink" Target="https://berniem.lv/produkti/attistosas-speles/matematiskas-speles/klasifikacija/1/2494/klasificejam-krasas-un-macamies-skaitit" TargetMode="External"/><Relationship Id="rId6" Type="http://schemas.openxmlformats.org/officeDocument/2006/relationships/hyperlink" Target="https://www.e-upis.lv/lv/a4/33120503-zimesanas-papira-bloks-a4-72lp-grafix-8715427075020.html" TargetMode="External"/><Relationship Id="rId11" Type="http://schemas.openxmlformats.org/officeDocument/2006/relationships/hyperlink" Target="https://kokaspeles.lv/products/skaitlu-sastavs/" TargetMode="External"/><Relationship Id="rId5" Type="http://schemas.openxmlformats.org/officeDocument/2006/relationships/hyperlink" Target="https://www.e-upis.lv/lv/flomasteri/33117148-divpuseji-flomasteri-twin-tip-pen-3200-staedtler.html" TargetMode="External"/><Relationship Id="rId15" Type="http://schemas.openxmlformats.org/officeDocument/2006/relationships/hyperlink" Target="https://papirs.lv/katalogs/turetaji-papira-dvieliem/papira-dvielu-turetajs-vialli-k1-z-salv-loksnes-balts-225x275x95cm" TargetMode="External"/><Relationship Id="rId23" Type="http://schemas.openxmlformats.org/officeDocument/2006/relationships/printerSettings" Target="../printerSettings/printerSettings8.bin"/><Relationship Id="rId10" Type="http://schemas.openxmlformats.org/officeDocument/2006/relationships/hyperlink" Target="https://kokaspeles.lv/products/kosa-kubs/" TargetMode="External"/><Relationship Id="rId19" Type="http://schemas.openxmlformats.org/officeDocument/2006/relationships/hyperlink" Target="https://www.mebeles.lv/lv/bernudarziem/galdi/bernudarza-galds-miki-h-50cm" TargetMode="External"/><Relationship Id="rId4" Type="http://schemas.openxmlformats.org/officeDocument/2006/relationships/hyperlink" Target="https://www.janisroze.lv/lv/kancelejas-preces/rakstampiederumi/zimuli/krasainie-zimuli/zimuli-50-krasas-giotto-stilnovo.html" TargetMode="External"/><Relationship Id="rId9" Type="http://schemas.openxmlformats.org/officeDocument/2006/relationships/hyperlink" Target="https://anete.lv/abc-wurfel-(n7)-nikitin-material-zur-fruhforderung-3746738" TargetMode="External"/><Relationship Id="rId14" Type="http://schemas.openxmlformats.org/officeDocument/2006/relationships/hyperlink" Target="https://www.multipack.lv/shop/lv/vienreizejie-trauki/glazes/papira-glazes-250ml-oe80mm-baltas-vienslana-pap-pe-vienslanu-iepakojuma-100-gab-11908keu" TargetMode="External"/><Relationship Id="rId22" Type="http://schemas.openxmlformats.org/officeDocument/2006/relationships/hyperlink" Target="https://www.mebeles.lv/lv/skolam/divani-2/atputas-divans-peleks-zals-kvadratveida-kajas-874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75"/>
  <sheetViews>
    <sheetView workbookViewId="0">
      <selection activeCell="F242" sqref="F242"/>
    </sheetView>
  </sheetViews>
  <sheetFormatPr defaultColWidth="9" defaultRowHeight="15"/>
  <cols>
    <col min="1" max="1" width="3" style="80" customWidth="1"/>
    <col min="2" max="2" width="4.42578125" style="80" customWidth="1"/>
    <col min="3" max="3" width="9" style="80"/>
    <col min="4" max="4" width="8.85546875" style="80" customWidth="1"/>
    <col min="5" max="5" width="57.5703125" style="80" customWidth="1"/>
    <col min="6" max="6" width="18.140625" style="80" customWidth="1"/>
    <col min="7" max="7" width="19" style="80" customWidth="1"/>
    <col min="8" max="8" width="16.42578125" style="80" customWidth="1"/>
    <col min="9" max="9" width="18.140625" style="80" customWidth="1"/>
    <col min="10" max="16384" width="9" style="80"/>
  </cols>
  <sheetData>
    <row r="2" spans="1:12">
      <c r="B2" s="80" t="s">
        <v>6156</v>
      </c>
    </row>
    <row r="4" spans="1:12">
      <c r="B4" s="4486" t="s">
        <v>10</v>
      </c>
      <c r="C4" s="4487" t="s">
        <v>6159</v>
      </c>
    </row>
    <row r="5" spans="1:12">
      <c r="B5" s="4486" t="s">
        <v>18</v>
      </c>
      <c r="C5" s="4487" t="s">
        <v>6157</v>
      </c>
    </row>
    <row r="6" spans="1:12" s="4515" customFormat="1" ht="15.75" thickBot="1">
      <c r="B6" s="4523"/>
    </row>
    <row r="7" spans="1:12" ht="15.75" thickTop="1">
      <c r="B7" s="4486"/>
    </row>
    <row r="8" spans="1:12">
      <c r="B8" s="4486" t="s">
        <v>10</v>
      </c>
      <c r="C8" s="80" t="s">
        <v>6160</v>
      </c>
    </row>
    <row r="9" spans="1:12">
      <c r="B9" s="4486"/>
    </row>
    <row r="10" spans="1:12">
      <c r="B10" s="80" t="s">
        <v>13</v>
      </c>
      <c r="C10" s="80" t="s">
        <v>6161</v>
      </c>
    </row>
    <row r="12" spans="1:12" ht="37.9" customHeight="1">
      <c r="A12" s="4488"/>
      <c r="B12" s="4488"/>
      <c r="C12" s="4489"/>
      <c r="D12" s="4462" t="s">
        <v>1</v>
      </c>
      <c r="E12" s="4463" t="s">
        <v>2</v>
      </c>
      <c r="F12" s="4464">
        <v>2023</v>
      </c>
      <c r="G12" s="4465">
        <v>2024</v>
      </c>
      <c r="H12" s="4466" t="s">
        <v>577</v>
      </c>
      <c r="I12" s="4467" t="s">
        <v>6158</v>
      </c>
      <c r="J12" s="4490"/>
      <c r="L12" s="4491"/>
    </row>
    <row r="13" spans="1:12">
      <c r="A13" s="4488"/>
      <c r="B13" s="4488"/>
      <c r="C13" s="4489"/>
      <c r="D13" s="4492" t="s">
        <v>10</v>
      </c>
      <c r="E13" s="4493" t="s">
        <v>11</v>
      </c>
      <c r="F13" s="4493"/>
      <c r="G13" s="4493"/>
      <c r="H13" s="4493"/>
      <c r="I13" s="4493"/>
      <c r="J13" s="4494"/>
      <c r="L13" s="4491"/>
    </row>
    <row r="14" spans="1:12">
      <c r="A14" s="4488"/>
      <c r="B14" s="4488"/>
      <c r="C14" s="4489"/>
      <c r="D14" s="4492" t="s">
        <v>18</v>
      </c>
      <c r="E14" s="4493" t="s">
        <v>19</v>
      </c>
      <c r="F14" s="4493"/>
      <c r="G14" s="4493"/>
      <c r="H14" s="4493"/>
      <c r="I14" s="4493"/>
      <c r="J14" s="4495"/>
      <c r="K14" s="503"/>
      <c r="L14" s="4491"/>
    </row>
    <row r="15" spans="1:12">
      <c r="A15" s="4488"/>
      <c r="B15" s="4488"/>
      <c r="C15" s="4489"/>
      <c r="D15" s="4492" t="s">
        <v>26</v>
      </c>
      <c r="E15" s="4493" t="s">
        <v>2966</v>
      </c>
      <c r="F15" s="4493"/>
      <c r="G15" s="4493"/>
      <c r="H15" s="4493"/>
      <c r="I15" s="4493"/>
      <c r="J15" s="4490"/>
      <c r="L15" s="4491"/>
    </row>
    <row r="16" spans="1:12">
      <c r="A16" s="4488"/>
      <c r="B16" s="4488"/>
      <c r="C16" s="4489"/>
      <c r="D16" s="4492" t="s">
        <v>34</v>
      </c>
      <c r="E16" s="4493" t="s">
        <v>2965</v>
      </c>
      <c r="F16" s="4493"/>
      <c r="G16" s="4493"/>
      <c r="H16" s="4493"/>
      <c r="I16" s="4493"/>
      <c r="J16" s="4490"/>
      <c r="L16" s="4491"/>
    </row>
    <row r="17" spans="1:12">
      <c r="A17" s="4488"/>
      <c r="B17" s="4488"/>
      <c r="C17" s="4489"/>
      <c r="D17" s="4492" t="s">
        <v>40</v>
      </c>
      <c r="E17" s="4493" t="s">
        <v>1794</v>
      </c>
      <c r="F17" s="4493"/>
      <c r="G17" s="4493"/>
      <c r="H17" s="4493"/>
      <c r="I17" s="4493"/>
      <c r="J17" s="4496"/>
      <c r="L17" s="4491"/>
    </row>
    <row r="18" spans="1:12">
      <c r="A18" s="4488"/>
      <c r="B18" s="4488"/>
      <c r="C18" s="4489"/>
      <c r="D18" s="4492" t="s">
        <v>43</v>
      </c>
      <c r="E18" s="4493" t="s">
        <v>44</v>
      </c>
      <c r="F18" s="4493"/>
      <c r="G18" s="4493"/>
      <c r="H18" s="4493"/>
      <c r="I18" s="4493"/>
      <c r="J18" s="4496"/>
      <c r="L18" s="4491"/>
    </row>
    <row r="19" spans="1:12">
      <c r="A19" s="4488"/>
      <c r="B19" s="4488"/>
      <c r="C19" s="4489"/>
      <c r="D19" s="4492" t="s">
        <v>71</v>
      </c>
      <c r="E19" s="4493" t="s">
        <v>72</v>
      </c>
      <c r="F19" s="4493"/>
      <c r="G19" s="4493"/>
      <c r="H19" s="4493"/>
      <c r="I19" s="4493"/>
      <c r="J19" s="4496"/>
      <c r="L19" s="4491"/>
    </row>
    <row r="20" spans="1:12">
      <c r="A20" s="4488"/>
      <c r="B20" s="4488"/>
      <c r="C20" s="4489"/>
      <c r="D20" s="4492" t="s">
        <v>79</v>
      </c>
      <c r="E20" s="4493" t="s">
        <v>80</v>
      </c>
      <c r="F20" s="4493"/>
      <c r="G20" s="4493"/>
      <c r="H20" s="4493"/>
      <c r="I20" s="4493"/>
      <c r="J20" s="4490"/>
      <c r="L20" s="4491"/>
    </row>
    <row r="21" spans="1:12">
      <c r="A21" s="4488"/>
      <c r="B21" s="4488"/>
      <c r="C21" s="4489"/>
      <c r="D21" s="4492" t="s">
        <v>85</v>
      </c>
      <c r="E21" s="4493" t="s">
        <v>86</v>
      </c>
      <c r="F21" s="4493"/>
      <c r="G21" s="4493"/>
      <c r="H21" s="4493"/>
      <c r="I21" s="4493"/>
      <c r="J21" s="4496"/>
      <c r="L21" s="4491"/>
    </row>
    <row r="22" spans="1:12">
      <c r="A22" s="4488"/>
      <c r="B22" s="4488"/>
      <c r="C22" s="4489"/>
      <c r="D22" s="4492" t="s">
        <v>89</v>
      </c>
      <c r="E22" s="4493" t="s">
        <v>90</v>
      </c>
      <c r="F22" s="4493"/>
      <c r="G22" s="4493"/>
      <c r="H22" s="4493"/>
      <c r="I22" s="4493"/>
      <c r="J22" s="4496"/>
      <c r="L22" s="4491"/>
    </row>
    <row r="23" spans="1:12">
      <c r="A23" s="4488"/>
      <c r="B23" s="4488"/>
      <c r="C23" s="4489"/>
      <c r="D23" s="4492" t="s">
        <v>114</v>
      </c>
      <c r="E23" s="4493" t="s">
        <v>115</v>
      </c>
      <c r="F23" s="4493"/>
      <c r="G23" s="4493"/>
      <c r="H23" s="4493"/>
      <c r="I23" s="4493"/>
      <c r="J23" s="4490"/>
      <c r="L23" s="4491"/>
    </row>
    <row r="24" spans="1:12">
      <c r="A24" s="4488"/>
      <c r="B24" s="4488"/>
      <c r="C24" s="4489"/>
      <c r="D24" s="4492" t="s">
        <v>120</v>
      </c>
      <c r="E24" s="4493" t="s">
        <v>121</v>
      </c>
      <c r="F24" s="4493"/>
      <c r="G24" s="4493"/>
      <c r="H24" s="4493"/>
      <c r="I24" s="4493"/>
      <c r="J24" s="2369"/>
      <c r="L24" s="4491"/>
    </row>
    <row r="25" spans="1:12" collapsed="1">
      <c r="A25" s="4488"/>
      <c r="B25" s="4488"/>
      <c r="C25" s="4489"/>
      <c r="D25" s="4493"/>
      <c r="E25" s="4497" t="s">
        <v>139</v>
      </c>
      <c r="F25" s="4493"/>
      <c r="G25" s="4493"/>
      <c r="H25" s="4493"/>
      <c r="I25" s="4493"/>
      <c r="J25" s="4496"/>
      <c r="L25" s="4491"/>
    </row>
    <row r="27" spans="1:12">
      <c r="B27" s="80" t="s">
        <v>15</v>
      </c>
      <c r="C27" s="80" t="s">
        <v>6162</v>
      </c>
    </row>
    <row r="29" spans="1:12" ht="42.75">
      <c r="D29" s="4462" t="s">
        <v>1</v>
      </c>
      <c r="E29" s="4463" t="s">
        <v>2</v>
      </c>
      <c r="F29" s="4464">
        <v>2023</v>
      </c>
      <c r="G29" s="4465">
        <v>2024</v>
      </c>
      <c r="H29" s="4466" t="s">
        <v>577</v>
      </c>
      <c r="I29" s="4467" t="s">
        <v>576</v>
      </c>
    </row>
    <row r="30" spans="1:12">
      <c r="D30" s="4468"/>
      <c r="E30" s="4469" t="s">
        <v>663</v>
      </c>
      <c r="F30" s="4470"/>
      <c r="G30" s="4471"/>
      <c r="H30" s="4472"/>
      <c r="I30" s="4473"/>
    </row>
    <row r="31" spans="1:12">
      <c r="D31" s="4468"/>
      <c r="E31" s="4469" t="s">
        <v>579</v>
      </c>
      <c r="F31" s="4470"/>
      <c r="G31" s="4471"/>
      <c r="H31" s="4472"/>
      <c r="I31" s="4473"/>
    </row>
    <row r="32" spans="1:12">
      <c r="D32" s="4468"/>
      <c r="E32" s="4469" t="s">
        <v>2649</v>
      </c>
      <c r="F32" s="4470"/>
      <c r="G32" s="4471"/>
      <c r="H32" s="4472"/>
      <c r="I32" s="4473"/>
    </row>
    <row r="33" spans="3:9">
      <c r="D33" s="4468"/>
      <c r="E33" s="4469" t="s">
        <v>578</v>
      </c>
      <c r="F33" s="4470"/>
      <c r="G33" s="4471"/>
      <c r="H33" s="4472"/>
      <c r="I33" s="4473"/>
    </row>
    <row r="34" spans="3:9">
      <c r="D34" s="4474"/>
      <c r="E34" s="4475" t="s">
        <v>1647</v>
      </c>
      <c r="F34" s="4476"/>
      <c r="G34" s="4477"/>
      <c r="H34" s="4478"/>
      <c r="I34" s="4479"/>
    </row>
    <row r="35" spans="3:9">
      <c r="D35" s="4474"/>
      <c r="E35" s="4475" t="s">
        <v>164</v>
      </c>
      <c r="F35" s="4476"/>
      <c r="G35" s="4477"/>
      <c r="H35" s="4478"/>
      <c r="I35" s="4479"/>
    </row>
    <row r="36" spans="3:9">
      <c r="D36" s="4480"/>
      <c r="E36" s="4481" t="s">
        <v>531</v>
      </c>
      <c r="F36" s="4482"/>
      <c r="G36" s="4483"/>
      <c r="H36" s="4484"/>
      <c r="I36" s="4485"/>
    </row>
    <row r="38" spans="3:9" s="4487" customFormat="1" ht="14.25">
      <c r="C38" s="4487" t="s">
        <v>6194</v>
      </c>
    </row>
    <row r="40" spans="3:9">
      <c r="C40" s="4564" t="s">
        <v>6163</v>
      </c>
    </row>
    <row r="41" spans="3:9">
      <c r="C41" s="4564" t="s">
        <v>6198</v>
      </c>
    </row>
    <row r="43" spans="3:9" ht="43.5" thickBot="1">
      <c r="D43" s="4462" t="s">
        <v>1</v>
      </c>
      <c r="E43" s="4463" t="s">
        <v>2</v>
      </c>
      <c r="F43" s="4464">
        <v>2023</v>
      </c>
      <c r="G43" s="4465">
        <v>2024</v>
      </c>
      <c r="H43" s="4466" t="s">
        <v>577</v>
      </c>
      <c r="I43" s="4467" t="s">
        <v>576</v>
      </c>
    </row>
    <row r="44" spans="3:9">
      <c r="D44" s="4498" t="s">
        <v>10</v>
      </c>
      <c r="E44" s="124" t="s">
        <v>150</v>
      </c>
      <c r="F44" s="450"/>
      <c r="G44" s="4064"/>
      <c r="H44" s="125"/>
      <c r="I44" s="1835"/>
    </row>
    <row r="45" spans="3:9">
      <c r="D45" s="4499"/>
      <c r="E45" s="473" t="s">
        <v>663</v>
      </c>
      <c r="F45" s="474"/>
      <c r="G45" s="474"/>
      <c r="H45" s="475"/>
      <c r="I45" s="1831"/>
    </row>
    <row r="46" spans="3:9">
      <c r="D46" s="4500"/>
      <c r="E46" s="479" t="s">
        <v>579</v>
      </c>
      <c r="F46" s="474"/>
      <c r="G46" s="474"/>
      <c r="H46" s="475"/>
      <c r="I46" s="1831"/>
    </row>
    <row r="47" spans="3:9">
      <c r="D47" s="4499"/>
      <c r="E47" s="473" t="s">
        <v>578</v>
      </c>
      <c r="F47" s="474"/>
      <c r="G47" s="474"/>
      <c r="H47" s="475"/>
      <c r="I47" s="1831"/>
    </row>
    <row r="48" spans="3:9">
      <c r="D48" s="4501"/>
      <c r="E48" s="470" t="s">
        <v>1647</v>
      </c>
      <c r="F48" s="471"/>
      <c r="G48" s="471"/>
      <c r="H48" s="464"/>
      <c r="I48" s="1832"/>
    </row>
    <row r="49" spans="4:9">
      <c r="D49" s="4502"/>
      <c r="E49" s="1231" t="s">
        <v>164</v>
      </c>
      <c r="F49" s="1232"/>
      <c r="G49" s="1232"/>
      <c r="H49" s="464"/>
      <c r="I49" s="1832"/>
    </row>
    <row r="50" spans="4:9">
      <c r="D50" s="4503" t="s">
        <v>18</v>
      </c>
      <c r="E50" s="129" t="s">
        <v>586</v>
      </c>
      <c r="F50" s="362"/>
      <c r="G50" s="363"/>
      <c r="H50" s="106"/>
      <c r="I50" s="1823"/>
    </row>
    <row r="51" spans="4:9">
      <c r="D51" s="4504"/>
      <c r="E51" s="473" t="s">
        <v>663</v>
      </c>
      <c r="F51" s="364"/>
      <c r="G51" s="389"/>
      <c r="H51" s="146"/>
      <c r="I51" s="1836"/>
    </row>
    <row r="52" spans="4:9">
      <c r="D52" s="4505"/>
      <c r="E52" s="473" t="s">
        <v>579</v>
      </c>
      <c r="F52" s="364"/>
      <c r="G52" s="389"/>
      <c r="H52" s="146"/>
      <c r="I52" s="1836"/>
    </row>
    <row r="53" spans="4:9">
      <c r="D53" s="4506"/>
      <c r="E53" s="473" t="s">
        <v>2649</v>
      </c>
      <c r="F53" s="2572"/>
      <c r="G53" s="2572"/>
      <c r="H53" s="2796"/>
      <c r="I53" s="2797"/>
    </row>
    <row r="54" spans="4:9">
      <c r="D54" s="4504"/>
      <c r="E54" s="473" t="s">
        <v>578</v>
      </c>
      <c r="F54" s="364"/>
      <c r="G54" s="389"/>
      <c r="H54" s="146"/>
      <c r="I54" s="1836"/>
    </row>
    <row r="55" spans="4:9">
      <c r="D55" s="4507"/>
      <c r="E55" s="1294" t="s">
        <v>1249</v>
      </c>
      <c r="F55" s="1280"/>
      <c r="G55" s="380"/>
      <c r="H55" s="1285"/>
      <c r="I55" s="1834"/>
    </row>
    <row r="56" spans="4:9">
      <c r="D56" s="4503" t="s">
        <v>26</v>
      </c>
      <c r="E56" s="129" t="s">
        <v>168</v>
      </c>
      <c r="F56" s="362"/>
      <c r="G56" s="363"/>
      <c r="H56" s="106"/>
      <c r="I56" s="1823"/>
    </row>
    <row r="57" spans="4:9">
      <c r="D57" s="4504"/>
      <c r="E57" s="473" t="s">
        <v>663</v>
      </c>
      <c r="F57" s="364"/>
      <c r="G57" s="389"/>
      <c r="H57" s="146"/>
      <c r="I57" s="1836"/>
    </row>
    <row r="58" spans="4:9">
      <c r="D58" s="4505"/>
      <c r="E58" s="479" t="s">
        <v>579</v>
      </c>
      <c r="F58" s="364"/>
      <c r="G58" s="389"/>
      <c r="H58" s="146"/>
      <c r="I58" s="1836"/>
    </row>
    <row r="59" spans="4:9">
      <c r="D59" s="4508"/>
      <c r="E59" s="479" t="s">
        <v>1874</v>
      </c>
      <c r="F59" s="364"/>
      <c r="G59" s="389"/>
      <c r="H59" s="146"/>
      <c r="I59" s="1836"/>
    </row>
    <row r="60" spans="4:9">
      <c r="D60" s="4504"/>
      <c r="E60" s="473" t="s">
        <v>578</v>
      </c>
      <c r="F60" s="364"/>
      <c r="G60" s="389"/>
      <c r="H60" s="146"/>
      <c r="I60" s="1836"/>
    </row>
    <row r="61" spans="4:9">
      <c r="D61" s="4507"/>
      <c r="E61" s="1294" t="s">
        <v>1249</v>
      </c>
      <c r="F61" s="1279"/>
      <c r="G61" s="389"/>
      <c r="H61" s="1285"/>
      <c r="I61" s="1834"/>
    </row>
    <row r="62" spans="4:9">
      <c r="D62" s="4503" t="s">
        <v>34</v>
      </c>
      <c r="E62" s="129" t="s">
        <v>169</v>
      </c>
      <c r="F62" s="362"/>
      <c r="G62" s="362"/>
      <c r="H62" s="106"/>
      <c r="I62" s="1823"/>
    </row>
    <row r="63" spans="4:9">
      <c r="D63" s="4499"/>
      <c r="E63" s="473" t="s">
        <v>663</v>
      </c>
      <c r="F63" s="474"/>
      <c r="G63" s="474"/>
      <c r="H63" s="475"/>
      <c r="I63" s="1831"/>
    </row>
    <row r="64" spans="4:9">
      <c r="D64" s="4500"/>
      <c r="E64" s="479" t="s">
        <v>579</v>
      </c>
      <c r="F64" s="474"/>
      <c r="G64" s="474"/>
      <c r="H64" s="475"/>
      <c r="I64" s="1831"/>
    </row>
    <row r="65" spans="4:9">
      <c r="D65" s="4499"/>
      <c r="E65" s="473" t="s">
        <v>578</v>
      </c>
      <c r="F65" s="474"/>
      <c r="G65" s="474"/>
      <c r="H65" s="475"/>
      <c r="I65" s="1831"/>
    </row>
    <row r="66" spans="4:9">
      <c r="D66" s="4503" t="s">
        <v>40</v>
      </c>
      <c r="E66" s="129" t="s">
        <v>177</v>
      </c>
      <c r="F66" s="107"/>
      <c r="G66" s="106"/>
      <c r="H66" s="106"/>
      <c r="I66" s="1823"/>
    </row>
    <row r="67" spans="4:9">
      <c r="D67" s="4499"/>
      <c r="E67" s="473" t="s">
        <v>663</v>
      </c>
      <c r="F67" s="474"/>
      <c r="G67" s="474"/>
      <c r="H67" s="475"/>
      <c r="I67" s="1831"/>
    </row>
    <row r="68" spans="4:9">
      <c r="D68" s="4500"/>
      <c r="E68" s="479" t="s">
        <v>579</v>
      </c>
      <c r="F68" s="480"/>
      <c r="G68" s="480"/>
      <c r="H68" s="475"/>
      <c r="I68" s="1831"/>
    </row>
    <row r="69" spans="4:9">
      <c r="D69" s="4509"/>
      <c r="E69" s="479" t="s">
        <v>2649</v>
      </c>
      <c r="F69" s="3934"/>
      <c r="G69" s="3934"/>
      <c r="H69" s="475"/>
      <c r="I69" s="1831"/>
    </row>
    <row r="70" spans="4:9">
      <c r="D70" s="4499"/>
      <c r="E70" s="473" t="s">
        <v>578</v>
      </c>
      <c r="F70" s="474"/>
      <c r="G70" s="474"/>
      <c r="H70" s="475"/>
      <c r="I70" s="1831"/>
    </row>
    <row r="71" spans="4:9">
      <c r="D71" s="4510"/>
      <c r="E71" s="1294" t="s">
        <v>1084</v>
      </c>
      <c r="F71" s="1283"/>
      <c r="G71" s="1283"/>
      <c r="H71" s="1285"/>
      <c r="I71" s="1844"/>
    </row>
    <row r="72" spans="4:9">
      <c r="D72" s="4510"/>
      <c r="E72" s="2131" t="s">
        <v>431</v>
      </c>
      <c r="F72" s="2132"/>
      <c r="G72" s="2132"/>
      <c r="H72" s="1285"/>
      <c r="I72" s="1834"/>
    </row>
    <row r="73" spans="4:9">
      <c r="D73" s="4507"/>
      <c r="E73" s="1294" t="s">
        <v>1249</v>
      </c>
      <c r="F73" s="1280"/>
      <c r="G73" s="1280"/>
      <c r="H73" s="1285"/>
      <c r="I73" s="1834"/>
    </row>
    <row r="74" spans="4:9">
      <c r="D74" s="4510"/>
      <c r="E74" s="1294" t="s">
        <v>566</v>
      </c>
      <c r="F74" s="1283"/>
      <c r="G74" s="1283"/>
      <c r="H74" s="1303"/>
      <c r="I74" s="1844"/>
    </row>
    <row r="75" spans="4:9">
      <c r="D75" s="4503" t="s">
        <v>43</v>
      </c>
      <c r="E75" s="129" t="s">
        <v>184</v>
      </c>
      <c r="F75" s="362"/>
      <c r="G75" s="363"/>
      <c r="H75" s="106"/>
      <c r="I75" s="1823"/>
    </row>
    <row r="76" spans="4:9">
      <c r="D76" s="4511"/>
      <c r="E76" s="473" t="s">
        <v>663</v>
      </c>
      <c r="F76" s="474"/>
      <c r="G76" s="474"/>
      <c r="H76" s="475"/>
      <c r="I76" s="1831"/>
    </row>
    <row r="77" spans="4:9">
      <c r="D77" s="4512"/>
      <c r="E77" s="479" t="s">
        <v>579</v>
      </c>
      <c r="F77" s="480"/>
      <c r="G77" s="480"/>
      <c r="H77" s="475"/>
      <c r="I77" s="1831"/>
    </row>
    <row r="78" spans="4:9">
      <c r="D78" s="4511"/>
      <c r="E78" s="473" t="s">
        <v>531</v>
      </c>
      <c r="F78" s="474"/>
      <c r="G78" s="474"/>
      <c r="H78" s="475"/>
      <c r="I78" s="1831"/>
    </row>
    <row r="79" spans="4:9">
      <c r="D79" s="4511"/>
      <c r="E79" s="473" t="s">
        <v>578</v>
      </c>
      <c r="F79" s="474"/>
      <c r="G79" s="474"/>
      <c r="H79" s="475"/>
      <c r="I79" s="1831"/>
    </row>
    <row r="80" spans="4:9">
      <c r="D80" s="4513"/>
      <c r="E80" s="1294" t="s">
        <v>431</v>
      </c>
      <c r="F80" s="1295"/>
      <c r="G80" s="1295"/>
      <c r="H80" s="1285"/>
      <c r="I80" s="1834"/>
    </row>
    <row r="81" spans="2:9">
      <c r="D81" s="4507"/>
      <c r="E81" s="1294" t="s">
        <v>1249</v>
      </c>
      <c r="F81" s="1280"/>
      <c r="G81" s="1280"/>
      <c r="H81" s="1285"/>
      <c r="I81" s="1834"/>
    </row>
    <row r="82" spans="2:9">
      <c r="D82" s="4507"/>
      <c r="E82" s="1294" t="s">
        <v>1082</v>
      </c>
      <c r="F82" s="1280"/>
      <c r="G82" s="1280"/>
      <c r="H82" s="1285"/>
      <c r="I82" s="1834"/>
    </row>
    <row r="83" spans="2:9">
      <c r="D83" s="4503" t="s">
        <v>71</v>
      </c>
      <c r="E83" s="129" t="s">
        <v>189</v>
      </c>
      <c r="F83" s="362"/>
      <c r="G83" s="363"/>
      <c r="H83" s="106"/>
      <c r="I83" s="1823"/>
    </row>
    <row r="84" spans="2:9">
      <c r="D84" s="4499"/>
      <c r="E84" s="1224" t="s">
        <v>663</v>
      </c>
      <c r="F84" s="1225"/>
      <c r="G84" s="1225"/>
      <c r="H84" s="1226"/>
      <c r="I84" s="1848"/>
    </row>
    <row r="85" spans="2:9">
      <c r="D85" s="4500"/>
      <c r="E85" s="1227" t="s">
        <v>579</v>
      </c>
      <c r="F85" s="1225"/>
      <c r="G85" s="1225"/>
      <c r="H85" s="1226"/>
      <c r="I85" s="1848"/>
    </row>
    <row r="86" spans="2:9">
      <c r="D86" s="4509"/>
      <c r="E86" s="1227" t="s">
        <v>2648</v>
      </c>
      <c r="F86" s="3934"/>
      <c r="G86" s="3934"/>
      <c r="H86" s="1226"/>
      <c r="I86" s="1848"/>
    </row>
    <row r="87" spans="2:9">
      <c r="D87" s="4500"/>
      <c r="E87" s="1228" t="s">
        <v>578</v>
      </c>
      <c r="F87" s="483"/>
      <c r="G87" s="483"/>
      <c r="H87" s="1226"/>
      <c r="I87" s="1848"/>
    </row>
    <row r="88" spans="2:9">
      <c r="D88" s="4514"/>
      <c r="E88" s="1819" t="s">
        <v>431</v>
      </c>
      <c r="F88" s="2164"/>
      <c r="G88" s="2164"/>
      <c r="H88" s="2165"/>
      <c r="I88" s="2166"/>
    </row>
    <row r="89" spans="2:9">
      <c r="D89" s="4507"/>
      <c r="E89" s="1819" t="s">
        <v>1249</v>
      </c>
      <c r="F89" s="1292"/>
      <c r="G89" s="1292"/>
      <c r="H89" s="1287"/>
      <c r="I89" s="1849"/>
    </row>
    <row r="90" spans="2:9">
      <c r="E90" s="1163" t="s">
        <v>1624</v>
      </c>
    </row>
    <row r="91" spans="2:9">
      <c r="E91" s="1163" t="s">
        <v>1630</v>
      </c>
    </row>
    <row r="92" spans="2:9">
      <c r="E92" s="1163" t="s">
        <v>1631</v>
      </c>
    </row>
    <row r="93" spans="2:9">
      <c r="E93" s="1163" t="s">
        <v>1632</v>
      </c>
    </row>
    <row r="94" spans="2:9" s="4515" customFormat="1" ht="13.15" customHeight="1" thickBot="1"/>
    <row r="95" spans="2:9" ht="15.75" thickTop="1"/>
    <row r="96" spans="2:9" s="255" customFormat="1">
      <c r="B96" s="4551" t="s">
        <v>18</v>
      </c>
      <c r="C96" s="2048" t="s">
        <v>6157</v>
      </c>
    </row>
    <row r="97" spans="4:8" customFormat="1" ht="12"/>
    <row r="98" spans="4:8" s="72" customFormat="1" ht="12">
      <c r="D98" s="72" t="s">
        <v>6164</v>
      </c>
    </row>
    <row r="99" spans="4:8" customFormat="1" ht="12"/>
    <row r="100" spans="4:8" customFormat="1" ht="12">
      <c r="E100" s="3031"/>
      <c r="F100" s="4549">
        <v>2023</v>
      </c>
      <c r="G100" s="4550">
        <v>2024</v>
      </c>
    </row>
    <row r="101" spans="4:8" customFormat="1" ht="12">
      <c r="E101" s="4524" t="s">
        <v>1667</v>
      </c>
      <c r="F101" s="4542"/>
      <c r="G101" s="4525">
        <v>1</v>
      </c>
    </row>
    <row r="102" spans="4:8" customFormat="1" ht="12">
      <c r="E102" s="4524" t="s">
        <v>1668</v>
      </c>
      <c r="F102" s="4543"/>
      <c r="G102" s="4525">
        <v>2</v>
      </c>
    </row>
    <row r="103" spans="4:8" customFormat="1" ht="12">
      <c r="E103" s="4526" t="s">
        <v>6165</v>
      </c>
      <c r="F103" s="4544"/>
      <c r="G103" s="4527" t="s">
        <v>6166</v>
      </c>
    </row>
    <row r="104" spans="4:8" customFormat="1" ht="12">
      <c r="E104" s="3054"/>
      <c r="F104" s="3055"/>
      <c r="G104" s="4558"/>
    </row>
    <row r="105" spans="4:8" customFormat="1" ht="12">
      <c r="E105" s="3054"/>
      <c r="F105" s="3055"/>
      <c r="G105" s="4558"/>
    </row>
    <row r="106" spans="4:8" customFormat="1" ht="12">
      <c r="E106" s="4524" t="s">
        <v>5453</v>
      </c>
      <c r="F106" s="4552"/>
      <c r="G106" s="4528">
        <v>3</v>
      </c>
      <c r="H106" s="4566" t="s">
        <v>6195</v>
      </c>
    </row>
    <row r="107" spans="4:8" customFormat="1" ht="12">
      <c r="E107" s="4529" t="s">
        <v>2936</v>
      </c>
      <c r="F107" s="4553"/>
      <c r="G107" s="4530" t="s">
        <v>6167</v>
      </c>
    </row>
    <row r="108" spans="4:8" customFormat="1" ht="12">
      <c r="E108" s="4531"/>
      <c r="F108" s="3055"/>
      <c r="G108" s="4532"/>
    </row>
    <row r="109" spans="4:8" customFormat="1" ht="12">
      <c r="E109" s="4524" t="s">
        <v>6114</v>
      </c>
      <c r="F109" s="4545"/>
      <c r="G109" s="4525">
        <v>4</v>
      </c>
    </row>
    <row r="110" spans="4:8" customFormat="1" ht="12">
      <c r="E110" s="4533"/>
      <c r="F110" s="4546"/>
      <c r="G110" s="4530" t="s">
        <v>6168</v>
      </c>
    </row>
    <row r="111" spans="4:8" customFormat="1" ht="12">
      <c r="E111" s="4531"/>
      <c r="F111" s="3055"/>
      <c r="G111" s="4532"/>
    </row>
    <row r="112" spans="4:8" customFormat="1" ht="12">
      <c r="E112" s="4554" t="s">
        <v>6182</v>
      </c>
      <c r="F112" s="3055"/>
      <c r="G112" s="4525">
        <v>5</v>
      </c>
    </row>
    <row r="113" spans="4:7" customFormat="1" ht="12">
      <c r="E113" s="4554" t="s">
        <v>6174</v>
      </c>
      <c r="F113" s="3055"/>
      <c r="G113" s="4525">
        <v>6</v>
      </c>
    </row>
    <row r="114" spans="4:7" customFormat="1" ht="12">
      <c r="E114" s="4534" t="s">
        <v>2890</v>
      </c>
      <c r="F114" s="4555"/>
      <c r="G114" s="4530" t="s">
        <v>6169</v>
      </c>
    </row>
    <row r="115" spans="4:7" customFormat="1" ht="12">
      <c r="E115" s="3054"/>
      <c r="F115" s="3055"/>
      <c r="G115" s="4525"/>
    </row>
    <row r="116" spans="4:7" customFormat="1" ht="12">
      <c r="E116" s="4554" t="s">
        <v>5500</v>
      </c>
      <c r="F116" s="3055"/>
      <c r="G116" s="4525"/>
    </row>
    <row r="117" spans="4:7" customFormat="1" ht="12">
      <c r="E117" s="4535" t="s">
        <v>6116</v>
      </c>
      <c r="F117" s="4547"/>
      <c r="G117" s="4536">
        <v>7</v>
      </c>
    </row>
    <row r="118" spans="4:7" customFormat="1" ht="12">
      <c r="E118" s="4537" t="s">
        <v>6142</v>
      </c>
      <c r="F118" s="4547"/>
      <c r="G118" s="4538" t="s">
        <v>6170</v>
      </c>
    </row>
    <row r="119" spans="4:7" customFormat="1" ht="12">
      <c r="E119" s="4535" t="s">
        <v>6117</v>
      </c>
      <c r="F119" s="4547"/>
      <c r="G119" s="4536">
        <v>8</v>
      </c>
    </row>
    <row r="120" spans="4:7" customFormat="1" ht="12">
      <c r="E120" s="4535" t="s">
        <v>6118</v>
      </c>
      <c r="F120" s="4547"/>
      <c r="G120" s="4536">
        <v>9</v>
      </c>
    </row>
    <row r="121" spans="4:7" customFormat="1" ht="12">
      <c r="E121" s="4554"/>
      <c r="F121" s="3055"/>
      <c r="G121" s="4525"/>
    </row>
    <row r="122" spans="4:7" customFormat="1" ht="12">
      <c r="E122" s="4554" t="s">
        <v>2983</v>
      </c>
      <c r="F122" s="3055"/>
      <c r="G122" s="4539" t="s">
        <v>6171</v>
      </c>
    </row>
    <row r="123" spans="4:7" customFormat="1" ht="12">
      <c r="E123" s="4554"/>
      <c r="F123" s="3055"/>
      <c r="G123" s="4525"/>
    </row>
    <row r="124" spans="4:7" customFormat="1" ht="12">
      <c r="E124" s="4540" t="s">
        <v>5455</v>
      </c>
      <c r="F124" s="4548"/>
      <c r="G124" s="4541" t="s">
        <v>6172</v>
      </c>
    </row>
    <row r="125" spans="4:7" customFormat="1" ht="12"/>
    <row r="126" spans="4:7" customFormat="1" ht="12"/>
    <row r="127" spans="4:7" customFormat="1" ht="12"/>
    <row r="128" spans="4:7" s="72" customFormat="1" ht="12">
      <c r="D128" s="72" t="s">
        <v>6173</v>
      </c>
    </row>
    <row r="129" spans="4:6" customFormat="1" ht="12">
      <c r="E129" s="157" t="s">
        <v>5499</v>
      </c>
      <c r="F129" t="s">
        <v>6179</v>
      </c>
    </row>
    <row r="130" spans="4:6" customFormat="1" ht="12">
      <c r="E130" s="157" t="s">
        <v>6174</v>
      </c>
      <c r="F130" t="s">
        <v>6180</v>
      </c>
    </row>
    <row r="131" spans="4:6" customFormat="1" ht="12">
      <c r="E131" s="157" t="s">
        <v>5500</v>
      </c>
      <c r="F131" t="s">
        <v>6175</v>
      </c>
    </row>
    <row r="132" spans="4:6" customFormat="1" ht="12"/>
    <row r="133" spans="4:6" customFormat="1" ht="12"/>
    <row r="134" spans="4:6" customFormat="1" ht="12">
      <c r="E134" s="279" t="s">
        <v>6183</v>
      </c>
    </row>
    <row r="135" spans="4:6" customFormat="1" ht="12">
      <c r="E135" s="4443" t="s">
        <v>6116</v>
      </c>
      <c r="F135" t="s">
        <v>6178</v>
      </c>
    </row>
    <row r="136" spans="4:6" customFormat="1" ht="12">
      <c r="E136" s="4443" t="s">
        <v>6117</v>
      </c>
      <c r="F136" t="s">
        <v>6176</v>
      </c>
    </row>
    <row r="137" spans="4:6" customFormat="1" ht="12">
      <c r="E137" s="4443" t="s">
        <v>6118</v>
      </c>
      <c r="F137" t="s">
        <v>6177</v>
      </c>
    </row>
    <row r="138" spans="4:6" customFormat="1" ht="12"/>
    <row r="139" spans="4:6" s="72" customFormat="1" ht="12">
      <c r="D139" s="72" t="s">
        <v>6191</v>
      </c>
    </row>
    <row r="140" spans="4:6" s="72" customFormat="1" ht="12">
      <c r="D140" s="72" t="s">
        <v>6192</v>
      </c>
    </row>
    <row r="141" spans="4:6" customFormat="1" ht="12"/>
    <row r="142" spans="4:6" customFormat="1" ht="12"/>
    <row r="143" spans="4:6" customFormat="1" ht="12"/>
    <row r="144" spans="4:6" customFormat="1" ht="12"/>
    <row r="145" spans="4:9" customFormat="1" ht="12"/>
    <row r="146" spans="4:9" customFormat="1" ht="12"/>
    <row r="147" spans="4:9" customFormat="1" ht="12"/>
    <row r="148" spans="4:9" customFormat="1" ht="12"/>
    <row r="149" spans="4:9" customFormat="1" ht="12"/>
    <row r="150" spans="4:9" customFormat="1" ht="12"/>
    <row r="151" spans="4:9" customFormat="1" ht="12"/>
    <row r="152" spans="4:9" customFormat="1" ht="12"/>
    <row r="153" spans="4:9" customFormat="1" ht="12"/>
    <row r="154" spans="4:9" customFormat="1" ht="12"/>
    <row r="155" spans="4:9" customFormat="1" ht="12"/>
    <row r="156" spans="4:9" s="72" customFormat="1" ht="12">
      <c r="D156" s="72" t="s">
        <v>6181</v>
      </c>
    </row>
    <row r="157" spans="4:9" customFormat="1" ht="12">
      <c r="D157" s="4565" t="s">
        <v>6184</v>
      </c>
    </row>
    <row r="158" spans="4:9" customFormat="1" ht="15.6" customHeight="1"/>
    <row r="159" spans="4:9" customFormat="1" ht="12">
      <c r="E159" s="3031"/>
      <c r="F159" s="4810" t="s">
        <v>1623</v>
      </c>
      <c r="G159" s="4808" t="s">
        <v>2909</v>
      </c>
      <c r="H159" s="4808"/>
      <c r="I159" s="4809"/>
    </row>
    <row r="160" spans="4:9" customFormat="1" ht="24">
      <c r="E160" s="4556"/>
      <c r="F160" s="4811"/>
      <c r="G160" s="1998" t="s">
        <v>517</v>
      </c>
      <c r="H160" s="2059" t="s">
        <v>1617</v>
      </c>
      <c r="I160" s="4516" t="s">
        <v>1145</v>
      </c>
    </row>
    <row r="161" spans="4:9" customFormat="1" ht="12">
      <c r="E161" s="4557" t="s">
        <v>5499</v>
      </c>
      <c r="F161" s="4028">
        <f>SUM(G161:I161)</f>
        <v>0</v>
      </c>
      <c r="G161" s="2177">
        <f>H211</f>
        <v>0</v>
      </c>
      <c r="H161" s="2177">
        <f>I211</f>
        <v>0</v>
      </c>
      <c r="I161" s="4517">
        <f>J211</f>
        <v>0</v>
      </c>
    </row>
    <row r="162" spans="4:9" customFormat="1" ht="12">
      <c r="E162" s="4557" t="s">
        <v>5498</v>
      </c>
      <c r="F162" s="4028">
        <f>SUM(G162:I162)</f>
        <v>0</v>
      </c>
      <c r="G162" s="2177">
        <f>H287</f>
        <v>0</v>
      </c>
      <c r="H162" s="2177">
        <f>I287</f>
        <v>0</v>
      </c>
      <c r="I162" s="4517">
        <f>J287</f>
        <v>0</v>
      </c>
    </row>
    <row r="163" spans="4:9" customFormat="1" ht="12">
      <c r="E163" s="4557" t="s">
        <v>5500</v>
      </c>
      <c r="F163" s="4028">
        <f>SUM(G163:I163)</f>
        <v>0</v>
      </c>
      <c r="G163" s="2177">
        <f>H455</f>
        <v>0</v>
      </c>
      <c r="H163" s="2177">
        <f>I455</f>
        <v>0</v>
      </c>
      <c r="I163" s="4517">
        <f>J455</f>
        <v>0</v>
      </c>
    </row>
    <row r="164" spans="4:9" customFormat="1" ht="12">
      <c r="E164" s="4559" t="s">
        <v>6116</v>
      </c>
      <c r="F164" s="4560">
        <f>F462</f>
        <v>0</v>
      </c>
      <c r="G164" s="4561">
        <f t="shared" ref="G164:I166" si="0">H462</f>
        <v>0</v>
      </c>
      <c r="H164" s="4560">
        <f t="shared" si="0"/>
        <v>0</v>
      </c>
      <c r="I164" s="4562">
        <f t="shared" si="0"/>
        <v>0</v>
      </c>
    </row>
    <row r="165" spans="4:9" customFormat="1" ht="12">
      <c r="E165" s="4559" t="s">
        <v>6117</v>
      </c>
      <c r="F165" s="4560">
        <f>F463</f>
        <v>0</v>
      </c>
      <c r="G165" s="4561">
        <f t="shared" si="0"/>
        <v>0</v>
      </c>
      <c r="H165" s="4560">
        <f t="shared" si="0"/>
        <v>0</v>
      </c>
      <c r="I165" s="4562">
        <f t="shared" si="0"/>
        <v>0</v>
      </c>
    </row>
    <row r="166" spans="4:9" customFormat="1" ht="12">
      <c r="E166" s="4559" t="s">
        <v>6118</v>
      </c>
      <c r="F166" s="4560">
        <f>F464</f>
        <v>0</v>
      </c>
      <c r="G166" s="4561">
        <f t="shared" si="0"/>
        <v>0</v>
      </c>
      <c r="H166" s="4560">
        <f t="shared" si="0"/>
        <v>0</v>
      </c>
      <c r="I166" s="4562">
        <f t="shared" si="0"/>
        <v>0</v>
      </c>
    </row>
    <row r="167" spans="4:9" customFormat="1" ht="12">
      <c r="E167" s="4557" t="s">
        <v>6119</v>
      </c>
      <c r="F167" s="4036">
        <f>SUM(F161:F163)</f>
        <v>0</v>
      </c>
      <c r="G167" s="4037">
        <f>SUM(G161:G163)</f>
        <v>0</v>
      </c>
      <c r="H167" s="4037">
        <f>SUM(H161:H163)</f>
        <v>0</v>
      </c>
      <c r="I167" s="4518">
        <f>SUM(I161:I163)</f>
        <v>0</v>
      </c>
    </row>
    <row r="168" spans="4:9" customFormat="1" ht="12">
      <c r="E168" s="4519" t="s">
        <v>5501</v>
      </c>
      <c r="F168" s="4520">
        <f>SUM(G168:I168)</f>
        <v>0</v>
      </c>
      <c r="G168" s="4521">
        <f>H484</f>
        <v>0</v>
      </c>
      <c r="H168" s="4521">
        <f>I484</f>
        <v>0</v>
      </c>
      <c r="I168" s="4522">
        <f>J484</f>
        <v>0</v>
      </c>
    </row>
    <row r="169" spans="4:9" customFormat="1" ht="12"/>
    <row r="172" spans="4:9" s="72" customFormat="1" ht="12">
      <c r="D172" s="72" t="s">
        <v>6193</v>
      </c>
    </row>
    <row r="173" spans="4:9" customFormat="1" ht="12">
      <c r="D173" s="4565" t="s">
        <v>6189</v>
      </c>
    </row>
    <row r="174" spans="4:9" customFormat="1" ht="12">
      <c r="D174" s="4565" t="s">
        <v>6188</v>
      </c>
    </row>
    <row r="175" spans="4:9" customFormat="1" ht="12">
      <c r="D175" s="4565" t="s">
        <v>6190</v>
      </c>
    </row>
  </sheetData>
  <mergeCells count="2">
    <mergeCell ref="G159:I159"/>
    <mergeCell ref="F159:F160"/>
  </mergeCells>
  <pageMargins left="0.7" right="0.7" top="0.75" bottom="0.75" header="0.3" footer="0.3"/>
  <ignoredErrors>
    <ignoredError sqref="D13:D24" numberStoredAsText="1"/>
  </ignoredError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F75AE-12CE-44A0-9BB4-730E1B3D95DF}">
  <sheetPr codeName="Lapa18">
    <tabColor theme="7" tint="0.59999389629810485"/>
  </sheetPr>
  <dimension ref="A1:I38"/>
  <sheetViews>
    <sheetView topLeftCell="A24" workbookViewId="0">
      <selection activeCell="F52" sqref="F52"/>
    </sheetView>
  </sheetViews>
  <sheetFormatPr defaultColWidth="10.28515625" defaultRowHeight="15"/>
  <cols>
    <col min="1" max="1" width="5.7109375" style="2673" customWidth="1"/>
    <col min="2" max="2" width="35.42578125" style="2673" customWidth="1"/>
    <col min="3" max="3" width="17" style="2673" customWidth="1"/>
    <col min="4" max="4" width="19.140625" style="2673" customWidth="1"/>
    <col min="5" max="6" width="14" style="2673" customWidth="1"/>
    <col min="7" max="7" width="15.85546875" style="2674" customWidth="1"/>
    <col min="8" max="8" width="10.28515625" style="2675"/>
    <col min="9" max="16384" width="10.28515625" style="2673"/>
  </cols>
  <sheetData>
    <row r="1" spans="1:9" ht="15.75" thickBot="1"/>
    <row r="2" spans="1:9" ht="19.5" thickBot="1">
      <c r="B2" s="4891" t="s">
        <v>1324</v>
      </c>
      <c r="C2" s="4892"/>
      <c r="D2" s="4892"/>
      <c r="E2" s="4892"/>
      <c r="F2" s="4892"/>
      <c r="G2" s="4893"/>
    </row>
    <row r="3" spans="1:9" ht="16.5" thickBot="1">
      <c r="B3" s="4894" t="s">
        <v>1325</v>
      </c>
      <c r="C3" s="4895"/>
      <c r="D3" s="4895"/>
      <c r="E3" s="4895"/>
      <c r="F3" s="4895"/>
      <c r="G3" s="4896"/>
    </row>
    <row r="4" spans="1:9" ht="63.75" thickBot="1">
      <c r="B4" s="2676" t="s">
        <v>1326</v>
      </c>
      <c r="C4" s="2676" t="s">
        <v>1327</v>
      </c>
      <c r="D4" s="2677" t="s">
        <v>1328</v>
      </c>
      <c r="E4" s="2677" t="s">
        <v>363</v>
      </c>
      <c r="F4" s="2677" t="s">
        <v>1329</v>
      </c>
      <c r="G4" s="2677" t="s">
        <v>1330</v>
      </c>
    </row>
    <row r="5" spans="1:9" ht="15.75">
      <c r="B5" s="4897" t="s">
        <v>1331</v>
      </c>
      <c r="C5" s="4898"/>
      <c r="D5" s="4898"/>
      <c r="E5" s="4898"/>
      <c r="F5" s="4898"/>
      <c r="G5" s="4899"/>
    </row>
    <row r="6" spans="1:9" ht="15.75">
      <c r="B6" s="2678" t="s">
        <v>1332</v>
      </c>
      <c r="C6" s="2679">
        <v>3000</v>
      </c>
      <c r="D6" s="2680">
        <v>7800</v>
      </c>
      <c r="E6" s="2680">
        <v>100</v>
      </c>
      <c r="F6" s="2681"/>
      <c r="G6" s="2682">
        <f>SUM(C6:F6)</f>
        <v>10900</v>
      </c>
    </row>
    <row r="7" spans="1:9" ht="15.75">
      <c r="B7" s="2683"/>
      <c r="C7" s="2684"/>
      <c r="D7" s="2685"/>
      <c r="E7" s="2686"/>
      <c r="F7" s="2686"/>
      <c r="G7" s="2687"/>
      <c r="H7" s="2688"/>
    </row>
    <row r="8" spans="1:9" ht="15.75">
      <c r="B8" s="4897" t="s">
        <v>1333</v>
      </c>
      <c r="C8" s="4898"/>
      <c r="D8" s="4898"/>
      <c r="E8" s="4898"/>
      <c r="F8" s="4898"/>
      <c r="G8" s="4899"/>
    </row>
    <row r="9" spans="1:9" ht="16.5" thickBot="1">
      <c r="B9" s="2678" t="s">
        <v>1332</v>
      </c>
      <c r="C9" s="2679">
        <v>3000</v>
      </c>
      <c r="D9" s="2680">
        <f>700+(80+210+10)*8+(100+210+10)*5</f>
        <v>4700</v>
      </c>
      <c r="E9" s="2680">
        <v>300</v>
      </c>
      <c r="F9" s="2681"/>
      <c r="G9" s="2682">
        <f>SUM(C9:F9)</f>
        <v>8000</v>
      </c>
      <c r="H9" s="2688"/>
    </row>
    <row r="10" spans="1:9" ht="16.5" thickBot="1">
      <c r="B10" s="2689" t="s">
        <v>1334</v>
      </c>
      <c r="C10" s="2690">
        <f>SUM(C5:C9)</f>
        <v>6000</v>
      </c>
      <c r="D10" s="2690">
        <f>SUM(D5:D9)</f>
        <v>12500</v>
      </c>
      <c r="E10" s="2690">
        <f>SUM(E5:E9)</f>
        <v>400</v>
      </c>
      <c r="F10" s="2690">
        <f>SUM(F5:F9)</f>
        <v>0</v>
      </c>
      <c r="G10" s="2691">
        <f>SUM(C10:F10)</f>
        <v>18900</v>
      </c>
      <c r="H10" s="2688"/>
    </row>
    <row r="12" spans="1:9" ht="15.75" thickBot="1"/>
    <row r="13" spans="1:9" ht="21" thickBot="1">
      <c r="A13" s="4900" t="s">
        <v>2148</v>
      </c>
      <c r="B13" s="4901"/>
      <c r="C13" s="4901"/>
      <c r="D13" s="4901"/>
      <c r="E13" s="4902"/>
    </row>
    <row r="14" spans="1:9" ht="16.5" thickBot="1">
      <c r="A14" s="4888" t="s">
        <v>1325</v>
      </c>
      <c r="B14" s="4889"/>
      <c r="C14" s="4889"/>
      <c r="D14" s="4889"/>
      <c r="E14" s="4890"/>
    </row>
    <row r="15" spans="1:9" ht="32.25" thickBot="1">
      <c r="A15" s="2692" t="s">
        <v>1131</v>
      </c>
      <c r="B15" s="2693" t="s">
        <v>1337</v>
      </c>
      <c r="C15" s="2694" t="s">
        <v>1338</v>
      </c>
      <c r="D15" s="2694" t="s">
        <v>3545</v>
      </c>
      <c r="E15" s="2694" t="s">
        <v>1339</v>
      </c>
    </row>
    <row r="16" spans="1:9" ht="15.75">
      <c r="A16" s="2695">
        <v>1</v>
      </c>
      <c r="B16" s="2696" t="s">
        <v>1340</v>
      </c>
      <c r="C16" s="1556" t="s">
        <v>1140</v>
      </c>
      <c r="D16" s="1556" t="s">
        <v>3546</v>
      </c>
      <c r="E16" s="2697">
        <v>1900</v>
      </c>
      <c r="I16" s="2698"/>
    </row>
    <row r="17" spans="1:9" ht="15.75">
      <c r="A17" s="2695">
        <v>3</v>
      </c>
      <c r="B17" s="2699" t="s">
        <v>1341</v>
      </c>
      <c r="C17" s="2700" t="s">
        <v>1173</v>
      </c>
      <c r="D17" s="2700" t="s">
        <v>3547</v>
      </c>
      <c r="E17" s="2701">
        <v>5500</v>
      </c>
    </row>
    <row r="18" spans="1:9" ht="31.5">
      <c r="A18" s="2695">
        <v>4</v>
      </c>
      <c r="B18" s="2699" t="s">
        <v>1342</v>
      </c>
      <c r="C18" s="2700" t="s">
        <v>1140</v>
      </c>
      <c r="D18" s="2700" t="s">
        <v>3548</v>
      </c>
      <c r="E18" s="2701">
        <v>800</v>
      </c>
    </row>
    <row r="19" spans="1:9" ht="15.75">
      <c r="A19" s="2695">
        <v>5</v>
      </c>
      <c r="B19" s="2699" t="s">
        <v>1343</v>
      </c>
      <c r="C19" s="2700" t="s">
        <v>1140</v>
      </c>
      <c r="D19" s="2702">
        <v>45064</v>
      </c>
      <c r="E19" s="2701">
        <v>600</v>
      </c>
    </row>
    <row r="20" spans="1:9" ht="31.5">
      <c r="A20" s="2695">
        <v>6</v>
      </c>
      <c r="B20" s="2699" t="s">
        <v>1344</v>
      </c>
      <c r="C20" s="2700" t="s">
        <v>1173</v>
      </c>
      <c r="D20" s="2700" t="s">
        <v>3549</v>
      </c>
      <c r="E20" s="2701">
        <v>3800</v>
      </c>
    </row>
    <row r="21" spans="1:9" ht="31.5">
      <c r="A21" s="2695">
        <v>7</v>
      </c>
      <c r="B21" s="2699" t="s">
        <v>3550</v>
      </c>
      <c r="C21" s="2700" t="s">
        <v>1173</v>
      </c>
      <c r="D21" s="2700" t="s">
        <v>3551</v>
      </c>
      <c r="E21" s="2701">
        <v>1800</v>
      </c>
    </row>
    <row r="22" spans="1:9" ht="31.5">
      <c r="A22" s="2695">
        <v>8</v>
      </c>
      <c r="B22" s="2699" t="s">
        <v>1345</v>
      </c>
      <c r="C22" s="2700" t="s">
        <v>1173</v>
      </c>
      <c r="D22" s="2700" t="s">
        <v>3552</v>
      </c>
      <c r="E22" s="2701">
        <v>3000</v>
      </c>
    </row>
    <row r="23" spans="1:9" ht="31.5">
      <c r="A23" s="2695">
        <v>9</v>
      </c>
      <c r="B23" s="2699" t="s">
        <v>1346</v>
      </c>
      <c r="C23" s="2700" t="s">
        <v>1173</v>
      </c>
      <c r="D23" s="2700"/>
      <c r="E23" s="2701">
        <v>2100</v>
      </c>
      <c r="H23" s="2688"/>
      <c r="I23" s="2698"/>
    </row>
    <row r="24" spans="1:9" ht="31.5">
      <c r="A24" s="2695">
        <v>11</v>
      </c>
      <c r="B24" s="2699" t="s">
        <v>1347</v>
      </c>
      <c r="C24" s="2700" t="s">
        <v>1348</v>
      </c>
      <c r="D24" s="2700" t="s">
        <v>3553</v>
      </c>
      <c r="E24" s="2701">
        <v>4000</v>
      </c>
    </row>
    <row r="25" spans="1:9" ht="15.75">
      <c r="A25" s="2695">
        <v>12</v>
      </c>
      <c r="B25" s="2703" t="s">
        <v>1349</v>
      </c>
      <c r="C25" s="2704" t="s">
        <v>1350</v>
      </c>
      <c r="D25" s="2705" t="s">
        <v>3554</v>
      </c>
      <c r="E25" s="2706">
        <v>1000</v>
      </c>
    </row>
    <row r="26" spans="1:9" ht="15.75">
      <c r="A26" s="2695">
        <v>13</v>
      </c>
      <c r="B26" s="2703" t="s">
        <v>2149</v>
      </c>
      <c r="C26" s="2704" t="s">
        <v>2150</v>
      </c>
      <c r="D26" s="2704" t="s">
        <v>3549</v>
      </c>
      <c r="E26" s="2706">
        <v>1000</v>
      </c>
    </row>
    <row r="27" spans="1:9" ht="15.75">
      <c r="A27" s="2695">
        <v>14</v>
      </c>
      <c r="B27" s="2699" t="s">
        <v>1351</v>
      </c>
      <c r="C27" s="2700" t="s">
        <v>1140</v>
      </c>
      <c r="D27" s="2707" t="s">
        <v>3555</v>
      </c>
      <c r="E27" s="2701">
        <v>600</v>
      </c>
    </row>
    <row r="28" spans="1:9" ht="31.5">
      <c r="A28" s="2695">
        <v>15</v>
      </c>
      <c r="B28" s="2699" t="s">
        <v>1352</v>
      </c>
      <c r="C28" s="2700" t="s">
        <v>1140</v>
      </c>
      <c r="D28" s="2700" t="s">
        <v>3549</v>
      </c>
      <c r="E28" s="2701">
        <v>300</v>
      </c>
    </row>
    <row r="29" spans="1:9" ht="31.5">
      <c r="A29" s="2695">
        <v>16</v>
      </c>
      <c r="B29" s="2699" t="s">
        <v>3556</v>
      </c>
      <c r="C29" s="2700" t="s">
        <v>1353</v>
      </c>
      <c r="D29" s="2700"/>
      <c r="E29" s="2701">
        <v>1500</v>
      </c>
    </row>
    <row r="30" spans="1:9" ht="15.75">
      <c r="A30" s="2695">
        <v>17</v>
      </c>
      <c r="B30" s="2699" t="s">
        <v>1354</v>
      </c>
      <c r="C30" s="2700" t="s">
        <v>1140</v>
      </c>
      <c r="D30" s="2707" t="s">
        <v>3557</v>
      </c>
      <c r="E30" s="2701">
        <v>3000</v>
      </c>
    </row>
    <row r="31" spans="1:9" ht="31.5">
      <c r="A31" s="2695">
        <v>18</v>
      </c>
      <c r="B31" s="2699" t="s">
        <v>1355</v>
      </c>
      <c r="C31" s="2700" t="s">
        <v>1173</v>
      </c>
      <c r="D31" s="2700"/>
      <c r="E31" s="2701">
        <v>2000</v>
      </c>
    </row>
    <row r="32" spans="1:9" ht="15.75">
      <c r="A32" s="2695">
        <v>19</v>
      </c>
      <c r="B32" s="2699" t="s">
        <v>3558</v>
      </c>
      <c r="C32" s="2700" t="s">
        <v>1140</v>
      </c>
      <c r="D32" s="2707" t="s">
        <v>3549</v>
      </c>
      <c r="E32" s="2701">
        <v>3000</v>
      </c>
    </row>
    <row r="33" spans="1:5" ht="15.75">
      <c r="A33" s="2695">
        <v>20</v>
      </c>
      <c r="B33" s="2699" t="s">
        <v>1356</v>
      </c>
      <c r="C33" s="2700" t="s">
        <v>1173</v>
      </c>
      <c r="D33" s="2700" t="s">
        <v>3559</v>
      </c>
      <c r="E33" s="2701">
        <v>800</v>
      </c>
    </row>
    <row r="34" spans="1:5" ht="47.25">
      <c r="A34" s="2695"/>
      <c r="B34" s="2699" t="s">
        <v>3560</v>
      </c>
      <c r="C34" s="2700" t="s">
        <v>1140</v>
      </c>
      <c r="D34" s="2700" t="s">
        <v>3561</v>
      </c>
      <c r="E34" s="2701">
        <f>3*1000+8*300</f>
        <v>5400</v>
      </c>
    </row>
    <row r="35" spans="1:5" ht="15.75">
      <c r="A35" s="2695">
        <v>22</v>
      </c>
      <c r="B35" s="2699" t="s">
        <v>2151</v>
      </c>
      <c r="C35" s="2700" t="s">
        <v>1353</v>
      </c>
      <c r="D35" s="2700" t="s">
        <v>3562</v>
      </c>
      <c r="E35" s="2701">
        <v>2500</v>
      </c>
    </row>
    <row r="36" spans="1:5" ht="15.75">
      <c r="A36" s="2695">
        <v>23</v>
      </c>
      <c r="B36" s="2699" t="s">
        <v>1357</v>
      </c>
      <c r="C36" s="2700" t="s">
        <v>1140</v>
      </c>
      <c r="D36" s="2707" t="s">
        <v>3563</v>
      </c>
      <c r="E36" s="2701">
        <v>2500</v>
      </c>
    </row>
    <row r="37" spans="1:5" ht="15.75">
      <c r="A37" s="2695">
        <v>24</v>
      </c>
      <c r="B37" s="2699" t="s">
        <v>3564</v>
      </c>
      <c r="C37" s="2708" t="s">
        <v>1140</v>
      </c>
      <c r="D37" s="2700" t="s">
        <v>3565</v>
      </c>
      <c r="E37" s="2701">
        <v>2780</v>
      </c>
    </row>
    <row r="38" spans="1:5" ht="16.5" thickBot="1">
      <c r="A38" s="2709"/>
      <c r="B38" s="2710" t="s">
        <v>1358</v>
      </c>
      <c r="C38" s="2710"/>
      <c r="D38" s="2710"/>
      <c r="E38" s="2711">
        <f>SUM(E16:E37)</f>
        <v>49880</v>
      </c>
    </row>
  </sheetData>
  <mergeCells count="6">
    <mergeCell ref="A14:E14"/>
    <mergeCell ref="B2:G2"/>
    <mergeCell ref="B3:G3"/>
    <mergeCell ref="B5:G5"/>
    <mergeCell ref="B8:G8"/>
    <mergeCell ref="A13:E1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2C34-F8A0-419F-9A40-23451204AD4B}">
  <sheetPr codeName="Lapa20">
    <tabColor theme="7" tint="0.59999389629810485"/>
  </sheetPr>
  <dimension ref="A2:B5"/>
  <sheetViews>
    <sheetView workbookViewId="0">
      <selection activeCell="A2" sqref="A2:XFD4"/>
    </sheetView>
  </sheetViews>
  <sheetFormatPr defaultRowHeight="12"/>
  <cols>
    <col min="1" max="1" width="44.140625" customWidth="1"/>
    <col min="2" max="2" width="11.140625" customWidth="1"/>
  </cols>
  <sheetData>
    <row r="2" spans="1:2" ht="15.75">
      <c r="A2" s="2712" t="s">
        <v>3581</v>
      </c>
      <c r="B2" s="2713">
        <v>5200</v>
      </c>
    </row>
    <row r="3" spans="1:2" ht="15.75">
      <c r="A3" s="2712" t="s">
        <v>3582</v>
      </c>
      <c r="B3" s="2713">
        <v>20700</v>
      </c>
    </row>
    <row r="4" spans="1:2" ht="15.75">
      <c r="A4" s="2712" t="s">
        <v>3583</v>
      </c>
      <c r="B4" s="2713">
        <v>54175</v>
      </c>
    </row>
    <row r="5" spans="1:2" ht="15.75">
      <c r="A5" s="2714" t="s">
        <v>3584</v>
      </c>
      <c r="B5" s="2715">
        <f>SUM(B2:B4)</f>
        <v>80075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20859-D7FF-4EED-AEF8-68865397FAFF}">
  <sheetPr codeName="Lapa21">
    <tabColor theme="7" tint="0.59999389629810485"/>
  </sheetPr>
  <dimension ref="A1:J103"/>
  <sheetViews>
    <sheetView zoomScale="120" zoomScaleNormal="120" workbookViewId="0">
      <selection activeCell="C11" sqref="C11"/>
    </sheetView>
  </sheetViews>
  <sheetFormatPr defaultColWidth="11" defaultRowHeight="12"/>
  <cols>
    <col min="2" max="2" width="70" customWidth="1"/>
    <col min="3" max="3" width="11.5703125" bestFit="1" customWidth="1"/>
    <col min="4" max="4" width="12.85546875" bestFit="1" customWidth="1"/>
    <col min="5" max="8" width="11.28515625" bestFit="1" customWidth="1"/>
    <col min="9" max="9" width="22.5703125" customWidth="1"/>
  </cols>
  <sheetData>
    <row r="1" spans="1:10" ht="15">
      <c r="B1" s="2849"/>
      <c r="C1" s="2850"/>
      <c r="D1" s="2851"/>
      <c r="E1" s="2852"/>
      <c r="F1" s="2853"/>
      <c r="G1" s="2854"/>
      <c r="H1" s="2855"/>
      <c r="I1" s="2849"/>
    </row>
    <row r="2" spans="1:10" ht="18.75">
      <c r="B2" s="2856" t="s">
        <v>3850</v>
      </c>
      <c r="C2" s="2850"/>
      <c r="D2" s="2857"/>
      <c r="E2" s="2858"/>
      <c r="F2" s="2859"/>
      <c r="G2" s="2860"/>
      <c r="H2" s="2861"/>
      <c r="I2" s="2849"/>
    </row>
    <row r="3" spans="1:10" ht="15">
      <c r="B3" s="2849" t="s">
        <v>3851</v>
      </c>
      <c r="C3" s="2850"/>
      <c r="D3" s="2857"/>
      <c r="E3" s="2858"/>
      <c r="F3" s="2859"/>
      <c r="G3" s="2860"/>
      <c r="H3" s="2861"/>
      <c r="I3" s="2849"/>
    </row>
    <row r="4" spans="1:10" ht="15">
      <c r="B4" s="2849"/>
      <c r="C4" s="2850"/>
      <c r="D4" s="2851"/>
      <c r="E4" s="2852"/>
      <c r="F4" s="2853"/>
      <c r="G4" s="2854"/>
      <c r="H4" s="2855"/>
      <c r="I4" s="2849"/>
    </row>
    <row r="5" spans="1:10" ht="36">
      <c r="B5" s="2862"/>
      <c r="C5" s="2863" t="s">
        <v>2076</v>
      </c>
      <c r="D5" s="2864" t="s">
        <v>2077</v>
      </c>
      <c r="E5" s="2865" t="s">
        <v>2077</v>
      </c>
      <c r="F5" s="2866" t="s">
        <v>2077</v>
      </c>
      <c r="G5" s="2867" t="s">
        <v>2077</v>
      </c>
      <c r="H5" s="2868" t="s">
        <v>2077</v>
      </c>
      <c r="I5" s="2862" t="s">
        <v>3852</v>
      </c>
    </row>
    <row r="6" spans="1:10">
      <c r="A6" s="243"/>
      <c r="B6" s="2869"/>
      <c r="C6" s="2870"/>
      <c r="D6" s="2871" t="s">
        <v>2104</v>
      </c>
      <c r="E6" s="2872" t="s">
        <v>2107</v>
      </c>
      <c r="F6" s="2873" t="s">
        <v>2105</v>
      </c>
      <c r="G6" s="2874" t="s">
        <v>2106</v>
      </c>
      <c r="H6" s="2875" t="s">
        <v>3853</v>
      </c>
      <c r="I6" s="2862"/>
      <c r="J6" s="243"/>
    </row>
    <row r="7" spans="1:10">
      <c r="A7" s="243"/>
      <c r="B7" s="2876" t="s">
        <v>1119</v>
      </c>
      <c r="C7" s="2870"/>
      <c r="D7" s="2877">
        <f>SUM(D8,D34,D60,)</f>
        <v>129327</v>
      </c>
      <c r="E7" s="2878">
        <f>SUM(E8:E90)</f>
        <v>5208</v>
      </c>
      <c r="F7" s="2879">
        <f>SUM(F9:F90)</f>
        <v>1543</v>
      </c>
      <c r="G7" s="2880">
        <f>SUM(G8:G90)</f>
        <v>2247</v>
      </c>
      <c r="H7" s="2881">
        <f>SUM(H8:H90)</f>
        <v>4465</v>
      </c>
      <c r="I7" s="2862"/>
      <c r="J7" s="243"/>
    </row>
    <row r="8" spans="1:10" ht="15">
      <c r="B8" s="2882" t="s">
        <v>2078</v>
      </c>
      <c r="C8" s="2883"/>
      <c r="D8" s="2884">
        <f>SUM(D9:D33)</f>
        <v>49214</v>
      </c>
      <c r="E8" s="2885"/>
      <c r="F8" s="2886"/>
      <c r="G8" s="2887"/>
      <c r="H8" s="2888"/>
      <c r="I8" s="2889"/>
    </row>
    <row r="9" spans="1:10" ht="36">
      <c r="B9" s="2890" t="s">
        <v>2079</v>
      </c>
      <c r="C9" s="2891">
        <v>0</v>
      </c>
      <c r="D9" s="2892">
        <v>0</v>
      </c>
      <c r="E9" s="2893"/>
      <c r="F9" s="2894"/>
      <c r="G9" s="2895"/>
      <c r="H9" s="2896"/>
      <c r="I9" s="2897" t="s">
        <v>178</v>
      </c>
    </row>
    <row r="10" spans="1:10" ht="15">
      <c r="B10" s="2898" t="s">
        <v>3854</v>
      </c>
      <c r="C10" s="2899">
        <v>31400</v>
      </c>
      <c r="D10" s="2900">
        <v>37994</v>
      </c>
      <c r="E10" s="2901"/>
      <c r="F10" s="2902"/>
      <c r="G10" s="2903"/>
      <c r="H10" s="2904"/>
      <c r="I10" s="2905"/>
    </row>
    <row r="11" spans="1:10" ht="15">
      <c r="B11" s="2906" t="s">
        <v>3855</v>
      </c>
      <c r="C11" s="2907">
        <v>2000</v>
      </c>
      <c r="D11" s="2908"/>
      <c r="E11" s="2901"/>
      <c r="F11" s="2902"/>
      <c r="G11" s="2903"/>
      <c r="H11" s="2904"/>
      <c r="I11" s="2909"/>
    </row>
    <row r="12" spans="1:10" ht="15">
      <c r="B12" s="2906" t="s">
        <v>3855</v>
      </c>
      <c r="C12" s="2910">
        <v>6100</v>
      </c>
      <c r="D12" s="2911"/>
      <c r="E12" s="2901"/>
      <c r="F12" s="2902"/>
      <c r="G12" s="2903"/>
      <c r="H12" s="2904"/>
      <c r="I12" s="2912"/>
    </row>
    <row r="13" spans="1:10" ht="15">
      <c r="B13" s="2906" t="s">
        <v>3855</v>
      </c>
      <c r="C13" s="2910">
        <v>6000</v>
      </c>
      <c r="D13" s="2911"/>
      <c r="E13" s="2901"/>
      <c r="F13" s="2902"/>
      <c r="G13" s="2903"/>
      <c r="H13" s="2904"/>
      <c r="I13" s="2912"/>
    </row>
    <row r="14" spans="1:10" ht="15">
      <c r="B14" s="2906" t="s">
        <v>3855</v>
      </c>
      <c r="C14" s="2910">
        <v>7000</v>
      </c>
      <c r="D14" s="2911"/>
      <c r="E14" s="2901"/>
      <c r="F14" s="2902"/>
      <c r="G14" s="2903"/>
      <c r="H14" s="2904"/>
      <c r="I14" s="2912"/>
    </row>
    <row r="15" spans="1:10" ht="15">
      <c r="B15" s="2906" t="s">
        <v>3855</v>
      </c>
      <c r="C15" s="2910">
        <v>5000</v>
      </c>
      <c r="D15" s="2911"/>
      <c r="E15" s="2901"/>
      <c r="F15" s="2902"/>
      <c r="G15" s="2903"/>
      <c r="H15" s="2904"/>
      <c r="I15" s="2912"/>
    </row>
    <row r="16" spans="1:10" ht="15">
      <c r="B16" s="2906" t="s">
        <v>3855</v>
      </c>
      <c r="C16" s="2910">
        <v>4500</v>
      </c>
      <c r="D16" s="2911"/>
      <c r="E16" s="2901"/>
      <c r="F16" s="2902"/>
      <c r="G16" s="2903"/>
      <c r="H16" s="2904"/>
      <c r="I16" s="2912"/>
    </row>
    <row r="17" spans="2:10" ht="45">
      <c r="B17" s="2913" t="s">
        <v>3856</v>
      </c>
      <c r="C17" s="2910">
        <v>800</v>
      </c>
      <c r="D17" s="2911"/>
      <c r="E17" s="2901"/>
      <c r="F17" s="2902"/>
      <c r="G17" s="2903"/>
      <c r="H17" s="2904"/>
      <c r="I17" s="2914"/>
    </row>
    <row r="18" spans="2:10" ht="30">
      <c r="B18" s="2915" t="s">
        <v>3857</v>
      </c>
      <c r="C18" s="2916">
        <v>0</v>
      </c>
      <c r="D18" s="2917">
        <v>0</v>
      </c>
      <c r="E18" s="2918"/>
      <c r="F18" s="2919"/>
      <c r="G18" s="2920"/>
      <c r="H18" s="2921"/>
      <c r="I18" s="2890" t="s">
        <v>178</v>
      </c>
    </row>
    <row r="19" spans="2:10" ht="15">
      <c r="B19" s="2922" t="s">
        <v>3858</v>
      </c>
      <c r="C19" s="2923">
        <v>0</v>
      </c>
      <c r="D19" s="2924">
        <v>0</v>
      </c>
      <c r="E19" s="2925"/>
      <c r="F19" s="2926"/>
      <c r="G19" s="2927"/>
      <c r="H19" s="2928"/>
      <c r="I19" s="2929" t="s">
        <v>178</v>
      </c>
      <c r="J19" t="s">
        <v>3859</v>
      </c>
    </row>
    <row r="20" spans="2:10" ht="15">
      <c r="B20" s="2906" t="s">
        <v>3855</v>
      </c>
      <c r="C20" s="2930">
        <v>500</v>
      </c>
      <c r="D20" s="2931"/>
      <c r="E20" s="2901">
        <v>666</v>
      </c>
      <c r="F20" s="2902"/>
      <c r="G20" s="2903"/>
      <c r="H20" s="2904"/>
      <c r="I20" s="2932"/>
    </row>
    <row r="21" spans="2:10" ht="15">
      <c r="B21" s="2906" t="s">
        <v>3855</v>
      </c>
      <c r="C21" s="2930">
        <v>450</v>
      </c>
      <c r="D21" s="2931">
        <v>450</v>
      </c>
      <c r="E21" s="2901"/>
      <c r="F21" s="2902"/>
      <c r="G21" s="2903"/>
      <c r="H21" s="2904"/>
      <c r="I21" s="2932"/>
    </row>
    <row r="22" spans="2:10" ht="15">
      <c r="B22" s="2906" t="s">
        <v>3855</v>
      </c>
      <c r="C22" s="2930">
        <v>2000</v>
      </c>
      <c r="D22" s="2931">
        <v>2420</v>
      </c>
      <c r="E22" s="2901"/>
      <c r="F22" s="2902"/>
      <c r="G22" s="2903"/>
      <c r="H22" s="2904"/>
      <c r="I22" s="2932"/>
    </row>
    <row r="23" spans="2:10" ht="45">
      <c r="B23" s="2906" t="s">
        <v>3860</v>
      </c>
      <c r="C23" s="2930">
        <v>5000</v>
      </c>
      <c r="D23" s="2931">
        <v>5000</v>
      </c>
      <c r="E23" s="2901"/>
      <c r="F23" s="2902"/>
      <c r="G23" s="2903"/>
      <c r="H23" s="2904"/>
      <c r="I23" s="2932"/>
    </row>
    <row r="24" spans="2:10" ht="15">
      <c r="B24" s="2906" t="s">
        <v>2080</v>
      </c>
      <c r="C24" s="2930">
        <v>2000</v>
      </c>
      <c r="D24" s="2931">
        <v>2000</v>
      </c>
      <c r="E24" s="2901"/>
      <c r="F24" s="2902"/>
      <c r="G24" s="2903"/>
      <c r="H24" s="2904"/>
      <c r="I24" s="2932"/>
    </row>
    <row r="25" spans="2:10" ht="15">
      <c r="B25" s="2906" t="s">
        <v>3861</v>
      </c>
      <c r="C25" s="2930">
        <v>350</v>
      </c>
      <c r="D25" s="2931">
        <v>350</v>
      </c>
      <c r="E25" s="2901"/>
      <c r="F25" s="2902"/>
      <c r="G25" s="2903"/>
      <c r="H25" s="2904"/>
      <c r="I25" s="2932"/>
    </row>
    <row r="26" spans="2:10" ht="15">
      <c r="B26" s="2906" t="s">
        <v>3861</v>
      </c>
      <c r="C26" s="2930">
        <v>1000</v>
      </c>
      <c r="D26" s="2931"/>
      <c r="E26" s="2901">
        <v>1210</v>
      </c>
      <c r="F26" s="2902"/>
      <c r="G26" s="2903"/>
      <c r="H26" s="2904"/>
      <c r="I26" s="2932"/>
    </row>
    <row r="27" spans="2:10" ht="15">
      <c r="B27" s="2913" t="s">
        <v>3862</v>
      </c>
      <c r="C27" s="2930">
        <v>500</v>
      </c>
      <c r="D27" s="2931">
        <v>500</v>
      </c>
      <c r="E27" s="2901"/>
      <c r="F27" s="2902"/>
      <c r="G27" s="2903"/>
      <c r="H27" s="2904"/>
      <c r="I27" s="2932"/>
    </row>
    <row r="28" spans="2:10" ht="15">
      <c r="B28" s="2913" t="s">
        <v>3863</v>
      </c>
      <c r="C28" s="2930">
        <v>800</v>
      </c>
      <c r="D28" s="2931"/>
      <c r="E28" s="2901">
        <v>1066</v>
      </c>
      <c r="F28" s="2902"/>
      <c r="G28" s="2903"/>
      <c r="H28" s="2904"/>
      <c r="I28" s="2932"/>
    </row>
    <row r="29" spans="2:10" ht="15">
      <c r="B29" s="2913" t="s">
        <v>3864</v>
      </c>
      <c r="C29" s="2930">
        <v>800</v>
      </c>
      <c r="D29" s="2931"/>
      <c r="E29" s="2901">
        <v>1066</v>
      </c>
      <c r="F29" s="2902"/>
      <c r="G29" s="2903"/>
      <c r="H29" s="2904"/>
      <c r="I29" s="2932"/>
    </row>
    <row r="30" spans="2:10" ht="18" customHeight="1">
      <c r="B30" s="2913" t="s">
        <v>3865</v>
      </c>
      <c r="C30" s="2930">
        <v>900</v>
      </c>
      <c r="D30" s="2931"/>
      <c r="E30" s="2901">
        <v>1200</v>
      </c>
      <c r="F30" s="2902"/>
      <c r="G30" s="2903"/>
      <c r="H30" s="2904"/>
      <c r="I30" s="2932"/>
    </row>
    <row r="31" spans="2:10" ht="15">
      <c r="B31" s="2913" t="s">
        <v>3866</v>
      </c>
      <c r="C31" s="2930">
        <v>500</v>
      </c>
      <c r="D31" s="2931">
        <v>500</v>
      </c>
      <c r="E31" s="2901"/>
      <c r="F31" s="2902"/>
      <c r="G31" s="2903"/>
      <c r="H31" s="2904"/>
      <c r="I31" s="2932"/>
    </row>
    <row r="32" spans="2:10" ht="24">
      <c r="B32" s="2933" t="s">
        <v>3867</v>
      </c>
      <c r="C32" s="2916">
        <v>0</v>
      </c>
      <c r="D32" s="2917">
        <v>0</v>
      </c>
      <c r="E32" s="2918"/>
      <c r="F32" s="2919"/>
      <c r="G32" s="2920"/>
      <c r="H32" s="2921"/>
      <c r="I32" s="2890" t="s">
        <v>3868</v>
      </c>
    </row>
    <row r="33" spans="2:9" ht="24">
      <c r="B33" s="2933" t="s">
        <v>3869</v>
      </c>
      <c r="C33" s="2916">
        <v>0</v>
      </c>
      <c r="D33" s="2917">
        <v>0</v>
      </c>
      <c r="E33" s="2918"/>
      <c r="F33" s="2919"/>
      <c r="G33" s="2920"/>
      <c r="H33" s="2921"/>
      <c r="I33" s="2890" t="s">
        <v>3870</v>
      </c>
    </row>
    <row r="34" spans="2:9" ht="15">
      <c r="B34" s="2934" t="s">
        <v>2081</v>
      </c>
      <c r="C34" s="2935"/>
      <c r="D34" s="2936">
        <f>SUM(D35:D59)</f>
        <v>73449</v>
      </c>
      <c r="E34" s="2937"/>
      <c r="F34" s="2938"/>
      <c r="G34" s="2939"/>
      <c r="H34" s="2940"/>
      <c r="I34" s="2941"/>
    </row>
    <row r="35" spans="2:9" ht="15">
      <c r="B35" s="2942" t="s">
        <v>3871</v>
      </c>
      <c r="C35" s="2943">
        <v>0</v>
      </c>
      <c r="D35" s="2944">
        <v>0</v>
      </c>
      <c r="E35" s="2945"/>
      <c r="F35" s="2946"/>
      <c r="G35" s="2947"/>
      <c r="H35" s="2948"/>
      <c r="I35" s="2949" t="s">
        <v>3872</v>
      </c>
    </row>
    <row r="36" spans="2:9" ht="60">
      <c r="B36" s="2913" t="s">
        <v>3873</v>
      </c>
      <c r="C36" s="2950">
        <v>20048</v>
      </c>
      <c r="D36" s="2900">
        <v>24258</v>
      </c>
      <c r="E36" s="2951"/>
      <c r="F36" s="2952"/>
      <c r="G36" s="2953"/>
      <c r="H36" s="2954"/>
      <c r="I36" s="2912"/>
    </row>
    <row r="37" spans="2:9" ht="45">
      <c r="B37" s="2913" t="s">
        <v>3874</v>
      </c>
      <c r="C37" s="2955">
        <v>7880</v>
      </c>
      <c r="D37" s="2931">
        <v>9534</v>
      </c>
      <c r="E37" s="2901"/>
      <c r="F37" s="2902"/>
      <c r="G37" s="2903"/>
      <c r="H37" s="2904"/>
      <c r="I37" s="2932"/>
    </row>
    <row r="38" spans="2:9" ht="30">
      <c r="B38" s="2913" t="s">
        <v>3875</v>
      </c>
      <c r="C38" s="2930">
        <v>5974</v>
      </c>
      <c r="D38" s="2931">
        <v>7229</v>
      </c>
      <c r="E38" s="2901"/>
      <c r="F38" s="2902"/>
      <c r="G38" s="2903"/>
      <c r="H38" s="2904"/>
      <c r="I38" s="2932"/>
    </row>
    <row r="39" spans="2:9" ht="60">
      <c r="B39" s="2956" t="s">
        <v>3876</v>
      </c>
      <c r="C39" s="2930">
        <v>7962</v>
      </c>
      <c r="D39" s="2931">
        <v>9634</v>
      </c>
      <c r="E39" s="2931"/>
      <c r="F39" s="2902"/>
      <c r="G39" s="2903"/>
      <c r="H39" s="2904"/>
      <c r="I39" s="2932"/>
    </row>
    <row r="40" spans="2:9" ht="15">
      <c r="B40" s="2956" t="s">
        <v>3877</v>
      </c>
      <c r="C40" s="2957">
        <v>600</v>
      </c>
      <c r="D40" s="2931">
        <v>726</v>
      </c>
      <c r="E40" s="2901"/>
      <c r="F40" s="2902"/>
      <c r="G40" s="2903"/>
      <c r="H40" s="2904"/>
      <c r="I40" s="2932"/>
    </row>
    <row r="41" spans="2:9" ht="15">
      <c r="B41" s="2958" t="s">
        <v>3878</v>
      </c>
      <c r="C41" s="2957">
        <v>1500</v>
      </c>
      <c r="D41" s="2931">
        <v>1815</v>
      </c>
      <c r="E41" s="2901"/>
      <c r="F41" s="2902"/>
      <c r="G41" s="2903"/>
      <c r="H41" s="2904"/>
      <c r="I41" s="2932"/>
    </row>
    <row r="42" spans="2:9" ht="15">
      <c r="B42" s="2958" t="s">
        <v>3879</v>
      </c>
      <c r="C42" s="2930">
        <v>1000</v>
      </c>
      <c r="D42" s="2931">
        <v>1210</v>
      </c>
      <c r="E42" s="2901"/>
      <c r="F42" s="2902"/>
      <c r="G42" s="2903"/>
      <c r="H42" s="2904"/>
      <c r="I42" s="2932"/>
    </row>
    <row r="43" spans="2:9" ht="15">
      <c r="B43" s="2959" t="s">
        <v>3880</v>
      </c>
      <c r="C43" s="2930">
        <v>400</v>
      </c>
      <c r="D43" s="2931">
        <v>484</v>
      </c>
      <c r="E43" s="2901"/>
      <c r="F43" s="2902"/>
      <c r="G43" s="2903"/>
      <c r="H43" s="2904"/>
      <c r="I43" s="2932"/>
    </row>
    <row r="44" spans="2:9" ht="15">
      <c r="B44" s="2960" t="s">
        <v>3881</v>
      </c>
      <c r="C44" s="2930">
        <v>450</v>
      </c>
      <c r="D44" s="2931">
        <v>544</v>
      </c>
      <c r="E44" s="2901"/>
      <c r="F44" s="2902"/>
      <c r="G44" s="2903"/>
      <c r="H44" s="2904"/>
      <c r="I44" s="2961"/>
    </row>
    <row r="45" spans="2:9" ht="15">
      <c r="B45" s="2959" t="s">
        <v>2082</v>
      </c>
      <c r="C45" s="2930">
        <v>275</v>
      </c>
      <c r="D45" s="2931"/>
      <c r="E45" s="2901"/>
      <c r="F45" s="2902">
        <v>333</v>
      </c>
      <c r="G45" s="2903"/>
      <c r="H45" s="2904"/>
      <c r="I45" s="2932"/>
    </row>
    <row r="46" spans="2:9" ht="15">
      <c r="B46" s="2959" t="s">
        <v>2083</v>
      </c>
      <c r="C46" s="2930">
        <v>900</v>
      </c>
      <c r="D46" s="2931"/>
      <c r="E46" s="2901"/>
      <c r="F46" s="2902">
        <v>1089</v>
      </c>
      <c r="G46" s="2903"/>
      <c r="H46" s="2904"/>
      <c r="I46" s="2932"/>
    </row>
    <row r="47" spans="2:9" ht="15">
      <c r="B47" s="2959" t="s">
        <v>2084</v>
      </c>
      <c r="C47" s="2930">
        <v>1500</v>
      </c>
      <c r="D47" s="2931">
        <v>1815</v>
      </c>
      <c r="E47" s="2901"/>
      <c r="F47" s="2902"/>
      <c r="G47" s="2903"/>
      <c r="H47" s="2904"/>
      <c r="I47" s="2932"/>
    </row>
    <row r="48" spans="2:9" ht="15">
      <c r="B48" s="2959" t="s">
        <v>3882</v>
      </c>
      <c r="C48" s="2930">
        <v>1500</v>
      </c>
      <c r="D48" s="2931">
        <v>1815</v>
      </c>
      <c r="E48" s="2901"/>
      <c r="F48" s="2902"/>
      <c r="G48" s="2903"/>
      <c r="H48" s="2904"/>
      <c r="I48" s="2932"/>
    </row>
    <row r="49" spans="2:9" ht="15">
      <c r="B49" s="2959" t="s">
        <v>3883</v>
      </c>
      <c r="C49" s="2930">
        <v>900</v>
      </c>
      <c r="D49" s="2931">
        <v>1089</v>
      </c>
      <c r="E49" s="2901"/>
      <c r="F49" s="2902"/>
      <c r="G49" s="2903"/>
      <c r="H49" s="2904"/>
      <c r="I49" s="2932"/>
    </row>
    <row r="50" spans="2:9" ht="24">
      <c r="B50" s="2962" t="s">
        <v>2085</v>
      </c>
      <c r="C50" s="2916"/>
      <c r="D50" s="2917"/>
      <c r="E50" s="2918"/>
      <c r="F50" s="2919"/>
      <c r="G50" s="2920"/>
      <c r="H50" s="2921" t="s">
        <v>3884</v>
      </c>
      <c r="I50" s="2890" t="s">
        <v>3885</v>
      </c>
    </row>
    <row r="51" spans="2:9" ht="15">
      <c r="B51" s="2963" t="s">
        <v>2086</v>
      </c>
      <c r="C51" s="2916"/>
      <c r="D51" s="2917"/>
      <c r="E51" s="2918"/>
      <c r="F51" s="2919"/>
      <c r="G51" s="2920"/>
      <c r="H51" s="2921" t="s">
        <v>3884</v>
      </c>
      <c r="I51" s="2890" t="s">
        <v>3886</v>
      </c>
    </row>
    <row r="52" spans="2:9" ht="30">
      <c r="B52" s="2959" t="s">
        <v>3887</v>
      </c>
      <c r="C52" s="2930">
        <v>1409</v>
      </c>
      <c r="D52" s="2931">
        <v>1705</v>
      </c>
      <c r="E52" s="2901"/>
      <c r="F52" s="2902"/>
      <c r="G52" s="2903"/>
      <c r="H52" s="2904"/>
      <c r="I52" s="2932"/>
    </row>
    <row r="53" spans="2:9" ht="15">
      <c r="B53" s="2964" t="s">
        <v>3888</v>
      </c>
      <c r="C53" s="2916">
        <v>0</v>
      </c>
      <c r="D53" s="2917">
        <v>0</v>
      </c>
      <c r="E53" s="2918"/>
      <c r="F53" s="2919"/>
      <c r="G53" s="2920"/>
      <c r="H53" s="2921" t="s">
        <v>3884</v>
      </c>
      <c r="I53" s="2890" t="s">
        <v>3886</v>
      </c>
    </row>
    <row r="54" spans="2:9" ht="30">
      <c r="B54" s="2959" t="s">
        <v>3889</v>
      </c>
      <c r="C54" s="2930">
        <v>572</v>
      </c>
      <c r="D54" s="2931">
        <v>693</v>
      </c>
      <c r="E54" s="2901"/>
      <c r="F54" s="2902"/>
      <c r="G54" s="2903"/>
      <c r="H54" s="2904">
        <v>297</v>
      </c>
      <c r="I54" s="2932" t="s">
        <v>3890</v>
      </c>
    </row>
    <row r="55" spans="2:9" ht="15">
      <c r="B55" s="2963" t="s">
        <v>3891</v>
      </c>
      <c r="C55" s="2916">
        <v>0</v>
      </c>
      <c r="D55" s="2917">
        <v>0</v>
      </c>
      <c r="E55" s="2918"/>
      <c r="F55" s="2919"/>
      <c r="G55" s="2920"/>
      <c r="H55" s="2921" t="s">
        <v>3884</v>
      </c>
      <c r="I55" s="2890" t="s">
        <v>3886</v>
      </c>
    </row>
    <row r="56" spans="2:9" ht="15">
      <c r="B56" s="2963" t="s">
        <v>2087</v>
      </c>
      <c r="C56" s="2916">
        <v>0</v>
      </c>
      <c r="D56" s="2917">
        <v>0</v>
      </c>
      <c r="E56" s="2918"/>
      <c r="F56" s="2919"/>
      <c r="G56" s="2920"/>
      <c r="H56" s="2921">
        <v>300</v>
      </c>
      <c r="I56" s="2890" t="s">
        <v>3892</v>
      </c>
    </row>
    <row r="57" spans="2:9" ht="15">
      <c r="B57" s="2960" t="s">
        <v>2088</v>
      </c>
      <c r="C57" s="2965">
        <v>7007</v>
      </c>
      <c r="D57" s="2931">
        <v>8478</v>
      </c>
      <c r="E57" s="2901"/>
      <c r="F57" s="2902"/>
      <c r="G57" s="2903"/>
      <c r="H57" s="2904"/>
      <c r="I57" s="2932"/>
    </row>
    <row r="58" spans="2:9" ht="15">
      <c r="B58" s="2932" t="s">
        <v>2089</v>
      </c>
      <c r="C58" s="2955">
        <v>2000</v>
      </c>
      <c r="D58" s="2931">
        <v>2420</v>
      </c>
      <c r="E58" s="2966"/>
      <c r="F58" s="2966"/>
      <c r="G58" s="2966"/>
      <c r="H58" s="2904"/>
      <c r="I58" s="2932"/>
    </row>
    <row r="59" spans="2:9" ht="30">
      <c r="B59" s="2913" t="s">
        <v>3893</v>
      </c>
      <c r="C59" s="2930"/>
      <c r="D59" s="2931"/>
      <c r="E59" s="2901"/>
      <c r="F59" s="2902"/>
      <c r="G59" s="2903"/>
      <c r="H59" s="2904"/>
      <c r="I59" s="2932"/>
    </row>
    <row r="60" spans="2:9" ht="15">
      <c r="B60" s="2882" t="s">
        <v>2090</v>
      </c>
      <c r="C60" s="2967"/>
      <c r="D60" s="2884">
        <f>SUM(D61:D90)</f>
        <v>6664</v>
      </c>
      <c r="E60" s="2968"/>
      <c r="F60" s="2969"/>
      <c r="G60" s="2970"/>
      <c r="H60" s="2971"/>
      <c r="I60" s="2889"/>
    </row>
    <row r="61" spans="2:9" ht="36">
      <c r="B61" s="2890" t="s">
        <v>2091</v>
      </c>
      <c r="C61" s="2916">
        <v>0</v>
      </c>
      <c r="D61" s="2917">
        <v>0</v>
      </c>
      <c r="E61" s="2918"/>
      <c r="F61" s="2919"/>
      <c r="G61" s="2920"/>
      <c r="H61" s="2921"/>
      <c r="I61" s="2972" t="s">
        <v>178</v>
      </c>
    </row>
    <row r="62" spans="2:9" ht="15">
      <c r="B62" s="2973" t="s">
        <v>2092</v>
      </c>
      <c r="C62" s="2974"/>
      <c r="D62" s="2975"/>
      <c r="E62" s="2976"/>
      <c r="F62" s="2977"/>
      <c r="G62" s="2978"/>
      <c r="H62" s="2979"/>
      <c r="I62" s="2862"/>
    </row>
    <row r="63" spans="2:9" ht="15">
      <c r="B63" s="2933" t="s">
        <v>2093</v>
      </c>
      <c r="C63" s="2916">
        <v>0</v>
      </c>
      <c r="D63" s="2917">
        <v>0</v>
      </c>
      <c r="E63" s="2918"/>
      <c r="F63" s="2919"/>
      <c r="G63" s="2920"/>
      <c r="H63" s="2921"/>
      <c r="I63" s="2972" t="s">
        <v>178</v>
      </c>
    </row>
    <row r="64" spans="2:9" ht="15">
      <c r="B64" s="2913" t="s">
        <v>3894</v>
      </c>
      <c r="C64" s="2930">
        <v>230</v>
      </c>
      <c r="D64" s="2931">
        <v>278</v>
      </c>
      <c r="E64" s="2901"/>
      <c r="F64" s="2902"/>
      <c r="G64" s="2903"/>
      <c r="H64" s="2904"/>
      <c r="I64" s="2961"/>
    </row>
    <row r="65" spans="2:9" ht="15">
      <c r="B65" s="2913" t="s">
        <v>2094</v>
      </c>
      <c r="C65" s="2930">
        <v>170</v>
      </c>
      <c r="D65" s="2931">
        <v>206</v>
      </c>
      <c r="E65" s="2901"/>
      <c r="F65" s="2902"/>
      <c r="G65" s="2903"/>
      <c r="H65" s="2904"/>
      <c r="I65" s="2961"/>
    </row>
    <row r="66" spans="2:9" ht="15">
      <c r="B66" s="2913" t="s">
        <v>2095</v>
      </c>
      <c r="C66" s="2930">
        <v>280</v>
      </c>
      <c r="D66" s="2980">
        <v>339</v>
      </c>
      <c r="E66" s="2901"/>
      <c r="F66" s="2902"/>
      <c r="G66" s="2903"/>
      <c r="H66" s="2904"/>
      <c r="I66" s="2932"/>
    </row>
    <row r="67" spans="2:9" ht="15">
      <c r="B67" s="2913" t="s">
        <v>3895</v>
      </c>
      <c r="C67" s="2930">
        <v>145</v>
      </c>
      <c r="D67" s="2931">
        <v>175</v>
      </c>
      <c r="E67" s="2901"/>
      <c r="F67" s="2902"/>
      <c r="G67" s="2903"/>
      <c r="H67" s="2904"/>
      <c r="I67" s="2932"/>
    </row>
    <row r="68" spans="2:9" ht="15">
      <c r="B68" s="2913" t="s">
        <v>2096</v>
      </c>
      <c r="C68" s="2930">
        <v>300</v>
      </c>
      <c r="D68" s="2931">
        <v>363</v>
      </c>
      <c r="E68" s="2901"/>
      <c r="F68" s="2902"/>
      <c r="G68" s="2903"/>
      <c r="H68" s="2904"/>
      <c r="I68" s="2932"/>
    </row>
    <row r="69" spans="2:9" ht="15">
      <c r="B69" s="2890" t="s">
        <v>3896</v>
      </c>
      <c r="C69" s="2916">
        <v>0</v>
      </c>
      <c r="D69" s="2917">
        <v>0</v>
      </c>
      <c r="E69" s="2918"/>
      <c r="F69" s="2919"/>
      <c r="G69" s="2920"/>
      <c r="H69" s="2921"/>
      <c r="I69" s="2972" t="s">
        <v>3872</v>
      </c>
    </row>
    <row r="70" spans="2:9" ht="15">
      <c r="B70" s="2932" t="s">
        <v>3897</v>
      </c>
      <c r="C70" s="2930">
        <v>490</v>
      </c>
      <c r="D70" s="2931">
        <v>593</v>
      </c>
      <c r="E70" s="2901"/>
      <c r="F70" s="2902"/>
      <c r="G70" s="2903"/>
      <c r="H70" s="2904"/>
      <c r="I70" s="2961"/>
    </row>
    <row r="71" spans="2:9" ht="15">
      <c r="B71" s="2913" t="s">
        <v>3898</v>
      </c>
      <c r="C71" s="2930">
        <v>500</v>
      </c>
      <c r="D71" s="2931">
        <v>605</v>
      </c>
      <c r="E71" s="2901"/>
      <c r="F71" s="2902"/>
      <c r="G71" s="2903"/>
      <c r="H71" s="2904"/>
      <c r="I71" s="2932"/>
    </row>
    <row r="72" spans="2:9" ht="15">
      <c r="B72" s="2890" t="s">
        <v>2097</v>
      </c>
      <c r="C72" s="2916">
        <v>0</v>
      </c>
      <c r="D72" s="2917">
        <v>0</v>
      </c>
      <c r="E72" s="2918"/>
      <c r="F72" s="2919"/>
      <c r="G72" s="2920"/>
      <c r="H72" s="2921"/>
      <c r="I72" s="2972" t="s">
        <v>3899</v>
      </c>
    </row>
    <row r="73" spans="2:9" ht="15">
      <c r="B73" s="2913" t="s">
        <v>3900</v>
      </c>
      <c r="C73" s="2930">
        <v>140</v>
      </c>
      <c r="D73" s="2931"/>
      <c r="E73" s="2901"/>
      <c r="F73" s="2902"/>
      <c r="G73" s="2903">
        <v>175</v>
      </c>
      <c r="H73" s="2904"/>
      <c r="I73" s="2932"/>
    </row>
    <row r="74" spans="2:9" ht="15">
      <c r="B74" s="2913" t="s">
        <v>3901</v>
      </c>
      <c r="C74" s="2930">
        <v>234</v>
      </c>
      <c r="D74" s="2931"/>
      <c r="E74" s="2901"/>
      <c r="F74" s="2902"/>
      <c r="G74" s="2903">
        <v>289</v>
      </c>
      <c r="H74" s="2904"/>
      <c r="I74" s="2932"/>
    </row>
    <row r="75" spans="2:9" ht="15">
      <c r="B75" s="2981" t="s">
        <v>3902</v>
      </c>
      <c r="C75" s="2982"/>
      <c r="D75" s="2975"/>
      <c r="E75" s="2976"/>
      <c r="F75" s="2977"/>
      <c r="G75" s="2978"/>
      <c r="H75" s="2979"/>
      <c r="I75" s="2862"/>
    </row>
    <row r="76" spans="2:9" ht="15">
      <c r="B76" s="2890" t="s">
        <v>2098</v>
      </c>
      <c r="C76" s="2916">
        <v>0</v>
      </c>
      <c r="D76" s="2917">
        <v>0</v>
      </c>
      <c r="E76" s="2918"/>
      <c r="F76" s="2919"/>
      <c r="G76" s="2920"/>
      <c r="H76" s="2921">
        <v>300</v>
      </c>
      <c r="I76" s="2890" t="s">
        <v>3892</v>
      </c>
    </row>
    <row r="77" spans="2:9" ht="15">
      <c r="B77" s="2890" t="s">
        <v>3903</v>
      </c>
      <c r="C77" s="2916">
        <v>0</v>
      </c>
      <c r="D77" s="2917">
        <v>0</v>
      </c>
      <c r="E77" s="2918"/>
      <c r="F77" s="2919"/>
      <c r="G77" s="2920"/>
      <c r="H77" s="2921">
        <v>500</v>
      </c>
      <c r="I77" s="2890" t="s">
        <v>3892</v>
      </c>
    </row>
    <row r="78" spans="2:9" ht="15">
      <c r="B78" s="2932" t="s">
        <v>3904</v>
      </c>
      <c r="C78" s="2930">
        <v>500</v>
      </c>
      <c r="D78" s="2931">
        <v>605</v>
      </c>
      <c r="E78" s="2901"/>
      <c r="F78" s="2902"/>
      <c r="G78" s="2903"/>
      <c r="H78" s="2904">
        <v>2000</v>
      </c>
      <c r="I78" s="2932" t="s">
        <v>3890</v>
      </c>
    </row>
    <row r="79" spans="2:9" ht="24">
      <c r="B79" s="2932" t="s">
        <v>3905</v>
      </c>
      <c r="C79" s="2930">
        <v>1500</v>
      </c>
      <c r="D79" s="2931">
        <v>1500</v>
      </c>
      <c r="E79" s="2901"/>
      <c r="F79" s="2902"/>
      <c r="G79" s="2903"/>
      <c r="H79" s="2904"/>
      <c r="I79" s="2932"/>
    </row>
    <row r="80" spans="2:9" ht="15">
      <c r="B80" s="2961" t="s">
        <v>2099</v>
      </c>
      <c r="C80" s="2930">
        <v>2000</v>
      </c>
      <c r="D80" s="2931">
        <v>2000</v>
      </c>
      <c r="E80" s="2901"/>
      <c r="F80" s="2902"/>
      <c r="G80" s="2903"/>
      <c r="H80" s="2904"/>
      <c r="I80" s="2932"/>
    </row>
    <row r="81" spans="2:9" ht="15">
      <c r="B81" s="2913" t="s">
        <v>3906</v>
      </c>
      <c r="C81" s="2930">
        <v>477</v>
      </c>
      <c r="D81" s="2931"/>
      <c r="E81" s="2901"/>
      <c r="F81" s="2902"/>
      <c r="G81" s="2903">
        <v>577</v>
      </c>
      <c r="H81" s="2904"/>
      <c r="I81" s="2961"/>
    </row>
    <row r="82" spans="2:9" ht="30">
      <c r="B82" s="2913" t="s">
        <v>3907</v>
      </c>
      <c r="C82" s="2930">
        <v>500</v>
      </c>
      <c r="D82" s="2931"/>
      <c r="E82" s="2901"/>
      <c r="F82" s="2902"/>
      <c r="G82" s="2903">
        <v>603</v>
      </c>
      <c r="H82" s="2904">
        <v>484</v>
      </c>
      <c r="I82" s="2932" t="s">
        <v>3890</v>
      </c>
    </row>
    <row r="83" spans="2:9" ht="15">
      <c r="B83" s="2913" t="s">
        <v>3908</v>
      </c>
      <c r="C83" s="2930">
        <v>500</v>
      </c>
      <c r="D83" s="2931"/>
      <c r="E83" s="2901"/>
      <c r="F83" s="2902"/>
      <c r="G83" s="2903">
        <v>603</v>
      </c>
      <c r="H83" s="2904">
        <v>484</v>
      </c>
      <c r="I83" s="2932" t="s">
        <v>3890</v>
      </c>
    </row>
    <row r="84" spans="2:9" ht="15">
      <c r="B84" s="2913" t="s">
        <v>3909</v>
      </c>
      <c r="C84" s="2930">
        <v>100</v>
      </c>
      <c r="D84" s="2931"/>
      <c r="E84" s="2901"/>
      <c r="F84" s="2902">
        <v>121</v>
      </c>
      <c r="G84" s="2903"/>
      <c r="H84" s="2904">
        <v>100</v>
      </c>
      <c r="I84" s="2932" t="s">
        <v>3890</v>
      </c>
    </row>
    <row r="85" spans="2:9" ht="15">
      <c r="B85" s="2890" t="s">
        <v>2100</v>
      </c>
      <c r="C85" s="2916">
        <v>0</v>
      </c>
      <c r="D85" s="2917">
        <v>0</v>
      </c>
      <c r="E85" s="2918"/>
      <c r="F85" s="2919"/>
      <c r="G85" s="2920"/>
      <c r="H85" s="2921"/>
      <c r="I85" s="2972" t="s">
        <v>3910</v>
      </c>
    </row>
    <row r="86" spans="2:9" ht="15">
      <c r="B86" s="2890" t="s">
        <v>2101</v>
      </c>
      <c r="C86" s="2916">
        <v>0</v>
      </c>
      <c r="D86" s="2917">
        <v>0</v>
      </c>
      <c r="E86" s="2918"/>
      <c r="F86" s="2919"/>
      <c r="G86" s="2920"/>
      <c r="H86" s="2921"/>
      <c r="I86" s="2972" t="s">
        <v>3911</v>
      </c>
    </row>
    <row r="87" spans="2:9" ht="15">
      <c r="B87" s="2890" t="s">
        <v>2102</v>
      </c>
      <c r="C87" s="2916">
        <v>0</v>
      </c>
      <c r="D87" s="2917">
        <v>0</v>
      </c>
      <c r="E87" s="2918"/>
      <c r="F87" s="2919"/>
      <c r="G87" s="2920"/>
      <c r="H87" s="2921"/>
      <c r="I87" s="2972" t="s">
        <v>3911</v>
      </c>
    </row>
    <row r="88" spans="2:9" ht="15">
      <c r="B88" s="2890" t="s">
        <v>2103</v>
      </c>
      <c r="C88" s="2916">
        <v>0</v>
      </c>
      <c r="D88" s="2917">
        <v>0</v>
      </c>
      <c r="E88" s="2918"/>
      <c r="F88" s="2983"/>
      <c r="G88" s="2984"/>
      <c r="H88" s="2985"/>
      <c r="I88" s="2972" t="s">
        <v>3912</v>
      </c>
    </row>
    <row r="89" spans="2:9" ht="15">
      <c r="B89" s="2890" t="s">
        <v>3913</v>
      </c>
      <c r="C89" s="2916">
        <v>0</v>
      </c>
      <c r="D89" s="2917">
        <v>0</v>
      </c>
      <c r="E89" s="2918"/>
      <c r="F89" s="2919"/>
      <c r="G89" s="2920"/>
      <c r="H89" s="2921"/>
      <c r="I89" s="2972" t="s">
        <v>178</v>
      </c>
    </row>
    <row r="90" spans="2:9" ht="15">
      <c r="B90" s="2890" t="s">
        <v>3914</v>
      </c>
      <c r="C90" s="2916">
        <v>0</v>
      </c>
      <c r="D90" s="2917">
        <v>0</v>
      </c>
      <c r="E90" s="2918"/>
      <c r="F90" s="2919"/>
      <c r="G90" s="2920"/>
      <c r="H90" s="2921"/>
      <c r="I90" s="2890" t="s">
        <v>3915</v>
      </c>
    </row>
    <row r="91" spans="2:9" ht="15">
      <c r="B91" s="2986"/>
      <c r="C91" s="2850"/>
      <c r="D91" s="2987"/>
      <c r="E91" s="2988"/>
      <c r="F91" s="2989"/>
      <c r="G91" s="2990"/>
      <c r="H91" s="2991"/>
      <c r="I91" s="2849"/>
    </row>
    <row r="92" spans="2:9" ht="15">
      <c r="B92" s="2986"/>
      <c r="C92" s="2850"/>
      <c r="D92" s="2987"/>
      <c r="E92" s="2988"/>
      <c r="F92" s="2989"/>
      <c r="G92" s="2990"/>
      <c r="H92" s="2991"/>
      <c r="I92" s="2849"/>
    </row>
    <row r="93" spans="2:9" ht="15">
      <c r="B93" s="2849" t="s">
        <v>3916</v>
      </c>
      <c r="C93" s="2850"/>
      <c r="D93" s="2851"/>
      <c r="E93" s="2852"/>
      <c r="F93" s="2853"/>
      <c r="G93" s="2854"/>
      <c r="H93" s="2855"/>
      <c r="I93" s="2849"/>
    </row>
    <row r="94" spans="2:9" ht="15">
      <c r="B94" s="2992" t="s">
        <v>504</v>
      </c>
      <c r="C94" s="2850"/>
      <c r="D94" s="2851"/>
      <c r="E94" s="2852"/>
      <c r="F94" s="2853"/>
      <c r="G94" s="2854"/>
      <c r="H94" s="2855"/>
      <c r="I94" s="2849"/>
    </row>
    <row r="95" spans="2:9" ht="24">
      <c r="B95" s="2993" t="s">
        <v>3917</v>
      </c>
      <c r="C95" s="2850"/>
      <c r="D95" s="2994" t="s">
        <v>3918</v>
      </c>
      <c r="E95" s="2852"/>
      <c r="F95" s="2853"/>
      <c r="G95" s="2854"/>
      <c r="H95" s="2855"/>
      <c r="I95" s="2849"/>
    </row>
    <row r="96" spans="2:9" ht="15">
      <c r="B96" s="2993" t="s">
        <v>3919</v>
      </c>
      <c r="C96" s="2850"/>
      <c r="D96" s="2994">
        <v>4000</v>
      </c>
      <c r="E96" s="2852"/>
      <c r="F96" s="2853"/>
      <c r="G96" s="2854"/>
      <c r="H96" s="2855"/>
      <c r="I96" s="2849"/>
    </row>
    <row r="97" spans="2:9" ht="15">
      <c r="B97" s="2993"/>
      <c r="C97" s="2850"/>
      <c r="D97" s="2994"/>
      <c r="E97" s="2852"/>
      <c r="F97" s="2853"/>
      <c r="G97" s="2854"/>
      <c r="H97" s="2855"/>
      <c r="I97" s="2849"/>
    </row>
    <row r="98" spans="2:9" ht="15">
      <c r="B98" s="2995" t="s">
        <v>3920</v>
      </c>
      <c r="C98" s="2850"/>
      <c r="D98" s="2994">
        <v>5000</v>
      </c>
      <c r="E98" s="2852"/>
      <c r="F98" s="2853"/>
      <c r="G98" s="2854"/>
      <c r="H98" s="2855"/>
      <c r="I98" s="2849"/>
    </row>
    <row r="99" spans="2:9" ht="15">
      <c r="C99" s="2850"/>
      <c r="D99" s="2994"/>
      <c r="E99" s="2852"/>
      <c r="F99" s="2853"/>
      <c r="G99" s="2854"/>
      <c r="H99" s="2855"/>
      <c r="I99" s="2849"/>
    </row>
    <row r="100" spans="2:9" ht="15">
      <c r="B100" s="2996" t="s">
        <v>3921</v>
      </c>
      <c r="C100" s="2850"/>
      <c r="D100" s="2997"/>
      <c r="E100" s="2852"/>
      <c r="F100" s="2853"/>
      <c r="G100" s="2854"/>
      <c r="H100" s="2855"/>
      <c r="I100" s="2849"/>
    </row>
    <row r="101" spans="2:9" ht="15">
      <c r="B101" s="1806" t="s">
        <v>2108</v>
      </c>
      <c r="C101" s="2850"/>
      <c r="D101" s="2851"/>
      <c r="E101" s="2852"/>
      <c r="F101" s="2853"/>
      <c r="G101" s="2854"/>
      <c r="H101" s="2855"/>
      <c r="I101" s="2849"/>
    </row>
    <row r="102" spans="2:9" ht="15">
      <c r="B102" s="1806" t="s">
        <v>2109</v>
      </c>
      <c r="C102" s="2850"/>
      <c r="D102" s="2851"/>
      <c r="E102" s="2852"/>
      <c r="F102" s="2853"/>
      <c r="G102" s="2854"/>
      <c r="H102" s="2855"/>
      <c r="I102" s="2849"/>
    </row>
    <row r="103" spans="2:9" ht="15">
      <c r="B103" s="2998" t="s">
        <v>2110</v>
      </c>
      <c r="C103" s="2850"/>
      <c r="D103" s="2851"/>
      <c r="E103" s="2852"/>
      <c r="F103" s="2853"/>
      <c r="G103" s="2854"/>
      <c r="H103" s="2855"/>
      <c r="I103" s="2849"/>
    </row>
  </sheetData>
  <hyperlinks>
    <hyperlink ref="B103" r:id="rId1" xr:uid="{1FFC2C29-7DFC-4349-8E10-4482C8DEA368}"/>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6E41C-2D4C-4711-863C-8346830DACBC}">
  <sheetPr codeName="Lapa22">
    <tabColor theme="7" tint="0.59999389629810485"/>
  </sheetPr>
  <dimension ref="B3:I141"/>
  <sheetViews>
    <sheetView topLeftCell="A7" workbookViewId="0">
      <selection activeCell="G12" sqref="G12"/>
    </sheetView>
  </sheetViews>
  <sheetFormatPr defaultColWidth="11" defaultRowHeight="12"/>
  <cols>
    <col min="2" max="2" width="41.42578125" customWidth="1"/>
    <col min="3" max="3" width="38.140625" customWidth="1"/>
    <col min="4" max="6" width="10.28515625" customWidth="1"/>
    <col min="7" max="7" width="13" customWidth="1"/>
    <col min="9" max="9" width="14.42578125" bestFit="1" customWidth="1"/>
  </cols>
  <sheetData>
    <row r="3" spans="2:7" ht="15">
      <c r="C3" s="3005" t="s">
        <v>3958</v>
      </c>
    </row>
    <row r="4" spans="2:7" ht="15">
      <c r="C4" s="3005"/>
    </row>
    <row r="5" spans="2:7" ht="196.9" customHeight="1">
      <c r="C5" s="3006" t="s">
        <v>3959</v>
      </c>
    </row>
    <row r="7" spans="2:7" ht="18.75">
      <c r="C7" s="3007" t="s">
        <v>3960</v>
      </c>
    </row>
    <row r="8" spans="2:7" ht="12.75" thickBot="1"/>
    <row r="9" spans="2:7" ht="28.9" customHeight="1" thickBot="1">
      <c r="B9" s="3008"/>
      <c r="C9" s="3008" t="s">
        <v>3961</v>
      </c>
      <c r="D9" s="3008" t="s">
        <v>3962</v>
      </c>
      <c r="E9" s="3008" t="s">
        <v>3963</v>
      </c>
      <c r="F9" s="3008" t="s">
        <v>3964</v>
      </c>
      <c r="G9" s="3009" t="s">
        <v>3965</v>
      </c>
    </row>
    <row r="10" spans="2:7">
      <c r="B10" s="3010" t="s">
        <v>3966</v>
      </c>
      <c r="C10" s="3011">
        <v>90</v>
      </c>
      <c r="D10" s="3011">
        <v>720</v>
      </c>
      <c r="E10" s="3011">
        <v>2880</v>
      </c>
      <c r="F10" s="3011">
        <v>103680</v>
      </c>
      <c r="G10" s="3012">
        <v>15137.28</v>
      </c>
    </row>
    <row r="11" spans="2:7" ht="12.75" thickBot="1">
      <c r="B11" s="3013" t="s">
        <v>3967</v>
      </c>
      <c r="C11" s="3014">
        <v>30</v>
      </c>
      <c r="D11" s="3014">
        <v>240</v>
      </c>
      <c r="E11" s="3014">
        <v>960</v>
      </c>
      <c r="F11" s="3014">
        <v>34560</v>
      </c>
      <c r="G11" s="3015">
        <v>5045.76</v>
      </c>
    </row>
    <row r="12" spans="2:7" ht="12.75" thickBot="1">
      <c r="B12" s="3016"/>
      <c r="C12" s="3017"/>
      <c r="D12" s="3017" t="s">
        <v>3968</v>
      </c>
      <c r="E12" s="3017"/>
      <c r="F12" s="3018"/>
      <c r="G12" s="3019">
        <v>10091.51</v>
      </c>
    </row>
    <row r="14" spans="2:7" ht="18.75">
      <c r="C14" s="3007" t="s">
        <v>3969</v>
      </c>
      <c r="E14" s="3020"/>
    </row>
    <row r="15" spans="2:7" ht="12.75" thickBot="1"/>
    <row r="16" spans="2:7" ht="12.75" thickBot="1">
      <c r="B16" s="3021" t="s">
        <v>1131</v>
      </c>
      <c r="C16" s="3022" t="s">
        <v>3970</v>
      </c>
      <c r="D16" s="3022" t="s">
        <v>3971</v>
      </c>
      <c r="E16" s="3023" t="s">
        <v>3972</v>
      </c>
      <c r="F16" s="3024" t="s">
        <v>3973</v>
      </c>
    </row>
    <row r="17" spans="2:6">
      <c r="B17" s="3010">
        <v>1</v>
      </c>
      <c r="C17" s="3011" t="s">
        <v>3974</v>
      </c>
      <c r="D17" s="3011">
        <v>8</v>
      </c>
      <c r="E17" s="3025">
        <v>2.5</v>
      </c>
      <c r="F17" s="3026" t="s">
        <v>519</v>
      </c>
    </row>
    <row r="18" spans="2:6">
      <c r="B18" s="3027">
        <v>2</v>
      </c>
      <c r="C18" s="3028" t="s">
        <v>3975</v>
      </c>
      <c r="D18" s="3028">
        <v>8</v>
      </c>
      <c r="E18" s="3029">
        <v>2</v>
      </c>
      <c r="F18" s="3026" t="s">
        <v>519</v>
      </c>
    </row>
    <row r="19" spans="2:6">
      <c r="B19" s="3027">
        <v>3</v>
      </c>
      <c r="C19" s="3028" t="s">
        <v>3976</v>
      </c>
      <c r="D19" s="3028">
        <v>22</v>
      </c>
      <c r="E19" s="3029">
        <v>1</v>
      </c>
      <c r="F19" s="3030" t="s">
        <v>1251</v>
      </c>
    </row>
    <row r="20" spans="2:6">
      <c r="B20" s="3027">
        <v>4</v>
      </c>
      <c r="C20" s="3028" t="s">
        <v>3977</v>
      </c>
      <c r="D20" s="3028">
        <v>18</v>
      </c>
      <c r="E20" s="3029">
        <v>1.2</v>
      </c>
      <c r="F20" s="3030" t="s">
        <v>3978</v>
      </c>
    </row>
    <row r="21" spans="2:6" ht="12.75" thickBot="1">
      <c r="B21" s="3013">
        <v>5</v>
      </c>
      <c r="C21" s="3014" t="s">
        <v>3979</v>
      </c>
      <c r="D21" s="3014">
        <v>12</v>
      </c>
      <c r="E21" s="3031">
        <v>1.2</v>
      </c>
      <c r="F21" s="3030" t="s">
        <v>3980</v>
      </c>
    </row>
    <row r="22" spans="2:6" ht="12.75" thickBot="1">
      <c r="B22" s="3032"/>
      <c r="C22" s="3033"/>
      <c r="D22" s="3022" t="s">
        <v>219</v>
      </c>
      <c r="E22" s="3034" t="s">
        <v>219</v>
      </c>
      <c r="F22" s="3031"/>
    </row>
    <row r="23" spans="2:6" ht="12.75" thickBot="1">
      <c r="B23" s="3035"/>
      <c r="C23" s="3036"/>
      <c r="D23" s="3036">
        <v>68</v>
      </c>
      <c r="E23" s="3037">
        <v>94</v>
      </c>
      <c r="F23" s="3038"/>
    </row>
    <row r="27" spans="2:6" ht="15.75">
      <c r="C27" s="3039" t="s">
        <v>3981</v>
      </c>
    </row>
    <row r="129" spans="2:9" ht="18.75">
      <c r="C129" s="3007" t="s">
        <v>3982</v>
      </c>
    </row>
    <row r="130" spans="2:9" ht="12.75" thickBot="1"/>
    <row r="131" spans="2:9" ht="24.75" thickBot="1">
      <c r="B131" s="3040" t="s">
        <v>1131</v>
      </c>
      <c r="C131" s="3041" t="s">
        <v>3983</v>
      </c>
      <c r="D131" s="3041" t="s">
        <v>3970</v>
      </c>
      <c r="E131" s="3041" t="s">
        <v>3971</v>
      </c>
      <c r="F131" s="3042" t="s">
        <v>3984</v>
      </c>
      <c r="G131" s="3041" t="s">
        <v>3973</v>
      </c>
      <c r="H131" s="3043" t="s">
        <v>3985</v>
      </c>
      <c r="I131" s="3044" t="s">
        <v>3986</v>
      </c>
    </row>
    <row r="132" spans="2:9" ht="78" customHeight="1">
      <c r="B132" s="3010">
        <v>1</v>
      </c>
      <c r="C132" s="3011"/>
      <c r="D132" s="3045" t="s">
        <v>3987</v>
      </c>
      <c r="E132" s="3046">
        <v>6</v>
      </c>
      <c r="F132" s="3046">
        <v>100</v>
      </c>
      <c r="G132" s="3046" t="s">
        <v>519</v>
      </c>
      <c r="H132" s="3047"/>
      <c r="I132" s="3014"/>
    </row>
    <row r="133" spans="2:9" ht="73.900000000000006" customHeight="1">
      <c r="B133" s="3027">
        <v>2</v>
      </c>
      <c r="C133" s="3028"/>
      <c r="D133" s="3048" t="s">
        <v>3988</v>
      </c>
      <c r="E133" s="3026">
        <v>12</v>
      </c>
      <c r="F133" s="3026">
        <v>530</v>
      </c>
      <c r="G133" s="3026" t="s">
        <v>2976</v>
      </c>
      <c r="H133" s="2785">
        <v>2024</v>
      </c>
      <c r="I133" s="3049">
        <v>20000</v>
      </c>
    </row>
    <row r="134" spans="2:9" ht="76.900000000000006" customHeight="1" thickBot="1">
      <c r="B134" s="3050">
        <v>3</v>
      </c>
      <c r="C134" s="3051"/>
      <c r="D134" s="3052" t="s">
        <v>3989</v>
      </c>
      <c r="E134" s="3053">
        <v>4</v>
      </c>
      <c r="F134" s="3053">
        <v>260</v>
      </c>
      <c r="G134" s="2786" t="s">
        <v>3990</v>
      </c>
      <c r="H134" s="3054"/>
      <c r="I134" s="3055"/>
    </row>
    <row r="135" spans="2:9" ht="70.900000000000006" customHeight="1">
      <c r="B135" s="3056">
        <v>4</v>
      </c>
      <c r="C135" s="3057"/>
      <c r="D135" s="3058" t="s">
        <v>3991</v>
      </c>
      <c r="E135" s="3059">
        <v>12</v>
      </c>
      <c r="F135" s="3060">
        <v>240</v>
      </c>
      <c r="G135" s="3061" t="s">
        <v>3992</v>
      </c>
      <c r="H135" s="3062">
        <v>2025</v>
      </c>
      <c r="I135" s="3063">
        <v>20000</v>
      </c>
    </row>
    <row r="136" spans="2:9" ht="61.15" customHeight="1" thickBot="1">
      <c r="B136" s="3050">
        <v>5</v>
      </c>
      <c r="C136" s="3051"/>
      <c r="D136" s="3064" t="s">
        <v>3993</v>
      </c>
      <c r="E136" s="3053">
        <v>14</v>
      </c>
      <c r="F136" s="3065">
        <v>280</v>
      </c>
      <c r="G136" s="3066" t="s">
        <v>3994</v>
      </c>
      <c r="H136" s="3067"/>
      <c r="I136" s="3068"/>
    </row>
    <row r="139" spans="2:9">
      <c r="B139" t="s">
        <v>3995</v>
      </c>
    </row>
    <row r="140" spans="2:9">
      <c r="B140">
        <v>2926577057</v>
      </c>
    </row>
    <row r="141" spans="2:9">
      <c r="B141" s="1354" t="s">
        <v>3996</v>
      </c>
    </row>
  </sheetData>
  <hyperlinks>
    <hyperlink ref="B141" r:id="rId1" xr:uid="{74115AA6-88F8-4CE2-A65B-B9408BC4062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theme="9" tint="-0.249977111117893"/>
  </sheetPr>
  <dimension ref="A1:XFC5425"/>
  <sheetViews>
    <sheetView topLeftCell="A385" zoomScaleNormal="100" workbookViewId="0">
      <selection activeCell="A395" sqref="A1:M1048576"/>
    </sheetView>
  </sheetViews>
  <sheetFormatPr defaultRowHeight="12" outlineLevelCol="1"/>
  <cols>
    <col min="1" max="1" width="3.42578125" style="79" customWidth="1" outlineLevel="1"/>
    <col min="2" max="2" width="2.42578125" style="81" customWidth="1" outlineLevel="1"/>
    <col min="3" max="3" width="2.42578125" style="250" customWidth="1" outlineLevel="1"/>
    <col min="4" max="4" width="2.42578125" style="1641" customWidth="1" outlineLevel="1"/>
    <col min="5" max="5" width="13.85546875" style="159" customWidth="1" outlineLevel="1"/>
    <col min="6" max="6" width="6.42578125" style="361" customWidth="1"/>
    <col min="7" max="7" width="38.140625" style="159" customWidth="1"/>
    <col min="8" max="8" width="14.5703125" style="81" customWidth="1" outlineLevel="1"/>
    <col min="9" max="9" width="12.140625" style="2555" customWidth="1" outlineLevel="1"/>
    <col min="10" max="10" width="9.5703125" style="66" customWidth="1" outlineLevel="1"/>
    <col min="11" max="11" width="1.7109375" style="274" customWidth="1"/>
    <col min="12" max="12" width="12" style="81" customWidth="1"/>
    <col min="13" max="13" width="14.42578125" style="1222" customWidth="1"/>
    <col min="14" max="14" width="40.85546875" style="155" customWidth="1" outlineLevel="1"/>
    <col min="15" max="15" width="3.42578125" customWidth="1"/>
    <col min="16" max="16" width="37.7109375" style="1818" customWidth="1"/>
    <col min="23" max="23" width="9" style="81"/>
  </cols>
  <sheetData>
    <row r="1" spans="1:48" ht="47.45" customHeight="1">
      <c r="A1" s="1961" t="s">
        <v>519</v>
      </c>
      <c r="B1" s="1962" t="s">
        <v>222</v>
      </c>
      <c r="C1" s="1963" t="s">
        <v>1247</v>
      </c>
      <c r="D1" s="1964" t="s">
        <v>1008</v>
      </c>
      <c r="E1" s="2217" t="s">
        <v>223</v>
      </c>
      <c r="F1" s="1965" t="s">
        <v>626</v>
      </c>
      <c r="G1" s="1966" t="s">
        <v>221</v>
      </c>
      <c r="H1" s="4075" t="s">
        <v>2028</v>
      </c>
      <c r="I1" s="2534" t="s">
        <v>2029</v>
      </c>
      <c r="J1" s="4155" t="s">
        <v>797</v>
      </c>
      <c r="K1" s="1967" t="s">
        <v>1176</v>
      </c>
      <c r="L1" s="4075" t="s">
        <v>3329</v>
      </c>
      <c r="M1" s="4087" t="s">
        <v>3330</v>
      </c>
      <c r="N1" s="2387" t="s">
        <v>6</v>
      </c>
      <c r="O1" s="4" t="s">
        <v>3442</v>
      </c>
      <c r="P1" s="1817" t="s">
        <v>2425</v>
      </c>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c r="A2" s="506"/>
      <c r="B2" s="506" t="s">
        <v>663</v>
      </c>
      <c r="C2" s="506" t="s">
        <v>652</v>
      </c>
      <c r="D2" s="1589">
        <v>110</v>
      </c>
      <c r="E2" s="2232" t="s">
        <v>658</v>
      </c>
      <c r="F2" s="540">
        <v>1111</v>
      </c>
      <c r="G2" s="411" t="s">
        <v>224</v>
      </c>
      <c r="H2" s="3784">
        <v>135882</v>
      </c>
      <c r="I2" s="3784"/>
      <c r="J2" s="3769">
        <v>7584</v>
      </c>
      <c r="K2" s="458"/>
      <c r="L2" s="3750">
        <v>154416</v>
      </c>
      <c r="M2" s="1580"/>
      <c r="N2" s="1025"/>
      <c r="O2" s="86"/>
      <c r="P2" s="1817" t="e">
        <f>INDEX(#REF!,MATCH(F2,#REF!,0),2)</f>
        <v>#REF!</v>
      </c>
      <c r="Q2" s="11"/>
      <c r="R2" s="11"/>
      <c r="S2" s="11"/>
      <c r="T2" s="11"/>
      <c r="U2" s="11"/>
      <c r="V2" s="11"/>
      <c r="W2"/>
      <c r="X2" s="11"/>
      <c r="Y2" s="11"/>
      <c r="Z2" s="11"/>
      <c r="AA2" s="11"/>
      <c r="AB2" s="11"/>
      <c r="AC2" s="11"/>
      <c r="AD2" s="11"/>
      <c r="AE2" s="11"/>
      <c r="AF2" s="11"/>
      <c r="AG2" s="11"/>
      <c r="AH2" s="11"/>
      <c r="AI2" s="11"/>
      <c r="AJ2" s="11"/>
      <c r="AK2" s="11"/>
      <c r="AL2" s="11"/>
      <c r="AM2" s="11"/>
      <c r="AN2" s="11"/>
      <c r="AO2" s="11"/>
      <c r="AP2" s="11"/>
      <c r="AQ2" s="11"/>
      <c r="AR2" s="11"/>
      <c r="AS2" s="11"/>
      <c r="AT2" s="11"/>
      <c r="AU2" s="11"/>
      <c r="AV2" s="11"/>
    </row>
    <row r="3" spans="1:48">
      <c r="A3" s="412"/>
      <c r="B3" s="412" t="s">
        <v>663</v>
      </c>
      <c r="C3" s="412" t="s">
        <v>652</v>
      </c>
      <c r="D3" s="1590"/>
      <c r="E3" s="2224" t="s">
        <v>658</v>
      </c>
      <c r="F3" s="505">
        <v>1111</v>
      </c>
      <c r="G3" s="549" t="s">
        <v>663</v>
      </c>
      <c r="H3" s="3785"/>
      <c r="I3" s="3785">
        <v>135881.53392000002</v>
      </c>
      <c r="J3" s="3770"/>
      <c r="K3" s="558"/>
      <c r="L3" s="550"/>
      <c r="M3" s="1671">
        <v>154416</v>
      </c>
      <c r="N3" s="1025"/>
      <c r="O3" s="86"/>
      <c r="P3" s="1817" t="e">
        <f>INDEX(#REF!,MATCH(F3,#REF!,0),2)</f>
        <v>#REF!</v>
      </c>
      <c r="Q3" s="43"/>
      <c r="R3" s="43"/>
      <c r="S3" s="43"/>
      <c r="T3" s="43"/>
      <c r="U3" s="43"/>
      <c r="V3" s="43"/>
      <c r="W3"/>
      <c r="X3" s="43"/>
      <c r="Y3" s="43"/>
      <c r="Z3" s="43"/>
      <c r="AA3" s="43"/>
      <c r="AB3" s="43"/>
      <c r="AC3" s="43"/>
      <c r="AD3" s="43"/>
      <c r="AE3" s="43"/>
      <c r="AF3" s="43"/>
      <c r="AG3" s="43"/>
      <c r="AH3" s="1775"/>
      <c r="AI3" s="43"/>
      <c r="AJ3" s="11"/>
      <c r="AK3" s="11"/>
      <c r="AL3" s="11"/>
      <c r="AM3" s="11"/>
      <c r="AN3" s="11"/>
      <c r="AO3" s="11"/>
      <c r="AP3" s="11"/>
      <c r="AQ3" s="11"/>
      <c r="AR3" s="11"/>
      <c r="AS3" s="11"/>
      <c r="AT3" s="11"/>
      <c r="AU3" s="11"/>
      <c r="AV3" s="11"/>
    </row>
    <row r="4" spans="1:48">
      <c r="A4" s="506"/>
      <c r="B4" s="506" t="s">
        <v>663</v>
      </c>
      <c r="C4" s="506" t="s">
        <v>652</v>
      </c>
      <c r="D4" s="1589">
        <v>110</v>
      </c>
      <c r="E4" s="2223" t="s">
        <v>658</v>
      </c>
      <c r="F4" s="540">
        <v>1119</v>
      </c>
      <c r="G4" s="411" t="s">
        <v>224</v>
      </c>
      <c r="H4" s="3784">
        <v>954628.72140302614</v>
      </c>
      <c r="I4" s="3784"/>
      <c r="J4" s="3769">
        <v>775758</v>
      </c>
      <c r="K4" s="458"/>
      <c r="L4" s="3750">
        <v>1004352.2690030261</v>
      </c>
      <c r="M4" s="1580"/>
      <c r="N4" s="1025"/>
      <c r="O4" s="86"/>
      <c r="P4" s="1817" t="e">
        <f>INDEX(#REF!,MATCH(F4,#REF!,0),2)</f>
        <v>#REF!</v>
      </c>
      <c r="Q4" s="11"/>
      <c r="R4" s="11"/>
      <c r="S4" s="11"/>
      <c r="T4" s="11"/>
      <c r="U4" s="11"/>
      <c r="V4" s="11"/>
      <c r="W4"/>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8">
      <c r="A5" s="412"/>
      <c r="B5" s="412" t="s">
        <v>663</v>
      </c>
      <c r="C5" s="412" t="s">
        <v>652</v>
      </c>
      <c r="D5" s="1590"/>
      <c r="E5" s="2224" t="s">
        <v>658</v>
      </c>
      <c r="F5" s="505">
        <v>1119</v>
      </c>
      <c r="G5" s="549" t="s">
        <v>2507</v>
      </c>
      <c r="H5" s="3785"/>
      <c r="I5" s="3785">
        <v>960239.98</v>
      </c>
      <c r="J5" s="3770"/>
      <c r="K5" s="558"/>
      <c r="L5" s="550"/>
      <c r="M5" s="1671">
        <v>997708.52759999991</v>
      </c>
      <c r="N5" s="1025"/>
      <c r="O5" s="86"/>
      <c r="P5" s="1817" t="e">
        <f>INDEX(#REF!,MATCH(F5,#REF!,0),2)</f>
        <v>#REF!</v>
      </c>
      <c r="Q5" s="43"/>
      <c r="R5" s="43"/>
      <c r="S5" s="43"/>
      <c r="T5" s="43"/>
      <c r="U5" s="43"/>
      <c r="V5" s="43"/>
      <c r="W5"/>
      <c r="X5" s="43"/>
      <c r="Y5" s="43"/>
      <c r="Z5" s="43"/>
      <c r="AA5" s="43"/>
      <c r="AB5" s="43"/>
      <c r="AC5" s="43"/>
      <c r="AD5" s="43"/>
      <c r="AE5" s="43"/>
      <c r="AF5" s="43"/>
      <c r="AG5" s="43"/>
      <c r="AH5" s="1775"/>
      <c r="AI5" s="43"/>
      <c r="AJ5" s="11"/>
      <c r="AK5" s="11"/>
      <c r="AL5" s="11"/>
      <c r="AM5" s="11"/>
      <c r="AN5" s="11"/>
      <c r="AO5" s="11"/>
      <c r="AP5" s="11"/>
      <c r="AQ5" s="11"/>
      <c r="AR5" s="11"/>
      <c r="AS5" s="11"/>
      <c r="AT5" s="11"/>
      <c r="AU5" s="11"/>
      <c r="AV5" s="11"/>
    </row>
    <row r="6" spans="1:48" ht="22.5">
      <c r="A6" s="412" t="s">
        <v>564</v>
      </c>
      <c r="B6" s="412" t="s">
        <v>663</v>
      </c>
      <c r="C6" s="412" t="s">
        <v>652</v>
      </c>
      <c r="D6" s="1590"/>
      <c r="E6" s="2224" t="s">
        <v>658</v>
      </c>
      <c r="F6" s="505">
        <v>1119</v>
      </c>
      <c r="G6" s="549" t="s">
        <v>3333</v>
      </c>
      <c r="H6" s="3785"/>
      <c r="I6" s="3785">
        <v>6643.7414030261352</v>
      </c>
      <c r="J6" s="3770"/>
      <c r="K6" s="558"/>
      <c r="L6" s="550"/>
      <c r="M6" s="1671">
        <v>6643.7414030261352</v>
      </c>
      <c r="N6" s="1025"/>
      <c r="O6" s="86"/>
      <c r="P6" s="1817" t="e">
        <f>INDEX(#REF!,MATCH(F6,#REF!,0),2)</f>
        <v>#REF!</v>
      </c>
      <c r="Q6" s="43"/>
      <c r="R6" s="43"/>
      <c r="S6" s="43"/>
      <c r="T6" s="43"/>
      <c r="U6" s="43"/>
      <c r="V6" s="43"/>
      <c r="W6"/>
      <c r="X6" s="43"/>
      <c r="Y6" s="43"/>
      <c r="Z6" s="43"/>
      <c r="AA6" s="43"/>
      <c r="AB6" s="43"/>
      <c r="AC6" s="43"/>
      <c r="AD6" s="43"/>
      <c r="AE6" s="43"/>
      <c r="AF6" s="43"/>
      <c r="AG6" s="43"/>
      <c r="AH6" s="43"/>
      <c r="AI6" s="11"/>
      <c r="AJ6" s="11"/>
      <c r="AK6" s="11"/>
      <c r="AL6" s="11"/>
      <c r="AM6" s="11"/>
      <c r="AN6" s="11"/>
      <c r="AO6" s="11"/>
      <c r="AP6" s="11"/>
      <c r="AQ6" s="11"/>
      <c r="AR6" s="11"/>
      <c r="AS6" s="11"/>
      <c r="AT6" s="11"/>
      <c r="AU6" s="11"/>
    </row>
    <row r="7" spans="1:48" ht="22.5">
      <c r="A7" s="1882"/>
      <c r="B7" s="412" t="s">
        <v>663</v>
      </c>
      <c r="C7" s="412" t="s">
        <v>652</v>
      </c>
      <c r="D7" s="1590"/>
      <c r="E7" s="2224" t="s">
        <v>658</v>
      </c>
      <c r="F7" s="505">
        <v>1119</v>
      </c>
      <c r="G7" s="1913" t="s">
        <v>3201</v>
      </c>
      <c r="H7" s="3785"/>
      <c r="I7" s="3785">
        <v>-12255</v>
      </c>
      <c r="J7" s="3770"/>
      <c r="K7" s="558"/>
      <c r="L7" s="550"/>
      <c r="M7" s="1942"/>
      <c r="N7" s="1025"/>
      <c r="O7" s="86"/>
      <c r="P7" s="1817" t="e">
        <f>INDEX(#REF!,MATCH(F7,#REF!,0),2)</f>
        <v>#REF!</v>
      </c>
      <c r="Q7" s="43"/>
      <c r="R7" s="43"/>
      <c r="S7" s="43"/>
      <c r="T7" s="43"/>
      <c r="U7" s="43"/>
      <c r="V7" s="43"/>
      <c r="W7"/>
      <c r="X7" s="43"/>
      <c r="Y7" s="43"/>
      <c r="Z7" s="43"/>
      <c r="AA7" s="43"/>
      <c r="AB7" s="43"/>
      <c r="AC7" s="43"/>
      <c r="AD7" s="43"/>
      <c r="AE7" s="43"/>
      <c r="AF7" s="43"/>
      <c r="AG7" s="43"/>
      <c r="AH7" s="1775"/>
      <c r="AI7" s="43"/>
      <c r="AJ7" s="11"/>
      <c r="AK7" s="11"/>
      <c r="AL7" s="11"/>
      <c r="AM7" s="11"/>
      <c r="AN7" s="11"/>
      <c r="AO7" s="11"/>
      <c r="AP7" s="11"/>
      <c r="AQ7" s="11"/>
      <c r="AR7" s="11"/>
      <c r="AS7" s="11"/>
      <c r="AT7" s="11"/>
      <c r="AU7" s="11"/>
      <c r="AV7" s="11"/>
    </row>
    <row r="8" spans="1:48" ht="22.5">
      <c r="A8" s="506"/>
      <c r="B8" s="506" t="s">
        <v>663</v>
      </c>
      <c r="C8" s="506" t="s">
        <v>652</v>
      </c>
      <c r="D8" s="1589">
        <v>110</v>
      </c>
      <c r="E8" s="2223" t="s">
        <v>658</v>
      </c>
      <c r="F8" s="540">
        <v>1142</v>
      </c>
      <c r="G8" s="411" t="s">
        <v>225</v>
      </c>
      <c r="H8" s="3784">
        <v>3709</v>
      </c>
      <c r="I8" s="3784"/>
      <c r="J8" s="3769">
        <v>1680</v>
      </c>
      <c r="K8" s="458"/>
      <c r="L8" s="3750">
        <v>3709</v>
      </c>
      <c r="M8" s="1580"/>
      <c r="N8" s="1025"/>
      <c r="O8" s="86"/>
      <c r="P8" s="1817" t="e">
        <f>INDEX(#REF!,MATCH(F8,#REF!,0),2)</f>
        <v>#REF!</v>
      </c>
      <c r="Q8" s="43"/>
      <c r="R8" s="43"/>
      <c r="S8" s="43"/>
      <c r="T8" s="43"/>
      <c r="U8" s="43"/>
      <c r="V8" s="43"/>
      <c r="W8"/>
      <c r="X8" s="43"/>
      <c r="Y8" s="43"/>
      <c r="Z8" s="43"/>
      <c r="AA8" s="43"/>
      <c r="AB8" s="43"/>
      <c r="AC8" s="43"/>
      <c r="AD8" s="43"/>
      <c r="AE8" s="43"/>
      <c r="AF8" s="43"/>
      <c r="AG8" s="43"/>
      <c r="AH8" s="1775"/>
      <c r="AI8" s="43"/>
      <c r="AJ8" s="11"/>
      <c r="AK8" s="11"/>
      <c r="AL8" s="11"/>
      <c r="AM8" s="11"/>
      <c r="AN8" s="11"/>
      <c r="AO8" s="11"/>
      <c r="AP8" s="11"/>
      <c r="AQ8" s="11"/>
      <c r="AR8" s="11"/>
      <c r="AS8" s="11"/>
      <c r="AT8" s="11"/>
      <c r="AU8" s="11"/>
      <c r="AV8" s="11"/>
    </row>
    <row r="9" spans="1:48">
      <c r="A9" s="412"/>
      <c r="B9" s="412" t="s">
        <v>663</v>
      </c>
      <c r="C9" s="412" t="s">
        <v>652</v>
      </c>
      <c r="D9" s="1590"/>
      <c r="E9" s="2224" t="s">
        <v>658</v>
      </c>
      <c r="F9" s="505">
        <v>1142</v>
      </c>
      <c r="G9" s="519"/>
      <c r="H9" s="3785"/>
      <c r="I9" s="3785">
        <v>3709</v>
      </c>
      <c r="J9" s="3770"/>
      <c r="K9" s="722"/>
      <c r="L9" s="550"/>
      <c r="M9" s="1671">
        <v>3709</v>
      </c>
      <c r="N9" s="1025"/>
      <c r="O9" s="86"/>
      <c r="P9" s="1817" t="e">
        <f>INDEX(#REF!,MATCH(F9,#REF!,0),2)</f>
        <v>#REF!</v>
      </c>
      <c r="Q9" s="43"/>
      <c r="R9" s="43"/>
      <c r="S9" s="43"/>
      <c r="T9" s="43"/>
      <c r="U9" s="43"/>
      <c r="V9" s="43"/>
      <c r="W9"/>
      <c r="X9" s="43"/>
      <c r="Y9" s="43"/>
      <c r="Z9" s="43"/>
      <c r="AA9" s="43"/>
      <c r="AB9" s="43"/>
      <c r="AC9" s="43"/>
      <c r="AD9" s="43"/>
      <c r="AE9" s="43"/>
      <c r="AF9" s="43"/>
      <c r="AG9" s="43"/>
      <c r="AH9" s="1775"/>
      <c r="AI9" s="43"/>
      <c r="AJ9" s="11"/>
      <c r="AK9" s="11"/>
      <c r="AL9" s="11"/>
      <c r="AM9" s="11"/>
      <c r="AN9" s="11"/>
      <c r="AO9" s="11"/>
      <c r="AP9" s="11"/>
      <c r="AQ9" s="11"/>
      <c r="AR9" s="11"/>
      <c r="AS9" s="11"/>
      <c r="AT9" s="11"/>
      <c r="AU9" s="11"/>
      <c r="AV9" s="11"/>
    </row>
    <row r="10" spans="1:48" ht="22.5">
      <c r="A10" s="506"/>
      <c r="B10" s="506" t="s">
        <v>663</v>
      </c>
      <c r="C10" s="506" t="s">
        <v>652</v>
      </c>
      <c r="D10" s="1589">
        <v>110</v>
      </c>
      <c r="E10" s="2223" t="s">
        <v>658</v>
      </c>
      <c r="F10" s="540">
        <v>1146</v>
      </c>
      <c r="G10" s="411" t="s">
        <v>889</v>
      </c>
      <c r="H10" s="3784">
        <v>0</v>
      </c>
      <c r="I10" s="3784"/>
      <c r="J10" s="3769"/>
      <c r="K10" s="458"/>
      <c r="L10" s="3750">
        <v>0</v>
      </c>
      <c r="M10" s="1580"/>
      <c r="N10" s="1025"/>
      <c r="O10" s="86"/>
      <c r="P10" s="1817" t="e">
        <f>INDEX(#REF!,MATCH(F10,#REF!,0),2)</f>
        <v>#REF!</v>
      </c>
      <c r="Q10" s="11"/>
      <c r="R10" s="11"/>
      <c r="S10" s="11"/>
      <c r="T10" s="11"/>
      <c r="U10" s="11"/>
      <c r="V10" s="11"/>
      <c r="W10"/>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8">
      <c r="A11" s="412"/>
      <c r="B11" s="412" t="s">
        <v>663</v>
      </c>
      <c r="C11" s="412" t="s">
        <v>652</v>
      </c>
      <c r="D11" s="1590"/>
      <c r="E11" s="2224" t="s">
        <v>658</v>
      </c>
      <c r="F11" s="505">
        <v>1146</v>
      </c>
      <c r="G11" s="519"/>
      <c r="H11" s="3785"/>
      <c r="I11" s="3785">
        <v>0</v>
      </c>
      <c r="J11" s="3770"/>
      <c r="K11" s="722"/>
      <c r="L11" s="550"/>
      <c r="M11" s="1671">
        <v>0</v>
      </c>
      <c r="N11" s="1025"/>
      <c r="O11" s="86"/>
      <c r="P11" s="1817" t="e">
        <f>INDEX(#REF!,MATCH(F11,#REF!,0),2)</f>
        <v>#REF!</v>
      </c>
      <c r="Q11" s="43"/>
      <c r="R11" s="43"/>
      <c r="S11" s="43"/>
      <c r="T11" s="43"/>
      <c r="U11" s="43"/>
      <c r="V11" s="43"/>
      <c r="W11"/>
      <c r="X11" s="43"/>
      <c r="Y11" s="43"/>
      <c r="Z11" s="43"/>
      <c r="AA11" s="43"/>
      <c r="AB11" s="43"/>
      <c r="AC11" s="43"/>
      <c r="AD11" s="43"/>
      <c r="AE11" s="43"/>
      <c r="AF11" s="43"/>
      <c r="AG11" s="43"/>
      <c r="AH11" s="43"/>
      <c r="AI11" s="11"/>
      <c r="AJ11" s="11"/>
      <c r="AK11" s="11"/>
      <c r="AL11" s="11"/>
      <c r="AM11" s="11"/>
      <c r="AN11" s="11"/>
      <c r="AO11" s="11"/>
      <c r="AP11" s="11"/>
      <c r="AQ11" s="11"/>
      <c r="AR11" s="11"/>
      <c r="AS11" s="11"/>
      <c r="AT11" s="11"/>
      <c r="AU11" s="11"/>
    </row>
    <row r="12" spans="1:48">
      <c r="A12" s="506"/>
      <c r="B12" s="506" t="s">
        <v>663</v>
      </c>
      <c r="C12" s="506" t="s">
        <v>652</v>
      </c>
      <c r="D12" s="1589">
        <v>110</v>
      </c>
      <c r="E12" s="2223" t="s">
        <v>658</v>
      </c>
      <c r="F12" s="540">
        <v>1147</v>
      </c>
      <c r="G12" s="411" t="s">
        <v>226</v>
      </c>
      <c r="H12" s="3784">
        <v>128586.17833599998</v>
      </c>
      <c r="I12" s="3784"/>
      <c r="J12" s="3769">
        <v>47816</v>
      </c>
      <c r="K12" s="458"/>
      <c r="L12" s="3750">
        <v>133121.94043200003</v>
      </c>
      <c r="M12" s="1580"/>
      <c r="N12" s="1025"/>
      <c r="O12" s="86"/>
      <c r="P12" s="1817" t="e">
        <f>INDEX(#REF!,MATCH(F12,#REF!,0),2)</f>
        <v>#REF!</v>
      </c>
      <c r="Q12" s="11"/>
      <c r="R12" s="11"/>
      <c r="S12" s="11"/>
      <c r="T12" s="11"/>
      <c r="U12" s="11"/>
      <c r="V12" s="11"/>
      <c r="W12"/>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8">
      <c r="A13" s="412"/>
      <c r="B13" s="412" t="s">
        <v>663</v>
      </c>
      <c r="C13" s="412" t="s">
        <v>652</v>
      </c>
      <c r="D13" s="1590"/>
      <c r="E13" s="2224" t="s">
        <v>658</v>
      </c>
      <c r="F13" s="505">
        <v>1147</v>
      </c>
      <c r="G13" s="519" t="s">
        <v>663</v>
      </c>
      <c r="H13" s="3786"/>
      <c r="I13" s="3786">
        <v>128586.17833599998</v>
      </c>
      <c r="J13" s="3771"/>
      <c r="K13" s="1726"/>
      <c r="L13" s="1671"/>
      <c r="M13" s="1671">
        <v>133121.94043200003</v>
      </c>
      <c r="N13" s="1025"/>
      <c r="O13" s="86"/>
      <c r="P13" s="1817" t="e">
        <f>INDEX(#REF!,MATCH(F13,#REF!,0),2)</f>
        <v>#REF!</v>
      </c>
      <c r="Q13" s="43"/>
      <c r="R13" s="43"/>
      <c r="S13" s="43"/>
      <c r="T13" s="43"/>
      <c r="U13" s="43"/>
      <c r="V13" s="43"/>
      <c r="W13"/>
      <c r="X13" s="43"/>
      <c r="Y13" s="43"/>
      <c r="Z13" s="43"/>
      <c r="AA13" s="43"/>
      <c r="AB13" s="43"/>
      <c r="AC13" s="43"/>
      <c r="AD13" s="43"/>
      <c r="AE13" s="43"/>
      <c r="AF13" s="43"/>
      <c r="AG13" s="43"/>
      <c r="AH13" s="43"/>
      <c r="AI13" s="11"/>
      <c r="AJ13" s="11"/>
      <c r="AK13" s="11"/>
      <c r="AL13" s="11"/>
      <c r="AM13" s="11"/>
      <c r="AN13" s="11"/>
      <c r="AO13" s="11"/>
      <c r="AP13" s="11"/>
      <c r="AQ13" s="11"/>
      <c r="AR13" s="11"/>
      <c r="AS13" s="11"/>
      <c r="AT13" s="11"/>
      <c r="AU13" s="11"/>
    </row>
    <row r="14" spans="1:48">
      <c r="A14" s="412"/>
      <c r="B14" s="412" t="s">
        <v>663</v>
      </c>
      <c r="C14" s="412" t="s">
        <v>652</v>
      </c>
      <c r="D14" s="1590"/>
      <c r="E14" s="2224" t="s">
        <v>658</v>
      </c>
      <c r="F14" s="505">
        <v>1147</v>
      </c>
      <c r="G14" s="519"/>
      <c r="H14" s="3786"/>
      <c r="I14" s="3786"/>
      <c r="J14" s="3771"/>
      <c r="K14" s="1726"/>
      <c r="L14" s="1671"/>
      <c r="M14" s="1671"/>
      <c r="N14" s="1025"/>
      <c r="O14" s="86"/>
      <c r="P14" s="1817" t="e">
        <f>INDEX(#REF!,MATCH(F14,#REF!,0),2)</f>
        <v>#REF!</v>
      </c>
      <c r="Q14" s="11"/>
      <c r="R14" s="11"/>
      <c r="S14" s="11"/>
      <c r="T14" s="11"/>
      <c r="U14" s="11"/>
      <c r="V14" s="11"/>
      <c r="W14"/>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row>
    <row r="15" spans="1:48">
      <c r="A15" s="506"/>
      <c r="B15" s="506" t="s">
        <v>663</v>
      </c>
      <c r="C15" s="506" t="s">
        <v>652</v>
      </c>
      <c r="D15" s="1589">
        <v>110</v>
      </c>
      <c r="E15" s="2223" t="s">
        <v>658</v>
      </c>
      <c r="F15" s="540">
        <v>1148</v>
      </c>
      <c r="G15" s="411" t="s">
        <v>227</v>
      </c>
      <c r="H15" s="3784">
        <v>4500</v>
      </c>
      <c r="I15" s="3784"/>
      <c r="J15" s="3769">
        <v>2049</v>
      </c>
      <c r="K15" s="458"/>
      <c r="L15" s="3750">
        <v>1500</v>
      </c>
      <c r="M15" s="1580"/>
      <c r="N15" s="1025"/>
      <c r="O15" s="86"/>
      <c r="P15" s="1817" t="e">
        <f>INDEX(#REF!,MATCH(F15,#REF!,0),2)</f>
        <v>#REF!</v>
      </c>
      <c r="Q15" s="43"/>
      <c r="R15" s="43"/>
      <c r="S15" s="43"/>
      <c r="T15" s="43"/>
      <c r="U15" s="43"/>
      <c r="V15" s="43"/>
      <c r="W15"/>
      <c r="X15" s="43"/>
      <c r="Y15" s="43"/>
      <c r="Z15" s="43"/>
      <c r="AA15" s="43"/>
      <c r="AB15" s="43"/>
      <c r="AC15" s="43"/>
      <c r="AD15" s="43"/>
      <c r="AE15" s="43"/>
      <c r="AF15" s="43"/>
      <c r="AG15" s="43"/>
      <c r="AH15" s="43"/>
      <c r="AI15" s="11"/>
      <c r="AJ15" s="11"/>
      <c r="AK15" s="11"/>
      <c r="AL15" s="11"/>
      <c r="AM15" s="11"/>
      <c r="AN15" s="11"/>
      <c r="AO15" s="11"/>
      <c r="AP15" s="11"/>
      <c r="AQ15" s="11"/>
      <c r="AR15" s="11"/>
      <c r="AS15" s="11"/>
      <c r="AT15" s="11"/>
      <c r="AU15" s="11"/>
    </row>
    <row r="16" spans="1:48">
      <c r="A16" s="412"/>
      <c r="B16" s="412" t="s">
        <v>663</v>
      </c>
      <c r="C16" s="412" t="s">
        <v>652</v>
      </c>
      <c r="D16" s="1590"/>
      <c r="E16" s="2224" t="s">
        <v>658</v>
      </c>
      <c r="F16" s="505">
        <v>1148</v>
      </c>
      <c r="G16" s="516" t="s">
        <v>5240</v>
      </c>
      <c r="H16" s="2537"/>
      <c r="I16" s="2537">
        <v>4500</v>
      </c>
      <c r="J16" s="3772"/>
      <c r="K16" s="458"/>
      <c r="L16" s="1650"/>
      <c r="M16" s="1576">
        <v>1500</v>
      </c>
      <c r="N16" s="1025"/>
      <c r="O16" s="86"/>
      <c r="P16" s="1817" t="e">
        <f>INDEX(#REF!,MATCH(F16,#REF!,0),2)</f>
        <v>#REF!</v>
      </c>
      <c r="Q16" s="43"/>
      <c r="R16" s="43"/>
      <c r="S16" s="43"/>
      <c r="T16" s="43"/>
      <c r="U16" s="43"/>
      <c r="V16" s="43"/>
      <c r="W16"/>
      <c r="X16" s="43"/>
      <c r="Y16" s="43"/>
      <c r="Z16" s="43"/>
      <c r="AA16" s="43"/>
      <c r="AB16" s="43"/>
      <c r="AC16" s="43"/>
      <c r="AD16" s="43"/>
      <c r="AE16" s="43"/>
      <c r="AF16" s="43"/>
      <c r="AG16" s="43"/>
      <c r="AH16" s="43"/>
      <c r="AI16" s="11"/>
      <c r="AJ16" s="11"/>
      <c r="AK16" s="11"/>
      <c r="AL16" s="11"/>
      <c r="AM16" s="11"/>
      <c r="AN16" s="11"/>
      <c r="AO16" s="11"/>
      <c r="AP16" s="11"/>
      <c r="AQ16" s="11"/>
      <c r="AR16" s="11"/>
      <c r="AS16" s="11"/>
      <c r="AT16" s="11"/>
      <c r="AU16" s="11"/>
    </row>
    <row r="17" spans="1:48">
      <c r="A17" s="412"/>
      <c r="B17" s="412" t="s">
        <v>663</v>
      </c>
      <c r="C17" s="412" t="s">
        <v>652</v>
      </c>
      <c r="D17" s="1590"/>
      <c r="E17" s="2224" t="s">
        <v>658</v>
      </c>
      <c r="F17" s="505">
        <v>1148</v>
      </c>
      <c r="G17" s="549" t="s">
        <v>1180</v>
      </c>
      <c r="H17" s="2537"/>
      <c r="I17" s="2537"/>
      <c r="J17" s="3772"/>
      <c r="K17" s="458"/>
      <c r="L17" s="1650"/>
      <c r="M17" s="1576"/>
      <c r="N17" s="1025"/>
      <c r="O17" s="86"/>
      <c r="P17" s="1817" t="e">
        <f>INDEX(#REF!,MATCH(F17,#REF!,0),2)</f>
        <v>#REF!</v>
      </c>
      <c r="Q17" s="11"/>
      <c r="R17" s="11"/>
      <c r="S17" s="11"/>
      <c r="T17" s="11"/>
      <c r="U17" s="11"/>
      <c r="V17" s="11"/>
      <c r="W17"/>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row>
    <row r="18" spans="1:48" ht="22.5">
      <c r="A18" s="506"/>
      <c r="B18" s="506" t="s">
        <v>1248</v>
      </c>
      <c r="C18" s="506" t="s">
        <v>507</v>
      </c>
      <c r="D18" s="1589">
        <v>110</v>
      </c>
      <c r="E18" s="2223" t="s">
        <v>658</v>
      </c>
      <c r="F18" s="540">
        <v>1150</v>
      </c>
      <c r="G18" s="411" t="s">
        <v>623</v>
      </c>
      <c r="H18" s="3784">
        <v>1500</v>
      </c>
      <c r="I18" s="3784"/>
      <c r="J18" s="3769"/>
      <c r="K18" s="458"/>
      <c r="L18" s="3750">
        <v>0</v>
      </c>
      <c r="M18" s="1580"/>
      <c r="N18" s="1025"/>
      <c r="O18" s="86"/>
      <c r="P18" s="1817" t="e">
        <f>INDEX(#REF!,MATCH(F18,#REF!,0),2)</f>
        <v>#REF!</v>
      </c>
      <c r="Q18" s="11"/>
      <c r="R18" s="11"/>
      <c r="S18" s="11"/>
      <c r="T18" s="11"/>
      <c r="U18" s="11"/>
      <c r="V18" s="11"/>
      <c r="W18"/>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row>
    <row r="19" spans="1:48">
      <c r="A19" s="412"/>
      <c r="B19" s="412" t="s">
        <v>1248</v>
      </c>
      <c r="C19" s="412" t="s">
        <v>507</v>
      </c>
      <c r="D19" s="1590"/>
      <c r="E19" s="2224" t="s">
        <v>658</v>
      </c>
      <c r="F19" s="505">
        <v>1150</v>
      </c>
      <c r="G19" s="1867" t="s">
        <v>1651</v>
      </c>
      <c r="H19" s="3785"/>
      <c r="I19" s="3785">
        <v>1500</v>
      </c>
      <c r="J19" s="3770"/>
      <c r="K19" s="458"/>
      <c r="L19" s="550"/>
      <c r="M19" s="1671"/>
      <c r="N19" s="1025"/>
      <c r="O19" s="86"/>
      <c r="P19" s="1817" t="e">
        <f>INDEX(#REF!,MATCH(F19,#REF!,0),2)</f>
        <v>#REF!</v>
      </c>
      <c r="Q19" s="11"/>
      <c r="R19" s="11"/>
      <c r="S19" s="11"/>
      <c r="T19" s="11"/>
      <c r="U19" s="11"/>
      <c r="V19" s="11"/>
      <c r="W19"/>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row>
    <row r="20" spans="1:48">
      <c r="A20" s="506"/>
      <c r="B20" s="506" t="s">
        <v>663</v>
      </c>
      <c r="C20" s="506" t="s">
        <v>652</v>
      </c>
      <c r="D20" s="1589">
        <v>110</v>
      </c>
      <c r="E20" s="2223" t="s">
        <v>658</v>
      </c>
      <c r="F20" s="540">
        <v>1170</v>
      </c>
      <c r="G20" s="411" t="s">
        <v>724</v>
      </c>
      <c r="H20" s="3784">
        <v>900</v>
      </c>
      <c r="I20" s="3784"/>
      <c r="J20" s="3769">
        <v>705</v>
      </c>
      <c r="K20" s="458"/>
      <c r="L20" s="3750">
        <v>750</v>
      </c>
      <c r="M20" s="1580"/>
      <c r="N20" s="1025"/>
      <c r="O20" s="86"/>
      <c r="P20" s="1817" t="e">
        <f>INDEX(#REF!,MATCH(F20,#REF!,0),2)</f>
        <v>#REF!</v>
      </c>
      <c r="Q20" s="11"/>
      <c r="R20" s="11"/>
      <c r="S20" s="11"/>
      <c r="T20" s="11"/>
      <c r="U20" s="11"/>
      <c r="V20" s="11"/>
      <c r="W20"/>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row>
    <row r="21" spans="1:48" ht="22.5">
      <c r="A21" s="412"/>
      <c r="B21" s="412" t="s">
        <v>663</v>
      </c>
      <c r="C21" s="412" t="s">
        <v>652</v>
      </c>
      <c r="D21" s="1590"/>
      <c r="E21" s="2224" t="s">
        <v>658</v>
      </c>
      <c r="F21" s="505">
        <v>1170</v>
      </c>
      <c r="G21" s="516" t="s">
        <v>5235</v>
      </c>
      <c r="H21" s="2537"/>
      <c r="I21" s="2537">
        <v>900</v>
      </c>
      <c r="J21" s="3772"/>
      <c r="K21" s="421"/>
      <c r="L21" s="1650"/>
      <c r="M21" s="1576">
        <v>750</v>
      </c>
      <c r="N21" s="1025"/>
      <c r="O21" s="86"/>
      <c r="P21" s="1817" t="e">
        <f>INDEX(#REF!,MATCH(F21,#REF!,0),2)</f>
        <v>#REF!</v>
      </c>
      <c r="Q21" s="11"/>
      <c r="R21" s="11"/>
      <c r="S21" s="11"/>
      <c r="T21" s="11"/>
      <c r="U21" s="11"/>
      <c r="V21" s="11"/>
      <c r="W2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row>
    <row r="22" spans="1:48">
      <c r="A22" s="506"/>
      <c r="B22" s="506" t="s">
        <v>663</v>
      </c>
      <c r="C22" s="506" t="s">
        <v>652</v>
      </c>
      <c r="D22" s="1589">
        <v>110</v>
      </c>
      <c r="E22" s="2223" t="s">
        <v>658</v>
      </c>
      <c r="F22" s="540">
        <v>1210</v>
      </c>
      <c r="G22" s="411" t="s">
        <v>228</v>
      </c>
      <c r="H22" s="3784">
        <v>282501.87939740467</v>
      </c>
      <c r="I22" s="3784"/>
      <c r="J22" s="3769">
        <v>206851</v>
      </c>
      <c r="K22" s="458"/>
      <c r="L22" s="3750">
        <v>300349.30611005006</v>
      </c>
      <c r="M22" s="1580"/>
      <c r="N22" s="1025"/>
      <c r="O22" s="86"/>
      <c r="P22" s="1817" t="e">
        <f>INDEX(#REF!,MATCH(F22,#REF!,0),2)</f>
        <v>#REF!</v>
      </c>
      <c r="Q22" s="1779"/>
      <c r="R22" s="1779"/>
      <c r="S22" s="1779"/>
      <c r="T22" s="1779"/>
      <c r="U22" s="1779"/>
      <c r="V22" s="1779"/>
      <c r="W22"/>
      <c r="X22" s="1779"/>
      <c r="Y22" s="1779"/>
      <c r="Z22" s="1779"/>
      <c r="AA22" s="1779"/>
      <c r="AB22" s="1779"/>
      <c r="AC22" s="1779"/>
      <c r="AD22" s="1779"/>
      <c r="AE22" s="1779"/>
      <c r="AF22" s="1779"/>
      <c r="AG22" s="1779"/>
      <c r="AH22" s="1779"/>
      <c r="AI22" s="1779"/>
      <c r="AJ22" s="1779"/>
      <c r="AK22" s="1779"/>
      <c r="AL22" s="1779"/>
      <c r="AM22" s="1779"/>
      <c r="AN22" s="1779"/>
      <c r="AO22" s="1779"/>
      <c r="AP22" s="1779"/>
      <c r="AQ22" s="1779"/>
      <c r="AR22" s="1779"/>
      <c r="AS22" s="1779"/>
      <c r="AT22" s="1779"/>
      <c r="AU22" s="1779"/>
      <c r="AV22" s="1779"/>
    </row>
    <row r="23" spans="1:48" ht="33.75">
      <c r="A23" s="412" t="s">
        <v>564</v>
      </c>
      <c r="B23" s="412" t="s">
        <v>663</v>
      </c>
      <c r="C23" s="412" t="s">
        <v>652</v>
      </c>
      <c r="D23" s="1590"/>
      <c r="E23" s="2224" t="s">
        <v>658</v>
      </c>
      <c r="F23" s="505">
        <v>1210</v>
      </c>
      <c r="G23" s="549" t="s">
        <v>1023</v>
      </c>
      <c r="H23" s="3785"/>
      <c r="I23" s="3785">
        <v>1560.9435893303248</v>
      </c>
      <c r="J23" s="3770"/>
      <c r="K23" s="558"/>
      <c r="L23" s="550"/>
      <c r="M23" s="1671">
        <v>1560.9435893303248</v>
      </c>
      <c r="N23" s="1025"/>
      <c r="O23" s="86"/>
      <c r="P23" s="1817" t="e">
        <f>INDEX(#REF!,MATCH(F23,#REF!,0),2)</f>
        <v>#REF!</v>
      </c>
      <c r="Q23" s="1779"/>
      <c r="R23" s="1779"/>
      <c r="S23" s="1779"/>
      <c r="T23" s="1779"/>
      <c r="U23" s="1779"/>
      <c r="V23" s="1779"/>
      <c r="W23"/>
      <c r="X23" s="1779"/>
      <c r="Y23" s="1779"/>
      <c r="Z23" s="1779"/>
      <c r="AA23" s="1779"/>
      <c r="AB23" s="1779"/>
      <c r="AC23" s="1779"/>
      <c r="AD23" s="1779"/>
      <c r="AE23" s="1779"/>
      <c r="AF23" s="1779"/>
      <c r="AG23" s="1779"/>
      <c r="AH23" s="1779"/>
      <c r="AI23" s="1779"/>
      <c r="AJ23" s="1779"/>
      <c r="AK23" s="1779"/>
      <c r="AL23" s="1779"/>
      <c r="AM23" s="1779"/>
      <c r="AN23" s="1779"/>
      <c r="AO23" s="1779"/>
      <c r="AP23" s="1779"/>
      <c r="AQ23" s="1779"/>
      <c r="AR23" s="1779"/>
      <c r="AS23" s="1779"/>
      <c r="AT23" s="1779"/>
      <c r="AU23" s="1779"/>
      <c r="AV23" s="1779"/>
    </row>
    <row r="24" spans="1:48">
      <c r="A24" s="412"/>
      <c r="B24" s="412" t="s">
        <v>663</v>
      </c>
      <c r="C24" s="412" t="s">
        <v>652</v>
      </c>
      <c r="D24" s="1590"/>
      <c r="E24" s="2224" t="s">
        <v>658</v>
      </c>
      <c r="F24" s="505">
        <v>1210</v>
      </c>
      <c r="G24" s="549" t="s">
        <v>2507</v>
      </c>
      <c r="H24" s="3785"/>
      <c r="I24" s="3785">
        <v>284723.93580807437</v>
      </c>
      <c r="J24" s="3770"/>
      <c r="K24" s="558"/>
      <c r="L24" s="550"/>
      <c r="M24" s="1671">
        <v>298788.36252071976</v>
      </c>
      <c r="N24" s="1025"/>
      <c r="O24" s="86"/>
      <c r="P24" s="1817" t="e">
        <f>INDEX(#REF!,MATCH(F24,#REF!,0),2)</f>
        <v>#REF!</v>
      </c>
      <c r="Q24" s="11"/>
      <c r="R24" s="11"/>
      <c r="S24" s="11"/>
      <c r="T24" s="11"/>
      <c r="U24" s="11"/>
      <c r="V24" s="11"/>
      <c r="W24"/>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row>
    <row r="25" spans="1:48" ht="22.5">
      <c r="A25" s="1882"/>
      <c r="B25" s="412" t="s">
        <v>663</v>
      </c>
      <c r="C25" s="412" t="s">
        <v>652</v>
      </c>
      <c r="D25" s="1590"/>
      <c r="E25" s="2224" t="s">
        <v>658</v>
      </c>
      <c r="F25" s="505">
        <v>1210</v>
      </c>
      <c r="G25" s="1913" t="s">
        <v>3201</v>
      </c>
      <c r="H25" s="3785"/>
      <c r="I25" s="3785">
        <v>-3783</v>
      </c>
      <c r="J25" s="3770"/>
      <c r="K25" s="558"/>
      <c r="L25" s="550"/>
      <c r="M25" s="1942"/>
      <c r="N25" s="1025"/>
      <c r="O25" s="86"/>
      <c r="P25" s="1817" t="e">
        <f>INDEX(#REF!,MATCH(F25,#REF!,0),2)</f>
        <v>#REF!</v>
      </c>
      <c r="Q25" s="11"/>
      <c r="R25" s="11"/>
      <c r="S25" s="11"/>
      <c r="T25" s="11"/>
      <c r="U25" s="11"/>
      <c r="V25" s="11"/>
      <c r="W25"/>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row>
    <row r="26" spans="1:48">
      <c r="A26" s="506"/>
      <c r="B26" s="506" t="s">
        <v>663</v>
      </c>
      <c r="C26" s="506" t="s">
        <v>652</v>
      </c>
      <c r="D26" s="1589">
        <v>110</v>
      </c>
      <c r="E26" s="2223" t="s">
        <v>658</v>
      </c>
      <c r="F26" s="540">
        <v>1221</v>
      </c>
      <c r="G26" s="411" t="s">
        <v>229</v>
      </c>
      <c r="H26" s="3784">
        <v>60771.233385688109</v>
      </c>
      <c r="I26" s="3784"/>
      <c r="J26" s="3769">
        <v>42441</v>
      </c>
      <c r="K26" s="458"/>
      <c r="L26" s="3750">
        <v>63730.891940564208</v>
      </c>
      <c r="M26" s="1580"/>
      <c r="N26" s="1025"/>
      <c r="O26" s="86"/>
      <c r="P26" s="1817" t="e">
        <f>INDEX(#REF!,MATCH(F26,#REF!,0),2)</f>
        <v>#REF!</v>
      </c>
      <c r="Q26" s="43"/>
      <c r="R26" s="43"/>
      <c r="S26" s="43"/>
      <c r="T26" s="43"/>
      <c r="U26" s="43"/>
      <c r="V26" s="43"/>
      <c r="W26"/>
      <c r="X26" s="43"/>
      <c r="Y26" s="43"/>
      <c r="Z26" s="43"/>
      <c r="AA26" s="43"/>
      <c r="AB26" s="43"/>
      <c r="AC26" s="43"/>
      <c r="AD26" s="43"/>
      <c r="AE26" s="43"/>
      <c r="AF26" s="43"/>
      <c r="AG26" s="43"/>
      <c r="AH26" s="1778"/>
      <c r="AI26" s="43"/>
      <c r="AJ26" s="11"/>
      <c r="AK26" s="11"/>
      <c r="AL26" s="11"/>
      <c r="AM26" s="11"/>
      <c r="AN26" s="11"/>
      <c r="AO26" s="11"/>
      <c r="AP26" s="11"/>
      <c r="AQ26" s="11"/>
      <c r="AR26" s="11"/>
      <c r="AS26" s="11"/>
      <c r="AT26" s="11"/>
      <c r="AU26" s="11"/>
      <c r="AV26" s="11"/>
    </row>
    <row r="27" spans="1:48">
      <c r="A27" s="412"/>
      <c r="B27" s="412" t="s">
        <v>663</v>
      </c>
      <c r="C27" s="412" t="s">
        <v>652</v>
      </c>
      <c r="D27" s="1590"/>
      <c r="E27" s="2224" t="s">
        <v>658</v>
      </c>
      <c r="F27" s="505">
        <v>1221</v>
      </c>
      <c r="G27" s="519" t="s">
        <v>2508</v>
      </c>
      <c r="H27" s="3785"/>
      <c r="I27" s="3785">
        <v>60771.233385688109</v>
      </c>
      <c r="J27" s="3770"/>
      <c r="K27" s="722"/>
      <c r="L27" s="550"/>
      <c r="M27" s="1671">
        <v>63730.891940564208</v>
      </c>
      <c r="N27" s="1025"/>
      <c r="O27" s="86"/>
      <c r="P27" s="1817" t="e">
        <f>INDEX(#REF!,MATCH(F27,#REF!,0),2)</f>
        <v>#REF!</v>
      </c>
      <c r="Q27" s="43"/>
      <c r="R27" s="43"/>
      <c r="S27" s="43"/>
      <c r="T27" s="43"/>
      <c r="U27" s="43"/>
      <c r="V27" s="43"/>
      <c r="W27"/>
      <c r="X27" s="43"/>
      <c r="Y27" s="43"/>
      <c r="Z27" s="43"/>
      <c r="AA27" s="43"/>
      <c r="AB27" s="43"/>
      <c r="AC27" s="43"/>
      <c r="AD27" s="43"/>
      <c r="AE27" s="43"/>
      <c r="AF27" s="43"/>
      <c r="AG27" s="43"/>
      <c r="AH27" s="1775"/>
      <c r="AI27" s="43"/>
      <c r="AJ27" s="11"/>
      <c r="AK27" s="11"/>
      <c r="AL27" s="11"/>
      <c r="AM27" s="11"/>
      <c r="AN27" s="11"/>
      <c r="AO27" s="11"/>
      <c r="AP27" s="11"/>
      <c r="AQ27" s="11"/>
      <c r="AR27" s="11"/>
      <c r="AS27" s="11"/>
      <c r="AT27" s="11"/>
      <c r="AU27" s="11"/>
      <c r="AV27" s="11"/>
    </row>
    <row r="28" spans="1:48">
      <c r="A28" s="1370"/>
      <c r="B28" s="412" t="s">
        <v>663</v>
      </c>
      <c r="C28" s="412" t="s">
        <v>652</v>
      </c>
      <c r="D28" s="1590"/>
      <c r="E28" s="2224" t="s">
        <v>658</v>
      </c>
      <c r="F28" s="505">
        <v>1221</v>
      </c>
      <c r="G28" s="1400"/>
      <c r="H28" s="3785"/>
      <c r="I28" s="3785"/>
      <c r="J28" s="3770"/>
      <c r="K28" s="722"/>
      <c r="L28" s="550"/>
      <c r="M28" s="1671"/>
      <c r="N28" s="1025"/>
      <c r="O28" s="86"/>
      <c r="P28" s="1817" t="e">
        <f>INDEX(#REF!,MATCH(F28,#REF!,0),2)</f>
        <v>#REF!</v>
      </c>
      <c r="Q28" s="43"/>
      <c r="R28" s="43"/>
      <c r="S28" s="43"/>
      <c r="T28" s="43"/>
      <c r="U28" s="43"/>
      <c r="V28" s="43"/>
      <c r="W28"/>
      <c r="X28" s="43"/>
      <c r="Y28" s="43"/>
      <c r="Z28" s="43"/>
      <c r="AA28" s="43"/>
      <c r="AB28" s="43"/>
      <c r="AC28" s="43"/>
      <c r="AD28" s="43"/>
      <c r="AE28" s="43"/>
      <c r="AF28" s="43"/>
      <c r="AG28" s="43"/>
      <c r="AH28" s="1775"/>
      <c r="AI28" s="43"/>
      <c r="AJ28" s="11"/>
      <c r="AK28" s="11"/>
      <c r="AL28" s="11"/>
      <c r="AM28" s="11"/>
      <c r="AN28" s="11"/>
      <c r="AO28" s="11"/>
      <c r="AP28" s="11"/>
      <c r="AQ28" s="11"/>
      <c r="AR28" s="11"/>
      <c r="AS28" s="11"/>
      <c r="AT28" s="11"/>
      <c r="AU28" s="11"/>
      <c r="AV28" s="11"/>
    </row>
    <row r="29" spans="1:48" ht="22.5">
      <c r="A29" s="506"/>
      <c r="B29" s="506" t="s">
        <v>663</v>
      </c>
      <c r="C29" s="506" t="s">
        <v>652</v>
      </c>
      <c r="D29" s="1589">
        <v>110</v>
      </c>
      <c r="E29" s="2223" t="s">
        <v>658</v>
      </c>
      <c r="F29" s="540">
        <v>1227</v>
      </c>
      <c r="G29" s="411" t="s">
        <v>1257</v>
      </c>
      <c r="H29" s="3784">
        <v>1000</v>
      </c>
      <c r="I29" s="3784"/>
      <c r="J29" s="3769">
        <v>650</v>
      </c>
      <c r="K29" s="458"/>
      <c r="L29" s="3750">
        <v>1000</v>
      </c>
      <c r="M29" s="1580"/>
      <c r="N29" s="1025"/>
      <c r="O29" s="86"/>
      <c r="P29" s="1817" t="e">
        <f>INDEX(#REF!,MATCH(F29,#REF!,0),2)</f>
        <v>#REF!</v>
      </c>
      <c r="Q29" s="11"/>
      <c r="R29" s="11"/>
      <c r="S29" s="11"/>
      <c r="T29" s="11"/>
      <c r="U29" s="11"/>
      <c r="V29" s="11"/>
      <c r="W29"/>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row>
    <row r="30" spans="1:48">
      <c r="A30" s="412"/>
      <c r="B30" s="412" t="s">
        <v>663</v>
      </c>
      <c r="C30" s="412" t="s">
        <v>652</v>
      </c>
      <c r="D30" s="1590"/>
      <c r="E30" s="2224" t="s">
        <v>658</v>
      </c>
      <c r="F30" s="505">
        <v>1227</v>
      </c>
      <c r="G30" s="519" t="s">
        <v>3334</v>
      </c>
      <c r="H30" s="3785"/>
      <c r="I30" s="3785">
        <v>1000</v>
      </c>
      <c r="J30" s="3770"/>
      <c r="K30" s="722"/>
      <c r="L30" s="550"/>
      <c r="M30" s="1671">
        <v>1000</v>
      </c>
      <c r="N30" s="1025"/>
      <c r="O30" s="86"/>
      <c r="P30" s="1817" t="e">
        <f>INDEX(#REF!,MATCH(F30,#REF!,0),2)</f>
        <v>#REF!</v>
      </c>
      <c r="Q30" s="43"/>
      <c r="R30" s="43"/>
      <c r="S30" s="43"/>
      <c r="T30" s="43"/>
      <c r="U30" s="43"/>
      <c r="V30" s="43"/>
      <c r="W30"/>
      <c r="X30" s="43"/>
      <c r="Y30" s="43"/>
      <c r="Z30" s="43"/>
      <c r="AA30" s="43"/>
      <c r="AB30" s="43"/>
      <c r="AC30" s="43"/>
      <c r="AD30" s="43"/>
      <c r="AE30" s="43"/>
      <c r="AF30" s="43"/>
      <c r="AG30" s="43"/>
      <c r="AH30" s="1775"/>
      <c r="AI30" s="43"/>
      <c r="AJ30" s="11"/>
      <c r="AK30" s="11"/>
      <c r="AL30" s="11"/>
      <c r="AM30" s="11"/>
      <c r="AN30" s="11"/>
      <c r="AO30" s="11"/>
      <c r="AP30" s="11"/>
      <c r="AQ30" s="11"/>
      <c r="AR30" s="11"/>
      <c r="AS30" s="11"/>
      <c r="AT30" s="11"/>
      <c r="AU30" s="11"/>
      <c r="AV30" s="11"/>
    </row>
    <row r="31" spans="1:48">
      <c r="A31" s="506"/>
      <c r="B31" s="506" t="s">
        <v>1248</v>
      </c>
      <c r="C31" s="506" t="s">
        <v>652</v>
      </c>
      <c r="D31" s="1589">
        <v>110</v>
      </c>
      <c r="E31" s="2223" t="s">
        <v>658</v>
      </c>
      <c r="F31" s="540">
        <v>1228</v>
      </c>
      <c r="G31" s="411" t="s">
        <v>230</v>
      </c>
      <c r="H31" s="3784">
        <v>7066</v>
      </c>
      <c r="I31" s="3784"/>
      <c r="J31" s="3769">
        <v>1869</v>
      </c>
      <c r="K31" s="458"/>
      <c r="L31" s="3750">
        <v>7066</v>
      </c>
      <c r="M31" s="1578"/>
      <c r="N31" s="1025"/>
      <c r="O31" s="86"/>
      <c r="P31" s="1817" t="e">
        <f>INDEX(#REF!,MATCH(F31,#REF!,0),2)</f>
        <v>#REF!</v>
      </c>
      <c r="Q31" s="11"/>
      <c r="R31" s="11"/>
      <c r="S31" s="11"/>
      <c r="T31" s="11"/>
      <c r="U31" s="11"/>
      <c r="V31" s="11"/>
      <c r="W3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row>
    <row r="32" spans="1:48">
      <c r="A32" s="412"/>
      <c r="B32" s="412" t="s">
        <v>1248</v>
      </c>
      <c r="C32" s="412" t="s">
        <v>652</v>
      </c>
      <c r="D32" s="1590"/>
      <c r="E32" s="2224" t="s">
        <v>658</v>
      </c>
      <c r="F32" s="505">
        <v>1228</v>
      </c>
      <c r="G32" s="549" t="s">
        <v>663</v>
      </c>
      <c r="H32" s="3785"/>
      <c r="I32" s="3785">
        <v>500</v>
      </c>
      <c r="J32" s="3770"/>
      <c r="K32" s="558"/>
      <c r="L32" s="1480"/>
      <c r="M32" s="1671">
        <v>500</v>
      </c>
      <c r="N32" s="1025"/>
      <c r="O32" s="86"/>
      <c r="P32" s="1817" t="e">
        <f>INDEX(#REF!,MATCH(F32,#REF!,0),2)</f>
        <v>#REF!</v>
      </c>
      <c r="Q32" s="43"/>
      <c r="R32" s="43"/>
      <c r="S32" s="43"/>
      <c r="T32" s="43"/>
      <c r="U32" s="43"/>
      <c r="V32" s="43"/>
      <c r="W32"/>
      <c r="X32" s="43"/>
      <c r="Y32" s="43"/>
      <c r="Z32" s="43"/>
      <c r="AA32" s="43"/>
      <c r="AB32" s="43"/>
      <c r="AC32" s="43"/>
      <c r="AD32" s="43"/>
      <c r="AE32" s="43"/>
      <c r="AF32" s="43"/>
      <c r="AG32" s="43"/>
      <c r="AH32" s="1775"/>
      <c r="AI32" s="43"/>
      <c r="AJ32" s="11"/>
      <c r="AK32" s="11"/>
      <c r="AL32" s="11"/>
      <c r="AM32" s="11"/>
      <c r="AN32" s="11"/>
      <c r="AO32" s="11"/>
      <c r="AP32" s="11"/>
      <c r="AQ32" s="11"/>
      <c r="AR32" s="11"/>
      <c r="AS32" s="11"/>
      <c r="AT32" s="11"/>
      <c r="AU32" s="11"/>
      <c r="AV32" s="11"/>
    </row>
    <row r="33" spans="1:48" ht="45">
      <c r="A33" s="412"/>
      <c r="B33" s="412" t="s">
        <v>1248</v>
      </c>
      <c r="C33" s="412" t="s">
        <v>652</v>
      </c>
      <c r="D33" s="1590"/>
      <c r="E33" s="2224" t="s">
        <v>658</v>
      </c>
      <c r="F33" s="505">
        <v>1228</v>
      </c>
      <c r="G33" s="533" t="s">
        <v>5236</v>
      </c>
      <c r="H33" s="2537"/>
      <c r="I33" s="2537">
        <v>3000</v>
      </c>
      <c r="J33" s="3772"/>
      <c r="K33" s="421"/>
      <c r="L33" s="1657"/>
      <c r="M33" s="1576">
        <v>3000</v>
      </c>
      <c r="N33" s="1025"/>
      <c r="O33" s="86"/>
      <c r="P33" s="1817" t="e">
        <f>INDEX(#REF!,MATCH(F33,#REF!,0),2)</f>
        <v>#REF!</v>
      </c>
      <c r="Q33" s="4"/>
      <c r="R33" s="4"/>
      <c r="S33" s="4"/>
      <c r="T33" s="4"/>
      <c r="U33" s="4"/>
      <c r="V33" s="4"/>
      <c r="W33"/>
      <c r="X33" s="4"/>
      <c r="Y33" s="4"/>
      <c r="Z33" s="4"/>
      <c r="AA33" s="4"/>
      <c r="AB33" s="4"/>
      <c r="AC33" s="4"/>
      <c r="AD33" s="4"/>
      <c r="AE33" s="4"/>
      <c r="AF33" s="4"/>
      <c r="AG33" s="4"/>
      <c r="AH33" s="4"/>
      <c r="AI33" s="4"/>
      <c r="AJ33" s="4"/>
      <c r="AK33" s="4"/>
      <c r="AL33" s="4"/>
      <c r="AM33" s="4"/>
      <c r="AN33" s="4"/>
      <c r="AO33" s="4"/>
      <c r="AP33" s="4"/>
      <c r="AQ33" s="4"/>
      <c r="AR33" s="4"/>
      <c r="AS33" s="4"/>
      <c r="AT33" s="4"/>
      <c r="AU33" s="4"/>
      <c r="AV33" s="4"/>
    </row>
    <row r="34" spans="1:48" ht="22.5">
      <c r="A34" s="412"/>
      <c r="B34" s="412" t="s">
        <v>1248</v>
      </c>
      <c r="C34" s="412" t="s">
        <v>505</v>
      </c>
      <c r="D34" s="1590"/>
      <c r="E34" s="2224" t="s">
        <v>658</v>
      </c>
      <c r="F34" s="505">
        <v>1228</v>
      </c>
      <c r="G34" s="410" t="s">
        <v>727</v>
      </c>
      <c r="H34" s="2537"/>
      <c r="I34" s="2537">
        <v>50</v>
      </c>
      <c r="J34" s="3772"/>
      <c r="K34" s="580"/>
      <c r="L34" s="1657"/>
      <c r="M34" s="1576">
        <v>50</v>
      </c>
      <c r="N34" s="1025"/>
      <c r="O34" s="86"/>
      <c r="P34" s="1817" t="e">
        <f>INDEX(#REF!,MATCH(F34,#REF!,0),2)</f>
        <v>#REF!</v>
      </c>
      <c r="Q34" s="1779"/>
      <c r="R34" s="1779"/>
      <c r="S34" s="1779"/>
      <c r="T34" s="1779"/>
      <c r="U34" s="1779"/>
      <c r="V34" s="1779"/>
      <c r="W34"/>
      <c r="X34" s="1779"/>
      <c r="Y34" s="1779"/>
      <c r="Z34" s="1779"/>
      <c r="AA34" s="1779"/>
      <c r="AB34" s="1779"/>
      <c r="AC34" s="1779"/>
      <c r="AD34" s="1779"/>
      <c r="AE34" s="1779"/>
      <c r="AF34" s="1779"/>
      <c r="AG34" s="1779"/>
      <c r="AH34" s="1779"/>
      <c r="AI34" s="1779"/>
      <c r="AJ34" s="1779"/>
      <c r="AK34" s="1779"/>
      <c r="AL34" s="1779"/>
      <c r="AM34" s="1779"/>
      <c r="AN34" s="1779"/>
      <c r="AO34" s="1779"/>
      <c r="AP34" s="1779"/>
      <c r="AQ34" s="1779"/>
      <c r="AR34" s="1779"/>
      <c r="AS34" s="1779"/>
      <c r="AT34" s="1779"/>
      <c r="AU34" s="1779"/>
      <c r="AV34" s="1779"/>
    </row>
    <row r="35" spans="1:48" ht="22.5">
      <c r="A35" s="412"/>
      <c r="B35" s="412" t="s">
        <v>1248</v>
      </c>
      <c r="C35" s="412" t="s">
        <v>505</v>
      </c>
      <c r="D35" s="1590"/>
      <c r="E35" s="2224" t="s">
        <v>658</v>
      </c>
      <c r="F35" s="505">
        <v>1228</v>
      </c>
      <c r="G35" s="410" t="s">
        <v>1431</v>
      </c>
      <c r="H35" s="2537"/>
      <c r="I35" s="2537">
        <v>684</v>
      </c>
      <c r="J35" s="3772"/>
      <c r="K35" s="580"/>
      <c r="L35" s="1657"/>
      <c r="M35" s="1576">
        <v>684</v>
      </c>
      <c r="N35" s="1025"/>
      <c r="O35" s="86"/>
      <c r="P35" s="1817" t="e">
        <f>INDEX(#REF!,MATCH(F35,#REF!,0),2)</f>
        <v>#REF!</v>
      </c>
      <c r="Q35" s="4"/>
      <c r="R35" s="4"/>
      <c r="S35" s="4"/>
      <c r="T35" s="4"/>
      <c r="U35" s="4"/>
      <c r="V35" s="4"/>
      <c r="W35"/>
      <c r="X35" s="4"/>
      <c r="Y35" s="4"/>
      <c r="Z35" s="4"/>
      <c r="AA35" s="4"/>
      <c r="AB35" s="4"/>
      <c r="AC35" s="4"/>
      <c r="AD35" s="4"/>
      <c r="AE35" s="4"/>
      <c r="AF35" s="4"/>
      <c r="AG35" s="4"/>
      <c r="AH35" s="4"/>
      <c r="AI35" s="4"/>
      <c r="AJ35" s="4"/>
      <c r="AK35" s="4"/>
      <c r="AL35" s="4"/>
      <c r="AM35" s="4"/>
      <c r="AN35" s="4"/>
      <c r="AO35" s="4"/>
      <c r="AP35" s="4"/>
      <c r="AQ35" s="4"/>
      <c r="AR35" s="4"/>
      <c r="AS35" s="4"/>
      <c r="AT35" s="4"/>
      <c r="AU35" s="4"/>
      <c r="AV35" s="4"/>
    </row>
    <row r="36" spans="1:48" ht="22.5">
      <c r="A36" s="412"/>
      <c r="B36" s="412" t="s">
        <v>1248</v>
      </c>
      <c r="C36" s="412" t="s">
        <v>505</v>
      </c>
      <c r="D36" s="1590"/>
      <c r="E36" s="2224" t="s">
        <v>658</v>
      </c>
      <c r="F36" s="505">
        <v>1228</v>
      </c>
      <c r="G36" s="410" t="s">
        <v>1431</v>
      </c>
      <c r="H36" s="2537"/>
      <c r="I36" s="2537">
        <v>684</v>
      </c>
      <c r="J36" s="3772"/>
      <c r="K36" s="580"/>
      <c r="L36" s="1657"/>
      <c r="M36" s="1576">
        <v>684</v>
      </c>
      <c r="N36" s="1025"/>
      <c r="O36" s="86"/>
      <c r="P36" s="1817" t="e">
        <f>INDEX(#REF!,MATCH(F36,#REF!,0),2)</f>
        <v>#REF!</v>
      </c>
      <c r="Q36" s="4"/>
      <c r="R36" s="4"/>
      <c r="S36" s="4"/>
      <c r="T36" s="4"/>
      <c r="U36" s="4"/>
      <c r="V36" s="4"/>
      <c r="W36"/>
      <c r="X36" s="4"/>
      <c r="Y36" s="4"/>
      <c r="Z36" s="4"/>
      <c r="AA36" s="4"/>
      <c r="AB36" s="4"/>
      <c r="AC36" s="4"/>
      <c r="AD36" s="4"/>
      <c r="AE36" s="4"/>
      <c r="AF36" s="4"/>
      <c r="AG36" s="4"/>
      <c r="AH36" s="4"/>
      <c r="AI36" s="4"/>
      <c r="AJ36" s="4"/>
      <c r="AK36" s="4"/>
      <c r="AL36" s="4"/>
      <c r="AM36" s="4"/>
      <c r="AN36" s="4"/>
      <c r="AO36" s="4"/>
      <c r="AP36" s="4"/>
      <c r="AQ36" s="4"/>
      <c r="AR36" s="4"/>
      <c r="AS36" s="4"/>
      <c r="AT36" s="4"/>
      <c r="AU36" s="4"/>
      <c r="AV36" s="4"/>
    </row>
    <row r="37" spans="1:48" ht="22.5">
      <c r="A37" s="412"/>
      <c r="B37" s="412" t="s">
        <v>1248</v>
      </c>
      <c r="C37" s="412" t="s">
        <v>505</v>
      </c>
      <c r="D37" s="1590"/>
      <c r="E37" s="2224" t="s">
        <v>658</v>
      </c>
      <c r="F37" s="505">
        <v>1228</v>
      </c>
      <c r="G37" s="410" t="s">
        <v>3352</v>
      </c>
      <c r="H37" s="2537"/>
      <c r="I37" s="2537">
        <v>1368</v>
      </c>
      <c r="J37" s="3772"/>
      <c r="K37" s="580"/>
      <c r="L37" s="1657"/>
      <c r="M37" s="1576">
        <v>1368</v>
      </c>
      <c r="N37" s="1025"/>
      <c r="O37" s="86"/>
      <c r="P37" s="1817" t="e">
        <f>INDEX(#REF!,MATCH(F37,#REF!,0),2)</f>
        <v>#REF!</v>
      </c>
      <c r="Q37" s="4"/>
      <c r="R37" s="4"/>
      <c r="S37" s="4"/>
      <c r="T37" s="4"/>
      <c r="U37" s="4"/>
      <c r="V37" s="4"/>
      <c r="W37"/>
      <c r="X37" s="4"/>
      <c r="Y37" s="4"/>
      <c r="Z37" s="4"/>
      <c r="AA37" s="4"/>
      <c r="AB37" s="4"/>
      <c r="AC37" s="4"/>
      <c r="AD37" s="4"/>
      <c r="AE37" s="4"/>
      <c r="AF37" s="4"/>
      <c r="AG37" s="4"/>
      <c r="AH37" s="4"/>
      <c r="AI37" s="4"/>
      <c r="AJ37" s="4"/>
      <c r="AK37" s="4"/>
      <c r="AL37" s="4"/>
      <c r="AM37" s="4"/>
      <c r="AN37" s="4"/>
      <c r="AO37" s="4"/>
      <c r="AP37" s="4"/>
      <c r="AQ37" s="4"/>
      <c r="AR37" s="4"/>
      <c r="AS37" s="4"/>
      <c r="AT37" s="4"/>
      <c r="AU37" s="4"/>
      <c r="AV37" s="4"/>
    </row>
    <row r="38" spans="1:48" ht="22.5">
      <c r="A38" s="992"/>
      <c r="B38" s="412" t="s">
        <v>1248</v>
      </c>
      <c r="C38" s="412" t="s">
        <v>505</v>
      </c>
      <c r="D38" s="1590"/>
      <c r="E38" s="2224" t="s">
        <v>658</v>
      </c>
      <c r="F38" s="505">
        <v>1228</v>
      </c>
      <c r="G38" s="410" t="s">
        <v>1634</v>
      </c>
      <c r="H38" s="2544"/>
      <c r="I38" s="2544">
        <v>684</v>
      </c>
      <c r="J38" s="3773"/>
      <c r="K38" s="1253"/>
      <c r="L38" s="1657"/>
      <c r="M38" s="1576">
        <v>684</v>
      </c>
      <c r="N38" s="1025"/>
      <c r="O38" s="86"/>
      <c r="P38" s="1817" t="e">
        <f>INDEX(#REF!,MATCH(F38,#REF!,0),2)</f>
        <v>#REF!</v>
      </c>
      <c r="Q38" s="4"/>
      <c r="R38" s="4"/>
      <c r="S38" s="4"/>
      <c r="T38" s="4"/>
      <c r="U38" s="4"/>
      <c r="V38" s="4"/>
      <c r="W38"/>
      <c r="X38" s="4"/>
      <c r="Y38" s="4"/>
      <c r="Z38" s="4"/>
      <c r="AA38" s="4"/>
      <c r="AB38" s="4"/>
      <c r="AC38" s="4"/>
      <c r="AD38" s="4"/>
      <c r="AE38" s="4"/>
      <c r="AF38" s="4"/>
      <c r="AG38" s="4"/>
      <c r="AH38" s="4"/>
      <c r="AI38" s="4"/>
      <c r="AJ38" s="4"/>
      <c r="AK38" s="4"/>
      <c r="AL38" s="4"/>
      <c r="AM38" s="4"/>
      <c r="AN38" s="4"/>
      <c r="AO38" s="4"/>
      <c r="AP38" s="4"/>
      <c r="AQ38" s="4"/>
      <c r="AR38" s="4"/>
      <c r="AS38" s="4"/>
      <c r="AT38" s="4"/>
      <c r="AU38" s="4"/>
      <c r="AV38" s="4"/>
    </row>
    <row r="39" spans="1:48" ht="22.5">
      <c r="A39" s="1563"/>
      <c r="B39" s="412" t="s">
        <v>1248</v>
      </c>
      <c r="C39" s="412" t="s">
        <v>505</v>
      </c>
      <c r="D39" s="1590"/>
      <c r="E39" s="2224" t="s">
        <v>658</v>
      </c>
      <c r="F39" s="505">
        <v>1228</v>
      </c>
      <c r="G39" s="1567" t="s">
        <v>2463</v>
      </c>
      <c r="H39" s="2549"/>
      <c r="I39" s="2549">
        <v>96</v>
      </c>
      <c r="J39" s="3774"/>
      <c r="K39" s="1859"/>
      <c r="L39" s="1657"/>
      <c r="M39" s="1576">
        <v>96</v>
      </c>
      <c r="N39" s="43" t="s">
        <v>2464</v>
      </c>
      <c r="O39" s="86"/>
      <c r="P39" s="1817" t="e">
        <f>INDEX(#REF!,MATCH(F39,#REF!,0),2)</f>
        <v>#REF!</v>
      </c>
      <c r="Q39" s="4"/>
      <c r="R39" s="4"/>
      <c r="S39" s="4"/>
      <c r="T39" s="4"/>
      <c r="U39" s="4"/>
      <c r="V39" s="4"/>
      <c r="W39"/>
      <c r="X39" s="4"/>
      <c r="Y39" s="4"/>
      <c r="Z39" s="4"/>
      <c r="AA39" s="4"/>
      <c r="AB39" s="4"/>
      <c r="AC39" s="4"/>
      <c r="AD39" s="4"/>
      <c r="AE39" s="4"/>
      <c r="AF39" s="4"/>
      <c r="AG39" s="4"/>
      <c r="AH39" s="4"/>
      <c r="AI39" s="4"/>
      <c r="AJ39" s="4"/>
      <c r="AK39" s="4"/>
      <c r="AL39" s="4"/>
      <c r="AM39" s="4"/>
      <c r="AN39" s="4"/>
      <c r="AO39" s="4"/>
      <c r="AP39" s="4"/>
      <c r="AQ39" s="4"/>
      <c r="AR39" s="4"/>
      <c r="AS39" s="4"/>
      <c r="AT39" s="4"/>
      <c r="AU39" s="4"/>
      <c r="AV39" s="4"/>
    </row>
    <row r="40" spans="1:48">
      <c r="A40" s="2238"/>
      <c r="B40" s="2238" t="s">
        <v>1248</v>
      </c>
      <c r="C40" s="2238" t="s">
        <v>505</v>
      </c>
      <c r="D40" s="2239">
        <v>110</v>
      </c>
      <c r="E40" s="2253" t="s">
        <v>658</v>
      </c>
      <c r="F40" s="1945">
        <v>2111</v>
      </c>
      <c r="G40" s="1946" t="s">
        <v>903</v>
      </c>
      <c r="H40" s="2479">
        <v>50</v>
      </c>
      <c r="I40" s="2480"/>
      <c r="J40" s="3775">
        <v>40</v>
      </c>
      <c r="K40" s="1948"/>
      <c r="L40" s="2481">
        <v>50</v>
      </c>
      <c r="M40" s="2582"/>
      <c r="N40" s="43" t="s">
        <v>1187</v>
      </c>
      <c r="O40" s="43"/>
      <c r="P40" s="1817" t="e">
        <f>INDEX(#REF!,MATCH(F40,#REF!,0),2)</f>
        <v>#REF!</v>
      </c>
      <c r="Q40" s="43"/>
      <c r="R40" s="1775"/>
      <c r="S40" s="43"/>
      <c r="T40" s="11"/>
      <c r="U40" s="11"/>
      <c r="V40" s="11"/>
      <c r="W40" s="11"/>
      <c r="X40" s="11"/>
      <c r="Y40" s="11"/>
      <c r="Z40" s="11"/>
      <c r="AA40" s="11"/>
      <c r="AB40" s="11"/>
      <c r="AC40" s="11"/>
      <c r="AD40" s="11"/>
      <c r="AE40" s="11"/>
      <c r="AF40" s="11"/>
    </row>
    <row r="41" spans="1:48">
      <c r="A41" s="1882"/>
      <c r="B41" s="1882" t="s">
        <v>1248</v>
      </c>
      <c r="C41" s="1882" t="s">
        <v>505</v>
      </c>
      <c r="D41" s="1935">
        <v>110</v>
      </c>
      <c r="E41" s="2229" t="s">
        <v>658</v>
      </c>
      <c r="F41" s="1936">
        <v>2111</v>
      </c>
      <c r="G41" s="1884"/>
      <c r="H41" s="2484"/>
      <c r="I41" s="2484">
        <v>50</v>
      </c>
      <c r="J41" s="3776"/>
      <c r="K41" s="1950"/>
      <c r="L41" s="1892"/>
      <c r="M41" s="1892">
        <v>50</v>
      </c>
      <c r="N41" s="43"/>
      <c r="O41" s="4"/>
      <c r="P41" s="1817" t="e">
        <f>INDEX(#REF!,MATCH(F41,#REF!,0),2)</f>
        <v>#REF!</v>
      </c>
      <c r="Q41" s="4"/>
      <c r="R41" s="4"/>
      <c r="S41" s="4"/>
      <c r="T41" s="4"/>
      <c r="U41" s="4"/>
      <c r="V41" s="4"/>
      <c r="W41" s="4"/>
      <c r="X41" s="4"/>
      <c r="Y41" s="4"/>
      <c r="Z41" s="4"/>
      <c r="AA41" s="4"/>
      <c r="AB41" s="4"/>
      <c r="AC41" s="4"/>
      <c r="AD41" s="4"/>
      <c r="AE41" s="4"/>
      <c r="AF41" s="4"/>
    </row>
    <row r="42" spans="1:48">
      <c r="A42" s="2238"/>
      <c r="B42" s="2238" t="s">
        <v>1248</v>
      </c>
      <c r="C42" s="2238" t="s">
        <v>505</v>
      </c>
      <c r="D42" s="2239">
        <v>110</v>
      </c>
      <c r="E42" s="2253" t="s">
        <v>658</v>
      </c>
      <c r="F42" s="1945">
        <v>2112</v>
      </c>
      <c r="G42" s="1946" t="s">
        <v>231</v>
      </c>
      <c r="H42" s="2479">
        <v>250</v>
      </c>
      <c r="I42" s="2480"/>
      <c r="J42" s="3775">
        <v>0</v>
      </c>
      <c r="K42" s="1948"/>
      <c r="L42" s="2481">
        <v>250</v>
      </c>
      <c r="M42" s="2582"/>
      <c r="N42" s="43"/>
      <c r="O42" s="43"/>
      <c r="P42" s="1817" t="e">
        <f>INDEX(#REF!,MATCH(F42,#REF!,0),2)</f>
        <v>#REF!</v>
      </c>
      <c r="Q42" s="43"/>
      <c r="R42" s="1775"/>
      <c r="S42" s="43"/>
      <c r="T42" s="11"/>
      <c r="U42" s="11"/>
      <c r="V42" s="11"/>
      <c r="W42" s="11"/>
      <c r="X42" s="11"/>
      <c r="Y42" s="11"/>
      <c r="Z42" s="11"/>
      <c r="AA42" s="11"/>
      <c r="AB42" s="11"/>
      <c r="AC42" s="11"/>
      <c r="AD42" s="11"/>
      <c r="AE42" s="11"/>
      <c r="AF42" s="11"/>
    </row>
    <row r="43" spans="1:48" ht="22.5">
      <c r="A43" s="1882"/>
      <c r="B43" s="1882" t="s">
        <v>1248</v>
      </c>
      <c r="C43" s="1882" t="s">
        <v>505</v>
      </c>
      <c r="D43" s="1935"/>
      <c r="E43" s="2229" t="s">
        <v>658</v>
      </c>
      <c r="F43" s="1936">
        <v>2112</v>
      </c>
      <c r="G43" s="1913" t="s">
        <v>2488</v>
      </c>
      <c r="H43" s="2485"/>
      <c r="I43" s="2485">
        <v>150</v>
      </c>
      <c r="J43" s="3777"/>
      <c r="K43" s="2486"/>
      <c r="L43" s="1942"/>
      <c r="M43" s="1942">
        <v>150</v>
      </c>
      <c r="N43" s="43"/>
      <c r="O43" s="11"/>
      <c r="P43" s="1817" t="e">
        <f>INDEX(#REF!,MATCH(F43,#REF!,0),2)</f>
        <v>#REF!</v>
      </c>
      <c r="Q43" s="11"/>
      <c r="R43" s="11"/>
      <c r="S43" s="11"/>
      <c r="T43" s="11"/>
      <c r="U43" s="11"/>
      <c r="V43" s="11"/>
      <c r="W43" s="11"/>
      <c r="X43" s="11"/>
      <c r="Y43" s="11"/>
      <c r="Z43" s="11"/>
      <c r="AA43" s="11"/>
      <c r="AB43" s="11"/>
      <c r="AC43" s="11"/>
      <c r="AD43" s="11"/>
      <c r="AE43" s="11"/>
      <c r="AF43" s="11"/>
    </row>
    <row r="44" spans="1:48">
      <c r="A44" s="1882"/>
      <c r="B44" s="1882" t="s">
        <v>1248</v>
      </c>
      <c r="C44" s="1882" t="s">
        <v>505</v>
      </c>
      <c r="D44" s="1935"/>
      <c r="E44" s="2229" t="s">
        <v>658</v>
      </c>
      <c r="F44" s="1936">
        <v>2112</v>
      </c>
      <c r="G44" s="2043" t="s">
        <v>271</v>
      </c>
      <c r="H44" s="2485"/>
      <c r="I44" s="2485">
        <v>100</v>
      </c>
      <c r="J44" s="3777"/>
      <c r="K44" s="2486"/>
      <c r="L44" s="1942"/>
      <c r="M44" s="1942">
        <v>100</v>
      </c>
      <c r="N44" s="43"/>
      <c r="O44" s="11"/>
      <c r="P44" s="1817" t="e">
        <f>INDEX(#REF!,MATCH(F44,#REF!,0),2)</f>
        <v>#REF!</v>
      </c>
      <c r="Q44" s="11"/>
      <c r="R44" s="11"/>
      <c r="S44" s="11"/>
      <c r="T44" s="11"/>
      <c r="U44" s="11"/>
      <c r="V44" s="11"/>
      <c r="W44" s="11"/>
      <c r="X44" s="11"/>
      <c r="Y44" s="11"/>
      <c r="Z44" s="11"/>
      <c r="AA44" s="11"/>
      <c r="AB44" s="11"/>
      <c r="AC44" s="11"/>
      <c r="AD44" s="11"/>
      <c r="AE44" s="11"/>
      <c r="AF44" s="11"/>
    </row>
    <row r="45" spans="1:48">
      <c r="A45" s="1882"/>
      <c r="B45" s="1882" t="s">
        <v>1248</v>
      </c>
      <c r="C45" s="1882" t="s">
        <v>505</v>
      </c>
      <c r="D45" s="1935"/>
      <c r="E45" s="2229" t="s">
        <v>658</v>
      </c>
      <c r="F45" s="1936">
        <v>2112</v>
      </c>
      <c r="G45" s="2043" t="s">
        <v>1964</v>
      </c>
      <c r="H45" s="2485"/>
      <c r="I45" s="2485"/>
      <c r="J45" s="3777"/>
      <c r="K45" s="2486"/>
      <c r="L45" s="1942"/>
      <c r="M45" s="1942"/>
      <c r="N45" s="43"/>
      <c r="O45" s="11"/>
      <c r="P45" s="1817" t="e">
        <f>INDEX(#REF!,MATCH(F45,#REF!,0),2)</f>
        <v>#REF!</v>
      </c>
      <c r="Q45" s="11"/>
      <c r="R45" s="11"/>
      <c r="S45" s="11"/>
      <c r="T45" s="11"/>
      <c r="U45" s="11"/>
      <c r="V45" s="11"/>
      <c r="W45" s="11"/>
      <c r="X45" s="11"/>
      <c r="Y45" s="11"/>
      <c r="Z45" s="11"/>
      <c r="AA45" s="11"/>
      <c r="AB45" s="11"/>
      <c r="AC45" s="11"/>
      <c r="AD45" s="11"/>
      <c r="AE45" s="11"/>
      <c r="AF45" s="11"/>
    </row>
    <row r="46" spans="1:48" s="81" customFormat="1">
      <c r="A46" s="2238"/>
      <c r="B46" s="2238" t="s">
        <v>1248</v>
      </c>
      <c r="C46" s="2238" t="s">
        <v>505</v>
      </c>
      <c r="D46" s="2239">
        <v>110</v>
      </c>
      <c r="E46" s="2253" t="s">
        <v>658</v>
      </c>
      <c r="F46" s="1945">
        <v>2121</v>
      </c>
      <c r="G46" s="1946" t="s">
        <v>232</v>
      </c>
      <c r="H46" s="2479">
        <v>988</v>
      </c>
      <c r="I46" s="2480"/>
      <c r="J46" s="3775">
        <v>680</v>
      </c>
      <c r="K46" s="1948"/>
      <c r="L46" s="2481">
        <v>900</v>
      </c>
      <c r="M46" s="2582"/>
      <c r="N46" s="43"/>
      <c r="O46" s="4"/>
      <c r="P46" s="1817" t="e">
        <f>INDEX(#REF!,MATCH(F46,#REF!,0),2)</f>
        <v>#REF!</v>
      </c>
      <c r="Q46" s="4"/>
      <c r="R46" s="4"/>
      <c r="S46" s="4"/>
      <c r="T46" s="4"/>
      <c r="U46" s="4"/>
      <c r="V46" s="4"/>
      <c r="W46" s="4"/>
      <c r="X46" s="4"/>
      <c r="Y46" s="4"/>
      <c r="Z46" s="4"/>
      <c r="AA46" s="4"/>
      <c r="AB46" s="4"/>
      <c r="AC46" s="4"/>
      <c r="AD46" s="4"/>
      <c r="AE46" s="4"/>
      <c r="AF46" s="4"/>
    </row>
    <row r="47" spans="1:48" s="81" customFormat="1">
      <c r="A47" s="1882"/>
      <c r="B47" s="1882" t="s">
        <v>1248</v>
      </c>
      <c r="C47" s="1882" t="s">
        <v>505</v>
      </c>
      <c r="D47" s="1935"/>
      <c r="E47" s="2229" t="s">
        <v>658</v>
      </c>
      <c r="F47" s="1936">
        <v>2121</v>
      </c>
      <c r="G47" s="1884" t="s">
        <v>2489</v>
      </c>
      <c r="H47" s="2484"/>
      <c r="I47" s="2484">
        <v>988</v>
      </c>
      <c r="J47" s="3776"/>
      <c r="K47" s="1950"/>
      <c r="L47" s="1892"/>
      <c r="M47" s="1892">
        <v>900</v>
      </c>
      <c r="N47" s="43"/>
      <c r="O47" s="43"/>
      <c r="P47" s="1817" t="e">
        <f>INDEX(#REF!,MATCH(F47,#REF!,0),2)</f>
        <v>#REF!</v>
      </c>
      <c r="Q47" s="43"/>
      <c r="R47" s="43"/>
      <c r="S47" s="4"/>
      <c r="T47" s="4"/>
      <c r="U47" s="4"/>
      <c r="V47" s="4"/>
      <c r="W47" s="4"/>
      <c r="X47" s="4"/>
      <c r="Y47" s="4"/>
      <c r="Z47" s="4"/>
      <c r="AA47" s="4"/>
      <c r="AB47" s="4"/>
      <c r="AC47" s="4"/>
      <c r="AD47" s="4"/>
      <c r="AE47" s="4"/>
    </row>
    <row r="48" spans="1:48">
      <c r="A48" s="2238"/>
      <c r="B48" s="2238" t="s">
        <v>1248</v>
      </c>
      <c r="C48" s="2238" t="s">
        <v>505</v>
      </c>
      <c r="D48" s="2239">
        <v>110</v>
      </c>
      <c r="E48" s="2253" t="s">
        <v>658</v>
      </c>
      <c r="F48" s="1945">
        <v>2122</v>
      </c>
      <c r="G48" s="1946" t="s">
        <v>233</v>
      </c>
      <c r="H48" s="2479">
        <v>12</v>
      </c>
      <c r="I48" s="2480"/>
      <c r="J48" s="3775">
        <v>12</v>
      </c>
      <c r="K48" s="1948"/>
      <c r="L48" s="2481">
        <v>0</v>
      </c>
      <c r="M48" s="2582"/>
      <c r="N48" s="43"/>
      <c r="O48" s="11"/>
      <c r="P48" s="1817" t="e">
        <f>INDEX(#REF!,MATCH(F48,#REF!,0),2)</f>
        <v>#REF!</v>
      </c>
      <c r="Q48" s="11"/>
      <c r="R48" s="11"/>
      <c r="S48" s="11"/>
      <c r="T48" s="11"/>
      <c r="U48" s="11"/>
      <c r="V48" s="11"/>
      <c r="W48" s="11"/>
      <c r="X48" s="11"/>
      <c r="Y48" s="11"/>
      <c r="Z48" s="11"/>
      <c r="AA48" s="11"/>
      <c r="AB48" s="11"/>
      <c r="AC48" s="11"/>
      <c r="AD48" s="11"/>
      <c r="AE48" s="11"/>
      <c r="AF48" s="11"/>
    </row>
    <row r="49" spans="1:32" ht="22.5">
      <c r="A49" s="1882"/>
      <c r="B49" s="1882" t="s">
        <v>1248</v>
      </c>
      <c r="C49" s="1882" t="s">
        <v>505</v>
      </c>
      <c r="D49" s="1935"/>
      <c r="E49" s="2229" t="s">
        <v>658</v>
      </c>
      <c r="F49" s="1936">
        <v>2122</v>
      </c>
      <c r="G49" s="1884" t="s">
        <v>1031</v>
      </c>
      <c r="H49" s="2484"/>
      <c r="I49" s="2484">
        <v>12</v>
      </c>
      <c r="J49" s="3776"/>
      <c r="K49" s="1950"/>
      <c r="L49" s="1892"/>
      <c r="M49" s="1892">
        <v>0</v>
      </c>
      <c r="N49" s="43"/>
      <c r="O49" s="43"/>
      <c r="P49" s="1817" t="e">
        <f>INDEX(#REF!,MATCH(F49,#REF!,0),2)</f>
        <v>#REF!</v>
      </c>
      <c r="Q49" s="43"/>
      <c r="R49" s="43"/>
      <c r="S49" s="43"/>
      <c r="T49" s="43"/>
      <c r="U49" s="43"/>
      <c r="V49" s="43"/>
      <c r="W49" s="43"/>
      <c r="X49" s="43"/>
      <c r="Y49" s="43"/>
      <c r="Z49" s="43"/>
      <c r="AA49" s="43"/>
      <c r="AB49" s="43"/>
      <c r="AC49" s="43"/>
      <c r="AD49" s="43"/>
      <c r="AE49" s="43"/>
      <c r="AF49" s="43"/>
    </row>
    <row r="50" spans="1:32" s="81" customFormat="1">
      <c r="A50" s="2238"/>
      <c r="B50" s="2238" t="s">
        <v>1248</v>
      </c>
      <c r="C50" s="2238" t="s">
        <v>507</v>
      </c>
      <c r="D50" s="2239">
        <v>110</v>
      </c>
      <c r="E50" s="2253" t="s">
        <v>658</v>
      </c>
      <c r="F50" s="1945">
        <v>2210</v>
      </c>
      <c r="G50" s="1946" t="s">
        <v>879</v>
      </c>
      <c r="H50" s="2479">
        <v>26461.72</v>
      </c>
      <c r="I50" s="2480"/>
      <c r="J50" s="3775">
        <v>18941</v>
      </c>
      <c r="K50" s="1948"/>
      <c r="L50" s="2481">
        <v>38913.5</v>
      </c>
      <c r="M50" s="2483"/>
      <c r="N50" s="43"/>
      <c r="O50" s="43"/>
      <c r="P50" s="1817" t="e">
        <f>INDEX(#REF!,MATCH(F50,#REF!,0),2)</f>
        <v>#REF!</v>
      </c>
      <c r="Q50" s="43"/>
      <c r="R50" s="43"/>
      <c r="S50" s="43"/>
      <c r="T50" s="43"/>
      <c r="U50" s="43"/>
      <c r="V50" s="43"/>
      <c r="W50" s="43"/>
      <c r="X50" s="43"/>
      <c r="Y50" s="43"/>
      <c r="Z50" s="43"/>
      <c r="AA50" s="43"/>
      <c r="AB50" s="43"/>
      <c r="AC50" s="43"/>
      <c r="AD50" s="43"/>
      <c r="AE50" s="43"/>
      <c r="AF50" s="43"/>
    </row>
    <row r="51" spans="1:32" s="81" customFormat="1">
      <c r="A51" s="1882"/>
      <c r="B51" s="1882" t="s">
        <v>1248</v>
      </c>
      <c r="C51" s="1882" t="s">
        <v>507</v>
      </c>
      <c r="D51" s="1935"/>
      <c r="E51" s="2229" t="s">
        <v>658</v>
      </c>
      <c r="F51" s="1936">
        <v>2210</v>
      </c>
      <c r="G51" s="1884" t="s">
        <v>1973</v>
      </c>
      <c r="H51" s="2484"/>
      <c r="I51" s="2484">
        <v>366.71999999999997</v>
      </c>
      <c r="J51" s="3776">
        <v>93.2</v>
      </c>
      <c r="K51" s="1950"/>
      <c r="L51" s="1968"/>
      <c r="M51" s="1968"/>
      <c r="N51" s="43"/>
      <c r="O51" s="43"/>
      <c r="P51" s="1817" t="e">
        <f>INDEX(#REF!,MATCH(F51,#REF!,0),2)</f>
        <v>#REF!</v>
      </c>
      <c r="Q51" s="43"/>
      <c r="R51" s="43"/>
      <c r="S51" s="43"/>
      <c r="T51" s="43"/>
      <c r="U51" s="43"/>
      <c r="V51" s="43"/>
      <c r="W51" s="43"/>
      <c r="X51" s="43"/>
      <c r="Y51" s="43"/>
      <c r="Z51" s="43"/>
      <c r="AA51" s="43"/>
      <c r="AB51" s="43"/>
      <c r="AC51" s="43"/>
      <c r="AD51" s="43"/>
      <c r="AE51" s="43"/>
      <c r="AF51" s="43"/>
    </row>
    <row r="52" spans="1:32" s="81" customFormat="1">
      <c r="A52" s="1882"/>
      <c r="B52" s="1882" t="s">
        <v>1248</v>
      </c>
      <c r="C52" s="1882" t="s">
        <v>507</v>
      </c>
      <c r="D52" s="1935"/>
      <c r="E52" s="2229" t="s">
        <v>658</v>
      </c>
      <c r="F52" s="1936">
        <v>2210</v>
      </c>
      <c r="G52" s="1884" t="s">
        <v>5239</v>
      </c>
      <c r="H52" s="2484"/>
      <c r="I52" s="2484">
        <v>2920</v>
      </c>
      <c r="J52" s="3776">
        <v>3394</v>
      </c>
      <c r="K52" s="1950"/>
      <c r="L52" s="1968"/>
      <c r="M52" s="1892">
        <v>3985.1400000000003</v>
      </c>
      <c r="N52" s="43"/>
      <c r="O52" s="4"/>
      <c r="P52" s="1817" t="e">
        <f>INDEX(#REF!,MATCH(F52,#REF!,0),2)</f>
        <v>#REF!</v>
      </c>
      <c r="Q52" s="4"/>
      <c r="R52" s="4"/>
      <c r="S52" s="4"/>
      <c r="T52" s="4"/>
      <c r="U52" s="4"/>
      <c r="V52" s="4"/>
      <c r="W52" s="4"/>
      <c r="X52" s="4"/>
      <c r="Y52" s="4"/>
      <c r="Z52" s="4"/>
      <c r="AA52" s="4"/>
      <c r="AB52" s="4"/>
      <c r="AC52" s="4"/>
      <c r="AD52" s="4"/>
      <c r="AE52" s="4"/>
      <c r="AF52" s="4"/>
    </row>
    <row r="53" spans="1:32" s="81" customFormat="1" ht="22.5">
      <c r="A53" s="1882"/>
      <c r="B53" s="1882" t="s">
        <v>1248</v>
      </c>
      <c r="C53" s="1882" t="s">
        <v>507</v>
      </c>
      <c r="D53" s="1935"/>
      <c r="E53" s="2229" t="s">
        <v>658</v>
      </c>
      <c r="F53" s="1936">
        <v>2210</v>
      </c>
      <c r="G53" s="1915" t="s">
        <v>3335</v>
      </c>
      <c r="H53" s="2484"/>
      <c r="I53" s="2484">
        <v>2160</v>
      </c>
      <c r="J53" s="3776"/>
      <c r="K53" s="1950"/>
      <c r="L53" s="1968"/>
      <c r="M53" s="1892">
        <v>1894.8599999999997</v>
      </c>
      <c r="N53" s="1252" t="s">
        <v>1186</v>
      </c>
      <c r="O53" s="4"/>
      <c r="P53" s="1817" t="e">
        <f>INDEX(#REF!,MATCH(F53,#REF!,0),2)</f>
        <v>#REF!</v>
      </c>
      <c r="Q53" s="4"/>
      <c r="R53" s="4"/>
      <c r="S53" s="4"/>
      <c r="T53" s="4"/>
      <c r="U53" s="4"/>
      <c r="V53" s="4"/>
      <c r="W53" s="4"/>
      <c r="X53" s="4"/>
      <c r="Y53" s="4"/>
      <c r="Z53" s="4"/>
      <c r="AA53" s="4"/>
      <c r="AB53" s="4"/>
      <c r="AC53" s="4"/>
      <c r="AD53" s="4"/>
      <c r="AE53" s="4"/>
      <c r="AF53" s="4"/>
    </row>
    <row r="54" spans="1:32" s="81" customFormat="1" ht="22.5">
      <c r="A54" s="1882" t="s">
        <v>564</v>
      </c>
      <c r="B54" s="1882" t="s">
        <v>1248</v>
      </c>
      <c r="C54" s="1882" t="s">
        <v>507</v>
      </c>
      <c r="D54" s="1935"/>
      <c r="E54" s="2229" t="s">
        <v>658</v>
      </c>
      <c r="F54" s="1936">
        <v>2210</v>
      </c>
      <c r="G54" s="2774" t="s">
        <v>2490</v>
      </c>
      <c r="H54" s="2484"/>
      <c r="I54" s="2484">
        <v>145</v>
      </c>
      <c r="J54" s="3776">
        <v>123</v>
      </c>
      <c r="K54" s="1950"/>
      <c r="L54" s="1968"/>
      <c r="M54" s="1892">
        <v>176</v>
      </c>
      <c r="N54" s="43" t="s">
        <v>247</v>
      </c>
      <c r="O54" s="43"/>
      <c r="P54" s="1817" t="e">
        <f>INDEX(#REF!,MATCH(F54,#REF!,0),2)</f>
        <v>#REF!</v>
      </c>
      <c r="Q54" s="43"/>
      <c r="R54" s="43"/>
      <c r="S54" s="43"/>
      <c r="T54" s="43"/>
      <c r="U54" s="43"/>
      <c r="V54" s="43"/>
      <c r="W54" s="43"/>
      <c r="X54" s="43"/>
      <c r="Y54" s="43"/>
      <c r="Z54" s="43"/>
      <c r="AA54" s="43"/>
      <c r="AB54" s="43"/>
      <c r="AC54" s="43"/>
      <c r="AD54" s="43"/>
      <c r="AE54" s="43"/>
      <c r="AF54" s="43"/>
    </row>
    <row r="55" spans="1:32" s="81" customFormat="1" ht="71.45" customHeight="1">
      <c r="A55" s="1882"/>
      <c r="B55" s="1882" t="s">
        <v>1248</v>
      </c>
      <c r="C55" s="1882" t="s">
        <v>507</v>
      </c>
      <c r="D55" s="1935"/>
      <c r="E55" s="2229" t="s">
        <v>658</v>
      </c>
      <c r="F55" s="1936">
        <v>2210</v>
      </c>
      <c r="G55" s="1884" t="s">
        <v>3336</v>
      </c>
      <c r="H55" s="2484"/>
      <c r="I55" s="2512">
        <v>7670</v>
      </c>
      <c r="J55" s="3776"/>
      <c r="K55" s="1950"/>
      <c r="L55" s="1968"/>
      <c r="M55" s="2494">
        <v>7557.5</v>
      </c>
      <c r="N55" s="1252" t="s">
        <v>1186</v>
      </c>
      <c r="O55" s="43"/>
      <c r="P55" s="1817" t="e">
        <f>INDEX(#REF!,MATCH(F55,#REF!,0),2)</f>
        <v>#REF!</v>
      </c>
      <c r="Q55" s="43"/>
      <c r="R55" s="43"/>
      <c r="S55" s="43"/>
      <c r="T55" s="43"/>
      <c r="U55" s="43"/>
      <c r="V55" s="43"/>
      <c r="W55" s="43"/>
      <c r="X55" s="43"/>
      <c r="Y55" s="43"/>
      <c r="Z55" s="43"/>
      <c r="AA55" s="43"/>
      <c r="AB55" s="43"/>
      <c r="AC55" s="43"/>
      <c r="AD55" s="43"/>
      <c r="AE55" s="43"/>
      <c r="AF55" s="43"/>
    </row>
    <row r="56" spans="1:32" s="81" customFormat="1" ht="55.9" customHeight="1">
      <c r="A56" s="1882"/>
      <c r="B56" s="1882" t="s">
        <v>1248</v>
      </c>
      <c r="C56" s="1882" t="s">
        <v>507</v>
      </c>
      <c r="D56" s="1935"/>
      <c r="E56" s="2229" t="s">
        <v>658</v>
      </c>
      <c r="F56" s="1936">
        <v>2210</v>
      </c>
      <c r="G56" s="1884" t="s">
        <v>3353</v>
      </c>
      <c r="H56" s="2484"/>
      <c r="I56" s="2484">
        <v>6050</v>
      </c>
      <c r="J56" s="3776">
        <v>9539</v>
      </c>
      <c r="K56" s="1950"/>
      <c r="L56" s="1968"/>
      <c r="M56" s="2494">
        <v>18150</v>
      </c>
      <c r="N56" s="1252" t="s">
        <v>5241</v>
      </c>
      <c r="O56" s="4"/>
      <c r="P56" s="1817" t="e">
        <f>INDEX(#REF!,MATCH(F56,#REF!,0),2)</f>
        <v>#REF!</v>
      </c>
      <c r="Q56" s="4"/>
      <c r="R56" s="4"/>
      <c r="S56" s="4"/>
      <c r="T56" s="4"/>
      <c r="U56" s="4"/>
      <c r="V56" s="4"/>
      <c r="W56" s="4"/>
      <c r="X56" s="4"/>
      <c r="Y56" s="4"/>
      <c r="Z56" s="4"/>
      <c r="AA56" s="4"/>
      <c r="AB56" s="4"/>
      <c r="AC56" s="4"/>
      <c r="AD56" s="4"/>
      <c r="AE56" s="4"/>
      <c r="AF56" s="4"/>
    </row>
    <row r="57" spans="1:32" s="81" customFormat="1" ht="33.75">
      <c r="A57" s="1882"/>
      <c r="B57" s="1882" t="s">
        <v>1248</v>
      </c>
      <c r="C57" s="1882" t="s">
        <v>507</v>
      </c>
      <c r="D57" s="1935"/>
      <c r="E57" s="2229" t="s">
        <v>658</v>
      </c>
      <c r="F57" s="1936">
        <v>2210</v>
      </c>
      <c r="G57" s="2774" t="s">
        <v>1021</v>
      </c>
      <c r="H57" s="2484"/>
      <c r="I57" s="2484">
        <v>7150</v>
      </c>
      <c r="J57" s="3776">
        <v>6369</v>
      </c>
      <c r="K57" s="1950"/>
      <c r="L57" s="1968"/>
      <c r="M57" s="1892">
        <v>7150</v>
      </c>
      <c r="N57" s="43" t="s">
        <v>247</v>
      </c>
      <c r="O57" s="43"/>
      <c r="P57" s="1817" t="e">
        <f>INDEX(#REF!,MATCH(F57,#REF!,0),2)</f>
        <v>#REF!</v>
      </c>
      <c r="Q57" s="43"/>
      <c r="R57" s="43"/>
      <c r="S57" s="43"/>
      <c r="T57" s="43"/>
      <c r="U57" s="43"/>
      <c r="V57" s="43"/>
      <c r="W57" s="43"/>
      <c r="X57" s="43"/>
      <c r="Y57" s="43"/>
      <c r="Z57" s="43"/>
      <c r="AA57" s="43"/>
      <c r="AB57" s="43"/>
      <c r="AC57" s="43"/>
      <c r="AD57" s="43"/>
      <c r="AE57" s="43"/>
      <c r="AF57" s="43"/>
    </row>
    <row r="58" spans="1:32" s="81" customFormat="1">
      <c r="A58" s="2238" t="s">
        <v>5963</v>
      </c>
      <c r="B58" s="2238" t="s">
        <v>1248</v>
      </c>
      <c r="C58" s="2238" t="s">
        <v>505</v>
      </c>
      <c r="D58" s="2239">
        <v>110</v>
      </c>
      <c r="E58" s="2253" t="s">
        <v>658</v>
      </c>
      <c r="F58" s="1945">
        <v>2221</v>
      </c>
      <c r="G58" s="1946" t="s">
        <v>958</v>
      </c>
      <c r="H58" s="2479">
        <v>6000</v>
      </c>
      <c r="I58" s="2480"/>
      <c r="J58" s="3775"/>
      <c r="K58" s="1948"/>
      <c r="L58" s="2481">
        <v>1000</v>
      </c>
      <c r="M58" s="2582"/>
      <c r="N58" s="43"/>
      <c r="O58" s="43"/>
      <c r="P58" s="1817" t="e">
        <f>INDEX(#REF!,MATCH(F58,#REF!,0),2)</f>
        <v>#REF!</v>
      </c>
      <c r="Q58" s="43"/>
      <c r="R58" s="43"/>
      <c r="S58" s="43"/>
      <c r="T58" s="43"/>
      <c r="U58" s="43"/>
      <c r="V58" s="43"/>
      <c r="W58" s="43"/>
      <c r="X58" s="43"/>
      <c r="Y58" s="43"/>
      <c r="Z58" s="43"/>
      <c r="AA58" s="43"/>
      <c r="AB58" s="43"/>
      <c r="AC58" s="43"/>
      <c r="AD58" s="43"/>
      <c r="AE58" s="43"/>
      <c r="AF58" s="43"/>
    </row>
    <row r="59" spans="1:32" s="81" customFormat="1" ht="22.5">
      <c r="A59" s="1882" t="s">
        <v>5963</v>
      </c>
      <c r="B59" s="1882" t="s">
        <v>1248</v>
      </c>
      <c r="C59" s="1882" t="s">
        <v>505</v>
      </c>
      <c r="D59" s="1935"/>
      <c r="E59" s="2229" t="s">
        <v>658</v>
      </c>
      <c r="F59" s="1936">
        <v>2221</v>
      </c>
      <c r="G59" s="1913" t="s">
        <v>2045</v>
      </c>
      <c r="H59" s="2484"/>
      <c r="I59" s="2484">
        <v>6000</v>
      </c>
      <c r="J59" s="3776"/>
      <c r="K59" s="1950"/>
      <c r="L59" s="1892"/>
      <c r="M59" s="1892">
        <v>1000</v>
      </c>
      <c r="N59" s="43"/>
      <c r="O59" s="43"/>
      <c r="P59" s="1817" t="e">
        <f>INDEX(#REF!,MATCH(F59,#REF!,0),2)</f>
        <v>#REF!</v>
      </c>
      <c r="Q59" s="43"/>
      <c r="R59" s="43"/>
      <c r="S59" s="43"/>
      <c r="T59" s="43"/>
      <c r="U59" s="43"/>
      <c r="V59" s="43"/>
      <c r="W59" s="43"/>
      <c r="X59" s="43"/>
      <c r="Y59" s="43"/>
      <c r="Z59" s="43"/>
      <c r="AA59" s="43"/>
      <c r="AB59" s="43"/>
      <c r="AC59" s="43"/>
      <c r="AD59" s="43"/>
      <c r="AE59" s="43"/>
      <c r="AF59" s="43"/>
    </row>
    <row r="60" spans="1:32" s="81" customFormat="1">
      <c r="A60" s="2238" t="s">
        <v>5963</v>
      </c>
      <c r="B60" s="2238" t="s">
        <v>1248</v>
      </c>
      <c r="C60" s="2238" t="s">
        <v>505</v>
      </c>
      <c r="D60" s="2239">
        <v>110</v>
      </c>
      <c r="E60" s="2253" t="s">
        <v>658</v>
      </c>
      <c r="F60" s="1945">
        <v>2222</v>
      </c>
      <c r="G60" s="1946" t="s">
        <v>272</v>
      </c>
      <c r="H60" s="2479">
        <v>2600</v>
      </c>
      <c r="I60" s="2480"/>
      <c r="J60" s="3775"/>
      <c r="K60" s="1948"/>
      <c r="L60" s="2481">
        <v>1000</v>
      </c>
      <c r="M60" s="2582"/>
      <c r="N60" s="43"/>
      <c r="O60" s="43"/>
      <c r="P60" s="1817" t="e">
        <f>INDEX(#REF!,MATCH(F60,#REF!,0),2)</f>
        <v>#REF!</v>
      </c>
      <c r="Q60" s="43"/>
      <c r="R60" s="43"/>
      <c r="S60" s="43"/>
      <c r="T60" s="43"/>
      <c r="U60" s="43"/>
      <c r="V60" s="43"/>
      <c r="W60" s="43"/>
      <c r="X60" s="43"/>
      <c r="Y60" s="43"/>
      <c r="Z60" s="43"/>
      <c r="AA60" s="43"/>
      <c r="AB60" s="43"/>
      <c r="AC60" s="43"/>
      <c r="AD60" s="43"/>
      <c r="AE60" s="43"/>
      <c r="AF60" s="43"/>
    </row>
    <row r="61" spans="1:32" s="81" customFormat="1" ht="22.5">
      <c r="A61" s="1882" t="s">
        <v>5963</v>
      </c>
      <c r="B61" s="1882" t="s">
        <v>1248</v>
      </c>
      <c r="C61" s="1882" t="s">
        <v>505</v>
      </c>
      <c r="D61" s="1935"/>
      <c r="E61" s="2229" t="s">
        <v>658</v>
      </c>
      <c r="F61" s="1936">
        <v>2222</v>
      </c>
      <c r="G61" s="1913" t="s">
        <v>2045</v>
      </c>
      <c r="H61" s="2484"/>
      <c r="I61" s="2484">
        <v>2600</v>
      </c>
      <c r="J61" s="3776"/>
      <c r="K61" s="1950"/>
      <c r="L61" s="1892"/>
      <c r="M61" s="1892">
        <v>1000</v>
      </c>
      <c r="N61" s="43"/>
      <c r="O61" s="43"/>
      <c r="P61" s="1817" t="e">
        <f>INDEX(#REF!,MATCH(F61,#REF!,0),2)</f>
        <v>#REF!</v>
      </c>
      <c r="Q61" s="43"/>
      <c r="R61" s="43"/>
      <c r="S61" s="43"/>
      <c r="T61" s="43"/>
      <c r="U61" s="43"/>
      <c r="V61" s="43"/>
      <c r="W61" s="43"/>
      <c r="X61" s="43"/>
      <c r="Y61" s="43"/>
      <c r="Z61" s="43"/>
      <c r="AA61" s="43"/>
      <c r="AB61" s="43"/>
      <c r="AC61" s="43"/>
      <c r="AD61" s="43"/>
      <c r="AE61" s="43"/>
      <c r="AF61" s="43"/>
    </row>
    <row r="62" spans="1:32" s="81" customFormat="1">
      <c r="A62" s="2238" t="s">
        <v>5963</v>
      </c>
      <c r="B62" s="2238" t="s">
        <v>1248</v>
      </c>
      <c r="C62" s="2238" t="s">
        <v>505</v>
      </c>
      <c r="D62" s="2239">
        <v>110</v>
      </c>
      <c r="E62" s="2253" t="s">
        <v>658</v>
      </c>
      <c r="F62" s="1945">
        <v>2223</v>
      </c>
      <c r="G62" s="1946" t="s">
        <v>273</v>
      </c>
      <c r="H62" s="2479">
        <v>12000</v>
      </c>
      <c r="I62" s="2480"/>
      <c r="J62" s="3775"/>
      <c r="K62" s="1948"/>
      <c r="L62" s="2481">
        <v>1000</v>
      </c>
      <c r="M62" s="2582"/>
      <c r="N62" s="43"/>
      <c r="O62" s="43"/>
      <c r="P62" s="1817" t="e">
        <f>INDEX(#REF!,MATCH(F62,#REF!,0),2)</f>
        <v>#REF!</v>
      </c>
      <c r="Q62" s="43"/>
      <c r="R62" s="43"/>
      <c r="S62" s="43"/>
      <c r="T62" s="43"/>
      <c r="U62" s="43"/>
      <c r="V62" s="43"/>
      <c r="W62" s="43"/>
      <c r="X62" s="43"/>
      <c r="Y62" s="43"/>
      <c r="Z62" s="43"/>
      <c r="AA62" s="43"/>
      <c r="AB62" s="43"/>
      <c r="AC62" s="43"/>
      <c r="AD62" s="43"/>
      <c r="AE62" s="43"/>
      <c r="AF62" s="43"/>
    </row>
    <row r="63" spans="1:32" s="81" customFormat="1">
      <c r="A63" s="1882" t="s">
        <v>5963</v>
      </c>
      <c r="B63" s="1882" t="s">
        <v>1248</v>
      </c>
      <c r="C63" s="1882" t="s">
        <v>505</v>
      </c>
      <c r="D63" s="1935"/>
      <c r="E63" s="2229" t="s">
        <v>658</v>
      </c>
      <c r="F63" s="1936">
        <v>2223</v>
      </c>
      <c r="G63" s="1913" t="s">
        <v>2046</v>
      </c>
      <c r="H63" s="2484"/>
      <c r="I63" s="2484">
        <v>12000</v>
      </c>
      <c r="J63" s="3776"/>
      <c r="K63" s="1950"/>
      <c r="L63" s="1892"/>
      <c r="M63" s="1892">
        <v>1000</v>
      </c>
      <c r="N63" s="43"/>
      <c r="O63" s="43"/>
      <c r="P63" s="1817" t="e">
        <f>INDEX(#REF!,MATCH(F63,#REF!,0),2)</f>
        <v>#REF!</v>
      </c>
      <c r="Q63" s="43"/>
      <c r="R63" s="43"/>
      <c r="S63" s="43"/>
      <c r="T63" s="43"/>
      <c r="U63" s="43"/>
      <c r="V63" s="43"/>
      <c r="W63" s="43"/>
      <c r="X63" s="43"/>
      <c r="Y63" s="43"/>
      <c r="Z63" s="43"/>
      <c r="AA63" s="43"/>
      <c r="AB63" s="43"/>
      <c r="AC63" s="43"/>
      <c r="AD63" s="43"/>
      <c r="AE63" s="43"/>
      <c r="AF63" s="43"/>
    </row>
    <row r="64" spans="1:32" s="81" customFormat="1">
      <c r="A64" s="2238"/>
      <c r="B64" s="2238" t="s">
        <v>1248</v>
      </c>
      <c r="C64" s="2238" t="s">
        <v>507</v>
      </c>
      <c r="D64" s="2239">
        <v>110</v>
      </c>
      <c r="E64" s="2253" t="s">
        <v>658</v>
      </c>
      <c r="F64" s="1945">
        <v>2232</v>
      </c>
      <c r="G64" s="1946" t="s">
        <v>1019</v>
      </c>
      <c r="H64" s="2479">
        <v>18965</v>
      </c>
      <c r="I64" s="2480"/>
      <c r="J64" s="3775">
        <v>14450</v>
      </c>
      <c r="K64" s="1948"/>
      <c r="L64" s="2481">
        <v>18965</v>
      </c>
      <c r="M64" s="2582"/>
      <c r="N64" s="43"/>
      <c r="O64" s="43"/>
      <c r="P64" s="1817" t="e">
        <f>INDEX(#REF!,MATCH(F64,#REF!,0),2)</f>
        <v>#REF!</v>
      </c>
      <c r="Q64" s="43"/>
      <c r="R64" s="43"/>
      <c r="S64" s="43"/>
      <c r="T64" s="43"/>
      <c r="U64" s="43"/>
      <c r="V64" s="43"/>
      <c r="W64" s="43"/>
      <c r="X64" s="43"/>
      <c r="Y64" s="43"/>
      <c r="Z64" s="43"/>
      <c r="AA64" s="43"/>
      <c r="AB64" s="43"/>
      <c r="AC64" s="43"/>
      <c r="AD64" s="43"/>
      <c r="AE64" s="43"/>
      <c r="AF64" s="43"/>
    </row>
    <row r="65" spans="1:32" s="81" customFormat="1">
      <c r="A65" s="1882"/>
      <c r="B65" s="1882" t="s">
        <v>1248</v>
      </c>
      <c r="C65" s="1882" t="s">
        <v>507</v>
      </c>
      <c r="D65" s="1935"/>
      <c r="E65" s="2229" t="s">
        <v>658</v>
      </c>
      <c r="F65" s="1936">
        <v>2232</v>
      </c>
      <c r="G65" s="1884" t="s">
        <v>2462</v>
      </c>
      <c r="H65" s="2484"/>
      <c r="I65" s="2484">
        <v>9075</v>
      </c>
      <c r="J65" s="3776"/>
      <c r="K65" s="1950"/>
      <c r="L65" s="1892"/>
      <c r="M65" s="1892">
        <v>9075</v>
      </c>
      <c r="N65" s="1252" t="s">
        <v>2461</v>
      </c>
      <c r="O65" s="1252"/>
      <c r="P65" s="1817" t="e">
        <f>INDEX(#REF!,MATCH(F65,#REF!,0),2)</f>
        <v>#REF!</v>
      </c>
      <c r="Q65" s="43"/>
      <c r="R65" s="43"/>
      <c r="S65" s="43"/>
      <c r="T65" s="43"/>
      <c r="U65" s="43"/>
      <c r="V65" s="43"/>
      <c r="W65" s="43"/>
      <c r="X65" s="43"/>
      <c r="Y65" s="43"/>
      <c r="Z65" s="43"/>
      <c r="AA65" s="43"/>
      <c r="AB65" s="43"/>
      <c r="AC65" s="43"/>
      <c r="AD65" s="43"/>
      <c r="AE65" s="43"/>
      <c r="AF65" s="43"/>
    </row>
    <row r="66" spans="1:32" ht="22.5">
      <c r="A66" s="1882"/>
      <c r="B66" s="1882" t="s">
        <v>1248</v>
      </c>
      <c r="C66" s="1882" t="s">
        <v>507</v>
      </c>
      <c r="D66" s="1935"/>
      <c r="E66" s="2229" t="s">
        <v>658</v>
      </c>
      <c r="F66" s="1936">
        <v>2232</v>
      </c>
      <c r="G66" s="1884" t="s">
        <v>5243</v>
      </c>
      <c r="H66" s="2484"/>
      <c r="I66" s="2484">
        <v>5010</v>
      </c>
      <c r="J66" s="3776"/>
      <c r="K66" s="1950"/>
      <c r="L66" s="1892"/>
      <c r="M66" s="1892">
        <v>5010</v>
      </c>
      <c r="N66" s="43"/>
      <c r="O66" s="1779"/>
      <c r="P66" s="1817" t="e">
        <f>INDEX(#REF!,MATCH(F66,#REF!,0),2)</f>
        <v>#REF!</v>
      </c>
      <c r="Q66" s="1779"/>
      <c r="R66" s="1779"/>
      <c r="S66" s="1779"/>
      <c r="T66" s="1779"/>
      <c r="U66" s="1779"/>
      <c r="V66" s="1779"/>
      <c r="W66" s="1779"/>
      <c r="X66" s="1779"/>
      <c r="Y66" s="1779"/>
      <c r="Z66" s="1779"/>
      <c r="AA66" s="1779"/>
      <c r="AB66" s="1779"/>
      <c r="AC66" s="1779"/>
      <c r="AD66" s="1779"/>
      <c r="AE66" s="1779"/>
      <c r="AF66" s="1779"/>
    </row>
    <row r="67" spans="1:32" s="81" customFormat="1" ht="56.25">
      <c r="A67" s="1882"/>
      <c r="B67" s="1882" t="s">
        <v>1248</v>
      </c>
      <c r="C67" s="1882" t="s">
        <v>507</v>
      </c>
      <c r="D67" s="1935"/>
      <c r="E67" s="2229" t="s">
        <v>658</v>
      </c>
      <c r="F67" s="1936">
        <v>2232</v>
      </c>
      <c r="G67" s="1884" t="s">
        <v>2491</v>
      </c>
      <c r="H67" s="2484"/>
      <c r="I67" s="2484">
        <v>4880</v>
      </c>
      <c r="J67" s="3776"/>
      <c r="K67" s="1950"/>
      <c r="L67" s="1892"/>
      <c r="M67" s="3787">
        <v>4880</v>
      </c>
      <c r="N67" s="43" t="s">
        <v>1890</v>
      </c>
      <c r="O67" s="43"/>
      <c r="P67" s="1817" t="e">
        <f>INDEX(#REF!,MATCH(F67,#REF!,0),2)</f>
        <v>#REF!</v>
      </c>
      <c r="Q67" s="43"/>
      <c r="R67" s="43"/>
      <c r="S67" s="43"/>
      <c r="T67" s="43"/>
      <c r="U67" s="43"/>
      <c r="V67" s="43"/>
      <c r="W67" s="43"/>
      <c r="X67" s="43"/>
      <c r="Y67" s="43"/>
      <c r="Z67" s="43"/>
      <c r="AA67" s="43"/>
      <c r="AB67" s="43"/>
      <c r="AC67" s="43"/>
      <c r="AD67" s="43"/>
      <c r="AE67" s="43"/>
      <c r="AF67" s="43"/>
    </row>
    <row r="68" spans="1:32">
      <c r="A68" s="2238"/>
      <c r="B68" s="2238" t="s">
        <v>1248</v>
      </c>
      <c r="C68" s="2238" t="s">
        <v>505</v>
      </c>
      <c r="D68" s="2239">
        <v>110</v>
      </c>
      <c r="E68" s="2253" t="s">
        <v>658</v>
      </c>
      <c r="F68" s="1945">
        <v>2233</v>
      </c>
      <c r="G68" s="1946" t="s">
        <v>263</v>
      </c>
      <c r="H68" s="2479">
        <v>396</v>
      </c>
      <c r="I68" s="2480"/>
      <c r="J68" s="3775">
        <v>149</v>
      </c>
      <c r="K68" s="1948"/>
      <c r="L68" s="2481">
        <v>300</v>
      </c>
      <c r="M68" s="2582"/>
      <c r="N68" s="43"/>
      <c r="O68" s="1779"/>
      <c r="P68" s="1817" t="e">
        <f>INDEX(#REF!,MATCH(F68,#REF!,0),2)</f>
        <v>#REF!</v>
      </c>
      <c r="Q68" s="1779"/>
      <c r="R68" s="1779"/>
      <c r="S68" s="1779"/>
      <c r="T68" s="1779"/>
      <c r="U68" s="1779"/>
      <c r="V68" s="1779"/>
      <c r="W68" s="1779"/>
      <c r="X68" s="1779"/>
      <c r="Y68" s="1779"/>
      <c r="Z68" s="1779"/>
      <c r="AA68" s="1779"/>
      <c r="AB68" s="1779"/>
      <c r="AC68" s="1779"/>
      <c r="AD68" s="1779"/>
      <c r="AE68" s="1779"/>
      <c r="AF68" s="1779"/>
    </row>
    <row r="69" spans="1:32">
      <c r="A69" s="1882"/>
      <c r="B69" s="1882" t="s">
        <v>1248</v>
      </c>
      <c r="C69" s="1882" t="s">
        <v>505</v>
      </c>
      <c r="D69" s="1935"/>
      <c r="E69" s="2229" t="s">
        <v>658</v>
      </c>
      <c r="F69" s="1936">
        <v>2233</v>
      </c>
      <c r="G69" s="1884" t="s">
        <v>3464</v>
      </c>
      <c r="H69" s="2484"/>
      <c r="I69" s="2484">
        <v>396</v>
      </c>
      <c r="J69" s="3776"/>
      <c r="K69" s="1917"/>
      <c r="L69" s="1892"/>
      <c r="M69" s="1892">
        <v>300</v>
      </c>
      <c r="N69" s="43"/>
      <c r="O69" s="1779"/>
      <c r="P69" s="1817" t="e">
        <f>INDEX(#REF!,MATCH(F69,#REF!,0),2)</f>
        <v>#REF!</v>
      </c>
      <c r="Q69" s="1779"/>
      <c r="R69" s="1779"/>
      <c r="S69" s="1779"/>
      <c r="T69" s="1779"/>
      <c r="U69" s="1779"/>
      <c r="V69" s="1779"/>
      <c r="W69" s="1779"/>
      <c r="X69" s="1779"/>
      <c r="Y69" s="1779"/>
      <c r="Z69" s="1779"/>
      <c r="AA69" s="1779"/>
      <c r="AB69" s="1779"/>
      <c r="AC69" s="1779"/>
      <c r="AD69" s="1779"/>
      <c r="AE69" s="1779"/>
      <c r="AF69" s="1779"/>
    </row>
    <row r="70" spans="1:32">
      <c r="A70" s="2238"/>
      <c r="B70" s="2238" t="s">
        <v>1248</v>
      </c>
      <c r="C70" s="2238" t="s">
        <v>505</v>
      </c>
      <c r="D70" s="2239">
        <v>110</v>
      </c>
      <c r="E70" s="2253" t="s">
        <v>658</v>
      </c>
      <c r="F70" s="1945">
        <v>2234</v>
      </c>
      <c r="G70" s="1946" t="s">
        <v>235</v>
      </c>
      <c r="H70" s="2479">
        <v>500</v>
      </c>
      <c r="I70" s="2480"/>
      <c r="J70" s="3775">
        <v>189</v>
      </c>
      <c r="K70" s="1948"/>
      <c r="L70" s="2481">
        <v>500</v>
      </c>
      <c r="M70" s="2582"/>
      <c r="N70" s="43"/>
      <c r="O70" s="43"/>
      <c r="P70" s="1817" t="e">
        <f>INDEX(#REF!,MATCH(F70,#REF!,0),2)</f>
        <v>#REF!</v>
      </c>
      <c r="Q70" s="43"/>
      <c r="R70" s="43"/>
      <c r="S70" s="43"/>
      <c r="T70" s="43"/>
      <c r="U70" s="43"/>
      <c r="V70" s="43"/>
      <c r="W70" s="43"/>
      <c r="X70" s="43"/>
      <c r="Y70" s="43"/>
      <c r="Z70" s="43"/>
      <c r="AA70" s="43"/>
      <c r="AB70" s="43"/>
      <c r="AC70" s="43"/>
      <c r="AD70" s="43"/>
      <c r="AE70" s="43"/>
      <c r="AF70" s="43"/>
    </row>
    <row r="71" spans="1:32">
      <c r="A71" s="1882"/>
      <c r="B71" s="1882" t="s">
        <v>1248</v>
      </c>
      <c r="C71" s="1882" t="s">
        <v>505</v>
      </c>
      <c r="D71" s="1935"/>
      <c r="E71" s="2229" t="s">
        <v>658</v>
      </c>
      <c r="F71" s="1936">
        <v>2234</v>
      </c>
      <c r="G71" s="1884" t="s">
        <v>5244</v>
      </c>
      <c r="H71" s="2484"/>
      <c r="I71" s="2484">
        <v>500</v>
      </c>
      <c r="J71" s="3776"/>
      <c r="K71" s="1917"/>
      <c r="L71" s="1892"/>
      <c r="M71" s="1892">
        <v>500</v>
      </c>
      <c r="N71" s="43"/>
      <c r="O71" s="43"/>
      <c r="P71" s="1817" t="e">
        <f>INDEX(#REF!,MATCH(F71,#REF!,0),2)</f>
        <v>#REF!</v>
      </c>
      <c r="Q71" s="43"/>
      <c r="R71" s="43"/>
      <c r="S71" s="4"/>
      <c r="T71" s="4"/>
      <c r="U71" s="4"/>
      <c r="V71" s="4"/>
      <c r="W71" s="4"/>
      <c r="X71" s="4"/>
      <c r="Y71" s="4"/>
      <c r="Z71" s="4"/>
      <c r="AA71" s="4"/>
      <c r="AB71" s="4"/>
      <c r="AC71" s="4"/>
      <c r="AD71" s="4"/>
      <c r="AE71" s="4"/>
      <c r="AF71" s="4"/>
    </row>
    <row r="72" spans="1:32">
      <c r="A72" s="2238"/>
      <c r="B72" s="2238" t="s">
        <v>1248</v>
      </c>
      <c r="C72" s="2238" t="s">
        <v>507</v>
      </c>
      <c r="D72" s="2239">
        <v>110</v>
      </c>
      <c r="E72" s="2253" t="s">
        <v>658</v>
      </c>
      <c r="F72" s="2488">
        <v>2235</v>
      </c>
      <c r="G72" s="2489" t="s">
        <v>1570</v>
      </c>
      <c r="H72" s="2479">
        <v>6189</v>
      </c>
      <c r="I72" s="2480"/>
      <c r="J72" s="3775"/>
      <c r="K72" s="1948"/>
      <c r="L72" s="2481">
        <v>5100</v>
      </c>
      <c r="M72" s="2582"/>
      <c r="N72" s="43"/>
      <c r="O72" s="43"/>
      <c r="P72" s="1817" t="e">
        <f>INDEX(#REF!,MATCH(F72,#REF!,0),2)</f>
        <v>#REF!</v>
      </c>
      <c r="Q72" s="43"/>
      <c r="R72" s="43"/>
      <c r="S72" s="43"/>
      <c r="T72" s="43"/>
      <c r="U72" s="43"/>
      <c r="V72" s="43"/>
      <c r="W72" s="43"/>
      <c r="X72" s="43"/>
      <c r="Y72" s="43"/>
      <c r="Z72" s="43"/>
      <c r="AA72" s="43"/>
      <c r="AB72" s="43"/>
      <c r="AC72" s="43"/>
      <c r="AD72" s="43"/>
      <c r="AE72" s="43"/>
      <c r="AF72" s="43"/>
    </row>
    <row r="73" spans="1:32" s="81" customFormat="1" ht="22.5">
      <c r="A73" s="1882"/>
      <c r="B73" s="1882" t="s">
        <v>1248</v>
      </c>
      <c r="C73" s="1882" t="s">
        <v>507</v>
      </c>
      <c r="D73" s="1935"/>
      <c r="E73" s="2229" t="s">
        <v>658</v>
      </c>
      <c r="F73" s="1936">
        <v>2235</v>
      </c>
      <c r="G73" s="1884" t="s">
        <v>1302</v>
      </c>
      <c r="H73" s="2484"/>
      <c r="I73" s="2484">
        <v>5100</v>
      </c>
      <c r="J73" s="3776">
        <v>2274.31</v>
      </c>
      <c r="K73" s="1950"/>
      <c r="L73" s="1892"/>
      <c r="M73" s="1892">
        <v>5100</v>
      </c>
      <c r="N73" s="1252" t="s">
        <v>3341</v>
      </c>
      <c r="O73" s="2490"/>
      <c r="P73" s="1817" t="e">
        <f>INDEX(#REF!,MATCH(F73,#REF!,0),2)</f>
        <v>#REF!</v>
      </c>
      <c r="Q73" s="43"/>
      <c r="R73" s="4"/>
      <c r="S73" s="4"/>
      <c r="T73" s="4"/>
      <c r="U73" s="4"/>
      <c r="V73" s="4"/>
      <c r="W73" s="4"/>
      <c r="X73" s="4"/>
      <c r="Y73" s="4"/>
      <c r="Z73" s="4"/>
      <c r="AA73" s="4"/>
      <c r="AB73" s="4"/>
      <c r="AC73" s="4"/>
      <c r="AD73" s="4"/>
      <c r="AE73" s="4"/>
      <c r="AF73" s="4"/>
    </row>
    <row r="74" spans="1:32" s="81" customFormat="1">
      <c r="A74" s="1882"/>
      <c r="B74" s="1882" t="s">
        <v>1248</v>
      </c>
      <c r="C74" s="1882" t="s">
        <v>507</v>
      </c>
      <c r="D74" s="1935"/>
      <c r="E74" s="2229" t="s">
        <v>658</v>
      </c>
      <c r="F74" s="1936">
        <v>2235</v>
      </c>
      <c r="G74" s="1884" t="s">
        <v>2972</v>
      </c>
      <c r="H74" s="2484"/>
      <c r="I74" s="2484">
        <v>1089</v>
      </c>
      <c r="J74" s="3776"/>
      <c r="K74" s="1950"/>
      <c r="L74" s="1892"/>
      <c r="M74" s="1892"/>
      <c r="N74" s="43"/>
      <c r="O74" s="43"/>
      <c r="P74" s="1817" t="e">
        <f>INDEX(#REF!,MATCH(F74,#REF!,0),2)</f>
        <v>#REF!</v>
      </c>
      <c r="Q74" s="43"/>
      <c r="R74" s="4"/>
      <c r="S74" s="4"/>
      <c r="T74" s="4"/>
      <c r="U74" s="4"/>
      <c r="V74" s="4"/>
      <c r="W74" s="4"/>
      <c r="X74" s="4"/>
      <c r="Y74" s="4"/>
      <c r="Z74" s="4"/>
      <c r="AA74" s="4"/>
      <c r="AB74" s="4"/>
      <c r="AC74" s="4"/>
      <c r="AD74" s="4"/>
      <c r="AE74" s="4"/>
      <c r="AF74" s="4"/>
    </row>
    <row r="75" spans="1:32" s="81" customFormat="1" ht="22.5">
      <c r="A75" s="1882"/>
      <c r="B75" s="1882" t="s">
        <v>1248</v>
      </c>
      <c r="C75" s="1882" t="s">
        <v>507</v>
      </c>
      <c r="D75" s="1935"/>
      <c r="E75" s="2229" t="s">
        <v>658</v>
      </c>
      <c r="F75" s="1936">
        <v>2235</v>
      </c>
      <c r="G75" s="1884" t="s">
        <v>904</v>
      </c>
      <c r="H75" s="2484"/>
      <c r="I75" s="2484">
        <v>0</v>
      </c>
      <c r="J75" s="3776"/>
      <c r="K75" s="1950"/>
      <c r="L75" s="1892"/>
      <c r="M75" s="1892">
        <v>0</v>
      </c>
      <c r="N75" s="43" t="s">
        <v>1190</v>
      </c>
      <c r="O75" s="43"/>
      <c r="P75" s="1817" t="e">
        <f>INDEX(#REF!,MATCH(F75,#REF!,0),2)</f>
        <v>#REF!</v>
      </c>
      <c r="Q75" s="43"/>
      <c r="R75" s="4"/>
      <c r="S75" s="4"/>
      <c r="T75" s="4"/>
      <c r="U75" s="4"/>
      <c r="V75" s="4"/>
      <c r="W75" s="4"/>
      <c r="X75" s="4"/>
      <c r="Y75" s="4"/>
      <c r="Z75" s="4"/>
      <c r="AA75" s="4"/>
      <c r="AB75" s="4"/>
      <c r="AC75" s="4"/>
      <c r="AD75" s="4"/>
      <c r="AE75" s="4"/>
      <c r="AF75" s="4"/>
    </row>
    <row r="76" spans="1:32">
      <c r="A76" s="2238"/>
      <c r="B76" s="2238" t="s">
        <v>1248</v>
      </c>
      <c r="C76" s="2238" t="s">
        <v>507</v>
      </c>
      <c r="D76" s="2239">
        <v>110</v>
      </c>
      <c r="E76" s="2253" t="s">
        <v>658</v>
      </c>
      <c r="F76" s="1945">
        <v>2236</v>
      </c>
      <c r="G76" s="1946" t="s">
        <v>236</v>
      </c>
      <c r="H76" s="2479">
        <v>5213.6000000000004</v>
      </c>
      <c r="I76" s="2480"/>
      <c r="J76" s="3775">
        <v>3437</v>
      </c>
      <c r="K76" s="1948"/>
      <c r="L76" s="2481">
        <v>5223.04</v>
      </c>
      <c r="M76" s="2483"/>
      <c r="N76" s="43"/>
      <c r="O76" s="43"/>
      <c r="P76" s="1817" t="e">
        <f>INDEX(#REF!,MATCH(F76,#REF!,0),2)</f>
        <v>#REF!</v>
      </c>
      <c r="Q76" s="43"/>
      <c r="R76" s="43"/>
      <c r="S76" s="4"/>
      <c r="T76" s="4"/>
      <c r="U76" s="4"/>
      <c r="V76" s="4"/>
      <c r="W76" s="4"/>
      <c r="X76" s="4"/>
      <c r="Y76" s="4"/>
      <c r="Z76" s="4"/>
      <c r="AA76" s="4"/>
      <c r="AB76" s="4"/>
      <c r="AC76" s="4"/>
      <c r="AD76" s="4"/>
      <c r="AE76" s="4"/>
      <c r="AF76" s="4"/>
    </row>
    <row r="77" spans="1:32" ht="33.75">
      <c r="A77" s="1882"/>
      <c r="B77" s="1882" t="s">
        <v>1248</v>
      </c>
      <c r="C77" s="1882" t="s">
        <v>507</v>
      </c>
      <c r="D77" s="1935"/>
      <c r="E77" s="2229" t="s">
        <v>658</v>
      </c>
      <c r="F77" s="1936">
        <v>2236</v>
      </c>
      <c r="G77" s="1884" t="s">
        <v>2465</v>
      </c>
      <c r="H77" s="2484"/>
      <c r="I77" s="2484">
        <v>2904</v>
      </c>
      <c r="J77" s="3776"/>
      <c r="K77" s="1917"/>
      <c r="L77" s="1968"/>
      <c r="M77" s="1892">
        <v>2904</v>
      </c>
      <c r="N77" s="1252" t="s">
        <v>3337</v>
      </c>
      <c r="O77" s="43"/>
      <c r="P77" s="1817" t="e">
        <f>INDEX(#REF!,MATCH(F77,#REF!,0),2)</f>
        <v>#REF!</v>
      </c>
      <c r="Q77" s="43"/>
      <c r="R77" s="43"/>
      <c r="S77" s="43"/>
      <c r="T77" s="43"/>
      <c r="U77" s="43"/>
      <c r="V77" s="43"/>
      <c r="W77" s="43"/>
      <c r="X77" s="43"/>
      <c r="Y77" s="43"/>
      <c r="Z77" s="43"/>
      <c r="AA77" s="43"/>
      <c r="AB77" s="43"/>
      <c r="AC77" s="43"/>
      <c r="AD77" s="43"/>
      <c r="AE77" s="43"/>
      <c r="AF77" s="43"/>
    </row>
    <row r="78" spans="1:32" ht="33.75">
      <c r="A78" s="1914"/>
      <c r="B78" s="1882" t="s">
        <v>1248</v>
      </c>
      <c r="C78" s="1882" t="s">
        <v>507</v>
      </c>
      <c r="D78" s="1935"/>
      <c r="E78" s="2229" t="s">
        <v>658</v>
      </c>
      <c r="F78" s="1936">
        <v>2236</v>
      </c>
      <c r="G78" s="2487" t="s">
        <v>3338</v>
      </c>
      <c r="H78" s="2484"/>
      <c r="I78" s="2484">
        <v>25</v>
      </c>
      <c r="J78" s="3776"/>
      <c r="K78" s="1917"/>
      <c r="L78" s="1968"/>
      <c r="M78" s="1892">
        <v>70</v>
      </c>
      <c r="N78" s="1252" t="s">
        <v>3369</v>
      </c>
      <c r="O78" s="43"/>
      <c r="P78" s="1817" t="e">
        <f>INDEX(#REF!,MATCH(F78,#REF!,0),2)</f>
        <v>#REF!</v>
      </c>
      <c r="Q78" s="43"/>
      <c r="R78" s="43"/>
      <c r="S78" s="43"/>
      <c r="T78" s="43"/>
      <c r="U78" s="43"/>
      <c r="V78" s="43"/>
      <c r="W78" s="43"/>
      <c r="X78" s="43"/>
      <c r="Y78" s="43"/>
      <c r="Z78" s="43"/>
      <c r="AA78" s="43"/>
      <c r="AB78" s="43"/>
      <c r="AC78" s="43"/>
      <c r="AD78" s="43"/>
      <c r="AE78" s="43"/>
      <c r="AF78" s="43"/>
    </row>
    <row r="79" spans="1:32" ht="45">
      <c r="A79" s="1882"/>
      <c r="B79" s="1882" t="s">
        <v>1248</v>
      </c>
      <c r="C79" s="1882" t="s">
        <v>507</v>
      </c>
      <c r="D79" s="1935"/>
      <c r="E79" s="2229" t="s">
        <v>658</v>
      </c>
      <c r="F79" s="1936">
        <v>2236</v>
      </c>
      <c r="G79" s="1884" t="s">
        <v>3339</v>
      </c>
      <c r="H79" s="2484"/>
      <c r="I79" s="2484">
        <v>1031</v>
      </c>
      <c r="J79" s="3776"/>
      <c r="K79" s="1917"/>
      <c r="L79" s="1968"/>
      <c r="M79" s="1892">
        <v>725.31999999999994</v>
      </c>
      <c r="N79" s="1252" t="s">
        <v>1186</v>
      </c>
      <c r="O79" s="43"/>
      <c r="P79" s="1817" t="e">
        <f>INDEX(#REF!,MATCH(F79,#REF!,0),2)</f>
        <v>#REF!</v>
      </c>
      <c r="Q79" s="43"/>
      <c r="R79" s="43"/>
      <c r="S79" s="43"/>
      <c r="T79" s="43"/>
      <c r="U79" s="43"/>
      <c r="V79" s="43"/>
      <c r="W79" s="43"/>
      <c r="X79" s="43"/>
      <c r="Y79" s="43"/>
      <c r="Z79" s="43"/>
      <c r="AA79" s="43"/>
      <c r="AB79" s="43"/>
      <c r="AC79" s="43"/>
      <c r="AD79" s="43"/>
      <c r="AE79" s="43"/>
      <c r="AF79" s="43"/>
    </row>
    <row r="80" spans="1:32" ht="33.75">
      <c r="A80" s="1882"/>
      <c r="B80" s="1882" t="s">
        <v>1248</v>
      </c>
      <c r="C80" s="1882" t="s">
        <v>507</v>
      </c>
      <c r="D80" s="1935"/>
      <c r="E80" s="2229" t="s">
        <v>658</v>
      </c>
      <c r="F80" s="1936">
        <v>2236</v>
      </c>
      <c r="G80" s="1884" t="s">
        <v>3340</v>
      </c>
      <c r="H80" s="2484"/>
      <c r="I80" s="2484">
        <v>1000</v>
      </c>
      <c r="J80" s="3776"/>
      <c r="K80" s="1917"/>
      <c r="L80" s="1968"/>
      <c r="M80" s="1892">
        <v>1240</v>
      </c>
      <c r="N80" s="1252" t="s">
        <v>3370</v>
      </c>
      <c r="O80" s="43"/>
      <c r="P80" s="1817" t="e">
        <f>INDEX(#REF!,MATCH(F80,#REF!,0),2)</f>
        <v>#REF!</v>
      </c>
      <c r="Q80" s="43"/>
      <c r="R80" s="43"/>
      <c r="S80" s="43"/>
      <c r="T80" s="43"/>
      <c r="U80" s="43"/>
      <c r="V80" s="43"/>
      <c r="W80" s="43"/>
      <c r="X80" s="43"/>
      <c r="Y80" s="43"/>
      <c r="Z80" s="43"/>
      <c r="AA80" s="43"/>
      <c r="AB80" s="43"/>
      <c r="AC80" s="43"/>
      <c r="AD80" s="43"/>
      <c r="AE80" s="43"/>
      <c r="AF80" s="43"/>
    </row>
    <row r="81" spans="1:32" ht="22.5">
      <c r="A81" s="1882"/>
      <c r="B81" s="1882" t="s">
        <v>1248</v>
      </c>
      <c r="C81" s="1882" t="s">
        <v>507</v>
      </c>
      <c r="D81" s="1935"/>
      <c r="E81" s="2229" t="s">
        <v>658</v>
      </c>
      <c r="F81" s="1936">
        <v>2236</v>
      </c>
      <c r="G81" s="1884" t="s">
        <v>1432</v>
      </c>
      <c r="H81" s="2484"/>
      <c r="I81" s="2484">
        <v>153.60000000000002</v>
      </c>
      <c r="J81" s="3776"/>
      <c r="K81" s="1917"/>
      <c r="L81" s="1968"/>
      <c r="M81" s="1892">
        <v>153.72</v>
      </c>
      <c r="N81" s="1252" t="s">
        <v>1186</v>
      </c>
      <c r="O81" s="43"/>
      <c r="P81" s="1817" t="e">
        <f>INDEX(#REF!,MATCH(F81,#REF!,0),2)</f>
        <v>#REF!</v>
      </c>
      <c r="Q81" s="43"/>
      <c r="R81" s="43"/>
      <c r="S81" s="43"/>
      <c r="T81" s="43"/>
      <c r="U81" s="43"/>
      <c r="V81" s="43"/>
      <c r="W81" s="43"/>
      <c r="X81" s="43"/>
      <c r="Y81" s="43"/>
      <c r="Z81" s="43"/>
      <c r="AA81" s="43"/>
      <c r="AB81" s="43"/>
      <c r="AC81" s="43"/>
      <c r="AD81" s="43"/>
      <c r="AE81" s="43"/>
      <c r="AF81" s="43"/>
    </row>
    <row r="82" spans="1:32">
      <c r="A82" s="1882"/>
      <c r="B82" s="1882" t="s">
        <v>1248</v>
      </c>
      <c r="C82" s="1882" t="s">
        <v>507</v>
      </c>
      <c r="D82" s="1935"/>
      <c r="E82" s="2229" t="s">
        <v>658</v>
      </c>
      <c r="F82" s="1936">
        <v>2236</v>
      </c>
      <c r="G82" s="1884" t="s">
        <v>868</v>
      </c>
      <c r="H82" s="2484"/>
      <c r="I82" s="2484">
        <v>100</v>
      </c>
      <c r="J82" s="3776"/>
      <c r="K82" s="1917"/>
      <c r="L82" s="1968"/>
      <c r="M82" s="1892">
        <v>130</v>
      </c>
      <c r="N82" s="1252" t="s">
        <v>1186</v>
      </c>
      <c r="O82" s="4"/>
      <c r="P82" s="1817" t="e">
        <f>INDEX(#REF!,MATCH(F82,#REF!,0),2)</f>
        <v>#REF!</v>
      </c>
      <c r="Q82" s="4"/>
      <c r="R82" s="4"/>
      <c r="S82" s="4"/>
      <c r="T82" s="4"/>
      <c r="U82" s="4"/>
      <c r="V82" s="4"/>
      <c r="W82" s="4"/>
      <c r="X82" s="4"/>
      <c r="Y82" s="4"/>
      <c r="Z82" s="4"/>
      <c r="AA82" s="4"/>
      <c r="AB82" s="4"/>
      <c r="AC82" s="4"/>
      <c r="AD82" s="4"/>
      <c r="AE82" s="4"/>
      <c r="AF82" s="4"/>
    </row>
    <row r="83" spans="1:32" s="81" customFormat="1" ht="33.75">
      <c r="A83" s="2238"/>
      <c r="B83" s="2238" t="s">
        <v>1248</v>
      </c>
      <c r="C83" s="2238" t="s">
        <v>507</v>
      </c>
      <c r="D83" s="2239">
        <v>110</v>
      </c>
      <c r="E83" s="2253" t="s">
        <v>658</v>
      </c>
      <c r="F83" s="1945">
        <v>2239</v>
      </c>
      <c r="G83" s="1946" t="s">
        <v>237</v>
      </c>
      <c r="H83" s="2479">
        <v>45308</v>
      </c>
      <c r="I83" s="2480"/>
      <c r="J83" s="3775"/>
      <c r="K83" s="1948"/>
      <c r="L83" s="2481">
        <v>60752.802499999998</v>
      </c>
      <c r="M83" s="2483"/>
      <c r="N83" s="1030"/>
      <c r="O83" s="43"/>
      <c r="P83" s="1817" t="e">
        <f>INDEX(#REF!,MATCH(F83,#REF!,0),2)</f>
        <v>#REF!</v>
      </c>
      <c r="Q83" s="43"/>
      <c r="R83" s="43"/>
      <c r="S83" s="43"/>
      <c r="T83" s="43"/>
      <c r="U83" s="43"/>
      <c r="V83" s="43"/>
      <c r="W83" s="43"/>
      <c r="X83" s="43"/>
      <c r="Y83" s="43"/>
      <c r="Z83" s="43"/>
      <c r="AA83" s="43"/>
      <c r="AB83" s="43"/>
      <c r="AC83" s="43"/>
      <c r="AD83" s="43"/>
      <c r="AE83" s="43"/>
      <c r="AF83" s="43"/>
    </row>
    <row r="84" spans="1:32" s="81" customFormat="1" ht="45">
      <c r="A84" s="1882"/>
      <c r="B84" s="1882" t="s">
        <v>1248</v>
      </c>
      <c r="C84" s="1882" t="s">
        <v>507</v>
      </c>
      <c r="D84" s="1935"/>
      <c r="E84" s="2229" t="s">
        <v>658</v>
      </c>
      <c r="F84" s="1936">
        <v>2239</v>
      </c>
      <c r="G84" s="1884" t="s">
        <v>728</v>
      </c>
      <c r="H84" s="2484"/>
      <c r="I84" s="2484">
        <v>1000</v>
      </c>
      <c r="J84" s="3776">
        <v>742</v>
      </c>
      <c r="K84" s="1950"/>
      <c r="L84" s="1968"/>
      <c r="M84" s="1892">
        <v>1000</v>
      </c>
      <c r="N84" s="43" t="s">
        <v>1188</v>
      </c>
      <c r="O84" s="43"/>
      <c r="P84" s="1817" t="e">
        <f>INDEX(#REF!,MATCH(F84,#REF!,0),2)</f>
        <v>#REF!</v>
      </c>
      <c r="Q84" s="43"/>
      <c r="R84" s="43"/>
      <c r="S84" s="43"/>
      <c r="T84" s="43"/>
      <c r="U84" s="43"/>
      <c r="V84" s="43"/>
      <c r="W84" s="43"/>
      <c r="X84" s="43"/>
      <c r="Y84" s="43"/>
      <c r="Z84" s="43"/>
      <c r="AA84" s="43"/>
      <c r="AB84" s="43"/>
      <c r="AC84" s="43"/>
      <c r="AD84" s="43"/>
      <c r="AE84" s="43"/>
      <c r="AF84" s="43"/>
    </row>
    <row r="85" spans="1:32" s="81" customFormat="1">
      <c r="A85" s="1882"/>
      <c r="B85" s="1882" t="s">
        <v>1248</v>
      </c>
      <c r="C85" s="1882" t="s">
        <v>507</v>
      </c>
      <c r="D85" s="1935"/>
      <c r="E85" s="2229" t="s">
        <v>658</v>
      </c>
      <c r="F85" s="1936">
        <v>2239</v>
      </c>
      <c r="G85" s="1884" t="s">
        <v>3764</v>
      </c>
      <c r="H85" s="2484"/>
      <c r="I85" s="2484">
        <v>350</v>
      </c>
      <c r="J85" s="3776">
        <v>425</v>
      </c>
      <c r="K85" s="1950"/>
      <c r="L85" s="1968"/>
      <c r="M85" s="1892">
        <v>500</v>
      </c>
      <c r="N85" s="43" t="s">
        <v>1187</v>
      </c>
      <c r="O85" s="43"/>
      <c r="P85" s="1817" t="e">
        <f>INDEX(#REF!,MATCH(F85,#REF!,0),2)</f>
        <v>#REF!</v>
      </c>
      <c r="Q85" s="43"/>
      <c r="R85" s="4"/>
      <c r="S85" s="4"/>
      <c r="T85" s="4"/>
      <c r="U85" s="4"/>
      <c r="V85" s="4"/>
      <c r="W85" s="4"/>
      <c r="X85" s="4"/>
      <c r="Y85" s="4"/>
      <c r="Z85" s="4"/>
      <c r="AA85" s="4"/>
      <c r="AB85" s="4"/>
      <c r="AC85" s="4"/>
      <c r="AD85" s="4"/>
      <c r="AE85" s="4"/>
      <c r="AF85" s="4"/>
    </row>
    <row r="86" spans="1:32" s="81" customFormat="1">
      <c r="A86" s="1882"/>
      <c r="B86" s="1882" t="s">
        <v>1248</v>
      </c>
      <c r="C86" s="1882" t="s">
        <v>507</v>
      </c>
      <c r="D86" s="1935"/>
      <c r="E86" s="2229" t="s">
        <v>658</v>
      </c>
      <c r="F86" s="1936">
        <v>2239</v>
      </c>
      <c r="G86" s="1884" t="s">
        <v>1016</v>
      </c>
      <c r="H86" s="2484"/>
      <c r="I86" s="2484">
        <v>1000</v>
      </c>
      <c r="J86" s="3776">
        <v>1837</v>
      </c>
      <c r="K86" s="1950"/>
      <c r="L86" s="1968"/>
      <c r="M86" s="1892">
        <v>2000</v>
      </c>
      <c r="N86" s="43"/>
      <c r="O86" s="43"/>
      <c r="P86" s="1817" t="e">
        <f>INDEX(#REF!,MATCH(F86,#REF!,0),2)</f>
        <v>#REF!</v>
      </c>
      <c r="Q86" s="43"/>
      <c r="R86" s="43"/>
      <c r="S86" s="43"/>
      <c r="T86" s="43"/>
      <c r="U86" s="43"/>
      <c r="V86" s="43"/>
      <c r="W86" s="43"/>
      <c r="X86" s="43"/>
      <c r="Y86" s="43"/>
      <c r="Z86" s="43"/>
      <c r="AA86" s="43"/>
      <c r="AB86" s="43"/>
      <c r="AC86" s="43"/>
      <c r="AD86" s="43"/>
      <c r="AE86" s="43"/>
      <c r="AF86" s="43"/>
    </row>
    <row r="87" spans="1:32" s="81" customFormat="1" ht="22.5">
      <c r="A87" s="1882"/>
      <c r="B87" s="1882" t="s">
        <v>1248</v>
      </c>
      <c r="C87" s="1882" t="s">
        <v>507</v>
      </c>
      <c r="D87" s="1935"/>
      <c r="E87" s="2229" t="s">
        <v>658</v>
      </c>
      <c r="F87" s="1936">
        <v>2239</v>
      </c>
      <c r="G87" s="1884" t="s">
        <v>1113</v>
      </c>
      <c r="H87" s="2484"/>
      <c r="I87" s="2484">
        <v>700</v>
      </c>
      <c r="J87" s="3776">
        <v>36</v>
      </c>
      <c r="K87" s="1950"/>
      <c r="L87" s="1968"/>
      <c r="M87" s="1892">
        <v>800</v>
      </c>
      <c r="N87" s="43" t="s">
        <v>247</v>
      </c>
      <c r="O87" s="43"/>
      <c r="P87" s="1817" t="e">
        <f>INDEX(#REF!,MATCH(F87,#REF!,0),2)</f>
        <v>#REF!</v>
      </c>
      <c r="Q87" s="43"/>
      <c r="R87" s="43"/>
      <c r="S87" s="43"/>
      <c r="T87" s="43"/>
      <c r="U87" s="43"/>
      <c r="V87" s="43"/>
      <c r="W87" s="43"/>
      <c r="X87" s="43"/>
      <c r="Y87" s="43"/>
      <c r="Z87" s="43"/>
      <c r="AA87" s="43"/>
      <c r="AB87" s="43"/>
      <c r="AC87" s="43"/>
      <c r="AD87" s="43"/>
      <c r="AE87" s="43"/>
      <c r="AF87" s="43"/>
    </row>
    <row r="88" spans="1:32" s="81" customFormat="1" ht="22.5">
      <c r="A88" s="1882"/>
      <c r="B88" s="1882" t="s">
        <v>1248</v>
      </c>
      <c r="C88" s="1882" t="s">
        <v>507</v>
      </c>
      <c r="D88" s="1935"/>
      <c r="E88" s="2229" t="s">
        <v>658</v>
      </c>
      <c r="F88" s="1936">
        <v>2239</v>
      </c>
      <c r="G88" s="1884" t="s">
        <v>906</v>
      </c>
      <c r="H88" s="2484"/>
      <c r="I88" s="2484">
        <v>100</v>
      </c>
      <c r="J88" s="3776"/>
      <c r="K88" s="1950"/>
      <c r="L88" s="1968"/>
      <c r="M88" s="1892">
        <v>100</v>
      </c>
      <c r="N88" s="43" t="s">
        <v>1188</v>
      </c>
      <c r="O88" s="43"/>
      <c r="P88" s="1817" t="e">
        <f>INDEX(#REF!,MATCH(F88,#REF!,0),2)</f>
        <v>#REF!</v>
      </c>
      <c r="Q88" s="43"/>
      <c r="R88" s="4"/>
      <c r="S88" s="4"/>
      <c r="T88" s="4"/>
      <c r="U88" s="4"/>
      <c r="V88" s="4"/>
      <c r="W88" s="4"/>
      <c r="X88" s="4"/>
      <c r="Y88" s="4"/>
      <c r="Z88" s="4"/>
      <c r="AA88" s="4"/>
      <c r="AB88" s="4"/>
      <c r="AC88" s="4"/>
      <c r="AD88" s="4"/>
      <c r="AE88" s="4"/>
      <c r="AF88" s="4"/>
    </row>
    <row r="89" spans="1:32" s="81" customFormat="1">
      <c r="A89" s="1882"/>
      <c r="B89" s="1882" t="s">
        <v>1248</v>
      </c>
      <c r="C89" s="1882" t="s">
        <v>507</v>
      </c>
      <c r="D89" s="1935"/>
      <c r="E89" s="2229" t="s">
        <v>658</v>
      </c>
      <c r="F89" s="1936">
        <v>2239</v>
      </c>
      <c r="G89" s="1884" t="s">
        <v>1447</v>
      </c>
      <c r="H89" s="2484"/>
      <c r="I89" s="2484">
        <v>120</v>
      </c>
      <c r="J89" s="3776"/>
      <c r="K89" s="1950"/>
      <c r="L89" s="1968"/>
      <c r="M89" s="1892">
        <v>120</v>
      </c>
      <c r="N89" s="1252" t="s">
        <v>1186</v>
      </c>
      <c r="O89" s="43"/>
      <c r="P89" s="1817" t="e">
        <f>INDEX(#REF!,MATCH(F89,#REF!,0),2)</f>
        <v>#REF!</v>
      </c>
      <c r="Q89" s="43"/>
      <c r="R89" s="4"/>
      <c r="S89" s="4"/>
      <c r="T89" s="4"/>
      <c r="U89" s="4"/>
      <c r="V89" s="4"/>
      <c r="W89" s="4"/>
      <c r="X89" s="4"/>
      <c r="Y89" s="4"/>
      <c r="Z89" s="4"/>
      <c r="AA89" s="4"/>
      <c r="AB89" s="4"/>
      <c r="AC89" s="4"/>
      <c r="AD89" s="4"/>
      <c r="AE89" s="4"/>
      <c r="AF89" s="4"/>
    </row>
    <row r="90" spans="1:32" s="81" customFormat="1">
      <c r="A90" s="1882"/>
      <c r="B90" s="1882" t="s">
        <v>1248</v>
      </c>
      <c r="C90" s="1882" t="s">
        <v>507</v>
      </c>
      <c r="D90" s="1935"/>
      <c r="E90" s="2229" t="s">
        <v>658</v>
      </c>
      <c r="F90" s="1936">
        <v>2239</v>
      </c>
      <c r="G90" s="1884" t="s">
        <v>1020</v>
      </c>
      <c r="H90" s="2484"/>
      <c r="I90" s="2484">
        <v>89</v>
      </c>
      <c r="J90" s="3776"/>
      <c r="K90" s="1950"/>
      <c r="L90" s="1968"/>
      <c r="M90" s="1892">
        <v>89</v>
      </c>
      <c r="N90" s="43" t="s">
        <v>1188</v>
      </c>
      <c r="O90" s="43"/>
      <c r="P90" s="1817" t="e">
        <f>INDEX(#REF!,MATCH(F90,#REF!,0),2)</f>
        <v>#REF!</v>
      </c>
      <c r="Q90" s="43"/>
      <c r="R90" s="4"/>
      <c r="S90" s="4"/>
      <c r="T90" s="4"/>
      <c r="U90" s="4"/>
      <c r="V90" s="4"/>
      <c r="W90" s="4"/>
      <c r="X90" s="4"/>
      <c r="Y90" s="4"/>
      <c r="Z90" s="4"/>
      <c r="AA90" s="4"/>
      <c r="AB90" s="4"/>
      <c r="AC90" s="4"/>
      <c r="AD90" s="4"/>
      <c r="AE90" s="4"/>
      <c r="AF90" s="4"/>
    </row>
    <row r="91" spans="1:32" s="81" customFormat="1">
      <c r="A91" s="1882"/>
      <c r="B91" s="1882" t="s">
        <v>1248</v>
      </c>
      <c r="C91" s="1882" t="s">
        <v>507</v>
      </c>
      <c r="D91" s="1935"/>
      <c r="E91" s="2229" t="s">
        <v>658</v>
      </c>
      <c r="F91" s="1936">
        <v>2239</v>
      </c>
      <c r="G91" s="1884" t="s">
        <v>660</v>
      </c>
      <c r="H91" s="2484"/>
      <c r="I91" s="2484">
        <v>150</v>
      </c>
      <c r="J91" s="3776"/>
      <c r="K91" s="1950"/>
      <c r="L91" s="1968"/>
      <c r="M91" s="1892">
        <v>150</v>
      </c>
      <c r="N91" s="43" t="s">
        <v>1189</v>
      </c>
      <c r="O91" s="43"/>
      <c r="P91" s="1817" t="e">
        <f>INDEX(#REF!,MATCH(F91,#REF!,0),2)</f>
        <v>#REF!</v>
      </c>
      <c r="Q91" s="43"/>
      <c r="R91" s="43"/>
      <c r="S91" s="43"/>
      <c r="T91" s="43"/>
      <c r="U91" s="43"/>
      <c r="V91" s="43"/>
      <c r="W91" s="43"/>
      <c r="X91" s="43"/>
      <c r="Y91" s="43"/>
      <c r="Z91" s="43"/>
      <c r="AA91" s="43"/>
      <c r="AB91" s="43"/>
      <c r="AC91" s="43"/>
      <c r="AD91" s="43"/>
      <c r="AE91" s="43"/>
      <c r="AF91" s="43"/>
    </row>
    <row r="92" spans="1:32" ht="33.75">
      <c r="A92" s="1914"/>
      <c r="B92" s="1882" t="s">
        <v>1248</v>
      </c>
      <c r="C92" s="1882" t="s">
        <v>507</v>
      </c>
      <c r="D92" s="1935"/>
      <c r="E92" s="2229" t="s">
        <v>658</v>
      </c>
      <c r="F92" s="1936">
        <v>2239</v>
      </c>
      <c r="G92" s="1884" t="s">
        <v>5246</v>
      </c>
      <c r="H92" s="2484"/>
      <c r="I92" s="2491">
        <v>34903.781900000002</v>
      </c>
      <c r="J92" s="3776">
        <v>34600</v>
      </c>
      <c r="K92" s="1917"/>
      <c r="L92" s="1968"/>
      <c r="M92" s="3788">
        <v>49078.802499999998</v>
      </c>
      <c r="N92" s="43"/>
      <c r="O92" s="4"/>
      <c r="P92" s="1817" t="e">
        <f>INDEX(#REF!,MATCH(F92,#REF!,0),2)</f>
        <v>#REF!</v>
      </c>
      <c r="Q92" s="4"/>
      <c r="R92" s="4"/>
      <c r="S92" s="4"/>
      <c r="T92" s="4"/>
      <c r="U92" s="4"/>
      <c r="V92" s="4"/>
      <c r="W92" s="4"/>
      <c r="X92" s="4"/>
      <c r="Y92" s="4"/>
      <c r="Z92" s="4"/>
      <c r="AA92" s="4"/>
      <c r="AB92" s="4"/>
      <c r="AC92" s="4"/>
      <c r="AD92" s="4"/>
      <c r="AE92" s="4"/>
      <c r="AF92" s="4"/>
    </row>
    <row r="93" spans="1:32">
      <c r="A93" s="1914"/>
      <c r="B93" s="1882" t="s">
        <v>1248</v>
      </c>
      <c r="C93" s="1882" t="s">
        <v>507</v>
      </c>
      <c r="D93" s="1935"/>
      <c r="E93" s="2229" t="s">
        <v>658</v>
      </c>
      <c r="F93" s="1936">
        <v>2239</v>
      </c>
      <c r="G93" s="1884" t="s">
        <v>1017</v>
      </c>
      <c r="H93" s="2484"/>
      <c r="I93" s="2484">
        <v>80</v>
      </c>
      <c r="J93" s="3776">
        <v>80</v>
      </c>
      <c r="K93" s="1917"/>
      <c r="L93" s="1968"/>
      <c r="M93" s="1892">
        <v>100</v>
      </c>
      <c r="N93" s="43" t="s">
        <v>1189</v>
      </c>
      <c r="O93" s="4"/>
      <c r="P93" s="1817" t="e">
        <f>INDEX(#REF!,MATCH(F93,#REF!,0),2)</f>
        <v>#REF!</v>
      </c>
      <c r="Q93" s="4"/>
      <c r="R93" s="4"/>
      <c r="S93" s="4"/>
      <c r="T93" s="4"/>
      <c r="U93" s="4"/>
      <c r="V93" s="4"/>
      <c r="W93" s="4"/>
      <c r="X93" s="4"/>
      <c r="Y93" s="4"/>
      <c r="Z93" s="4"/>
      <c r="AA93" s="4"/>
      <c r="AB93" s="4"/>
      <c r="AC93" s="4"/>
      <c r="AD93" s="4"/>
      <c r="AE93" s="4"/>
      <c r="AF93" s="4"/>
    </row>
    <row r="94" spans="1:32" ht="22.5">
      <c r="A94" s="1882"/>
      <c r="B94" s="1882" t="s">
        <v>1248</v>
      </c>
      <c r="C94" s="1882" t="s">
        <v>507</v>
      </c>
      <c r="D94" s="1935"/>
      <c r="E94" s="2229" t="s">
        <v>658</v>
      </c>
      <c r="F94" s="1936">
        <v>2239</v>
      </c>
      <c r="G94" s="1884" t="s">
        <v>2580</v>
      </c>
      <c r="H94" s="2484"/>
      <c r="I94" s="2484">
        <v>1500</v>
      </c>
      <c r="J94" s="3776">
        <v>1500</v>
      </c>
      <c r="K94" s="1917"/>
      <c r="L94" s="1968"/>
      <c r="M94" s="1892">
        <v>1500</v>
      </c>
      <c r="N94" s="43"/>
      <c r="O94" s="4"/>
      <c r="P94" s="1817" t="e">
        <f>INDEX(#REF!,MATCH(F94,#REF!,0),2)</f>
        <v>#REF!</v>
      </c>
      <c r="Q94" s="4"/>
      <c r="R94" s="4"/>
      <c r="S94" s="4"/>
      <c r="T94" s="4"/>
      <c r="U94" s="4"/>
      <c r="V94" s="4"/>
      <c r="W94" s="4"/>
      <c r="X94" s="4"/>
      <c r="Y94" s="4"/>
      <c r="Z94" s="4"/>
      <c r="AA94" s="4"/>
      <c r="AB94" s="4"/>
      <c r="AC94" s="4"/>
      <c r="AD94" s="4"/>
      <c r="AE94" s="4"/>
      <c r="AF94" s="4"/>
    </row>
    <row r="95" spans="1:32" ht="22.5">
      <c r="A95" s="1882"/>
      <c r="B95" s="1882" t="s">
        <v>1248</v>
      </c>
      <c r="C95" s="1882" t="s">
        <v>507</v>
      </c>
      <c r="D95" s="1935"/>
      <c r="E95" s="2229" t="s">
        <v>658</v>
      </c>
      <c r="F95" s="1936">
        <v>2239</v>
      </c>
      <c r="G95" s="1884" t="s">
        <v>1303</v>
      </c>
      <c r="H95" s="2484"/>
      <c r="I95" s="2484">
        <v>315</v>
      </c>
      <c r="J95" s="3776"/>
      <c r="K95" s="1917"/>
      <c r="L95" s="1968"/>
      <c r="M95" s="1892">
        <v>315</v>
      </c>
      <c r="N95" s="43"/>
      <c r="O95" s="4"/>
      <c r="P95" s="1817" t="e">
        <f>INDEX(#REF!,MATCH(F95,#REF!,0),2)</f>
        <v>#REF!</v>
      </c>
      <c r="Q95" s="4"/>
      <c r="R95" s="4"/>
      <c r="S95" s="4"/>
      <c r="T95" s="4"/>
      <c r="U95" s="4"/>
      <c r="V95" s="4"/>
      <c r="W95" s="4"/>
      <c r="X95" s="4"/>
      <c r="Y95" s="4"/>
      <c r="Z95" s="4"/>
      <c r="AA95" s="4"/>
      <c r="AB95" s="4"/>
      <c r="AC95" s="4"/>
      <c r="AD95" s="4"/>
      <c r="AE95" s="4"/>
      <c r="AF95" s="4"/>
    </row>
    <row r="96" spans="1:32" ht="33.75">
      <c r="A96" s="1882"/>
      <c r="B96" s="1882" t="s">
        <v>1248</v>
      </c>
      <c r="C96" s="1882" t="s">
        <v>507</v>
      </c>
      <c r="D96" s="1935"/>
      <c r="E96" s="2229" t="s">
        <v>658</v>
      </c>
      <c r="F96" s="1936">
        <v>2239</v>
      </c>
      <c r="G96" s="1884" t="s">
        <v>1855</v>
      </c>
      <c r="H96" s="2484"/>
      <c r="I96" s="2484">
        <v>5000</v>
      </c>
      <c r="J96" s="3776">
        <v>5000</v>
      </c>
      <c r="K96" s="1917"/>
      <c r="L96" s="1968"/>
      <c r="M96" s="1892">
        <v>5000</v>
      </c>
      <c r="N96" s="43"/>
      <c r="O96" s="1779"/>
      <c r="P96" s="1817" t="e">
        <f>INDEX(#REF!,MATCH(F96,#REF!,0),2)</f>
        <v>#REF!</v>
      </c>
      <c r="Q96" s="1779"/>
      <c r="R96" s="11"/>
      <c r="S96" s="11"/>
      <c r="T96" s="11"/>
      <c r="U96" s="11"/>
      <c r="V96" s="11"/>
      <c r="W96" s="11"/>
      <c r="X96" s="11"/>
      <c r="Y96" s="11"/>
      <c r="Z96" s="11"/>
      <c r="AA96" s="11"/>
      <c r="AB96" s="11"/>
      <c r="AC96" s="11"/>
      <c r="AD96" s="11"/>
      <c r="AE96" s="11"/>
      <c r="AF96" s="11"/>
    </row>
    <row r="97" spans="1:32" ht="33.75">
      <c r="A97" s="2238"/>
      <c r="B97" s="2238" t="s">
        <v>1248</v>
      </c>
      <c r="C97" s="2238" t="s">
        <v>505</v>
      </c>
      <c r="D97" s="2239">
        <v>110</v>
      </c>
      <c r="E97" s="2253" t="s">
        <v>658</v>
      </c>
      <c r="F97" s="1945">
        <v>2239</v>
      </c>
      <c r="G97" s="1946" t="s">
        <v>237</v>
      </c>
      <c r="H97" s="2479">
        <v>14996.583999999999</v>
      </c>
      <c r="I97" s="2480"/>
      <c r="J97" s="3775"/>
      <c r="K97" s="1948"/>
      <c r="L97" s="2481">
        <v>16100</v>
      </c>
      <c r="M97" s="2483"/>
      <c r="N97" s="43"/>
      <c r="O97" s="1779"/>
      <c r="P97" s="1817" t="e">
        <f>INDEX(#REF!,MATCH(F97,#REF!,0),2)</f>
        <v>#REF!</v>
      </c>
      <c r="Q97" s="1779"/>
      <c r="R97" s="11"/>
      <c r="S97" s="11"/>
      <c r="T97" s="11"/>
      <c r="U97" s="11"/>
      <c r="V97" s="11"/>
      <c r="W97" s="11"/>
      <c r="X97" s="11"/>
      <c r="Y97" s="11"/>
      <c r="Z97" s="11"/>
      <c r="AA97" s="11"/>
      <c r="AB97" s="11"/>
      <c r="AC97" s="11"/>
      <c r="AD97" s="11"/>
      <c r="AE97" s="11"/>
      <c r="AF97" s="11"/>
    </row>
    <row r="98" spans="1:32">
      <c r="A98" s="1914"/>
      <c r="B98" s="1882" t="s">
        <v>1248</v>
      </c>
      <c r="C98" s="1882" t="s">
        <v>505</v>
      </c>
      <c r="D98" s="1935"/>
      <c r="E98" s="2229" t="s">
        <v>658</v>
      </c>
      <c r="F98" s="1936">
        <v>2239</v>
      </c>
      <c r="G98" s="1884" t="s">
        <v>3260</v>
      </c>
      <c r="H98" s="2484"/>
      <c r="I98" s="2484">
        <v>2000</v>
      </c>
      <c r="J98" s="3776">
        <v>534</v>
      </c>
      <c r="K98" s="1917"/>
      <c r="L98" s="1968"/>
      <c r="M98" s="1892">
        <v>2000</v>
      </c>
      <c r="N98" s="43" t="s">
        <v>1190</v>
      </c>
      <c r="O98" s="43"/>
      <c r="P98" s="1817" t="e">
        <f>INDEX(#REF!,MATCH(F98,#REF!,0),2)</f>
        <v>#REF!</v>
      </c>
      <c r="Q98" s="43"/>
      <c r="R98" s="4"/>
      <c r="S98" s="4"/>
      <c r="T98" s="4"/>
      <c r="U98" s="4"/>
      <c r="V98" s="4"/>
      <c r="W98" s="4"/>
      <c r="X98" s="4"/>
      <c r="Y98" s="4"/>
      <c r="Z98" s="4"/>
      <c r="AA98" s="4"/>
      <c r="AB98" s="4"/>
      <c r="AC98" s="4"/>
      <c r="AD98" s="4"/>
      <c r="AE98" s="4"/>
      <c r="AF98" s="4"/>
    </row>
    <row r="99" spans="1:32" ht="22.5">
      <c r="A99" s="1882"/>
      <c r="B99" s="1882" t="s">
        <v>1248</v>
      </c>
      <c r="C99" s="1882" t="s">
        <v>505</v>
      </c>
      <c r="D99" s="1935"/>
      <c r="E99" s="2229" t="s">
        <v>658</v>
      </c>
      <c r="F99" s="1936">
        <v>2239</v>
      </c>
      <c r="G99" s="1884" t="s">
        <v>3767</v>
      </c>
      <c r="H99" s="2484"/>
      <c r="I99" s="2484">
        <v>496.58400000000006</v>
      </c>
      <c r="J99" s="3776">
        <v>122.38</v>
      </c>
      <c r="K99" s="1917"/>
      <c r="L99" s="1968"/>
      <c r="M99" s="1892">
        <v>250</v>
      </c>
      <c r="N99" s="43" t="s">
        <v>2468</v>
      </c>
      <c r="O99" s="1779"/>
      <c r="P99" s="1817" t="e">
        <f>INDEX(#REF!,MATCH(F99,#REF!,0),2)</f>
        <v>#REF!</v>
      </c>
      <c r="Q99" s="1779"/>
      <c r="R99" s="11"/>
      <c r="S99" s="11"/>
      <c r="T99" s="11"/>
      <c r="U99" s="11"/>
      <c r="V99" s="11"/>
      <c r="W99" s="11"/>
      <c r="X99" s="11"/>
      <c r="Y99" s="11"/>
      <c r="Z99" s="11"/>
      <c r="AA99" s="11"/>
      <c r="AB99" s="11"/>
      <c r="AC99" s="11"/>
      <c r="AD99" s="11"/>
      <c r="AE99" s="11"/>
      <c r="AF99" s="11"/>
    </row>
    <row r="100" spans="1:32" ht="22.5">
      <c r="A100" s="2790"/>
      <c r="B100" s="1882" t="s">
        <v>1248</v>
      </c>
      <c r="C100" s="1882" t="s">
        <v>505</v>
      </c>
      <c r="D100" s="1935"/>
      <c r="E100" s="2229" t="s">
        <v>658</v>
      </c>
      <c r="F100" s="1936">
        <v>2239</v>
      </c>
      <c r="G100" s="1884" t="s">
        <v>5245</v>
      </c>
      <c r="H100" s="2799"/>
      <c r="I100" s="2799"/>
      <c r="J100" s="3778"/>
      <c r="K100" s="2777"/>
      <c r="L100" s="2778"/>
      <c r="M100" s="2779">
        <v>100</v>
      </c>
      <c r="N100" s="43" t="s">
        <v>247</v>
      </c>
      <c r="O100" s="1779"/>
      <c r="P100" s="1817"/>
      <c r="Q100" s="1779"/>
      <c r="R100" s="11"/>
      <c r="S100" s="11"/>
      <c r="T100" s="11"/>
      <c r="U100" s="11"/>
      <c r="V100" s="11"/>
      <c r="W100" s="11"/>
      <c r="X100" s="11"/>
      <c r="Y100" s="11"/>
      <c r="Z100" s="11"/>
      <c r="AA100" s="11"/>
      <c r="AB100" s="11"/>
      <c r="AC100" s="11"/>
      <c r="AD100" s="11"/>
      <c r="AE100" s="11"/>
      <c r="AF100" s="11"/>
    </row>
    <row r="101" spans="1:32" ht="45">
      <c r="A101" s="1914"/>
      <c r="B101" s="1882" t="s">
        <v>1248</v>
      </c>
      <c r="C101" s="1882" t="s">
        <v>505</v>
      </c>
      <c r="D101" s="1935"/>
      <c r="E101" s="2229" t="s">
        <v>658</v>
      </c>
      <c r="F101" s="1936">
        <v>2239</v>
      </c>
      <c r="G101" s="1884" t="s">
        <v>905</v>
      </c>
      <c r="H101" s="2484"/>
      <c r="I101" s="2484">
        <v>0</v>
      </c>
      <c r="J101" s="3776"/>
      <c r="K101" s="1917"/>
      <c r="L101" s="1968"/>
      <c r="M101" s="1892">
        <v>0</v>
      </c>
      <c r="N101" s="43" t="s">
        <v>1190</v>
      </c>
      <c r="O101" s="1779"/>
      <c r="P101" s="1817" t="e">
        <f>INDEX(#REF!,MATCH(F101,#REF!,0),2)</f>
        <v>#REF!</v>
      </c>
      <c r="Q101" s="1779"/>
      <c r="R101" s="11"/>
      <c r="S101" s="11"/>
      <c r="T101" s="11"/>
      <c r="U101" s="11"/>
      <c r="V101" s="11"/>
      <c r="W101" s="11"/>
      <c r="X101" s="11"/>
      <c r="Y101" s="11"/>
      <c r="Z101" s="11"/>
      <c r="AA101" s="11"/>
      <c r="AB101" s="11"/>
      <c r="AC101" s="11"/>
      <c r="AD101" s="11"/>
      <c r="AE101" s="11"/>
      <c r="AF101" s="11"/>
    </row>
    <row r="102" spans="1:32" ht="22.5">
      <c r="A102" s="1882"/>
      <c r="B102" s="1882" t="s">
        <v>1248</v>
      </c>
      <c r="C102" s="1882" t="s">
        <v>505</v>
      </c>
      <c r="D102" s="1935"/>
      <c r="E102" s="2229" t="s">
        <v>658</v>
      </c>
      <c r="F102" s="1936">
        <v>2239</v>
      </c>
      <c r="G102" s="1884" t="s">
        <v>3765</v>
      </c>
      <c r="H102" s="2484"/>
      <c r="I102" s="2484">
        <v>4300</v>
      </c>
      <c r="J102" s="3776">
        <v>3146</v>
      </c>
      <c r="K102" s="1917"/>
      <c r="L102" s="1968"/>
      <c r="M102" s="1892">
        <v>5500</v>
      </c>
      <c r="N102" s="43" t="s">
        <v>1187</v>
      </c>
      <c r="O102" s="43"/>
      <c r="P102" s="1817" t="e">
        <f>INDEX(#REF!,MATCH(F102,#REF!,0),2)</f>
        <v>#REF!</v>
      </c>
      <c r="Q102" s="43"/>
      <c r="R102" s="4"/>
      <c r="S102" s="4"/>
      <c r="T102" s="4"/>
      <c r="U102" s="4"/>
      <c r="V102" s="4"/>
      <c r="W102" s="4"/>
      <c r="X102" s="4"/>
      <c r="Y102" s="4"/>
      <c r="Z102" s="4"/>
      <c r="AA102" s="4"/>
      <c r="AB102" s="4"/>
      <c r="AC102" s="4"/>
      <c r="AD102" s="4"/>
      <c r="AE102" s="4"/>
      <c r="AF102" s="4"/>
    </row>
    <row r="103" spans="1:32">
      <c r="A103" s="1882"/>
      <c r="B103" s="1882" t="s">
        <v>1248</v>
      </c>
      <c r="C103" s="1882" t="s">
        <v>505</v>
      </c>
      <c r="D103" s="1935"/>
      <c r="E103" s="2229" t="s">
        <v>658</v>
      </c>
      <c r="F103" s="1936">
        <v>2239</v>
      </c>
      <c r="G103" s="1884" t="s">
        <v>2955</v>
      </c>
      <c r="H103" s="2484"/>
      <c r="I103" s="2484">
        <v>3000</v>
      </c>
      <c r="J103" s="3776"/>
      <c r="K103" s="1917"/>
      <c r="L103" s="1968"/>
      <c r="M103" s="1892">
        <v>3000</v>
      </c>
      <c r="N103" s="43"/>
      <c r="O103" s="43"/>
      <c r="P103" s="1817" t="e">
        <f>INDEX(#REF!,MATCH(F103,#REF!,0),2)</f>
        <v>#REF!</v>
      </c>
      <c r="Q103" s="43"/>
      <c r="R103" s="4"/>
      <c r="S103" s="4"/>
      <c r="T103" s="4"/>
      <c r="U103" s="4"/>
      <c r="V103" s="4"/>
      <c r="W103" s="4"/>
      <c r="X103" s="4"/>
      <c r="Y103" s="4"/>
      <c r="Z103" s="4"/>
      <c r="AA103" s="4"/>
      <c r="AB103" s="4"/>
      <c r="AC103" s="4"/>
      <c r="AD103" s="4"/>
      <c r="AE103" s="4"/>
      <c r="AF103" s="4"/>
    </row>
    <row r="104" spans="1:32" ht="29.25" customHeight="1">
      <c r="A104" s="1882"/>
      <c r="B104" s="1882" t="s">
        <v>1248</v>
      </c>
      <c r="C104" s="1882" t="s">
        <v>505</v>
      </c>
      <c r="D104" s="1935"/>
      <c r="E104" s="2229" t="s">
        <v>658</v>
      </c>
      <c r="F104" s="1936">
        <v>2239</v>
      </c>
      <c r="G104" s="1884" t="s">
        <v>2509</v>
      </c>
      <c r="H104" s="2484"/>
      <c r="I104" s="2484">
        <v>1500</v>
      </c>
      <c r="J104" s="3776">
        <v>315</v>
      </c>
      <c r="K104" s="1917"/>
      <c r="L104" s="1968"/>
      <c r="M104" s="1892">
        <v>1500</v>
      </c>
      <c r="N104" s="43" t="s">
        <v>1189</v>
      </c>
      <c r="O104" s="43"/>
      <c r="P104" s="1817" t="e">
        <f>INDEX(#REF!,MATCH(F104,#REF!,0),2)</f>
        <v>#REF!</v>
      </c>
      <c r="Q104" s="43"/>
      <c r="R104" s="4"/>
      <c r="S104" s="4"/>
      <c r="T104" s="4"/>
      <c r="U104" s="4"/>
      <c r="V104" s="4"/>
      <c r="W104" s="4"/>
      <c r="X104" s="4"/>
      <c r="Y104" s="4"/>
      <c r="Z104" s="4"/>
      <c r="AA104" s="4"/>
      <c r="AB104" s="4"/>
      <c r="AC104" s="4"/>
      <c r="AD104" s="4"/>
      <c r="AE104" s="4"/>
      <c r="AF104" s="4"/>
    </row>
    <row r="105" spans="1:32">
      <c r="A105" s="1882"/>
      <c r="B105" s="1882" t="s">
        <v>1248</v>
      </c>
      <c r="C105" s="1882" t="s">
        <v>505</v>
      </c>
      <c r="D105" s="1935"/>
      <c r="E105" s="2229" t="s">
        <v>658</v>
      </c>
      <c r="F105" s="1936">
        <v>2239</v>
      </c>
      <c r="G105" s="1884" t="s">
        <v>242</v>
      </c>
      <c r="H105" s="2484"/>
      <c r="I105" s="2484">
        <v>150</v>
      </c>
      <c r="J105" s="3776"/>
      <c r="K105" s="1917"/>
      <c r="L105" s="1968"/>
      <c r="M105" s="1892">
        <v>100</v>
      </c>
      <c r="N105" s="43" t="s">
        <v>1189</v>
      </c>
      <c r="O105" s="43"/>
      <c r="P105" s="1817" t="e">
        <f>INDEX(#REF!,MATCH(F105,#REF!,0),2)</f>
        <v>#REF!</v>
      </c>
      <c r="Q105" s="43"/>
      <c r="R105" s="4"/>
      <c r="S105" s="4"/>
      <c r="T105" s="4"/>
      <c r="U105" s="4"/>
      <c r="V105" s="4"/>
      <c r="W105" s="4"/>
      <c r="X105" s="4"/>
      <c r="Y105" s="4"/>
      <c r="Z105" s="4"/>
      <c r="AA105" s="4"/>
      <c r="AB105" s="4"/>
      <c r="AC105" s="4"/>
      <c r="AD105" s="4"/>
      <c r="AE105" s="4"/>
      <c r="AF105" s="4"/>
    </row>
    <row r="106" spans="1:32">
      <c r="A106" s="1882"/>
      <c r="B106" s="1882" t="s">
        <v>1248</v>
      </c>
      <c r="C106" s="1882" t="s">
        <v>505</v>
      </c>
      <c r="D106" s="1935"/>
      <c r="E106" s="2229" t="s">
        <v>658</v>
      </c>
      <c r="F106" s="1936">
        <v>2239</v>
      </c>
      <c r="G106" s="1884" t="s">
        <v>2957</v>
      </c>
      <c r="H106" s="2484"/>
      <c r="I106" s="2484">
        <v>50</v>
      </c>
      <c r="J106" s="3776"/>
      <c r="K106" s="1917"/>
      <c r="L106" s="1968"/>
      <c r="M106" s="1892">
        <v>150</v>
      </c>
      <c r="N106" s="43" t="s">
        <v>3342</v>
      </c>
      <c r="O106" s="1779"/>
      <c r="P106" s="1817" t="e">
        <f>INDEX(#REF!,MATCH(F106,#REF!,0),2)</f>
        <v>#REF!</v>
      </c>
      <c r="Q106" s="1779"/>
      <c r="R106" s="11"/>
      <c r="S106" s="11"/>
      <c r="T106" s="11"/>
      <c r="U106" s="11"/>
      <c r="V106" s="11"/>
      <c r="W106" s="11"/>
      <c r="X106" s="11"/>
      <c r="Y106" s="11"/>
      <c r="Z106" s="11"/>
      <c r="AA106" s="11"/>
      <c r="AB106" s="11"/>
      <c r="AC106" s="11"/>
      <c r="AD106" s="11"/>
      <c r="AE106" s="11"/>
      <c r="AF106" s="11"/>
    </row>
    <row r="107" spans="1:32" ht="22.5">
      <c r="A107" s="1882"/>
      <c r="B107" s="1882" t="s">
        <v>1248</v>
      </c>
      <c r="C107" s="1882" t="s">
        <v>505</v>
      </c>
      <c r="D107" s="1935"/>
      <c r="E107" s="2229" t="s">
        <v>658</v>
      </c>
      <c r="F107" s="1936">
        <v>2239</v>
      </c>
      <c r="G107" s="1884" t="s">
        <v>1448</v>
      </c>
      <c r="H107" s="2484"/>
      <c r="I107" s="2484">
        <v>500</v>
      </c>
      <c r="J107" s="3776"/>
      <c r="K107" s="1917"/>
      <c r="L107" s="1968"/>
      <c r="M107" s="1892">
        <v>0</v>
      </c>
      <c r="N107" s="43"/>
      <c r="O107" s="1779"/>
      <c r="P107" s="1817" t="e">
        <f>INDEX(#REF!,MATCH(F107,#REF!,0),2)</f>
        <v>#REF!</v>
      </c>
      <c r="Q107" s="1779"/>
      <c r="R107" s="11"/>
      <c r="S107" s="11"/>
      <c r="T107" s="11"/>
      <c r="U107" s="11"/>
      <c r="V107" s="11"/>
      <c r="W107" s="11"/>
      <c r="X107" s="11"/>
      <c r="Y107" s="11"/>
      <c r="Z107" s="11"/>
      <c r="AA107" s="11"/>
      <c r="AB107" s="11"/>
      <c r="AC107" s="11"/>
      <c r="AD107" s="11"/>
      <c r="AE107" s="11"/>
      <c r="AF107" s="11"/>
    </row>
    <row r="108" spans="1:32">
      <c r="A108" s="1882"/>
      <c r="B108" s="1882" t="s">
        <v>1248</v>
      </c>
      <c r="C108" s="1882" t="s">
        <v>505</v>
      </c>
      <c r="D108" s="1935"/>
      <c r="E108" s="2229" t="s">
        <v>658</v>
      </c>
      <c r="F108" s="1936">
        <v>2239</v>
      </c>
      <c r="G108" s="1884" t="s">
        <v>1185</v>
      </c>
      <c r="H108" s="2484"/>
      <c r="I108" s="2484">
        <v>3000</v>
      </c>
      <c r="J108" s="3776">
        <v>511.40999999999997</v>
      </c>
      <c r="K108" s="1917"/>
      <c r="L108" s="1968"/>
      <c r="M108" s="1892">
        <v>3000</v>
      </c>
      <c r="N108" s="43"/>
      <c r="O108" s="1779"/>
      <c r="P108" s="1817" t="e">
        <f>INDEX(#REF!,MATCH(F108,#REF!,0),2)</f>
        <v>#REF!</v>
      </c>
      <c r="Q108" s="1779"/>
      <c r="R108" s="11"/>
      <c r="S108" s="11"/>
      <c r="T108" s="11"/>
      <c r="U108" s="11"/>
      <c r="V108" s="11"/>
      <c r="W108" s="11"/>
      <c r="X108" s="11"/>
      <c r="Y108" s="11"/>
      <c r="Z108" s="11"/>
      <c r="AA108" s="11"/>
      <c r="AB108" s="11"/>
      <c r="AC108" s="11"/>
      <c r="AD108" s="11"/>
      <c r="AE108" s="11"/>
      <c r="AF108" s="11"/>
    </row>
    <row r="109" spans="1:32">
      <c r="A109" s="1882"/>
      <c r="B109" s="1882" t="s">
        <v>1248</v>
      </c>
      <c r="C109" s="1882" t="s">
        <v>505</v>
      </c>
      <c r="D109" s="1935"/>
      <c r="E109" s="2229" t="s">
        <v>658</v>
      </c>
      <c r="F109" s="1936">
        <v>2239</v>
      </c>
      <c r="G109" s="1884" t="s">
        <v>722</v>
      </c>
      <c r="H109" s="2492"/>
      <c r="I109" s="2492">
        <v>500</v>
      </c>
      <c r="J109" s="3779"/>
      <c r="K109" s="1917"/>
      <c r="L109" s="1954"/>
      <c r="M109" s="1949">
        <v>500</v>
      </c>
      <c r="N109" s="43"/>
      <c r="O109" s="43"/>
      <c r="P109" s="1817" t="e">
        <f>INDEX(#REF!,MATCH(F109,#REF!,0),2)</f>
        <v>#REF!</v>
      </c>
      <c r="Q109" s="43"/>
      <c r="R109" s="43"/>
      <c r="S109" s="43"/>
      <c r="T109" s="43"/>
      <c r="U109" s="43"/>
      <c r="V109" s="43"/>
      <c r="W109" s="43"/>
      <c r="X109" s="43"/>
      <c r="Y109" s="43"/>
      <c r="Z109" s="43"/>
      <c r="AA109" s="43"/>
      <c r="AB109" s="43"/>
      <c r="AC109" s="43"/>
      <c r="AD109" s="43"/>
      <c r="AE109" s="43"/>
      <c r="AF109" s="43"/>
    </row>
    <row r="110" spans="1:32" ht="22.5">
      <c r="A110" s="1882"/>
      <c r="B110" s="1882" t="s">
        <v>1248</v>
      </c>
      <c r="C110" s="1882" t="s">
        <v>505</v>
      </c>
      <c r="D110" s="1935"/>
      <c r="E110" s="2229" t="s">
        <v>658</v>
      </c>
      <c r="F110" s="1936">
        <v>2239</v>
      </c>
      <c r="G110" s="1884" t="s">
        <v>3249</v>
      </c>
      <c r="H110" s="2492"/>
      <c r="I110" s="2492">
        <v>-500</v>
      </c>
      <c r="J110" s="3779"/>
      <c r="K110" s="1917"/>
      <c r="L110" s="1954"/>
      <c r="M110" s="1949"/>
      <c r="N110" s="43"/>
      <c r="O110" s="43"/>
      <c r="P110" s="1817" t="e">
        <f>INDEX(#REF!,MATCH(F110,#REF!,0),2)</f>
        <v>#REF!</v>
      </c>
      <c r="Q110" s="43"/>
      <c r="R110" s="43"/>
      <c r="S110" s="43"/>
      <c r="T110" s="43"/>
      <c r="U110" s="43"/>
      <c r="V110" s="43"/>
      <c r="W110" s="43"/>
      <c r="X110" s="43"/>
      <c r="Y110" s="43"/>
      <c r="Z110" s="43"/>
      <c r="AA110" s="43"/>
      <c r="AB110" s="43"/>
      <c r="AC110" s="43"/>
      <c r="AD110" s="43"/>
      <c r="AE110" s="43"/>
      <c r="AF110" s="43"/>
    </row>
    <row r="111" spans="1:32">
      <c r="A111" s="2238"/>
      <c r="B111" s="2238" t="s">
        <v>1248</v>
      </c>
      <c r="C111" s="2238" t="s">
        <v>505</v>
      </c>
      <c r="D111" s="2239">
        <v>110</v>
      </c>
      <c r="E111" s="2253" t="s">
        <v>658</v>
      </c>
      <c r="F111" s="2488">
        <v>2242</v>
      </c>
      <c r="G111" s="2489" t="s">
        <v>1194</v>
      </c>
      <c r="H111" s="2479">
        <v>4370</v>
      </c>
      <c r="I111" s="2480"/>
      <c r="J111" s="3775">
        <v>1332</v>
      </c>
      <c r="K111" s="1948"/>
      <c r="L111" s="2481">
        <v>4370</v>
      </c>
      <c r="M111" s="2483"/>
      <c r="N111" s="43"/>
      <c r="O111" s="43"/>
      <c r="P111" s="1817" t="e">
        <f>INDEX(#REF!,MATCH(F111,#REF!,0),2)</f>
        <v>#REF!</v>
      </c>
      <c r="Q111" s="43"/>
      <c r="R111" s="4"/>
      <c r="S111" s="4"/>
      <c r="T111" s="4"/>
      <c r="U111" s="4"/>
      <c r="V111" s="4"/>
      <c r="W111" s="4"/>
      <c r="X111" s="4"/>
      <c r="Y111" s="4"/>
      <c r="Z111" s="4"/>
      <c r="AA111" s="4"/>
      <c r="AB111" s="4"/>
      <c r="AC111" s="4"/>
      <c r="AD111" s="4"/>
      <c r="AE111" s="4"/>
      <c r="AF111" s="4"/>
    </row>
    <row r="112" spans="1:32">
      <c r="A112" s="1914"/>
      <c r="B112" s="1882" t="s">
        <v>1248</v>
      </c>
      <c r="C112" s="1882" t="s">
        <v>505</v>
      </c>
      <c r="D112" s="1935"/>
      <c r="E112" s="2229" t="s">
        <v>658</v>
      </c>
      <c r="F112" s="1936">
        <v>2242</v>
      </c>
      <c r="G112" s="1884" t="s">
        <v>2510</v>
      </c>
      <c r="H112" s="2484"/>
      <c r="I112" s="2484">
        <v>500</v>
      </c>
      <c r="J112" s="3776"/>
      <c r="K112" s="1917"/>
      <c r="L112" s="1968"/>
      <c r="M112" s="1892">
        <v>500</v>
      </c>
      <c r="N112" s="43"/>
      <c r="O112" s="43"/>
      <c r="P112" s="1817" t="e">
        <f>INDEX(#REF!,MATCH(F112,#REF!,0),2)</f>
        <v>#REF!</v>
      </c>
      <c r="Q112" s="43"/>
      <c r="R112" s="4"/>
      <c r="S112" s="4"/>
      <c r="T112" s="4"/>
      <c r="U112" s="4"/>
      <c r="V112" s="4"/>
      <c r="W112" s="4"/>
      <c r="X112" s="4"/>
      <c r="Y112" s="4"/>
      <c r="Z112" s="4"/>
      <c r="AA112" s="4"/>
      <c r="AB112" s="4"/>
      <c r="AC112" s="4"/>
      <c r="AD112" s="4"/>
      <c r="AE112" s="4"/>
      <c r="AF112" s="4"/>
    </row>
    <row r="113" spans="1:32">
      <c r="A113" s="1914"/>
      <c r="B113" s="1882" t="s">
        <v>1248</v>
      </c>
      <c r="C113" s="1882" t="s">
        <v>505</v>
      </c>
      <c r="D113" s="1935"/>
      <c r="E113" s="2229" t="s">
        <v>658</v>
      </c>
      <c r="F113" s="1936">
        <v>2242</v>
      </c>
      <c r="G113" s="1884" t="s">
        <v>5247</v>
      </c>
      <c r="H113" s="2484"/>
      <c r="I113" s="2484">
        <v>400</v>
      </c>
      <c r="J113" s="3776">
        <v>187</v>
      </c>
      <c r="K113" s="1917"/>
      <c r="L113" s="1968"/>
      <c r="M113" s="1892">
        <v>400</v>
      </c>
      <c r="N113" s="43"/>
      <c r="O113" s="43"/>
      <c r="P113" s="1817" t="e">
        <f>INDEX(#REF!,MATCH(F113,#REF!,0),2)</f>
        <v>#REF!</v>
      </c>
      <c r="Q113" s="43"/>
      <c r="R113" s="4"/>
      <c r="S113" s="4"/>
      <c r="T113" s="4"/>
      <c r="U113" s="4"/>
      <c r="V113" s="4"/>
      <c r="W113" s="4"/>
      <c r="X113" s="4"/>
      <c r="Y113" s="4"/>
      <c r="Z113" s="4"/>
      <c r="AA113" s="4"/>
      <c r="AB113" s="4"/>
      <c r="AC113" s="4"/>
      <c r="AD113" s="4"/>
      <c r="AE113" s="4"/>
      <c r="AF113" s="4"/>
    </row>
    <row r="114" spans="1:32">
      <c r="A114" s="1914"/>
      <c r="B114" s="1882" t="s">
        <v>1248</v>
      </c>
      <c r="C114" s="1882" t="s">
        <v>505</v>
      </c>
      <c r="D114" s="1935"/>
      <c r="E114" s="2229" t="s">
        <v>658</v>
      </c>
      <c r="F114" s="1936">
        <v>2242</v>
      </c>
      <c r="G114" s="1884" t="s">
        <v>2511</v>
      </c>
      <c r="H114" s="2484"/>
      <c r="I114" s="2484">
        <v>2500</v>
      </c>
      <c r="J114" s="3776"/>
      <c r="K114" s="1917"/>
      <c r="L114" s="1968"/>
      <c r="M114" s="1892">
        <v>2500</v>
      </c>
      <c r="N114" s="43"/>
      <c r="O114" s="43"/>
      <c r="P114" s="1817" t="e">
        <f>INDEX(#REF!,MATCH(F114,#REF!,0),2)</f>
        <v>#REF!</v>
      </c>
      <c r="Q114" s="43"/>
      <c r="R114" s="4"/>
      <c r="S114" s="4"/>
      <c r="T114" s="4"/>
      <c r="U114" s="4"/>
      <c r="V114" s="4"/>
      <c r="W114" s="4"/>
      <c r="X114" s="4"/>
      <c r="Y114" s="4"/>
      <c r="Z114" s="4"/>
      <c r="AA114" s="4"/>
      <c r="AB114" s="4"/>
      <c r="AC114" s="4"/>
      <c r="AD114" s="4"/>
      <c r="AE114" s="4"/>
      <c r="AF114" s="4"/>
    </row>
    <row r="115" spans="1:32">
      <c r="A115" s="1914"/>
      <c r="B115" s="1882" t="s">
        <v>1248</v>
      </c>
      <c r="C115" s="1882" t="s">
        <v>505</v>
      </c>
      <c r="D115" s="1935"/>
      <c r="E115" s="2229" t="s">
        <v>658</v>
      </c>
      <c r="F115" s="1936">
        <v>2242</v>
      </c>
      <c r="G115" s="1884" t="s">
        <v>2512</v>
      </c>
      <c r="H115" s="2484"/>
      <c r="I115" s="2484">
        <v>170</v>
      </c>
      <c r="J115" s="3776"/>
      <c r="K115" s="1917"/>
      <c r="L115" s="1968"/>
      <c r="M115" s="1892">
        <v>170</v>
      </c>
      <c r="N115" s="43"/>
      <c r="O115" s="43"/>
      <c r="P115" s="1817" t="e">
        <f>INDEX(#REF!,MATCH(F115,#REF!,0),2)</f>
        <v>#REF!</v>
      </c>
      <c r="Q115" s="43"/>
      <c r="R115" s="4"/>
      <c r="S115" s="4"/>
      <c r="T115" s="4"/>
      <c r="U115" s="4"/>
      <c r="V115" s="4"/>
      <c r="W115" s="4"/>
      <c r="X115" s="4"/>
      <c r="Y115" s="4"/>
      <c r="Z115" s="4"/>
      <c r="AA115" s="4"/>
      <c r="AB115" s="4"/>
      <c r="AC115" s="4"/>
      <c r="AD115" s="4"/>
      <c r="AE115" s="4"/>
      <c r="AF115" s="4"/>
    </row>
    <row r="116" spans="1:32">
      <c r="A116" s="1914"/>
      <c r="B116" s="1882" t="s">
        <v>1248</v>
      </c>
      <c r="C116" s="1882" t="s">
        <v>505</v>
      </c>
      <c r="D116" s="1935"/>
      <c r="E116" s="2229" t="s">
        <v>658</v>
      </c>
      <c r="F116" s="1936">
        <v>2242</v>
      </c>
      <c r="G116" s="1884" t="s">
        <v>2513</v>
      </c>
      <c r="H116" s="2484"/>
      <c r="I116" s="2484">
        <v>800</v>
      </c>
      <c r="J116" s="3776"/>
      <c r="K116" s="1917"/>
      <c r="L116" s="1968"/>
      <c r="M116" s="1892">
        <v>800</v>
      </c>
      <c r="N116" s="43"/>
      <c r="O116" s="43"/>
      <c r="P116" s="1817" t="e">
        <f>INDEX(#REF!,MATCH(F116,#REF!,0),2)</f>
        <v>#REF!</v>
      </c>
      <c r="Q116" s="43"/>
      <c r="R116" s="4"/>
      <c r="S116" s="4"/>
      <c r="T116" s="4"/>
      <c r="U116" s="4"/>
      <c r="V116" s="4"/>
      <c r="W116" s="4"/>
      <c r="X116" s="4"/>
      <c r="Y116" s="4"/>
      <c r="Z116" s="4"/>
      <c r="AA116" s="4"/>
      <c r="AB116" s="4"/>
      <c r="AC116" s="4"/>
      <c r="AD116" s="4"/>
      <c r="AE116" s="4"/>
      <c r="AF116" s="4"/>
    </row>
    <row r="117" spans="1:32">
      <c r="A117" s="2589"/>
      <c r="B117" s="1882" t="s">
        <v>1248</v>
      </c>
      <c r="C117" s="1882" t="s">
        <v>505</v>
      </c>
      <c r="D117" s="1935"/>
      <c r="E117" s="2229" t="s">
        <v>658</v>
      </c>
      <c r="F117" s="1936">
        <v>2242</v>
      </c>
      <c r="G117" s="2590" t="s">
        <v>3465</v>
      </c>
      <c r="H117" s="2591"/>
      <c r="I117" s="2591"/>
      <c r="J117" s="3780"/>
      <c r="K117" s="2593"/>
      <c r="L117" s="2594"/>
      <c r="M117" s="2592">
        <v>0</v>
      </c>
      <c r="N117" s="43"/>
      <c r="O117" s="43"/>
      <c r="P117" s="1817"/>
      <c r="Q117" s="43"/>
      <c r="R117" s="4"/>
      <c r="S117" s="4"/>
      <c r="T117" s="4"/>
      <c r="U117" s="4"/>
      <c r="V117" s="4"/>
      <c r="W117" s="4"/>
      <c r="X117" s="4"/>
      <c r="Y117" s="4"/>
      <c r="Z117" s="4"/>
      <c r="AA117" s="4"/>
      <c r="AB117" s="4"/>
      <c r="AC117" s="4"/>
      <c r="AD117" s="4"/>
      <c r="AE117" s="4"/>
      <c r="AF117" s="4"/>
    </row>
    <row r="118" spans="1:32" ht="22.5">
      <c r="A118" s="2238"/>
      <c r="B118" s="2238" t="s">
        <v>1248</v>
      </c>
      <c r="C118" s="2238" t="s">
        <v>505</v>
      </c>
      <c r="D118" s="2239">
        <v>110</v>
      </c>
      <c r="E118" s="2253" t="s">
        <v>658</v>
      </c>
      <c r="F118" s="1945">
        <v>2243</v>
      </c>
      <c r="G118" s="1946" t="s">
        <v>238</v>
      </c>
      <c r="H118" s="2479">
        <v>400</v>
      </c>
      <c r="I118" s="2480"/>
      <c r="J118" s="3775">
        <v>79</v>
      </c>
      <c r="K118" s="1948"/>
      <c r="L118" s="2481">
        <v>350</v>
      </c>
      <c r="M118" s="2582"/>
      <c r="N118" s="43"/>
      <c r="O118" s="43"/>
      <c r="P118" s="1817" t="e">
        <f>INDEX(#REF!,MATCH(F118,#REF!,0),2)</f>
        <v>#REF!</v>
      </c>
      <c r="Q118" s="43"/>
      <c r="R118" s="4"/>
      <c r="S118" s="4"/>
      <c r="T118" s="4"/>
      <c r="U118" s="4"/>
      <c r="V118" s="4"/>
      <c r="W118" s="4"/>
      <c r="X118" s="4"/>
      <c r="Y118" s="4"/>
      <c r="Z118" s="4"/>
      <c r="AA118" s="4"/>
      <c r="AB118" s="4"/>
      <c r="AC118" s="4"/>
      <c r="AD118" s="4"/>
      <c r="AE118" s="4"/>
      <c r="AF118" s="4"/>
    </row>
    <row r="119" spans="1:32" ht="33.75">
      <c r="A119" s="1914"/>
      <c r="B119" s="1882" t="s">
        <v>1248</v>
      </c>
      <c r="C119" s="1882" t="s">
        <v>505</v>
      </c>
      <c r="D119" s="1935"/>
      <c r="E119" s="2229" t="s">
        <v>658</v>
      </c>
      <c r="F119" s="1936">
        <v>2243</v>
      </c>
      <c r="G119" s="1884" t="s">
        <v>729</v>
      </c>
      <c r="H119" s="2484"/>
      <c r="I119" s="2484">
        <v>100</v>
      </c>
      <c r="J119" s="3776"/>
      <c r="K119" s="1917"/>
      <c r="L119" s="1892"/>
      <c r="M119" s="1892">
        <v>150</v>
      </c>
      <c r="N119" s="43"/>
      <c r="O119" s="4"/>
      <c r="P119" s="1817" t="e">
        <f>INDEX(#REF!,MATCH(F119,#REF!,0),2)</f>
        <v>#REF!</v>
      </c>
      <c r="Q119" s="4"/>
      <c r="R119" s="4"/>
      <c r="S119" s="4"/>
      <c r="T119" s="4"/>
      <c r="U119" s="4"/>
      <c r="V119" s="4"/>
      <c r="W119" s="4"/>
      <c r="X119" s="4"/>
      <c r="Y119" s="4"/>
      <c r="Z119" s="4"/>
      <c r="AA119" s="4"/>
      <c r="AB119" s="4"/>
      <c r="AC119" s="4"/>
      <c r="AD119" s="4"/>
      <c r="AE119" s="4"/>
      <c r="AF119" s="4"/>
    </row>
    <row r="120" spans="1:32">
      <c r="A120" s="1914"/>
      <c r="B120" s="1882" t="s">
        <v>1248</v>
      </c>
      <c r="C120" s="1882" t="s">
        <v>505</v>
      </c>
      <c r="D120" s="1935"/>
      <c r="E120" s="2229" t="s">
        <v>658</v>
      </c>
      <c r="F120" s="1936">
        <v>2243</v>
      </c>
      <c r="G120" s="1884" t="s">
        <v>885</v>
      </c>
      <c r="H120" s="2484"/>
      <c r="I120" s="2484">
        <v>100</v>
      </c>
      <c r="J120" s="3776"/>
      <c r="K120" s="1917"/>
      <c r="L120" s="1892"/>
      <c r="M120" s="1892">
        <v>150</v>
      </c>
      <c r="N120" s="43"/>
      <c r="O120" s="1779"/>
      <c r="P120" s="1817" t="e">
        <f>INDEX(#REF!,MATCH(F120,#REF!,0),2)</f>
        <v>#REF!</v>
      </c>
      <c r="Q120" s="1779"/>
      <c r="R120" s="11"/>
      <c r="S120" s="11"/>
      <c r="T120" s="11"/>
      <c r="U120" s="11"/>
      <c r="V120" s="11"/>
      <c r="W120" s="11"/>
      <c r="X120" s="11"/>
      <c r="Y120" s="11"/>
      <c r="Z120" s="11"/>
      <c r="AA120" s="11"/>
      <c r="AB120" s="11"/>
      <c r="AC120" s="11"/>
      <c r="AD120" s="11"/>
      <c r="AE120" s="11"/>
      <c r="AF120" s="11"/>
    </row>
    <row r="121" spans="1:32">
      <c r="A121" s="1914"/>
      <c r="B121" s="1882" t="s">
        <v>1248</v>
      </c>
      <c r="C121" s="1882" t="s">
        <v>505</v>
      </c>
      <c r="D121" s="1935"/>
      <c r="E121" s="2229" t="s">
        <v>658</v>
      </c>
      <c r="F121" s="1936">
        <v>2243</v>
      </c>
      <c r="G121" s="1884" t="s">
        <v>5248</v>
      </c>
      <c r="H121" s="2484"/>
      <c r="I121" s="2484">
        <v>200</v>
      </c>
      <c r="J121" s="3776"/>
      <c r="K121" s="1917"/>
      <c r="L121" s="1892"/>
      <c r="M121" s="1892">
        <v>50</v>
      </c>
      <c r="N121" s="43"/>
      <c r="O121" s="1779"/>
      <c r="P121" s="1817" t="e">
        <f>INDEX(#REF!,MATCH(F121,#REF!,0),2)</f>
        <v>#REF!</v>
      </c>
      <c r="Q121" s="1779"/>
      <c r="R121" s="11"/>
      <c r="S121" s="11"/>
      <c r="T121" s="11"/>
      <c r="U121" s="11"/>
      <c r="V121" s="11"/>
      <c r="W121" s="11"/>
      <c r="X121" s="11"/>
      <c r="Y121" s="11"/>
      <c r="Z121" s="11"/>
      <c r="AA121" s="11"/>
      <c r="AB121" s="11"/>
      <c r="AC121" s="11"/>
      <c r="AD121" s="11"/>
      <c r="AE121" s="11"/>
      <c r="AF121" s="11"/>
    </row>
    <row r="122" spans="1:32">
      <c r="A122" s="2238"/>
      <c r="B122" s="2238" t="s">
        <v>1248</v>
      </c>
      <c r="C122" s="2238" t="s">
        <v>505</v>
      </c>
      <c r="D122" s="2239">
        <v>110</v>
      </c>
      <c r="E122" s="2253" t="s">
        <v>658</v>
      </c>
      <c r="F122" s="2488">
        <v>2244</v>
      </c>
      <c r="G122" s="2489" t="s">
        <v>518</v>
      </c>
      <c r="H122" s="2479">
        <v>2200</v>
      </c>
      <c r="I122" s="2480"/>
      <c r="J122" s="3775">
        <v>695</v>
      </c>
      <c r="K122" s="1948"/>
      <c r="L122" s="2481">
        <v>2000</v>
      </c>
      <c r="M122" s="2582"/>
      <c r="N122" s="1354"/>
      <c r="O122" s="43"/>
      <c r="P122" s="1817" t="e">
        <f>INDEX(#REF!,MATCH(F122,#REF!,0),2)</f>
        <v>#REF!</v>
      </c>
      <c r="Q122" s="43"/>
      <c r="R122" s="4"/>
      <c r="S122" s="4"/>
      <c r="T122" s="4"/>
      <c r="U122" s="4"/>
      <c r="V122" s="4"/>
      <c r="W122" s="4"/>
      <c r="X122" s="4"/>
      <c r="Y122" s="4"/>
      <c r="Z122" s="4"/>
      <c r="AA122" s="4"/>
      <c r="AB122" s="4"/>
      <c r="AC122" s="4"/>
      <c r="AD122" s="4"/>
      <c r="AE122" s="4"/>
      <c r="AF122" s="4"/>
    </row>
    <row r="123" spans="1:32">
      <c r="A123" s="1914"/>
      <c r="B123" s="1882" t="s">
        <v>1248</v>
      </c>
      <c r="C123" s="1882" t="s">
        <v>505</v>
      </c>
      <c r="D123" s="1935"/>
      <c r="E123" s="2229" t="s">
        <v>658</v>
      </c>
      <c r="F123" s="1936">
        <v>2244</v>
      </c>
      <c r="G123" s="1913" t="s">
        <v>5249</v>
      </c>
      <c r="H123" s="2484"/>
      <c r="I123" s="2484">
        <v>2000</v>
      </c>
      <c r="J123" s="3776"/>
      <c r="K123" s="1917"/>
      <c r="L123" s="1892"/>
      <c r="M123" s="1892">
        <v>2000</v>
      </c>
      <c r="N123" s="43"/>
      <c r="O123" s="43"/>
      <c r="P123" s="1817" t="e">
        <f>INDEX(#REF!,MATCH(F123,#REF!,0),2)</f>
        <v>#REF!</v>
      </c>
      <c r="Q123" s="43"/>
      <c r="R123" s="4"/>
      <c r="S123" s="4"/>
      <c r="T123" s="4"/>
      <c r="U123" s="4"/>
      <c r="V123" s="4"/>
      <c r="W123" s="4"/>
      <c r="X123" s="4"/>
      <c r="Y123" s="4"/>
      <c r="Z123" s="4"/>
      <c r="AA123" s="4"/>
      <c r="AB123" s="4"/>
      <c r="AC123" s="4"/>
      <c r="AD123" s="4"/>
      <c r="AE123" s="4"/>
      <c r="AF123" s="4"/>
    </row>
    <row r="124" spans="1:32">
      <c r="A124" s="1914"/>
      <c r="B124" s="1882" t="s">
        <v>1248</v>
      </c>
      <c r="C124" s="1882" t="s">
        <v>505</v>
      </c>
      <c r="D124" s="1935"/>
      <c r="E124" s="2229" t="s">
        <v>658</v>
      </c>
      <c r="F124" s="1936">
        <v>2244</v>
      </c>
      <c r="G124" s="2493" t="s">
        <v>1193</v>
      </c>
      <c r="H124" s="2484"/>
      <c r="I124" s="2484">
        <v>200</v>
      </c>
      <c r="J124" s="3776"/>
      <c r="K124" s="1917"/>
      <c r="L124" s="1892"/>
      <c r="M124" s="1892"/>
      <c r="N124" s="43"/>
      <c r="O124" s="43"/>
      <c r="P124" s="1817" t="e">
        <f>INDEX(#REF!,MATCH(F124,#REF!,0),2)</f>
        <v>#REF!</v>
      </c>
      <c r="Q124" s="43"/>
      <c r="R124" s="4"/>
      <c r="S124" s="4"/>
      <c r="T124" s="4"/>
      <c r="U124" s="4"/>
      <c r="V124" s="4"/>
      <c r="W124" s="4"/>
      <c r="X124" s="4"/>
      <c r="Y124" s="4"/>
      <c r="Z124" s="4"/>
      <c r="AA124" s="4"/>
      <c r="AB124" s="4"/>
      <c r="AC124" s="4"/>
      <c r="AD124" s="4"/>
      <c r="AE124" s="4"/>
      <c r="AF124" s="4"/>
    </row>
    <row r="125" spans="1:32">
      <c r="A125" s="2238"/>
      <c r="B125" s="2238" t="s">
        <v>1248</v>
      </c>
      <c r="C125" s="2238" t="s">
        <v>505</v>
      </c>
      <c r="D125" s="2239">
        <v>110</v>
      </c>
      <c r="E125" s="2253" t="s">
        <v>658</v>
      </c>
      <c r="F125" s="2488">
        <v>2247</v>
      </c>
      <c r="G125" s="2489" t="s">
        <v>281</v>
      </c>
      <c r="H125" s="2479">
        <v>5137</v>
      </c>
      <c r="I125" s="2480"/>
      <c r="J125" s="3775"/>
      <c r="K125" s="1948"/>
      <c r="L125" s="2481">
        <v>5000</v>
      </c>
      <c r="M125" s="2582"/>
      <c r="N125" s="43"/>
      <c r="O125" s="43"/>
      <c r="P125" s="1817" t="e">
        <f>INDEX(#REF!,MATCH(F125,#REF!,0),2)</f>
        <v>#REF!</v>
      </c>
      <c r="Q125" s="43"/>
      <c r="R125" s="4"/>
      <c r="S125" s="4"/>
      <c r="T125" s="4"/>
      <c r="U125" s="4"/>
      <c r="V125" s="4"/>
      <c r="W125" s="4"/>
      <c r="X125" s="4"/>
      <c r="Y125" s="4"/>
      <c r="Z125" s="4"/>
      <c r="AA125" s="4"/>
      <c r="AB125" s="4"/>
      <c r="AC125" s="4"/>
      <c r="AD125" s="4"/>
      <c r="AE125" s="4"/>
      <c r="AF125" s="4"/>
    </row>
    <row r="126" spans="1:32">
      <c r="A126" s="1914"/>
      <c r="B126" s="1882" t="s">
        <v>1248</v>
      </c>
      <c r="C126" s="1882" t="s">
        <v>505</v>
      </c>
      <c r="D126" s="1935"/>
      <c r="E126" s="2229" t="s">
        <v>658</v>
      </c>
      <c r="F126" s="1936">
        <v>2247</v>
      </c>
      <c r="G126" s="1884" t="s">
        <v>2492</v>
      </c>
      <c r="H126" s="2484"/>
      <c r="I126" s="2484">
        <v>5000</v>
      </c>
      <c r="J126" s="3776"/>
      <c r="K126" s="1917"/>
      <c r="L126" s="1892"/>
      <c r="M126" s="1892">
        <v>5000</v>
      </c>
      <c r="N126" s="43"/>
      <c r="O126" s="43"/>
      <c r="P126" s="1817" t="e">
        <f>INDEX(#REF!,MATCH(F126,#REF!,0),2)</f>
        <v>#REF!</v>
      </c>
      <c r="Q126" s="43"/>
      <c r="R126" s="4"/>
      <c r="S126" s="4"/>
      <c r="T126" s="4"/>
      <c r="U126" s="4"/>
      <c r="V126" s="4"/>
      <c r="W126" s="4"/>
      <c r="X126" s="4"/>
      <c r="Y126" s="4"/>
      <c r="Z126" s="4"/>
      <c r="AA126" s="4"/>
      <c r="AB126" s="4"/>
      <c r="AC126" s="4"/>
      <c r="AD126" s="4"/>
      <c r="AE126" s="4"/>
      <c r="AF126" s="4"/>
    </row>
    <row r="127" spans="1:32">
      <c r="A127" s="1914"/>
      <c r="B127" s="1882" t="s">
        <v>1248</v>
      </c>
      <c r="C127" s="1882" t="s">
        <v>505</v>
      </c>
      <c r="D127" s="1935"/>
      <c r="E127" s="2229" t="s">
        <v>658</v>
      </c>
      <c r="F127" s="1936">
        <v>2247</v>
      </c>
      <c r="G127" s="1884" t="s">
        <v>2493</v>
      </c>
      <c r="H127" s="2484"/>
      <c r="I127" s="2484">
        <v>137</v>
      </c>
      <c r="J127" s="3776">
        <v>210</v>
      </c>
      <c r="K127" s="1917"/>
      <c r="L127" s="1892"/>
      <c r="M127" s="1892"/>
      <c r="N127" s="43"/>
      <c r="O127" s="43"/>
      <c r="P127" s="1817" t="e">
        <f>INDEX(#REF!,MATCH(F127,#REF!,0),2)</f>
        <v>#REF!</v>
      </c>
      <c r="Q127" s="43"/>
      <c r="R127" s="4"/>
      <c r="S127" s="4"/>
      <c r="T127" s="4"/>
      <c r="U127" s="4"/>
      <c r="V127" s="4"/>
      <c r="W127" s="4"/>
      <c r="X127" s="4"/>
      <c r="Y127" s="4"/>
      <c r="Z127" s="4"/>
      <c r="AA127" s="4"/>
      <c r="AB127" s="4"/>
      <c r="AC127" s="4"/>
      <c r="AD127" s="4"/>
      <c r="AE127" s="4"/>
      <c r="AF127" s="4"/>
    </row>
    <row r="128" spans="1:32">
      <c r="A128" s="2238"/>
      <c r="B128" s="2238" t="s">
        <v>1248</v>
      </c>
      <c r="C128" s="2238" t="s">
        <v>507</v>
      </c>
      <c r="D128" s="2239">
        <v>110</v>
      </c>
      <c r="E128" s="2253" t="s">
        <v>658</v>
      </c>
      <c r="F128" s="2488">
        <v>2250</v>
      </c>
      <c r="G128" s="1946" t="s">
        <v>1254</v>
      </c>
      <c r="H128" s="2479">
        <v>1044</v>
      </c>
      <c r="I128" s="2480"/>
      <c r="J128" s="3775">
        <v>1035</v>
      </c>
      <c r="K128" s="1948"/>
      <c r="L128" s="2481">
        <v>800</v>
      </c>
      <c r="M128" s="2582"/>
      <c r="N128" s="43"/>
      <c r="O128" s="43"/>
      <c r="P128" s="1817" t="e">
        <f>INDEX(#REF!,MATCH(F128,#REF!,0),2)</f>
        <v>#REF!</v>
      </c>
      <c r="Q128" s="43"/>
      <c r="R128" s="43"/>
      <c r="S128" s="43"/>
      <c r="T128" s="43"/>
      <c r="U128" s="43"/>
      <c r="V128" s="43"/>
      <c r="W128" s="43"/>
      <c r="X128" s="43"/>
      <c r="Y128" s="43"/>
      <c r="Z128" s="43"/>
      <c r="AA128" s="43"/>
      <c r="AB128" s="43"/>
      <c r="AC128" s="43"/>
      <c r="AD128" s="43"/>
      <c r="AE128" s="43"/>
      <c r="AF128" s="43"/>
    </row>
    <row r="129" spans="1:32">
      <c r="A129" s="1882"/>
      <c r="B129" s="1882" t="s">
        <v>1248</v>
      </c>
      <c r="C129" s="1882" t="s">
        <v>507</v>
      </c>
      <c r="D129" s="1935"/>
      <c r="E129" s="2229" t="s">
        <v>658</v>
      </c>
      <c r="F129" s="1936">
        <v>2250</v>
      </c>
      <c r="G129" s="1884" t="s">
        <v>1299</v>
      </c>
      <c r="H129" s="2484"/>
      <c r="I129" s="2484">
        <v>544</v>
      </c>
      <c r="J129" s="3776"/>
      <c r="K129" s="1917"/>
      <c r="L129" s="1892"/>
      <c r="M129" s="1892">
        <v>800</v>
      </c>
      <c r="N129" s="43" t="s">
        <v>1188</v>
      </c>
      <c r="O129" s="43"/>
      <c r="P129" s="1817" t="e">
        <f>INDEX(#REF!,MATCH(F129,#REF!,0),2)</f>
        <v>#REF!</v>
      </c>
      <c r="Q129" s="43"/>
      <c r="R129" s="43"/>
      <c r="S129" s="43"/>
      <c r="T129" s="43"/>
      <c r="U129" s="43"/>
      <c r="V129" s="43"/>
      <c r="W129" s="43"/>
      <c r="X129" s="43"/>
      <c r="Y129" s="43"/>
      <c r="Z129" s="43"/>
      <c r="AA129" s="43"/>
      <c r="AB129" s="43"/>
      <c r="AC129" s="43"/>
      <c r="AD129" s="43"/>
      <c r="AE129" s="43"/>
      <c r="AF129" s="43"/>
    </row>
    <row r="130" spans="1:32">
      <c r="A130" s="1882"/>
      <c r="B130" s="1882" t="s">
        <v>1248</v>
      </c>
      <c r="C130" s="1882" t="s">
        <v>507</v>
      </c>
      <c r="D130" s="1935"/>
      <c r="E130" s="2229" t="s">
        <v>658</v>
      </c>
      <c r="F130" s="1936">
        <v>2250</v>
      </c>
      <c r="G130" s="1884" t="s">
        <v>1014</v>
      </c>
      <c r="H130" s="2484"/>
      <c r="I130" s="2484">
        <v>500</v>
      </c>
      <c r="J130" s="3776"/>
      <c r="K130" s="1917"/>
      <c r="L130" s="1892"/>
      <c r="M130" s="1892"/>
      <c r="N130" s="43"/>
      <c r="O130" s="43"/>
      <c r="P130" s="1817" t="e">
        <f>INDEX(#REF!,MATCH(F130,#REF!,0),2)</f>
        <v>#REF!</v>
      </c>
      <c r="Q130" s="43"/>
      <c r="R130" s="43"/>
      <c r="S130" s="43"/>
      <c r="T130" s="43"/>
      <c r="U130" s="43"/>
      <c r="V130" s="43"/>
      <c r="W130" s="43"/>
      <c r="X130" s="43"/>
      <c r="Y130" s="43"/>
      <c r="Z130" s="43"/>
      <c r="AA130" s="43"/>
      <c r="AB130" s="43"/>
      <c r="AC130" s="43"/>
      <c r="AD130" s="43"/>
      <c r="AE130" s="43"/>
      <c r="AF130" s="43"/>
    </row>
    <row r="131" spans="1:32">
      <c r="A131" s="2238"/>
      <c r="B131" s="2238" t="s">
        <v>1248</v>
      </c>
      <c r="C131" s="2238" t="s">
        <v>505</v>
      </c>
      <c r="D131" s="2239">
        <v>110</v>
      </c>
      <c r="E131" s="2253" t="s">
        <v>658</v>
      </c>
      <c r="F131" s="2488">
        <v>2263</v>
      </c>
      <c r="G131" s="2489" t="s">
        <v>400</v>
      </c>
      <c r="H131" s="2479">
        <v>2000</v>
      </c>
      <c r="I131" s="2480"/>
      <c r="J131" s="3775">
        <v>360</v>
      </c>
      <c r="K131" s="1948"/>
      <c r="L131" s="2481">
        <v>2000</v>
      </c>
      <c r="M131" s="2582"/>
      <c r="N131" s="43"/>
      <c r="O131" s="43"/>
      <c r="P131" s="1817" t="e">
        <f>INDEX(#REF!,MATCH(F131,#REF!,0),2)</f>
        <v>#REF!</v>
      </c>
      <c r="Q131" s="43"/>
      <c r="R131" s="4"/>
      <c r="S131" s="4"/>
      <c r="T131" s="4"/>
      <c r="U131" s="4"/>
      <c r="V131" s="4"/>
      <c r="W131" s="4"/>
      <c r="X131" s="4"/>
      <c r="Y131" s="4"/>
      <c r="Z131" s="4"/>
      <c r="AA131" s="4"/>
      <c r="AB131" s="4"/>
      <c r="AC131" s="4"/>
      <c r="AD131" s="4"/>
      <c r="AE131" s="4"/>
      <c r="AF131" s="4"/>
    </row>
    <row r="132" spans="1:32" ht="22.5">
      <c r="A132" s="1914"/>
      <c r="B132" s="1882" t="s">
        <v>1248</v>
      </c>
      <c r="C132" s="1882" t="s">
        <v>505</v>
      </c>
      <c r="D132" s="1935"/>
      <c r="E132" s="2229" t="s">
        <v>658</v>
      </c>
      <c r="F132" s="1936">
        <v>2263</v>
      </c>
      <c r="G132" s="1884" t="s">
        <v>5250</v>
      </c>
      <c r="H132" s="2484"/>
      <c r="I132" s="2484">
        <v>2000</v>
      </c>
      <c r="J132" s="3776"/>
      <c r="K132" s="1917"/>
      <c r="L132" s="1892"/>
      <c r="M132" s="1892">
        <v>2000</v>
      </c>
      <c r="N132" s="43"/>
      <c r="O132" s="43"/>
      <c r="P132" s="1817" t="e">
        <f>INDEX(#REF!,MATCH(F132,#REF!,0),2)</f>
        <v>#REF!</v>
      </c>
      <c r="Q132" s="43"/>
      <c r="R132" s="4"/>
      <c r="S132" s="4"/>
      <c r="T132" s="4"/>
      <c r="U132" s="4"/>
      <c r="V132" s="4"/>
      <c r="W132" s="4"/>
      <c r="X132" s="4"/>
      <c r="Y132" s="4"/>
      <c r="Z132" s="4"/>
      <c r="AA132" s="4"/>
      <c r="AB132" s="4"/>
      <c r="AC132" s="4"/>
      <c r="AD132" s="4"/>
      <c r="AE132" s="4"/>
      <c r="AF132" s="4"/>
    </row>
    <row r="133" spans="1:32">
      <c r="A133" s="2238"/>
      <c r="B133" s="2238" t="s">
        <v>1248</v>
      </c>
      <c r="C133" s="2238" t="s">
        <v>505</v>
      </c>
      <c r="D133" s="2239">
        <v>110</v>
      </c>
      <c r="E133" s="2253" t="s">
        <v>658</v>
      </c>
      <c r="F133" s="2488">
        <v>2264</v>
      </c>
      <c r="G133" s="1946" t="s">
        <v>240</v>
      </c>
      <c r="H133" s="2479">
        <v>600</v>
      </c>
      <c r="I133" s="2480"/>
      <c r="J133" s="3775">
        <v>195</v>
      </c>
      <c r="K133" s="1948"/>
      <c r="L133" s="2481">
        <v>500</v>
      </c>
      <c r="M133" s="2582"/>
      <c r="N133" s="43"/>
      <c r="O133" s="1779"/>
      <c r="P133" s="1817" t="e">
        <f>INDEX(#REF!,MATCH(F133,#REF!,0),2)</f>
        <v>#REF!</v>
      </c>
      <c r="Q133" s="1779"/>
      <c r="R133" s="11"/>
      <c r="S133" s="11"/>
      <c r="T133" s="11"/>
      <c r="U133" s="11"/>
      <c r="V133" s="11"/>
      <c r="W133" s="11"/>
      <c r="X133" s="11"/>
      <c r="Y133" s="11"/>
      <c r="Z133" s="11"/>
      <c r="AA133" s="11"/>
      <c r="AB133" s="11"/>
      <c r="AC133" s="11"/>
      <c r="AD133" s="11"/>
      <c r="AE133" s="11"/>
    </row>
    <row r="134" spans="1:32">
      <c r="A134" s="1882"/>
      <c r="B134" s="1882" t="s">
        <v>1248</v>
      </c>
      <c r="C134" s="1882" t="s">
        <v>505</v>
      </c>
      <c r="D134" s="1935"/>
      <c r="E134" s="2229" t="s">
        <v>658</v>
      </c>
      <c r="F134" s="1936">
        <v>2264</v>
      </c>
      <c r="G134" s="1884" t="s">
        <v>5251</v>
      </c>
      <c r="H134" s="2484"/>
      <c r="I134" s="2484">
        <v>140</v>
      </c>
      <c r="J134" s="3776"/>
      <c r="K134" s="1917"/>
      <c r="L134" s="1892"/>
      <c r="M134" s="1892">
        <v>500</v>
      </c>
      <c r="N134" s="43" t="s">
        <v>2514</v>
      </c>
      <c r="O134" s="1779"/>
      <c r="P134" s="1817" t="e">
        <f>INDEX(#REF!,MATCH(F134,#REF!,0),2)</f>
        <v>#REF!</v>
      </c>
      <c r="Q134" s="1779"/>
      <c r="R134" s="11"/>
      <c r="S134" s="11"/>
      <c r="T134" s="11"/>
      <c r="U134" s="11"/>
      <c r="V134" s="11"/>
      <c r="W134" s="11"/>
      <c r="X134" s="11"/>
      <c r="Y134" s="11"/>
      <c r="Z134" s="11"/>
      <c r="AA134" s="11"/>
      <c r="AB134" s="11"/>
      <c r="AC134" s="11"/>
      <c r="AD134" s="11"/>
      <c r="AE134" s="11"/>
      <c r="AF134" s="11"/>
    </row>
    <row r="135" spans="1:32">
      <c r="A135" s="1914"/>
      <c r="B135" s="1882" t="s">
        <v>1248</v>
      </c>
      <c r="C135" s="1882" t="s">
        <v>505</v>
      </c>
      <c r="D135" s="1935"/>
      <c r="E135" s="2229" t="s">
        <v>658</v>
      </c>
      <c r="F135" s="1936">
        <v>2264</v>
      </c>
      <c r="G135" s="2487" t="s">
        <v>1853</v>
      </c>
      <c r="H135" s="2484"/>
      <c r="I135" s="2484">
        <v>460</v>
      </c>
      <c r="J135" s="3776"/>
      <c r="K135" s="1917"/>
      <c r="L135" s="1892"/>
      <c r="M135" s="1892"/>
      <c r="N135" s="43"/>
      <c r="O135" s="43"/>
      <c r="P135" s="1817" t="e">
        <f>INDEX(#REF!,MATCH(F135,#REF!,0),2)</f>
        <v>#REF!</v>
      </c>
      <c r="Q135" s="43"/>
      <c r="R135" s="43"/>
      <c r="S135" s="43"/>
      <c r="T135" s="43"/>
      <c r="U135" s="43"/>
      <c r="V135" s="43"/>
      <c r="W135" s="43"/>
      <c r="X135" s="43"/>
      <c r="Y135" s="43"/>
      <c r="Z135" s="43"/>
      <c r="AA135" s="43"/>
      <c r="AB135" s="43"/>
      <c r="AC135" s="43"/>
      <c r="AD135" s="43"/>
      <c r="AE135" s="43"/>
      <c r="AF135" s="43"/>
    </row>
    <row r="136" spans="1:32">
      <c r="A136" s="2238"/>
      <c r="B136" s="2238" t="s">
        <v>1248</v>
      </c>
      <c r="C136" s="2238" t="s">
        <v>507</v>
      </c>
      <c r="D136" s="2239">
        <v>110</v>
      </c>
      <c r="E136" s="2253" t="s">
        <v>658</v>
      </c>
      <c r="F136" s="2488">
        <v>2272</v>
      </c>
      <c r="G136" s="1946" t="s">
        <v>1799</v>
      </c>
      <c r="H136" s="2479">
        <v>3700</v>
      </c>
      <c r="I136" s="2480"/>
      <c r="J136" s="3775">
        <v>358</v>
      </c>
      <c r="K136" s="1948"/>
      <c r="L136" s="2481">
        <v>3700</v>
      </c>
      <c r="M136" s="2582"/>
      <c r="N136" s="43"/>
      <c r="O136" s="1779"/>
      <c r="P136" s="1817" t="e">
        <f>INDEX(#REF!,MATCH(F136,#REF!,0),2)</f>
        <v>#REF!</v>
      </c>
      <c r="Q136" s="1779"/>
      <c r="R136" s="11"/>
      <c r="S136" s="11"/>
      <c r="T136" s="11"/>
      <c r="U136" s="11"/>
      <c r="V136" s="11"/>
      <c r="W136" s="11"/>
      <c r="X136" s="11"/>
      <c r="Y136" s="11"/>
      <c r="Z136" s="11"/>
      <c r="AA136" s="11"/>
      <c r="AB136" s="11"/>
      <c r="AC136" s="11"/>
      <c r="AD136" s="11"/>
      <c r="AE136" s="11"/>
      <c r="AF136" s="11"/>
    </row>
    <row r="137" spans="1:32" ht="22.5">
      <c r="A137" s="1882"/>
      <c r="B137" s="1882" t="s">
        <v>1248</v>
      </c>
      <c r="C137" s="1882" t="s">
        <v>507</v>
      </c>
      <c r="D137" s="1935"/>
      <c r="E137" s="2229" t="s">
        <v>658</v>
      </c>
      <c r="F137" s="1936">
        <v>2272</v>
      </c>
      <c r="G137" s="1884" t="s">
        <v>2515</v>
      </c>
      <c r="H137" s="2484"/>
      <c r="I137" s="2484">
        <v>3700</v>
      </c>
      <c r="J137" s="3776"/>
      <c r="K137" s="1950"/>
      <c r="L137" s="1892"/>
      <c r="M137" s="1892">
        <v>3700</v>
      </c>
      <c r="N137" s="43" t="s">
        <v>2487</v>
      </c>
      <c r="O137" s="4"/>
      <c r="P137" s="1817" t="e">
        <f>INDEX(#REF!,MATCH(F137,#REF!,0),2)</f>
        <v>#REF!</v>
      </c>
      <c r="Q137" s="4"/>
      <c r="R137" s="4"/>
      <c r="S137" s="4"/>
      <c r="T137" s="4"/>
      <c r="U137" s="4"/>
      <c r="V137" s="4"/>
      <c r="W137" s="4"/>
      <c r="X137" s="4"/>
      <c r="Y137" s="4"/>
      <c r="Z137" s="4"/>
      <c r="AA137" s="4"/>
      <c r="AB137" s="4"/>
      <c r="AC137" s="4"/>
      <c r="AD137" s="4"/>
      <c r="AE137" s="4"/>
      <c r="AF137" s="4"/>
    </row>
    <row r="138" spans="1:32">
      <c r="A138" s="2238"/>
      <c r="B138" s="2238" t="s">
        <v>1248</v>
      </c>
      <c r="C138" s="2238" t="s">
        <v>507</v>
      </c>
      <c r="D138" s="2239">
        <v>110</v>
      </c>
      <c r="E138" s="2253" t="s">
        <v>658</v>
      </c>
      <c r="F138" s="2488">
        <v>2280</v>
      </c>
      <c r="G138" s="1946" t="s">
        <v>243</v>
      </c>
      <c r="H138" s="2479">
        <v>81403.679999999993</v>
      </c>
      <c r="I138" s="2480"/>
      <c r="J138" s="3775">
        <v>81404</v>
      </c>
      <c r="K138" s="1948"/>
      <c r="L138" s="2481">
        <v>85832</v>
      </c>
      <c r="M138" s="2582"/>
      <c r="N138" s="43"/>
      <c r="O138" s="1779"/>
      <c r="P138" s="1817" t="e">
        <f>INDEX(#REF!,MATCH(F138,#REF!,0),2)</f>
        <v>#REF!</v>
      </c>
      <c r="Q138" s="1779"/>
      <c r="R138" s="11"/>
      <c r="S138" s="11"/>
      <c r="T138" s="11"/>
      <c r="U138" s="11"/>
      <c r="V138" s="11"/>
      <c r="W138" s="11"/>
      <c r="X138" s="11"/>
      <c r="Y138" s="11"/>
      <c r="Z138" s="11"/>
      <c r="AA138" s="11"/>
      <c r="AB138" s="11"/>
      <c r="AC138" s="11"/>
      <c r="AD138" s="11"/>
      <c r="AE138" s="11"/>
      <c r="AF138" s="11"/>
    </row>
    <row r="139" spans="1:32">
      <c r="A139" s="1882"/>
      <c r="B139" s="1882" t="s">
        <v>1248</v>
      </c>
      <c r="C139" s="1882" t="s">
        <v>507</v>
      </c>
      <c r="D139" s="1935"/>
      <c r="E139" s="2229" t="s">
        <v>658</v>
      </c>
      <c r="F139" s="1936">
        <v>2280</v>
      </c>
      <c r="G139" s="1884" t="s">
        <v>244</v>
      </c>
      <c r="H139" s="2484"/>
      <c r="I139" s="2484">
        <v>45268.109999999993</v>
      </c>
      <c r="J139" s="3776"/>
      <c r="K139" s="1917"/>
      <c r="L139" s="1892"/>
      <c r="M139" s="1892">
        <v>85832</v>
      </c>
      <c r="N139" s="43"/>
      <c r="O139" s="4"/>
      <c r="P139" s="1817" t="e">
        <f>INDEX(#REF!,MATCH(F139,#REF!,0),2)</f>
        <v>#REF!</v>
      </c>
      <c r="Q139" s="4"/>
      <c r="R139" s="4"/>
      <c r="S139" s="4"/>
      <c r="T139" s="4"/>
      <c r="U139" s="4"/>
      <c r="V139" s="4"/>
      <c r="W139" s="4"/>
      <c r="X139" s="4"/>
      <c r="Y139" s="4"/>
      <c r="Z139" s="4"/>
      <c r="AA139" s="4"/>
      <c r="AB139" s="4"/>
      <c r="AC139" s="4"/>
      <c r="AD139" s="4"/>
      <c r="AE139" s="4"/>
      <c r="AF139" s="4"/>
    </row>
    <row r="140" spans="1:32">
      <c r="A140" s="1914"/>
      <c r="B140" s="1882" t="s">
        <v>1248</v>
      </c>
      <c r="C140" s="1882" t="s">
        <v>507</v>
      </c>
      <c r="D140" s="1935"/>
      <c r="E140" s="2229" t="s">
        <v>658</v>
      </c>
      <c r="F140" s="1936">
        <v>2280</v>
      </c>
      <c r="G140" s="1884" t="s">
        <v>244</v>
      </c>
      <c r="H140" s="2484"/>
      <c r="I140" s="2484">
        <v>36135.569999999992</v>
      </c>
      <c r="J140" s="3776"/>
      <c r="K140" s="1917"/>
      <c r="L140" s="1892"/>
      <c r="M140" s="1892"/>
      <c r="N140" s="43"/>
      <c r="O140" s="43"/>
      <c r="P140" s="1817" t="e">
        <f>INDEX(#REF!,MATCH(F140,#REF!,0),2)</f>
        <v>#REF!</v>
      </c>
      <c r="Q140" s="43"/>
      <c r="R140" s="4"/>
      <c r="S140" s="4"/>
      <c r="T140" s="4"/>
      <c r="U140" s="4"/>
      <c r="V140" s="4"/>
      <c r="W140" s="4"/>
      <c r="X140" s="4"/>
      <c r="Y140" s="4"/>
      <c r="Z140" s="4"/>
      <c r="AA140" s="4"/>
      <c r="AB140" s="4"/>
      <c r="AC140" s="4"/>
      <c r="AD140" s="4"/>
      <c r="AE140" s="4"/>
      <c r="AF140" s="4"/>
    </row>
    <row r="141" spans="1:32">
      <c r="A141" s="2238"/>
      <c r="B141" s="2238" t="s">
        <v>1248</v>
      </c>
      <c r="C141" s="2238" t="s">
        <v>507</v>
      </c>
      <c r="D141" s="2239">
        <v>110</v>
      </c>
      <c r="E141" s="2253" t="s">
        <v>658</v>
      </c>
      <c r="F141" s="2488">
        <v>2311</v>
      </c>
      <c r="G141" s="1946" t="s">
        <v>245</v>
      </c>
      <c r="H141" s="2479">
        <v>9037.4</v>
      </c>
      <c r="I141" s="2480"/>
      <c r="J141" s="3775"/>
      <c r="K141" s="1948"/>
      <c r="L141" s="2481">
        <v>7180</v>
      </c>
      <c r="M141" s="2582"/>
      <c r="N141" s="43"/>
      <c r="O141" s="43"/>
      <c r="P141" s="1817" t="e">
        <f>INDEX(#REF!,MATCH(F141,#REF!,0),2)</f>
        <v>#REF!</v>
      </c>
      <c r="Q141" s="43"/>
      <c r="R141" s="43"/>
      <c r="S141" s="43"/>
      <c r="T141" s="43"/>
      <c r="U141" s="43"/>
      <c r="V141" s="43"/>
      <c r="W141" s="43"/>
      <c r="X141" s="43"/>
      <c r="Y141" s="43"/>
      <c r="Z141" s="43"/>
      <c r="AA141" s="43"/>
      <c r="AB141" s="43"/>
      <c r="AC141" s="43"/>
      <c r="AD141" s="43"/>
      <c r="AE141" s="43"/>
      <c r="AF141" s="43"/>
    </row>
    <row r="142" spans="1:32">
      <c r="A142" s="1882"/>
      <c r="B142" s="1882" t="s">
        <v>1248</v>
      </c>
      <c r="C142" s="1882" t="s">
        <v>507</v>
      </c>
      <c r="D142" s="1935"/>
      <c r="E142" s="2229" t="s">
        <v>658</v>
      </c>
      <c r="F142" s="1936">
        <v>2311</v>
      </c>
      <c r="G142" s="1884" t="s">
        <v>602</v>
      </c>
      <c r="H142" s="2484"/>
      <c r="I142" s="2484">
        <v>1500</v>
      </c>
      <c r="J142" s="3776">
        <v>536</v>
      </c>
      <c r="K142" s="1917"/>
      <c r="L142" s="1892"/>
      <c r="M142" s="1892">
        <v>1000</v>
      </c>
      <c r="N142" s="43" t="s">
        <v>5252</v>
      </c>
      <c r="O142" s="43"/>
      <c r="P142" s="1817" t="e">
        <f>INDEX(#REF!,MATCH(F142,#REF!,0),2)</f>
        <v>#REF!</v>
      </c>
      <c r="Q142" s="43"/>
      <c r="R142" s="43"/>
      <c r="S142" s="43"/>
      <c r="T142" s="43"/>
      <c r="U142" s="43"/>
      <c r="V142" s="43"/>
      <c r="W142" s="43"/>
      <c r="X142" s="43"/>
      <c r="Y142" s="43"/>
      <c r="Z142" s="43"/>
      <c r="AA142" s="43"/>
      <c r="AB142" s="43"/>
      <c r="AC142" s="43"/>
      <c r="AD142" s="43"/>
      <c r="AE142" s="43"/>
      <c r="AF142" s="43"/>
    </row>
    <row r="143" spans="1:32">
      <c r="A143" s="1882"/>
      <c r="B143" s="1882" t="s">
        <v>1248</v>
      </c>
      <c r="C143" s="1882" t="s">
        <v>507</v>
      </c>
      <c r="D143" s="1935"/>
      <c r="E143" s="2229" t="s">
        <v>658</v>
      </c>
      <c r="F143" s="1936">
        <v>2311</v>
      </c>
      <c r="G143" s="1884" t="s">
        <v>246</v>
      </c>
      <c r="H143" s="2484"/>
      <c r="I143" s="2484">
        <v>2100</v>
      </c>
      <c r="J143" s="3781">
        <v>213.82999999999998</v>
      </c>
      <c r="K143" s="1917"/>
      <c r="L143" s="1892"/>
      <c r="M143" s="1892">
        <v>2000</v>
      </c>
      <c r="N143" s="43"/>
      <c r="O143" s="43"/>
      <c r="P143" s="1817" t="e">
        <f>INDEX(#REF!,MATCH(F143,#REF!,0),2)</f>
        <v>#REF!</v>
      </c>
      <c r="Q143" s="43"/>
      <c r="R143" s="43"/>
      <c r="S143" s="43"/>
      <c r="T143" s="43"/>
      <c r="U143" s="43"/>
      <c r="V143" s="43"/>
      <c r="W143" s="43"/>
      <c r="X143" s="43"/>
      <c r="Y143" s="43"/>
      <c r="Z143" s="43"/>
      <c r="AA143" s="43"/>
      <c r="AB143" s="43"/>
      <c r="AC143" s="43"/>
      <c r="AD143" s="43"/>
      <c r="AE143" s="43"/>
      <c r="AF143" s="43"/>
    </row>
    <row r="144" spans="1:32">
      <c r="A144" s="1882"/>
      <c r="B144" s="1882" t="s">
        <v>1248</v>
      </c>
      <c r="C144" s="1882" t="s">
        <v>507</v>
      </c>
      <c r="D144" s="1935"/>
      <c r="E144" s="2229" t="s">
        <v>658</v>
      </c>
      <c r="F144" s="1936">
        <v>2311</v>
      </c>
      <c r="G144" s="1884" t="s">
        <v>853</v>
      </c>
      <c r="H144" s="2484"/>
      <c r="I144" s="2484">
        <v>3500</v>
      </c>
      <c r="J144" s="3781">
        <v>1159</v>
      </c>
      <c r="K144" s="1917"/>
      <c r="L144" s="1892"/>
      <c r="M144" s="1892">
        <v>3500</v>
      </c>
      <c r="N144" s="43" t="s">
        <v>1191</v>
      </c>
      <c r="O144" s="4"/>
      <c r="P144" s="1817" t="e">
        <f>INDEX(#REF!,MATCH(F144,#REF!,0),2)</f>
        <v>#REF!</v>
      </c>
      <c r="Q144" s="4"/>
      <c r="R144" s="4"/>
      <c r="S144" s="4"/>
      <c r="T144" s="4"/>
      <c r="U144" s="4"/>
      <c r="V144" s="4"/>
      <c r="W144" s="4"/>
      <c r="X144" s="4"/>
      <c r="Y144" s="4"/>
      <c r="Z144" s="4"/>
      <c r="AA144" s="4"/>
      <c r="AB144" s="4"/>
      <c r="AC144" s="4"/>
      <c r="AD144" s="4"/>
      <c r="AE144" s="4"/>
      <c r="AF144" s="4"/>
    </row>
    <row r="145" spans="1:32" ht="45">
      <c r="A145" s="1882" t="s">
        <v>564</v>
      </c>
      <c r="B145" s="1882" t="s">
        <v>1248</v>
      </c>
      <c r="C145" s="1882" t="s">
        <v>507</v>
      </c>
      <c r="D145" s="1935"/>
      <c r="E145" s="2229" t="s">
        <v>658</v>
      </c>
      <c r="F145" s="1936">
        <v>2311</v>
      </c>
      <c r="G145" s="1884" t="s">
        <v>1030</v>
      </c>
      <c r="H145" s="2484"/>
      <c r="I145" s="2484">
        <v>1187.4000000000001</v>
      </c>
      <c r="J145" s="3781"/>
      <c r="K145" s="1917"/>
      <c r="L145" s="1892"/>
      <c r="M145" s="1892"/>
      <c r="N145" s="2561" t="s">
        <v>3768</v>
      </c>
      <c r="O145" s="43"/>
      <c r="P145" s="1817" t="e">
        <f>INDEX(#REF!,MATCH(F145,#REF!,0),2)</f>
        <v>#REF!</v>
      </c>
      <c r="Q145" s="43"/>
      <c r="R145" s="43"/>
      <c r="S145" s="43"/>
      <c r="T145" s="43"/>
      <c r="U145" s="43"/>
      <c r="V145" s="43"/>
      <c r="W145" s="43"/>
      <c r="X145" s="43"/>
      <c r="Y145" s="43"/>
      <c r="Z145" s="43"/>
      <c r="AA145" s="43"/>
      <c r="AB145" s="43"/>
      <c r="AC145" s="43"/>
      <c r="AD145" s="43"/>
      <c r="AE145" s="43"/>
      <c r="AF145" s="43"/>
    </row>
    <row r="146" spans="1:32">
      <c r="A146" s="1882"/>
      <c r="B146" s="1882" t="s">
        <v>1248</v>
      </c>
      <c r="C146" s="1882" t="s">
        <v>507</v>
      </c>
      <c r="D146" s="1935"/>
      <c r="E146" s="2229" t="s">
        <v>658</v>
      </c>
      <c r="F146" s="1936">
        <v>2311</v>
      </c>
      <c r="G146" s="1884" t="s">
        <v>2516</v>
      </c>
      <c r="H146" s="2484"/>
      <c r="I146" s="2484">
        <v>400</v>
      </c>
      <c r="J146" s="3776">
        <v>156</v>
      </c>
      <c r="K146" s="1917"/>
      <c r="L146" s="1892"/>
      <c r="M146" s="1892">
        <v>400</v>
      </c>
      <c r="N146" s="43" t="s">
        <v>3774</v>
      </c>
      <c r="O146" s="43"/>
      <c r="P146" s="1817" t="e">
        <f>INDEX(#REF!,MATCH(F146,#REF!,0),2)</f>
        <v>#REF!</v>
      </c>
      <c r="Q146" s="43"/>
      <c r="R146" s="43"/>
      <c r="S146" s="43"/>
      <c r="T146" s="43"/>
      <c r="U146" s="43"/>
      <c r="V146" s="43"/>
      <c r="W146" s="43"/>
      <c r="X146" s="43"/>
      <c r="Y146" s="43"/>
      <c r="Z146" s="43"/>
      <c r="AA146" s="43"/>
      <c r="AB146" s="43"/>
      <c r="AC146" s="43"/>
      <c r="AD146" s="43"/>
      <c r="AE146" s="43"/>
      <c r="AF146" s="43"/>
    </row>
    <row r="147" spans="1:32">
      <c r="A147" s="1882"/>
      <c r="B147" s="1882" t="s">
        <v>1248</v>
      </c>
      <c r="C147" s="1882" t="s">
        <v>507</v>
      </c>
      <c r="D147" s="1935"/>
      <c r="E147" s="2229" t="s">
        <v>658</v>
      </c>
      <c r="F147" s="1936">
        <v>2311</v>
      </c>
      <c r="G147" s="1884" t="s">
        <v>5237</v>
      </c>
      <c r="H147" s="2484"/>
      <c r="I147" s="2484">
        <v>200</v>
      </c>
      <c r="J147" s="3776">
        <v>52</v>
      </c>
      <c r="K147" s="1917"/>
      <c r="L147" s="1892"/>
      <c r="M147" s="1892">
        <v>130</v>
      </c>
      <c r="N147" s="43" t="s">
        <v>5238</v>
      </c>
      <c r="O147" s="43"/>
      <c r="P147" s="1817" t="e">
        <f>INDEX(#REF!,MATCH(F147,#REF!,0),2)</f>
        <v>#REF!</v>
      </c>
      <c r="Q147" s="43"/>
      <c r="R147" s="43"/>
      <c r="S147" s="43"/>
      <c r="T147" s="43"/>
      <c r="U147" s="43"/>
      <c r="V147" s="43"/>
      <c r="W147" s="43"/>
      <c r="X147" s="43"/>
      <c r="Y147" s="43"/>
      <c r="Z147" s="43"/>
      <c r="AA147" s="43"/>
      <c r="AB147" s="43"/>
      <c r="AC147" s="43"/>
      <c r="AD147" s="43"/>
      <c r="AE147" s="43"/>
      <c r="AF147" s="43"/>
    </row>
    <row r="148" spans="1:32">
      <c r="A148" s="1882"/>
      <c r="B148" s="1882" t="s">
        <v>1248</v>
      </c>
      <c r="C148" s="1882" t="s">
        <v>507</v>
      </c>
      <c r="D148" s="1935"/>
      <c r="E148" s="2229" t="s">
        <v>658</v>
      </c>
      <c r="F148" s="1936">
        <v>2311</v>
      </c>
      <c r="G148" s="1884" t="s">
        <v>248</v>
      </c>
      <c r="H148" s="2484"/>
      <c r="I148" s="2484">
        <v>150</v>
      </c>
      <c r="J148" s="3776"/>
      <c r="K148" s="1917"/>
      <c r="L148" s="1892"/>
      <c r="M148" s="1892">
        <v>150</v>
      </c>
      <c r="N148" s="43"/>
      <c r="O148" s="43"/>
      <c r="P148" s="1817" t="e">
        <f>INDEX(#REF!,MATCH(F148,#REF!,0),2)</f>
        <v>#REF!</v>
      </c>
      <c r="Q148" s="43"/>
      <c r="R148" s="43"/>
      <c r="S148" s="43"/>
      <c r="T148" s="43"/>
      <c r="U148" s="43"/>
      <c r="V148" s="43"/>
      <c r="W148" s="43"/>
      <c r="X148" s="43"/>
      <c r="Y148" s="43"/>
      <c r="Z148" s="43"/>
      <c r="AA148" s="43"/>
      <c r="AB148" s="43"/>
      <c r="AC148" s="43"/>
      <c r="AD148" s="43"/>
      <c r="AE148" s="43"/>
      <c r="AF148" s="43"/>
    </row>
    <row r="149" spans="1:32">
      <c r="A149" s="2238"/>
      <c r="B149" s="2238" t="s">
        <v>1248</v>
      </c>
      <c r="C149" s="2238" t="s">
        <v>505</v>
      </c>
      <c r="D149" s="2239">
        <v>110</v>
      </c>
      <c r="E149" s="2253" t="s">
        <v>658</v>
      </c>
      <c r="F149" s="1945">
        <v>2312</v>
      </c>
      <c r="G149" s="1946" t="s">
        <v>249</v>
      </c>
      <c r="H149" s="2479">
        <v>9348</v>
      </c>
      <c r="I149" s="2480"/>
      <c r="J149" s="3775"/>
      <c r="K149" s="1948"/>
      <c r="L149" s="2481">
        <v>3740</v>
      </c>
      <c r="M149" s="2483"/>
      <c r="N149" s="43"/>
      <c r="O149" s="43"/>
      <c r="P149" s="1817" t="e">
        <f>INDEX(#REF!,MATCH(F149,#REF!,0),2)</f>
        <v>#REF!</v>
      </c>
      <c r="Q149" s="43"/>
      <c r="R149" s="43"/>
      <c r="S149" s="43"/>
      <c r="T149" s="43"/>
      <c r="U149" s="43"/>
      <c r="V149" s="43"/>
      <c r="W149" s="43"/>
      <c r="X149" s="43"/>
      <c r="Y149" s="43"/>
      <c r="Z149" s="43"/>
      <c r="AA149" s="43"/>
      <c r="AB149" s="43"/>
      <c r="AC149" s="43"/>
      <c r="AD149" s="43"/>
      <c r="AE149" s="43"/>
      <c r="AF149" s="43"/>
    </row>
    <row r="150" spans="1:32" ht="45">
      <c r="A150" s="1882"/>
      <c r="B150" s="1882" t="s">
        <v>1248</v>
      </c>
      <c r="C150" s="1882" t="s">
        <v>505</v>
      </c>
      <c r="D150" s="1935"/>
      <c r="E150" s="2229" t="s">
        <v>658</v>
      </c>
      <c r="F150" s="1936">
        <v>2312</v>
      </c>
      <c r="G150" s="2774" t="s">
        <v>2470</v>
      </c>
      <c r="H150" s="2484"/>
      <c r="I150" s="1892">
        <v>460</v>
      </c>
      <c r="J150" s="3776"/>
      <c r="K150" s="1917"/>
      <c r="L150" s="1968"/>
      <c r="M150" s="1892">
        <v>400</v>
      </c>
      <c r="N150" s="43" t="s">
        <v>247</v>
      </c>
      <c r="O150" s="43"/>
      <c r="P150" s="1817" t="e">
        <f>INDEX(#REF!,MATCH(F150,#REF!,0),2)</f>
        <v>#REF!</v>
      </c>
      <c r="Q150" s="43"/>
      <c r="R150" s="43"/>
      <c r="S150" s="43"/>
      <c r="T150" s="43"/>
      <c r="U150" s="43"/>
      <c r="V150" s="43"/>
      <c r="W150" s="43"/>
      <c r="X150" s="43"/>
      <c r="Y150" s="43"/>
      <c r="Z150" s="43"/>
      <c r="AA150" s="43"/>
      <c r="AB150" s="43"/>
      <c r="AC150" s="43"/>
      <c r="AD150" s="43"/>
      <c r="AE150" s="43"/>
      <c r="AF150" s="43"/>
    </row>
    <row r="151" spans="1:32" ht="56.25">
      <c r="A151" s="2790"/>
      <c r="B151" s="1882" t="s">
        <v>1248</v>
      </c>
      <c r="C151" s="1882" t="s">
        <v>505</v>
      </c>
      <c r="D151" s="1935"/>
      <c r="E151" s="2229" t="s">
        <v>658</v>
      </c>
      <c r="F151" s="1936">
        <v>2312</v>
      </c>
      <c r="G151" s="2774" t="s">
        <v>3772</v>
      </c>
      <c r="H151" s="2799"/>
      <c r="I151" s="2799"/>
      <c r="J151" s="3778"/>
      <c r="K151" s="2777"/>
      <c r="L151" s="2778"/>
      <c r="M151" s="2779">
        <v>200</v>
      </c>
      <c r="N151" s="43" t="s">
        <v>247</v>
      </c>
      <c r="O151" s="43"/>
      <c r="P151" s="1817"/>
      <c r="Q151" s="43"/>
      <c r="R151" s="43"/>
      <c r="S151" s="43"/>
      <c r="T151" s="43"/>
      <c r="U151" s="43"/>
      <c r="V151" s="43"/>
      <c r="W151" s="43"/>
      <c r="X151" s="43"/>
      <c r="Y151" s="43"/>
      <c r="Z151" s="43"/>
      <c r="AA151" s="43"/>
      <c r="AB151" s="43"/>
      <c r="AC151" s="43"/>
      <c r="AD151" s="43"/>
      <c r="AE151" s="43"/>
      <c r="AF151" s="43"/>
    </row>
    <row r="152" spans="1:32" ht="33.75">
      <c r="A152" s="2790"/>
      <c r="B152" s="1882" t="s">
        <v>1248</v>
      </c>
      <c r="C152" s="1882" t="s">
        <v>505</v>
      </c>
      <c r="D152" s="1935"/>
      <c r="E152" s="2229" t="s">
        <v>658</v>
      </c>
      <c r="F152" s="1936">
        <v>2312</v>
      </c>
      <c r="G152" s="2774" t="s">
        <v>3773</v>
      </c>
      <c r="H152" s="2799"/>
      <c r="I152" s="2799"/>
      <c r="J152" s="3778"/>
      <c r="K152" s="2777"/>
      <c r="L152" s="2778"/>
      <c r="M152" s="2779">
        <v>450</v>
      </c>
      <c r="N152" s="43" t="s">
        <v>3774</v>
      </c>
      <c r="O152" s="43"/>
      <c r="P152" s="1817"/>
      <c r="Q152" s="43"/>
      <c r="R152" s="43"/>
      <c r="S152" s="43"/>
      <c r="T152" s="43"/>
      <c r="U152" s="43"/>
      <c r="V152" s="43"/>
      <c r="W152" s="43"/>
      <c r="X152" s="43"/>
      <c r="Y152" s="43"/>
      <c r="Z152" s="43"/>
      <c r="AA152" s="43"/>
      <c r="AB152" s="43"/>
      <c r="AC152" s="43"/>
      <c r="AD152" s="43"/>
      <c r="AE152" s="43"/>
      <c r="AF152" s="43"/>
    </row>
    <row r="153" spans="1:32" ht="22.5">
      <c r="A153" s="1882"/>
      <c r="B153" s="1882" t="s">
        <v>1248</v>
      </c>
      <c r="C153" s="1882" t="s">
        <v>505</v>
      </c>
      <c r="D153" s="1935"/>
      <c r="E153" s="2229" t="s">
        <v>658</v>
      </c>
      <c r="F153" s="1936">
        <v>2312</v>
      </c>
      <c r="G153" s="1884" t="s">
        <v>5253</v>
      </c>
      <c r="H153" s="2484"/>
      <c r="I153" s="1892">
        <v>500</v>
      </c>
      <c r="J153" s="3776"/>
      <c r="K153" s="1917"/>
      <c r="L153" s="1968"/>
      <c r="M153" s="1892">
        <v>50</v>
      </c>
      <c r="N153" s="2495" t="s">
        <v>3343</v>
      </c>
      <c r="O153" s="43"/>
      <c r="P153" s="1817" t="e">
        <f>INDEX(#REF!,MATCH(F153,#REF!,0),2)</f>
        <v>#REF!</v>
      </c>
      <c r="Q153" s="43"/>
      <c r="R153" s="43"/>
      <c r="S153" s="43"/>
      <c r="T153" s="43"/>
      <c r="U153" s="43"/>
      <c r="V153" s="43"/>
      <c r="W153" s="43"/>
      <c r="X153" s="43"/>
      <c r="Y153" s="43"/>
      <c r="Z153" s="43"/>
      <c r="AA153" s="43"/>
      <c r="AB153" s="43"/>
      <c r="AC153" s="43"/>
      <c r="AD153" s="43"/>
      <c r="AE153" s="43"/>
      <c r="AF153" s="43"/>
    </row>
    <row r="154" spans="1:32" ht="45">
      <c r="A154" s="1882"/>
      <c r="B154" s="1882" t="s">
        <v>1248</v>
      </c>
      <c r="C154" s="1882" t="s">
        <v>505</v>
      </c>
      <c r="D154" s="1935"/>
      <c r="E154" s="2229" t="s">
        <v>658</v>
      </c>
      <c r="F154" s="1936">
        <v>2312</v>
      </c>
      <c r="G154" s="1884" t="s">
        <v>3344</v>
      </c>
      <c r="H154" s="2484"/>
      <c r="I154" s="2484"/>
      <c r="J154" s="3776"/>
      <c r="K154" s="1917"/>
      <c r="L154" s="1968"/>
      <c r="M154" s="1892">
        <v>400</v>
      </c>
      <c r="N154" s="2496" t="s">
        <v>3345</v>
      </c>
      <c r="O154" s="43"/>
      <c r="P154" s="1817" t="e">
        <f>INDEX(#REF!,MATCH(F154,#REF!,0),2)</f>
        <v>#REF!</v>
      </c>
      <c r="Q154" s="43"/>
      <c r="R154" s="43"/>
      <c r="S154" s="43"/>
      <c r="T154" s="43"/>
      <c r="U154" s="43"/>
      <c r="V154" s="43"/>
      <c r="W154" s="43"/>
      <c r="X154" s="43"/>
      <c r="Y154" s="43"/>
      <c r="Z154" s="43"/>
      <c r="AA154" s="43"/>
      <c r="AB154" s="43"/>
      <c r="AC154" s="43"/>
      <c r="AD154" s="43"/>
      <c r="AE154" s="43"/>
      <c r="AF154" s="43"/>
    </row>
    <row r="155" spans="1:32" ht="22.5">
      <c r="A155" s="2790"/>
      <c r="B155" s="1882" t="s">
        <v>1248</v>
      </c>
      <c r="C155" s="1882" t="s">
        <v>505</v>
      </c>
      <c r="D155" s="1935"/>
      <c r="E155" s="2229" t="s">
        <v>658</v>
      </c>
      <c r="F155" s="1936">
        <v>2312</v>
      </c>
      <c r="G155" s="2774" t="s">
        <v>3766</v>
      </c>
      <c r="H155" s="2799"/>
      <c r="I155" s="2799"/>
      <c r="J155" s="3778"/>
      <c r="K155" s="2777"/>
      <c r="L155" s="2778"/>
      <c r="M155" s="2779">
        <v>540</v>
      </c>
      <c r="N155" s="2496" t="s">
        <v>1187</v>
      </c>
      <c r="O155" s="43"/>
      <c r="P155" s="1817"/>
      <c r="Q155" s="43"/>
      <c r="R155" s="43"/>
      <c r="S155" s="43"/>
      <c r="T155" s="43"/>
      <c r="U155" s="43"/>
      <c r="V155" s="43"/>
      <c r="W155" s="43"/>
      <c r="X155" s="43"/>
      <c r="Y155" s="43"/>
      <c r="Z155" s="43"/>
      <c r="AA155" s="43"/>
      <c r="AB155" s="43"/>
      <c r="AC155" s="43"/>
      <c r="AD155" s="43"/>
      <c r="AE155" s="43"/>
      <c r="AF155" s="43"/>
    </row>
    <row r="156" spans="1:32">
      <c r="A156" s="1882"/>
      <c r="B156" s="1882" t="s">
        <v>1248</v>
      </c>
      <c r="C156" s="1882" t="s">
        <v>505</v>
      </c>
      <c r="D156" s="1935"/>
      <c r="E156" s="2229" t="s">
        <v>658</v>
      </c>
      <c r="F156" s="1936">
        <v>2312</v>
      </c>
      <c r="G156" s="1884" t="s">
        <v>2517</v>
      </c>
      <c r="H156" s="2484"/>
      <c r="I156" s="1892">
        <v>700</v>
      </c>
      <c r="J156" s="3776"/>
      <c r="K156" s="1917"/>
      <c r="L156" s="1968"/>
      <c r="M156" s="1892">
        <v>700</v>
      </c>
      <c r="N156" s="43"/>
      <c r="O156" s="43"/>
      <c r="P156" s="1817" t="e">
        <f>INDEX(#REF!,MATCH(F156,#REF!,0),2)</f>
        <v>#REF!</v>
      </c>
      <c r="Q156" s="43"/>
      <c r="R156" s="43"/>
      <c r="S156" s="43"/>
      <c r="T156" s="43"/>
      <c r="U156" s="43"/>
      <c r="V156" s="43"/>
      <c r="W156" s="43"/>
      <c r="X156" s="43"/>
      <c r="Y156" s="43"/>
      <c r="Z156" s="43"/>
      <c r="AA156" s="43"/>
      <c r="AB156" s="43"/>
      <c r="AC156" s="43"/>
      <c r="AD156" s="43"/>
      <c r="AE156" s="43"/>
      <c r="AF156" s="43"/>
    </row>
    <row r="157" spans="1:32">
      <c r="A157" s="1882"/>
      <c r="B157" s="1882" t="s">
        <v>1248</v>
      </c>
      <c r="C157" s="1882" t="s">
        <v>505</v>
      </c>
      <c r="D157" s="1935"/>
      <c r="E157" s="2229" t="s">
        <v>658</v>
      </c>
      <c r="F157" s="1936">
        <v>2312</v>
      </c>
      <c r="G157" s="1884" t="s">
        <v>271</v>
      </c>
      <c r="H157" s="2484"/>
      <c r="I157" s="1892">
        <v>1000</v>
      </c>
      <c r="J157" s="3776"/>
      <c r="K157" s="1917"/>
      <c r="L157" s="1968"/>
      <c r="M157" s="1892">
        <v>1000</v>
      </c>
      <c r="N157" s="43"/>
      <c r="O157" s="43"/>
      <c r="P157" s="1817" t="e">
        <f>INDEX(#REF!,MATCH(F157,#REF!,0),2)</f>
        <v>#REF!</v>
      </c>
      <c r="Q157" s="43"/>
      <c r="R157" s="43"/>
      <c r="S157" s="43"/>
      <c r="T157" s="43"/>
      <c r="U157" s="43"/>
      <c r="V157" s="43"/>
      <c r="W157" s="43"/>
      <c r="X157" s="43"/>
      <c r="Y157" s="43"/>
      <c r="Z157" s="43"/>
      <c r="AA157" s="43"/>
      <c r="AB157" s="43"/>
      <c r="AC157" s="43"/>
      <c r="AD157" s="43"/>
      <c r="AE157" s="43"/>
      <c r="AF157" s="43"/>
    </row>
    <row r="158" spans="1:32" ht="45">
      <c r="A158" s="1882"/>
      <c r="B158" s="1882" t="s">
        <v>1248</v>
      </c>
      <c r="C158" s="1882" t="s">
        <v>505</v>
      </c>
      <c r="D158" s="1935"/>
      <c r="E158" s="2229" t="s">
        <v>658</v>
      </c>
      <c r="F158" s="1936">
        <v>2312</v>
      </c>
      <c r="G158" s="1884" t="s">
        <v>2469</v>
      </c>
      <c r="H158" s="2484"/>
      <c r="I158" s="1892">
        <v>300</v>
      </c>
      <c r="J158" s="3776"/>
      <c r="K158" s="1917"/>
      <c r="L158" s="1968"/>
      <c r="M158" s="1968"/>
      <c r="N158" s="43" t="s">
        <v>247</v>
      </c>
      <c r="O158" s="43"/>
      <c r="P158" s="1817" t="e">
        <f>INDEX(#REF!,MATCH(F158,#REF!,0),2)</f>
        <v>#REF!</v>
      </c>
      <c r="Q158" s="43"/>
      <c r="R158" s="43"/>
      <c r="S158" s="43"/>
      <c r="T158" s="43"/>
      <c r="U158" s="43"/>
      <c r="V158" s="43"/>
      <c r="W158" s="43"/>
      <c r="X158" s="43"/>
      <c r="Y158" s="43"/>
      <c r="Z158" s="43"/>
      <c r="AA158" s="43"/>
      <c r="AB158" s="43"/>
      <c r="AC158" s="43"/>
      <c r="AD158" s="43"/>
      <c r="AE158" s="43"/>
      <c r="AF158" s="43"/>
    </row>
    <row r="159" spans="1:32">
      <c r="A159" s="1882"/>
      <c r="B159" s="1882" t="s">
        <v>1248</v>
      </c>
      <c r="C159" s="1882" t="s">
        <v>505</v>
      </c>
      <c r="D159" s="1935"/>
      <c r="E159" s="2229" t="s">
        <v>658</v>
      </c>
      <c r="F159" s="1936">
        <v>2312</v>
      </c>
      <c r="G159" s="1884" t="s">
        <v>2471</v>
      </c>
      <c r="H159" s="2484"/>
      <c r="I159" s="1892">
        <v>150</v>
      </c>
      <c r="J159" s="3776"/>
      <c r="K159" s="1917"/>
      <c r="L159" s="1968"/>
      <c r="M159" s="1968"/>
      <c r="N159" s="43" t="s">
        <v>247</v>
      </c>
      <c r="O159" s="43"/>
      <c r="P159" s="1817" t="e">
        <f>INDEX(#REF!,MATCH(F159,#REF!,0),2)</f>
        <v>#REF!</v>
      </c>
      <c r="Q159" s="43"/>
      <c r="R159" s="43"/>
      <c r="S159" s="43"/>
      <c r="T159" s="43"/>
      <c r="U159" s="43"/>
      <c r="V159" s="43"/>
      <c r="W159" s="43"/>
      <c r="X159" s="43"/>
      <c r="Y159" s="43"/>
      <c r="Z159" s="43"/>
      <c r="AA159" s="43"/>
      <c r="AB159" s="43"/>
      <c r="AC159" s="43"/>
      <c r="AD159" s="43"/>
      <c r="AE159" s="43"/>
      <c r="AF159" s="43"/>
    </row>
    <row r="160" spans="1:32" ht="22.5">
      <c r="A160" s="1882"/>
      <c r="B160" s="1882" t="s">
        <v>1248</v>
      </c>
      <c r="C160" s="1882" t="s">
        <v>505</v>
      </c>
      <c r="D160" s="1935"/>
      <c r="E160" s="2229" t="s">
        <v>658</v>
      </c>
      <c r="F160" s="1936">
        <v>2312</v>
      </c>
      <c r="G160" s="1884" t="s">
        <v>2472</v>
      </c>
      <c r="H160" s="2484"/>
      <c r="I160" s="1892">
        <v>410</v>
      </c>
      <c r="J160" s="3776"/>
      <c r="K160" s="1917"/>
      <c r="L160" s="1968"/>
      <c r="M160" s="1968"/>
      <c r="N160" s="43" t="s">
        <v>247</v>
      </c>
      <c r="O160" s="43"/>
      <c r="P160" s="1817" t="e">
        <f>INDEX(#REF!,MATCH(F160,#REF!,0),2)</f>
        <v>#REF!</v>
      </c>
      <c r="Q160" s="43"/>
      <c r="R160" s="43"/>
      <c r="S160" s="43"/>
      <c r="T160" s="43"/>
      <c r="U160" s="43"/>
      <c r="V160" s="43"/>
      <c r="W160" s="43"/>
      <c r="X160" s="43"/>
      <c r="Y160" s="43"/>
      <c r="Z160" s="43"/>
      <c r="AA160" s="43"/>
      <c r="AB160" s="43"/>
      <c r="AC160" s="43"/>
      <c r="AD160" s="43"/>
      <c r="AE160" s="43"/>
      <c r="AF160" s="43"/>
    </row>
    <row r="161" spans="1:47" ht="33.75">
      <c r="A161" s="1882"/>
      <c r="B161" s="1882" t="s">
        <v>1248</v>
      </c>
      <c r="C161" s="1882" t="s">
        <v>505</v>
      </c>
      <c r="D161" s="1935"/>
      <c r="E161" s="2229" t="s">
        <v>658</v>
      </c>
      <c r="F161" s="1936">
        <v>2312</v>
      </c>
      <c r="G161" s="1884" t="s">
        <v>2473</v>
      </c>
      <c r="H161" s="2484"/>
      <c r="I161" s="1892">
        <v>120</v>
      </c>
      <c r="J161" s="3776"/>
      <c r="K161" s="1917"/>
      <c r="L161" s="1968"/>
      <c r="M161" s="1968"/>
      <c r="N161" s="43" t="s">
        <v>247</v>
      </c>
      <c r="O161" s="43"/>
      <c r="P161" s="1817" t="e">
        <f>INDEX(#REF!,MATCH(F161,#REF!,0),2)</f>
        <v>#REF!</v>
      </c>
      <c r="Q161" s="43"/>
      <c r="R161" s="43"/>
      <c r="S161" s="43"/>
      <c r="T161" s="43"/>
      <c r="U161" s="43"/>
      <c r="V161" s="43"/>
      <c r="W161" s="43"/>
      <c r="X161" s="43"/>
      <c r="Y161" s="43"/>
      <c r="Z161" s="43"/>
      <c r="AA161" s="43"/>
      <c r="AB161" s="43"/>
      <c r="AC161" s="43"/>
      <c r="AD161" s="43"/>
      <c r="AE161" s="43"/>
      <c r="AF161" s="43"/>
    </row>
    <row r="162" spans="1:47" ht="45">
      <c r="A162" s="1882"/>
      <c r="B162" s="1882" t="s">
        <v>1248</v>
      </c>
      <c r="C162" s="1882" t="s">
        <v>505</v>
      </c>
      <c r="D162" s="1935"/>
      <c r="E162" s="2229" t="s">
        <v>658</v>
      </c>
      <c r="F162" s="1936">
        <v>2312</v>
      </c>
      <c r="G162" s="1884" t="s">
        <v>2474</v>
      </c>
      <c r="H162" s="2484"/>
      <c r="I162" s="1892">
        <v>1620</v>
      </c>
      <c r="J162" s="3776"/>
      <c r="K162" s="1917"/>
      <c r="L162" s="1968"/>
      <c r="M162" s="1968"/>
      <c r="N162" s="43" t="s">
        <v>247</v>
      </c>
      <c r="O162" s="43"/>
      <c r="P162" s="1817" t="e">
        <f>INDEX(#REF!,MATCH(F162,#REF!,0),2)</f>
        <v>#REF!</v>
      </c>
      <c r="Q162" s="43"/>
      <c r="R162" s="43"/>
      <c r="S162" s="43"/>
      <c r="T162" s="43"/>
      <c r="U162" s="43"/>
      <c r="V162" s="43"/>
      <c r="W162" s="43"/>
      <c r="X162" s="43"/>
      <c r="Y162" s="43"/>
      <c r="Z162" s="43"/>
      <c r="AA162" s="43"/>
      <c r="AB162" s="43"/>
      <c r="AC162" s="43"/>
      <c r="AD162" s="43"/>
      <c r="AE162" s="43"/>
      <c r="AF162" s="43"/>
    </row>
    <row r="163" spans="1:47">
      <c r="A163" s="1882"/>
      <c r="B163" s="1882" t="s">
        <v>1248</v>
      </c>
      <c r="C163" s="1882" t="s">
        <v>505</v>
      </c>
      <c r="D163" s="1935"/>
      <c r="E163" s="2229" t="s">
        <v>658</v>
      </c>
      <c r="F163" s="1936">
        <v>2312</v>
      </c>
      <c r="G163" s="1884" t="s">
        <v>2475</v>
      </c>
      <c r="H163" s="2484"/>
      <c r="I163" s="1892">
        <v>203</v>
      </c>
      <c r="J163" s="3776"/>
      <c r="K163" s="1917"/>
      <c r="L163" s="1968"/>
      <c r="M163" s="1968"/>
      <c r="N163" s="43" t="s">
        <v>247</v>
      </c>
      <c r="O163" s="43"/>
      <c r="P163" s="1817" t="e">
        <f>INDEX(#REF!,MATCH(F163,#REF!,0),2)</f>
        <v>#REF!</v>
      </c>
      <c r="Q163" s="43"/>
      <c r="R163" s="43"/>
      <c r="S163" s="43"/>
      <c r="T163" s="43"/>
      <c r="U163" s="43"/>
      <c r="V163" s="43"/>
      <c r="W163" s="43"/>
      <c r="X163" s="43"/>
      <c r="Y163" s="43"/>
      <c r="Z163" s="43"/>
      <c r="AA163" s="43"/>
      <c r="AB163" s="43"/>
      <c r="AC163" s="43"/>
      <c r="AD163" s="43"/>
      <c r="AE163" s="43"/>
      <c r="AF163" s="43"/>
    </row>
    <row r="164" spans="1:47" ht="33.75">
      <c r="A164" s="1882"/>
      <c r="B164" s="1882" t="s">
        <v>1248</v>
      </c>
      <c r="C164" s="1882" t="s">
        <v>505</v>
      </c>
      <c r="D164" s="1935"/>
      <c r="E164" s="2229" t="s">
        <v>658</v>
      </c>
      <c r="F164" s="1936">
        <v>2312</v>
      </c>
      <c r="G164" s="1884" t="s">
        <v>2476</v>
      </c>
      <c r="H164" s="2484"/>
      <c r="I164" s="1892">
        <v>485</v>
      </c>
      <c r="J164" s="3776"/>
      <c r="K164" s="1917"/>
      <c r="L164" s="1968"/>
      <c r="M164" s="1968"/>
      <c r="N164" s="43" t="s">
        <v>247</v>
      </c>
      <c r="O164" s="43"/>
      <c r="P164" s="1817" t="e">
        <f>INDEX(#REF!,MATCH(F164,#REF!,0),2)</f>
        <v>#REF!</v>
      </c>
      <c r="Q164" s="43"/>
      <c r="R164" s="43"/>
      <c r="S164" s="43"/>
      <c r="T164" s="43"/>
      <c r="U164" s="43"/>
      <c r="V164" s="43"/>
      <c r="W164" s="43"/>
      <c r="X164" s="43"/>
      <c r="Y164" s="43"/>
      <c r="Z164" s="43"/>
      <c r="AA164" s="43"/>
      <c r="AB164" s="43"/>
      <c r="AC164" s="43"/>
      <c r="AD164" s="43"/>
      <c r="AE164" s="43"/>
      <c r="AF164" s="43"/>
    </row>
    <row r="165" spans="1:47">
      <c r="A165" s="1882"/>
      <c r="B165" s="1882" t="s">
        <v>1248</v>
      </c>
      <c r="C165" s="1882" t="s">
        <v>505</v>
      </c>
      <c r="D165" s="1935"/>
      <c r="E165" s="2229" t="s">
        <v>658</v>
      </c>
      <c r="F165" s="1936">
        <v>2312</v>
      </c>
      <c r="G165" s="1884" t="s">
        <v>2459</v>
      </c>
      <c r="H165" s="2484"/>
      <c r="I165" s="1892">
        <v>350</v>
      </c>
      <c r="J165" s="3776"/>
      <c r="K165" s="1917"/>
      <c r="L165" s="1968"/>
      <c r="M165" s="1968"/>
      <c r="N165" s="43" t="s">
        <v>1189</v>
      </c>
      <c r="O165" s="43"/>
      <c r="P165" s="1817" t="e">
        <f>INDEX(#REF!,MATCH(F165,#REF!,0),2)</f>
        <v>#REF!</v>
      </c>
      <c r="Q165" s="43"/>
      <c r="R165" s="43"/>
      <c r="S165" s="43"/>
      <c r="T165" s="43"/>
      <c r="U165" s="43"/>
      <c r="V165" s="43"/>
      <c r="W165" s="43"/>
      <c r="X165" s="43"/>
      <c r="Y165" s="43"/>
      <c r="Z165" s="43"/>
      <c r="AA165" s="43"/>
      <c r="AB165" s="43"/>
      <c r="AC165" s="43"/>
      <c r="AD165" s="43"/>
      <c r="AE165" s="43"/>
      <c r="AF165" s="43"/>
    </row>
    <row r="166" spans="1:47">
      <c r="A166" s="1882"/>
      <c r="B166" s="1882" t="s">
        <v>1248</v>
      </c>
      <c r="C166" s="1882" t="s">
        <v>505</v>
      </c>
      <c r="D166" s="1935"/>
      <c r="E166" s="2229" t="s">
        <v>658</v>
      </c>
      <c r="F166" s="1936">
        <v>2312</v>
      </c>
      <c r="G166" s="1884" t="s">
        <v>852</v>
      </c>
      <c r="H166" s="2484"/>
      <c r="I166" s="2484">
        <v>300</v>
      </c>
      <c r="J166" s="3776"/>
      <c r="K166" s="1917"/>
      <c r="L166" s="1968"/>
      <c r="M166" s="1968"/>
      <c r="N166" s="43" t="s">
        <v>1189</v>
      </c>
      <c r="O166" s="43"/>
      <c r="P166" s="1817" t="e">
        <f>INDEX(#REF!,MATCH(F166,#REF!,0),2)</f>
        <v>#REF!</v>
      </c>
      <c r="Q166" s="43"/>
      <c r="R166" s="43"/>
      <c r="S166" s="43"/>
      <c r="T166" s="43"/>
      <c r="U166" s="43"/>
      <c r="V166" s="43"/>
      <c r="W166" s="43"/>
      <c r="X166" s="43"/>
      <c r="Y166" s="43"/>
      <c r="Z166" s="43"/>
      <c r="AA166" s="43"/>
      <c r="AB166" s="43"/>
      <c r="AC166" s="43"/>
      <c r="AD166" s="43"/>
      <c r="AE166" s="43"/>
      <c r="AF166" s="43"/>
    </row>
    <row r="167" spans="1:47">
      <c r="A167" s="1882"/>
      <c r="B167" s="1882" t="s">
        <v>1248</v>
      </c>
      <c r="C167" s="1882" t="s">
        <v>505</v>
      </c>
      <c r="D167" s="1935"/>
      <c r="E167" s="2229" t="s">
        <v>658</v>
      </c>
      <c r="F167" s="1936">
        <v>2312</v>
      </c>
      <c r="G167" s="1884" t="s">
        <v>2460</v>
      </c>
      <c r="H167" s="2484"/>
      <c r="I167" s="2484">
        <v>50</v>
      </c>
      <c r="J167" s="3776"/>
      <c r="K167" s="1917"/>
      <c r="L167" s="1968"/>
      <c r="M167" s="1968"/>
      <c r="N167" s="43" t="s">
        <v>1189</v>
      </c>
      <c r="O167" s="43"/>
      <c r="P167" s="1817" t="e">
        <f>INDEX(#REF!,MATCH(F167,#REF!,0),2)</f>
        <v>#REF!</v>
      </c>
      <c r="Q167" s="43"/>
      <c r="R167" s="43"/>
      <c r="S167" s="43"/>
      <c r="T167" s="43"/>
      <c r="U167" s="43"/>
      <c r="V167" s="43"/>
      <c r="W167" s="43"/>
      <c r="X167" s="43"/>
      <c r="Y167" s="43"/>
      <c r="Z167" s="43"/>
      <c r="AA167" s="43"/>
      <c r="AB167" s="43"/>
      <c r="AC167" s="43"/>
      <c r="AD167" s="43"/>
      <c r="AE167" s="43"/>
      <c r="AF167" s="43"/>
    </row>
    <row r="168" spans="1:47" ht="22.5">
      <c r="A168" s="2790"/>
      <c r="B168" s="1882" t="s">
        <v>1248</v>
      </c>
      <c r="C168" s="1882" t="s">
        <v>505</v>
      </c>
      <c r="D168" s="1935"/>
      <c r="E168" s="2229" t="s">
        <v>658</v>
      </c>
      <c r="F168" s="1936">
        <v>2312</v>
      </c>
      <c r="G168" s="2774" t="s">
        <v>5329</v>
      </c>
      <c r="H168" s="2799"/>
      <c r="I168" s="2799">
        <v>2700</v>
      </c>
      <c r="J168" s="3778"/>
      <c r="K168" s="2777"/>
      <c r="L168" s="2778"/>
      <c r="M168" s="2778"/>
      <c r="N168" s="43"/>
      <c r="O168" s="43"/>
      <c r="P168" s="1817"/>
      <c r="Q168" s="43"/>
      <c r="R168" s="43"/>
      <c r="S168" s="43"/>
      <c r="T168" s="43"/>
      <c r="U168" s="43"/>
      <c r="V168" s="43"/>
      <c r="W168" s="43"/>
      <c r="X168" s="43"/>
      <c r="Y168" s="43"/>
      <c r="Z168" s="43"/>
      <c r="AA168" s="43"/>
      <c r="AB168" s="43"/>
      <c r="AC168" s="43"/>
      <c r="AD168" s="43"/>
      <c r="AE168" s="43"/>
      <c r="AF168" s="43"/>
    </row>
    <row r="169" spans="1:47" ht="22.5">
      <c r="A169" s="2238"/>
      <c r="B169" s="2238" t="s">
        <v>1248</v>
      </c>
      <c r="C169" s="2238" t="s">
        <v>505</v>
      </c>
      <c r="D169" s="2239">
        <v>110</v>
      </c>
      <c r="E169" s="2253" t="s">
        <v>658</v>
      </c>
      <c r="F169" s="1945">
        <v>2314</v>
      </c>
      <c r="G169" s="1946" t="s">
        <v>3761</v>
      </c>
      <c r="H169" s="2479">
        <v>7800</v>
      </c>
      <c r="I169" s="2480"/>
      <c r="J169" s="3775"/>
      <c r="K169" s="1948"/>
      <c r="L169" s="2481">
        <v>11650</v>
      </c>
      <c r="M169" s="2582"/>
      <c r="N169" s="43"/>
      <c r="O169" s="43"/>
      <c r="P169" s="1817" t="e">
        <f>INDEX(#REF!,MATCH(F169,#REF!,0),2)</f>
        <v>#REF!</v>
      </c>
      <c r="Q169" s="43"/>
      <c r="R169" s="43"/>
      <c r="S169" s="43"/>
      <c r="T169" s="43"/>
      <c r="U169" s="43"/>
      <c r="V169" s="43"/>
      <c r="W169" s="43"/>
      <c r="X169" s="43"/>
      <c r="Y169" s="43"/>
      <c r="Z169" s="43"/>
      <c r="AA169" s="43"/>
      <c r="AB169" s="43"/>
      <c r="AC169" s="43"/>
      <c r="AD169" s="43"/>
      <c r="AE169" s="43"/>
      <c r="AF169" s="43"/>
    </row>
    <row r="170" spans="1:47">
      <c r="A170" s="1882"/>
      <c r="B170" s="1882" t="s">
        <v>1248</v>
      </c>
      <c r="C170" s="1882" t="s">
        <v>505</v>
      </c>
      <c r="D170" s="1935"/>
      <c r="E170" s="2229" t="s">
        <v>658</v>
      </c>
      <c r="F170" s="1936">
        <v>2314</v>
      </c>
      <c r="G170" s="1884" t="s">
        <v>1598</v>
      </c>
      <c r="H170" s="2484"/>
      <c r="I170" s="2484">
        <v>800</v>
      </c>
      <c r="J170" s="4812">
        <v>1213.5</v>
      </c>
      <c r="K170" s="1917"/>
      <c r="L170" s="1968"/>
      <c r="M170" s="1892">
        <v>900</v>
      </c>
      <c r="N170" s="43" t="s">
        <v>1187</v>
      </c>
      <c r="O170" s="43"/>
      <c r="P170" s="1817" t="e">
        <f>INDEX(#REF!,MATCH(F170,#REF!,0),2)</f>
        <v>#REF!</v>
      </c>
      <c r="Q170" s="43"/>
      <c r="R170" s="43"/>
      <c r="S170" s="43"/>
      <c r="T170" s="43"/>
      <c r="U170" s="43"/>
      <c r="V170" s="43"/>
      <c r="W170" s="43"/>
      <c r="X170" s="43"/>
      <c r="Y170" s="43"/>
      <c r="Z170" s="43"/>
      <c r="AA170" s="43"/>
      <c r="AB170" s="43"/>
      <c r="AC170" s="43"/>
      <c r="AD170" s="43"/>
      <c r="AE170" s="43"/>
      <c r="AF170" s="43"/>
    </row>
    <row r="171" spans="1:47">
      <c r="A171" s="1882"/>
      <c r="B171" s="1882" t="s">
        <v>1248</v>
      </c>
      <c r="C171" s="1882" t="s">
        <v>505</v>
      </c>
      <c r="D171" s="1935"/>
      <c r="E171" s="2229" t="s">
        <v>658</v>
      </c>
      <c r="F171" s="1936">
        <v>2314</v>
      </c>
      <c r="G171" s="1884" t="s">
        <v>1450</v>
      </c>
      <c r="H171" s="2484"/>
      <c r="I171" s="2484">
        <v>1000</v>
      </c>
      <c r="J171" s="4812"/>
      <c r="K171" s="1917"/>
      <c r="L171" s="1968"/>
      <c r="M171" s="1892">
        <v>1250</v>
      </c>
      <c r="N171" s="43" t="s">
        <v>247</v>
      </c>
      <c r="O171" s="11"/>
      <c r="P171" s="1817" t="e">
        <f>INDEX(#REF!,MATCH(F171,#REF!,0),2)</f>
        <v>#REF!</v>
      </c>
      <c r="Q171" s="11"/>
      <c r="R171" s="11"/>
      <c r="S171" s="11"/>
      <c r="T171" s="11"/>
      <c r="U171" s="11"/>
      <c r="V171" s="11"/>
      <c r="W171" s="11"/>
      <c r="X171" s="11"/>
      <c r="Y171" s="11"/>
      <c r="Z171" s="11"/>
      <c r="AA171" s="11"/>
      <c r="AB171" s="11"/>
      <c r="AC171" s="11"/>
      <c r="AD171" s="11"/>
      <c r="AE171" s="11"/>
      <c r="AF171" s="11"/>
    </row>
    <row r="172" spans="1:47">
      <c r="A172" s="1882"/>
      <c r="B172" s="1882" t="s">
        <v>1248</v>
      </c>
      <c r="C172" s="1882" t="s">
        <v>505</v>
      </c>
      <c r="D172" s="1935"/>
      <c r="E172" s="2229" t="s">
        <v>658</v>
      </c>
      <c r="F172" s="1936">
        <v>2314</v>
      </c>
      <c r="G172" s="1884" t="s">
        <v>2451</v>
      </c>
      <c r="H172" s="2484"/>
      <c r="I172" s="2484">
        <v>1000</v>
      </c>
      <c r="J172" s="4812"/>
      <c r="K172" s="1917"/>
      <c r="L172" s="1968"/>
      <c r="M172" s="1892">
        <v>1000</v>
      </c>
      <c r="N172" s="43" t="s">
        <v>1189</v>
      </c>
      <c r="O172" s="11"/>
      <c r="P172" s="1817" t="e">
        <f>INDEX(#REF!,MATCH(F172,#REF!,0),2)</f>
        <v>#REF!</v>
      </c>
      <c r="Q172" s="11"/>
      <c r="R172" s="11"/>
      <c r="S172" s="11"/>
      <c r="T172" s="11"/>
      <c r="U172" s="11"/>
      <c r="V172" s="11"/>
      <c r="W172" s="11"/>
      <c r="X172" s="11"/>
      <c r="Y172" s="11"/>
      <c r="Z172" s="11"/>
      <c r="AA172" s="11"/>
      <c r="AB172" s="11"/>
      <c r="AC172" s="11"/>
      <c r="AD172" s="11"/>
      <c r="AE172" s="11"/>
      <c r="AF172" s="11"/>
    </row>
    <row r="173" spans="1:47" ht="22.5">
      <c r="A173" s="1882"/>
      <c r="B173" s="1882" t="s">
        <v>1248</v>
      </c>
      <c r="C173" s="1882" t="s">
        <v>505</v>
      </c>
      <c r="D173" s="1935"/>
      <c r="E173" s="2229" t="s">
        <v>658</v>
      </c>
      <c r="F173" s="1936">
        <v>2314</v>
      </c>
      <c r="G173" s="1884" t="s">
        <v>6140</v>
      </c>
      <c r="H173" s="2484"/>
      <c r="I173" s="2484">
        <v>1500</v>
      </c>
      <c r="J173" s="3783">
        <v>937</v>
      </c>
      <c r="K173" s="1917"/>
      <c r="L173" s="1968"/>
      <c r="M173" s="1892">
        <v>4800</v>
      </c>
      <c r="N173" s="43" t="s">
        <v>1187</v>
      </c>
      <c r="O173" s="11"/>
      <c r="P173" s="1817" t="e">
        <f>INDEX(#REF!,MATCH(F173,#REF!,0),2)</f>
        <v>#REF!</v>
      </c>
      <c r="Q173" s="11"/>
      <c r="R173" s="11"/>
      <c r="S173" s="11"/>
      <c r="T173" s="11"/>
      <c r="U173" s="11"/>
      <c r="V173" s="11"/>
      <c r="W173" s="11"/>
      <c r="X173" s="11"/>
      <c r="Y173" s="11"/>
      <c r="Z173" s="11"/>
      <c r="AA173" s="11"/>
      <c r="AB173" s="11"/>
      <c r="AC173" s="11"/>
      <c r="AD173" s="11"/>
      <c r="AE173" s="11"/>
      <c r="AF173" s="11"/>
    </row>
    <row r="174" spans="1:47" ht="22.5">
      <c r="A174" s="1882"/>
      <c r="B174" s="1882" t="s">
        <v>1248</v>
      </c>
      <c r="C174" s="1882" t="s">
        <v>505</v>
      </c>
      <c r="D174" s="1935"/>
      <c r="E174" s="2229" t="s">
        <v>658</v>
      </c>
      <c r="F174" s="1936">
        <v>2314</v>
      </c>
      <c r="G174" s="1884" t="s">
        <v>1451</v>
      </c>
      <c r="H174" s="2484"/>
      <c r="I174" s="2484">
        <v>1000</v>
      </c>
      <c r="J174" s="3776">
        <v>1205</v>
      </c>
      <c r="K174" s="1917"/>
      <c r="L174" s="1968"/>
      <c r="M174" s="1892">
        <v>1000</v>
      </c>
      <c r="N174" s="43" t="s">
        <v>247</v>
      </c>
      <c r="O174" s="11"/>
      <c r="P174" s="1817" t="e">
        <f>INDEX(#REF!,MATCH(F174,#REF!,0),2)</f>
        <v>#REF!</v>
      </c>
      <c r="Q174" s="11"/>
      <c r="R174" s="11"/>
      <c r="S174" s="11"/>
      <c r="T174" s="11"/>
      <c r="U174" s="11"/>
      <c r="V174" s="11"/>
      <c r="W174" s="11"/>
      <c r="X174" s="11"/>
      <c r="Y174" s="11"/>
      <c r="Z174" s="11"/>
      <c r="AA174" s="11"/>
      <c r="AB174" s="11"/>
      <c r="AC174" s="11"/>
      <c r="AD174" s="11"/>
      <c r="AE174" s="11"/>
      <c r="AF174" s="11"/>
    </row>
    <row r="175" spans="1:47" ht="33.75">
      <c r="A175" s="1882"/>
      <c r="B175" s="1882" t="s">
        <v>1248</v>
      </c>
      <c r="C175" s="1882" t="s">
        <v>505</v>
      </c>
      <c r="D175" s="1935"/>
      <c r="E175" s="2229" t="s">
        <v>658</v>
      </c>
      <c r="F175" s="1936">
        <v>2314</v>
      </c>
      <c r="G175" s="1884" t="s">
        <v>565</v>
      </c>
      <c r="H175" s="2484"/>
      <c r="I175" s="2484">
        <v>1300</v>
      </c>
      <c r="J175" s="3776">
        <v>814</v>
      </c>
      <c r="K175" s="1917"/>
      <c r="L175" s="1968"/>
      <c r="M175" s="1892">
        <v>1500</v>
      </c>
      <c r="N175" s="43" t="s">
        <v>3346</v>
      </c>
      <c r="O175" s="43"/>
      <c r="P175" s="1817" t="e">
        <f>INDEX(#REF!,MATCH(F175,#REF!,0),2)</f>
        <v>#REF!</v>
      </c>
      <c r="Q175" s="43"/>
      <c r="R175" s="43"/>
      <c r="S175" s="43"/>
      <c r="T175" s="43"/>
      <c r="U175" s="43"/>
      <c r="V175" s="43"/>
      <c r="W175" s="43"/>
      <c r="X175" s="43"/>
      <c r="Y175" s="43"/>
      <c r="Z175" s="43"/>
      <c r="AA175" s="43"/>
      <c r="AB175" s="43"/>
      <c r="AC175" s="43"/>
      <c r="AD175" s="43"/>
      <c r="AE175" s="43"/>
      <c r="AF175" s="43"/>
    </row>
    <row r="176" spans="1:47" ht="31.9" customHeight="1">
      <c r="A176" s="762" t="s">
        <v>862</v>
      </c>
      <c r="B176" s="1882" t="s">
        <v>1248</v>
      </c>
      <c r="C176" s="1882" t="s">
        <v>505</v>
      </c>
      <c r="D176" s="1935"/>
      <c r="E176" s="2229" t="s">
        <v>658</v>
      </c>
      <c r="F176" s="763">
        <v>2314</v>
      </c>
      <c r="G176" s="779" t="s">
        <v>1312</v>
      </c>
      <c r="H176" s="814"/>
      <c r="I176" s="2036">
        <v>1200</v>
      </c>
      <c r="J176" s="819"/>
      <c r="K176" s="816"/>
      <c r="L176" s="814"/>
      <c r="M176" s="3408">
        <v>1200</v>
      </c>
      <c r="N176" s="13" t="s">
        <v>5664</v>
      </c>
      <c r="O176" s="86"/>
      <c r="P176" s="1817" t="e">
        <f>INDEX(#REF!,MATCH(F176,#REF!,0),2)</f>
        <v>#REF!</v>
      </c>
      <c r="Q176" s="43"/>
      <c r="R176" s="43"/>
      <c r="S176" s="43"/>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row>
    <row r="177" spans="1:32">
      <c r="A177" s="2238"/>
      <c r="B177" s="2238" t="s">
        <v>1248</v>
      </c>
      <c r="C177" s="2238" t="s">
        <v>505</v>
      </c>
      <c r="D177" s="2239">
        <v>110</v>
      </c>
      <c r="E177" s="2253" t="s">
        <v>658</v>
      </c>
      <c r="F177" s="1945">
        <v>2322</v>
      </c>
      <c r="G177" s="1946" t="s">
        <v>250</v>
      </c>
      <c r="H177" s="2479">
        <v>16350</v>
      </c>
      <c r="I177" s="2480"/>
      <c r="J177" s="3775">
        <v>5704</v>
      </c>
      <c r="K177" s="1948"/>
      <c r="L177" s="2481">
        <v>13230</v>
      </c>
      <c r="M177" s="2483"/>
      <c r="N177" s="43"/>
      <c r="O177" s="43"/>
      <c r="P177" s="1817" t="e">
        <f>INDEX(#REF!,MATCH(F177,#REF!,0),2)</f>
        <v>#REF!</v>
      </c>
      <c r="Q177" s="43"/>
      <c r="R177" s="43"/>
      <c r="S177" s="43"/>
      <c r="T177" s="43"/>
      <c r="U177" s="43"/>
      <c r="V177" s="43"/>
      <c r="W177" s="43"/>
      <c r="X177" s="43"/>
      <c r="Y177" s="43"/>
      <c r="Z177" s="43"/>
      <c r="AA177" s="43"/>
      <c r="AB177" s="43"/>
      <c r="AC177" s="43"/>
      <c r="AD177" s="43"/>
      <c r="AE177" s="43"/>
      <c r="AF177" s="43"/>
    </row>
    <row r="178" spans="1:32">
      <c r="A178" s="1882"/>
      <c r="B178" s="1882" t="s">
        <v>1248</v>
      </c>
      <c r="C178" s="1882" t="s">
        <v>505</v>
      </c>
      <c r="D178" s="1935"/>
      <c r="E178" s="2229" t="s">
        <v>658</v>
      </c>
      <c r="F178" s="1936">
        <v>2322</v>
      </c>
      <c r="G178" s="1884" t="s">
        <v>3466</v>
      </c>
      <c r="H178" s="2484"/>
      <c r="I178" s="2484">
        <v>4800</v>
      </c>
      <c r="J178" s="3776"/>
      <c r="K178" s="1917"/>
      <c r="L178" s="1968"/>
      <c r="M178" s="1892">
        <v>4080</v>
      </c>
      <c r="N178" s="43"/>
      <c r="O178" s="43"/>
      <c r="P178" s="1817" t="e">
        <f>INDEX(#REF!,MATCH(F178,#REF!,0),2)</f>
        <v>#REF!</v>
      </c>
      <c r="Q178" s="43"/>
      <c r="R178" s="43"/>
      <c r="S178" s="43"/>
      <c r="T178" s="43"/>
      <c r="U178" s="43"/>
      <c r="V178" s="43"/>
      <c r="W178" s="43"/>
      <c r="X178" s="43"/>
      <c r="Y178" s="43"/>
      <c r="Z178" s="43"/>
      <c r="AA178" s="43"/>
      <c r="AB178" s="43"/>
      <c r="AC178" s="43"/>
      <c r="AD178" s="43"/>
      <c r="AE178" s="43"/>
      <c r="AF178" s="43"/>
    </row>
    <row r="179" spans="1:32">
      <c r="A179" s="1882"/>
      <c r="B179" s="1882" t="s">
        <v>1248</v>
      </c>
      <c r="C179" s="1882" t="s">
        <v>505</v>
      </c>
      <c r="D179" s="1935"/>
      <c r="E179" s="2229" t="s">
        <v>658</v>
      </c>
      <c r="F179" s="1936">
        <v>2322</v>
      </c>
      <c r="G179" s="1884" t="s">
        <v>1433</v>
      </c>
      <c r="H179" s="2484"/>
      <c r="I179" s="2484">
        <v>2400</v>
      </c>
      <c r="J179" s="3776"/>
      <c r="K179" s="1917"/>
      <c r="L179" s="1968"/>
      <c r="M179" s="1892">
        <v>1200</v>
      </c>
      <c r="N179" s="43"/>
      <c r="O179" s="43"/>
      <c r="P179" s="1817" t="e">
        <f>INDEX(#REF!,MATCH(F179,#REF!,0),2)</f>
        <v>#REF!</v>
      </c>
      <c r="Q179" s="43"/>
      <c r="R179" s="43"/>
      <c r="S179" s="43"/>
      <c r="T179" s="43"/>
      <c r="U179" s="43"/>
      <c r="V179" s="43"/>
      <c r="W179" s="43"/>
      <c r="X179" s="43"/>
      <c r="Y179" s="43"/>
      <c r="Z179" s="43"/>
      <c r="AA179" s="43"/>
      <c r="AB179" s="43"/>
      <c r="AC179" s="43"/>
      <c r="AD179" s="43"/>
      <c r="AE179" s="43"/>
      <c r="AF179" s="43"/>
    </row>
    <row r="180" spans="1:32">
      <c r="A180" s="1882"/>
      <c r="B180" s="1882" t="s">
        <v>1248</v>
      </c>
      <c r="C180" s="1882" t="s">
        <v>505</v>
      </c>
      <c r="D180" s="1935"/>
      <c r="E180" s="2229" t="s">
        <v>658</v>
      </c>
      <c r="F180" s="1936">
        <v>2322</v>
      </c>
      <c r="G180" s="1884" t="s">
        <v>1433</v>
      </c>
      <c r="H180" s="2484"/>
      <c r="I180" s="2484">
        <v>2400</v>
      </c>
      <c r="J180" s="3776"/>
      <c r="K180" s="1917"/>
      <c r="L180" s="1968"/>
      <c r="M180" s="1892">
        <v>1200</v>
      </c>
      <c r="N180" s="43"/>
      <c r="O180" s="43"/>
      <c r="P180" s="1817" t="e">
        <f>INDEX(#REF!,MATCH(F180,#REF!,0),2)</f>
        <v>#REF!</v>
      </c>
      <c r="Q180" s="43"/>
      <c r="R180" s="43"/>
      <c r="S180" s="43"/>
      <c r="T180" s="43"/>
      <c r="U180" s="43"/>
      <c r="V180" s="43"/>
      <c r="W180" s="43"/>
      <c r="X180" s="43"/>
      <c r="Y180" s="43"/>
      <c r="Z180" s="43"/>
      <c r="AA180" s="43"/>
      <c r="AB180" s="43"/>
      <c r="AC180" s="43"/>
      <c r="AD180" s="43"/>
      <c r="AE180" s="43"/>
      <c r="AF180" s="43"/>
    </row>
    <row r="181" spans="1:32">
      <c r="A181" s="1882"/>
      <c r="B181" s="1882" t="s">
        <v>1248</v>
      </c>
      <c r="C181" s="1882" t="s">
        <v>505</v>
      </c>
      <c r="D181" s="1935"/>
      <c r="E181" s="2229" t="s">
        <v>658</v>
      </c>
      <c r="F181" s="1936">
        <v>2322</v>
      </c>
      <c r="G181" s="1884" t="s">
        <v>2518</v>
      </c>
      <c r="H181" s="2484"/>
      <c r="I181" s="2484">
        <v>4800</v>
      </c>
      <c r="J181" s="3776"/>
      <c r="K181" s="1917"/>
      <c r="L181" s="1968"/>
      <c r="M181" s="1892">
        <v>4800</v>
      </c>
      <c r="N181" s="43"/>
      <c r="O181" s="43"/>
      <c r="P181" s="1817" t="e">
        <f>INDEX(#REF!,MATCH(F181,#REF!,0),2)</f>
        <v>#REF!</v>
      </c>
      <c r="Q181" s="43"/>
      <c r="R181" s="43"/>
      <c r="S181" s="43"/>
      <c r="T181" s="43"/>
      <c r="U181" s="43"/>
      <c r="V181" s="43"/>
      <c r="W181" s="43"/>
      <c r="X181" s="43"/>
      <c r="Y181" s="43"/>
      <c r="Z181" s="43"/>
      <c r="AA181" s="43"/>
      <c r="AB181" s="43"/>
      <c r="AC181" s="43"/>
      <c r="AD181" s="43"/>
      <c r="AE181" s="43"/>
      <c r="AF181" s="43"/>
    </row>
    <row r="182" spans="1:32">
      <c r="A182" s="1882"/>
      <c r="B182" s="1882" t="s">
        <v>1248</v>
      </c>
      <c r="C182" s="1882" t="s">
        <v>505</v>
      </c>
      <c r="D182" s="1935"/>
      <c r="E182" s="2229" t="s">
        <v>658</v>
      </c>
      <c r="F182" s="1936">
        <v>2322</v>
      </c>
      <c r="G182" s="1884" t="s">
        <v>730</v>
      </c>
      <c r="H182" s="2484"/>
      <c r="I182" s="2484">
        <v>250</v>
      </c>
      <c r="J182" s="3776"/>
      <c r="K182" s="1917"/>
      <c r="L182" s="1968"/>
      <c r="M182" s="1892">
        <v>250</v>
      </c>
      <c r="N182" s="43" t="s">
        <v>1189</v>
      </c>
      <c r="O182" s="43"/>
      <c r="P182" s="1817" t="e">
        <f>INDEX(#REF!,MATCH(F182,#REF!,0),2)</f>
        <v>#REF!</v>
      </c>
      <c r="Q182" s="43"/>
      <c r="R182" s="43"/>
      <c r="S182" s="43"/>
      <c r="T182" s="43"/>
      <c r="U182" s="43"/>
      <c r="V182" s="43"/>
      <c r="W182" s="43"/>
      <c r="X182" s="43"/>
      <c r="Y182" s="43"/>
      <c r="Z182" s="43"/>
      <c r="AA182" s="43"/>
      <c r="AB182" s="43"/>
      <c r="AC182" s="43"/>
      <c r="AD182" s="43"/>
      <c r="AE182" s="43"/>
      <c r="AF182" s="43"/>
    </row>
    <row r="183" spans="1:32">
      <c r="A183" s="2497"/>
      <c r="B183" s="2355" t="s">
        <v>1248</v>
      </c>
      <c r="C183" s="2355" t="s">
        <v>505</v>
      </c>
      <c r="D183" s="2498"/>
      <c r="E183" s="2229" t="s">
        <v>658</v>
      </c>
      <c r="F183" s="2499">
        <v>2322</v>
      </c>
      <c r="G183" s="1890" t="s">
        <v>516</v>
      </c>
      <c r="H183" s="2500"/>
      <c r="I183" s="2500">
        <v>960</v>
      </c>
      <c r="J183" s="3782"/>
      <c r="K183" s="2502"/>
      <c r="L183" s="2503"/>
      <c r="M183" s="2501">
        <v>960</v>
      </c>
      <c r="N183" s="43"/>
      <c r="O183" s="43"/>
      <c r="P183" s="1817" t="e">
        <f>INDEX(#REF!,MATCH(F183,#REF!,0),2)</f>
        <v>#REF!</v>
      </c>
      <c r="Q183" s="43"/>
      <c r="R183" s="43"/>
      <c r="S183" s="43"/>
      <c r="T183" s="43"/>
      <c r="U183" s="43"/>
      <c r="V183" s="43"/>
      <c r="W183" s="43"/>
      <c r="X183" s="43"/>
      <c r="Y183" s="43"/>
      <c r="Z183" s="43"/>
      <c r="AA183" s="43"/>
      <c r="AB183" s="43"/>
      <c r="AC183" s="43"/>
      <c r="AD183" s="43"/>
      <c r="AE183" s="43"/>
      <c r="AF183" s="43"/>
    </row>
    <row r="184" spans="1:32">
      <c r="A184" s="2497"/>
      <c r="B184" s="2355" t="s">
        <v>1248</v>
      </c>
      <c r="C184" s="2355" t="s">
        <v>505</v>
      </c>
      <c r="D184" s="2498"/>
      <c r="E184" s="2229" t="s">
        <v>658</v>
      </c>
      <c r="F184" s="2499">
        <v>2322</v>
      </c>
      <c r="G184" s="1890" t="s">
        <v>2466</v>
      </c>
      <c r="H184" s="2484"/>
      <c r="I184" s="2484">
        <v>240</v>
      </c>
      <c r="J184" s="3776"/>
      <c r="K184" s="1917"/>
      <c r="L184" s="1968"/>
      <c r="M184" s="1892">
        <v>240</v>
      </c>
      <c r="N184" s="1252" t="s">
        <v>1186</v>
      </c>
      <c r="O184" s="43"/>
      <c r="P184" s="1817" t="e">
        <f>INDEX(#REF!,MATCH(F184,#REF!,0),2)</f>
        <v>#REF!</v>
      </c>
      <c r="Q184" s="43"/>
      <c r="R184" s="43"/>
      <c r="S184" s="43"/>
      <c r="T184" s="43"/>
      <c r="U184" s="43"/>
      <c r="V184" s="43"/>
      <c r="W184" s="43"/>
      <c r="X184" s="43"/>
      <c r="Y184" s="43"/>
      <c r="Z184" s="43"/>
      <c r="AA184" s="43"/>
      <c r="AB184" s="43"/>
      <c r="AC184" s="43"/>
      <c r="AD184" s="43"/>
      <c r="AE184" s="43"/>
      <c r="AF184" s="43"/>
    </row>
    <row r="185" spans="1:32">
      <c r="A185" s="1882"/>
      <c r="B185" s="1882" t="s">
        <v>1248</v>
      </c>
      <c r="C185" s="1882" t="s">
        <v>505</v>
      </c>
      <c r="D185" s="1935"/>
      <c r="E185" s="2229" t="s">
        <v>658</v>
      </c>
      <c r="F185" s="1936">
        <v>2322</v>
      </c>
      <c r="G185" s="1884" t="s">
        <v>271</v>
      </c>
      <c r="H185" s="2484"/>
      <c r="I185" s="2484">
        <v>500</v>
      </c>
      <c r="J185" s="3776"/>
      <c r="K185" s="1917"/>
      <c r="L185" s="1968"/>
      <c r="M185" s="1892">
        <v>500</v>
      </c>
      <c r="N185" s="43"/>
      <c r="O185" s="43"/>
      <c r="P185" s="1817" t="e">
        <f>INDEX(#REF!,MATCH(F185,#REF!,0),2)</f>
        <v>#REF!</v>
      </c>
      <c r="Q185" s="43"/>
      <c r="R185" s="43"/>
      <c r="S185" s="43"/>
      <c r="T185" s="43"/>
      <c r="U185" s="43"/>
      <c r="V185" s="43"/>
      <c r="W185" s="43"/>
      <c r="X185" s="43"/>
      <c r="Y185" s="43"/>
      <c r="Z185" s="43"/>
      <c r="AA185" s="43"/>
      <c r="AB185" s="43"/>
      <c r="AC185" s="43"/>
      <c r="AD185" s="43"/>
      <c r="AE185" s="43"/>
      <c r="AF185" s="43"/>
    </row>
    <row r="186" spans="1:32">
      <c r="A186" s="2238"/>
      <c r="B186" s="2238" t="s">
        <v>1248</v>
      </c>
      <c r="C186" s="2238" t="s">
        <v>505</v>
      </c>
      <c r="D186" s="2239">
        <v>110</v>
      </c>
      <c r="E186" s="2253" t="s">
        <v>658</v>
      </c>
      <c r="F186" s="1945">
        <v>2341</v>
      </c>
      <c r="G186" s="1946" t="s">
        <v>320</v>
      </c>
      <c r="H186" s="2479">
        <v>90</v>
      </c>
      <c r="I186" s="2480"/>
      <c r="J186" s="3775"/>
      <c r="K186" s="1948"/>
      <c r="L186" s="2481">
        <v>90</v>
      </c>
      <c r="M186" s="2582"/>
      <c r="N186" s="43"/>
      <c r="O186" s="43"/>
      <c r="P186" s="1817" t="e">
        <f>INDEX(#REF!,MATCH(F186,#REF!,0),2)</f>
        <v>#REF!</v>
      </c>
      <c r="Q186" s="43"/>
      <c r="R186" s="43"/>
      <c r="S186" s="43"/>
      <c r="T186" s="43"/>
      <c r="U186" s="43"/>
      <c r="V186" s="43"/>
      <c r="W186" s="43"/>
      <c r="X186" s="43"/>
      <c r="Y186" s="43"/>
      <c r="Z186" s="43"/>
      <c r="AA186" s="43"/>
      <c r="AB186" s="43"/>
      <c r="AC186" s="43"/>
      <c r="AD186" s="43"/>
      <c r="AE186" s="43"/>
      <c r="AF186" s="43"/>
    </row>
    <row r="187" spans="1:32">
      <c r="A187" s="1882"/>
      <c r="B187" s="1882" t="s">
        <v>1248</v>
      </c>
      <c r="C187" s="1882" t="s">
        <v>505</v>
      </c>
      <c r="D187" s="1935"/>
      <c r="E187" s="2229" t="s">
        <v>658</v>
      </c>
      <c r="F187" s="1936">
        <v>2341</v>
      </c>
      <c r="G187" s="1884" t="s">
        <v>1759</v>
      </c>
      <c r="H187" s="2484"/>
      <c r="I187" s="2484">
        <v>90</v>
      </c>
      <c r="J187" s="3776"/>
      <c r="K187" s="1917"/>
      <c r="L187" s="1892"/>
      <c r="M187" s="1892">
        <v>90</v>
      </c>
      <c r="N187" s="43"/>
      <c r="O187" s="43"/>
      <c r="P187" s="1817" t="e">
        <f>INDEX(#REF!,MATCH(F187,#REF!,0),2)</f>
        <v>#REF!</v>
      </c>
      <c r="Q187" s="43"/>
      <c r="R187" s="43"/>
      <c r="S187" s="43"/>
      <c r="T187" s="43"/>
      <c r="U187" s="43"/>
      <c r="V187" s="43"/>
      <c r="W187" s="43"/>
      <c r="X187" s="43"/>
      <c r="Y187" s="43"/>
      <c r="Z187" s="43"/>
      <c r="AA187" s="43"/>
      <c r="AB187" s="43"/>
      <c r="AC187" s="43"/>
      <c r="AD187" s="43"/>
      <c r="AE187" s="43"/>
      <c r="AF187" s="43"/>
    </row>
    <row r="188" spans="1:32">
      <c r="A188" s="2238"/>
      <c r="B188" s="2238" t="s">
        <v>1248</v>
      </c>
      <c r="C188" s="2238" t="s">
        <v>505</v>
      </c>
      <c r="D188" s="2239">
        <v>110</v>
      </c>
      <c r="E188" s="2253" t="s">
        <v>658</v>
      </c>
      <c r="F188" s="1945">
        <v>2350</v>
      </c>
      <c r="G188" s="1946" t="s">
        <v>251</v>
      </c>
      <c r="H188" s="2479">
        <v>2348.5700000000002</v>
      </c>
      <c r="I188" s="2480"/>
      <c r="J188" s="3775">
        <v>887</v>
      </c>
      <c r="K188" s="1948"/>
      <c r="L188" s="2481">
        <v>1500</v>
      </c>
      <c r="M188" s="2582"/>
      <c r="N188" s="43"/>
      <c r="O188" s="43"/>
      <c r="P188" s="1817" t="e">
        <f>INDEX(#REF!,MATCH(F188,#REF!,0),2)</f>
        <v>#REF!</v>
      </c>
      <c r="Q188" s="43"/>
      <c r="R188" s="43"/>
      <c r="S188" s="43"/>
      <c r="T188" s="43"/>
      <c r="U188" s="43"/>
      <c r="V188" s="43"/>
      <c r="W188" s="43"/>
      <c r="X188" s="43"/>
      <c r="Y188" s="43"/>
      <c r="Z188" s="43"/>
      <c r="AA188" s="43"/>
      <c r="AB188" s="43"/>
      <c r="AC188" s="43"/>
      <c r="AD188" s="43"/>
      <c r="AE188" s="43"/>
      <c r="AF188" s="43"/>
    </row>
    <row r="189" spans="1:32">
      <c r="A189" s="1882"/>
      <c r="B189" s="1882" t="s">
        <v>1248</v>
      </c>
      <c r="C189" s="1882" t="s">
        <v>505</v>
      </c>
      <c r="D189" s="1935"/>
      <c r="E189" s="2229" t="s">
        <v>658</v>
      </c>
      <c r="F189" s="1936">
        <v>2350</v>
      </c>
      <c r="G189" s="1884" t="s">
        <v>1449</v>
      </c>
      <c r="H189" s="2484"/>
      <c r="I189" s="2484">
        <v>500</v>
      </c>
      <c r="J189" s="3776"/>
      <c r="K189" s="1917"/>
      <c r="L189" s="1892"/>
      <c r="M189" s="1892">
        <v>500</v>
      </c>
      <c r="N189" s="43"/>
      <c r="O189" s="43"/>
      <c r="P189" s="1817" t="e">
        <f>INDEX(#REF!,MATCH(F189,#REF!,0),2)</f>
        <v>#REF!</v>
      </c>
      <c r="Q189" s="43"/>
      <c r="R189" s="43"/>
      <c r="S189" s="43"/>
      <c r="T189" s="43"/>
      <c r="U189" s="43"/>
      <c r="V189" s="43"/>
      <c r="W189" s="43"/>
      <c r="X189" s="43"/>
      <c r="Y189" s="43"/>
      <c r="Z189" s="43"/>
      <c r="AA189" s="43"/>
      <c r="AB189" s="43"/>
      <c r="AC189" s="43"/>
      <c r="AD189" s="43"/>
      <c r="AE189" s="43"/>
      <c r="AF189" s="43"/>
    </row>
    <row r="190" spans="1:32" ht="22.5">
      <c r="A190" s="1882"/>
      <c r="B190" s="1882" t="s">
        <v>1248</v>
      </c>
      <c r="C190" s="1882" t="s">
        <v>505</v>
      </c>
      <c r="D190" s="1935"/>
      <c r="E190" s="2229" t="s">
        <v>658</v>
      </c>
      <c r="F190" s="1936">
        <v>2350</v>
      </c>
      <c r="G190" s="1884" t="s">
        <v>2467</v>
      </c>
      <c r="H190" s="2484"/>
      <c r="I190" s="2484">
        <v>768.57</v>
      </c>
      <c r="J190" s="3776"/>
      <c r="K190" s="1917"/>
      <c r="L190" s="1892"/>
      <c r="M190" s="2511" t="s">
        <v>216</v>
      </c>
      <c r="N190" s="43" t="s">
        <v>1186</v>
      </c>
      <c r="O190" s="43"/>
      <c r="P190" s="1817" t="e">
        <f>INDEX(#REF!,MATCH(F190,#REF!,0),2)</f>
        <v>#REF!</v>
      </c>
      <c r="Q190" s="43"/>
      <c r="R190" s="43"/>
      <c r="S190" s="43"/>
      <c r="T190" s="43"/>
      <c r="U190" s="43"/>
      <c r="V190" s="43"/>
      <c r="W190" s="43"/>
      <c r="X190" s="43"/>
      <c r="Y190" s="43"/>
      <c r="Z190" s="43"/>
      <c r="AA190" s="43"/>
      <c r="AB190" s="43"/>
      <c r="AC190" s="43"/>
      <c r="AD190" s="43"/>
      <c r="AE190" s="43"/>
      <c r="AF190" s="43"/>
    </row>
    <row r="191" spans="1:32" ht="22.5">
      <c r="A191" s="1882"/>
      <c r="B191" s="1882" t="s">
        <v>1248</v>
      </c>
      <c r="C191" s="1882" t="s">
        <v>505</v>
      </c>
      <c r="D191" s="1935"/>
      <c r="E191" s="2229" t="s">
        <v>658</v>
      </c>
      <c r="F191" s="1936">
        <v>2350</v>
      </c>
      <c r="G191" s="1884" t="s">
        <v>1301</v>
      </c>
      <c r="H191" s="2484"/>
      <c r="I191" s="2484">
        <v>80</v>
      </c>
      <c r="J191" s="3776"/>
      <c r="K191" s="1917"/>
      <c r="L191" s="1892"/>
      <c r="M191" s="1892"/>
      <c r="N191" s="43" t="s">
        <v>247</v>
      </c>
      <c r="O191" s="43"/>
      <c r="P191" s="1817" t="e">
        <f>INDEX(#REF!,MATCH(F191,#REF!,0),2)</f>
        <v>#REF!</v>
      </c>
      <c r="Q191" s="43"/>
      <c r="R191" s="43"/>
      <c r="S191" s="43"/>
      <c r="T191" s="43"/>
      <c r="U191" s="43"/>
      <c r="V191" s="43"/>
      <c r="W191" s="43"/>
      <c r="X191" s="43"/>
      <c r="Y191" s="43"/>
      <c r="Z191" s="43"/>
      <c r="AA191" s="43"/>
      <c r="AB191" s="43"/>
      <c r="AC191" s="43"/>
      <c r="AD191" s="43"/>
      <c r="AE191" s="43"/>
      <c r="AF191" s="43"/>
    </row>
    <row r="192" spans="1:32">
      <c r="A192" s="1882"/>
      <c r="B192" s="1882" t="s">
        <v>1248</v>
      </c>
      <c r="C192" s="1882" t="s">
        <v>505</v>
      </c>
      <c r="D192" s="1935"/>
      <c r="E192" s="2229" t="s">
        <v>658</v>
      </c>
      <c r="F192" s="1936">
        <v>2350</v>
      </c>
      <c r="G192" s="1884" t="s">
        <v>271</v>
      </c>
      <c r="H192" s="2484"/>
      <c r="I192" s="2484">
        <v>1000</v>
      </c>
      <c r="J192" s="3776"/>
      <c r="K192" s="1917"/>
      <c r="L192" s="1892"/>
      <c r="M192" s="1892">
        <v>1000</v>
      </c>
      <c r="N192" s="1025"/>
      <c r="O192" s="43"/>
      <c r="P192" s="1817" t="e">
        <f>INDEX(#REF!,MATCH(F192,#REF!,0),2)</f>
        <v>#REF!</v>
      </c>
      <c r="Q192" s="43"/>
      <c r="R192" s="43"/>
      <c r="S192" s="43"/>
      <c r="T192" s="43"/>
      <c r="U192" s="43"/>
      <c r="V192" s="43"/>
      <c r="W192" s="43"/>
      <c r="X192" s="43"/>
      <c r="Y192" s="43"/>
      <c r="Z192" s="43"/>
      <c r="AA192" s="43"/>
      <c r="AB192" s="43"/>
      <c r="AC192" s="43"/>
      <c r="AD192" s="43"/>
      <c r="AE192" s="43"/>
      <c r="AF192" s="43"/>
    </row>
    <row r="193" spans="1:32">
      <c r="A193" s="2238"/>
      <c r="B193" s="2238" t="s">
        <v>1248</v>
      </c>
      <c r="C193" s="2238" t="s">
        <v>505</v>
      </c>
      <c r="D193" s="2239">
        <v>110</v>
      </c>
      <c r="E193" s="2253" t="s">
        <v>658</v>
      </c>
      <c r="F193" s="1945">
        <v>2370</v>
      </c>
      <c r="G193" s="1946" t="s">
        <v>252</v>
      </c>
      <c r="H193" s="2479">
        <v>250</v>
      </c>
      <c r="I193" s="2480"/>
      <c r="J193" s="3775"/>
      <c r="K193" s="1948"/>
      <c r="L193" s="2481">
        <v>250</v>
      </c>
      <c r="M193" s="2582"/>
      <c r="N193" s="43"/>
      <c r="O193" s="43"/>
      <c r="P193" s="1817" t="e">
        <f>INDEX(#REF!,MATCH(F193,#REF!,0),2)</f>
        <v>#REF!</v>
      </c>
      <c r="Q193" s="43"/>
      <c r="R193" s="43"/>
      <c r="S193" s="43"/>
      <c r="T193" s="43"/>
      <c r="U193" s="43"/>
      <c r="V193" s="43"/>
      <c r="W193" s="43"/>
      <c r="X193" s="43"/>
      <c r="Y193" s="43"/>
      <c r="Z193" s="43"/>
      <c r="AA193" s="43"/>
      <c r="AB193" s="43"/>
      <c r="AC193" s="43"/>
      <c r="AD193" s="43"/>
      <c r="AE193" s="43"/>
      <c r="AF193" s="43"/>
    </row>
    <row r="194" spans="1:32" ht="11.45" customHeight="1">
      <c r="A194" s="1882"/>
      <c r="B194" s="1882" t="s">
        <v>1248</v>
      </c>
      <c r="C194" s="1882" t="s">
        <v>505</v>
      </c>
      <c r="D194" s="1935"/>
      <c r="E194" s="2229" t="s">
        <v>658</v>
      </c>
      <c r="F194" s="1936">
        <v>2370</v>
      </c>
      <c r="G194" s="1884" t="s">
        <v>5254</v>
      </c>
      <c r="H194" s="2484"/>
      <c r="I194" s="2484">
        <v>250</v>
      </c>
      <c r="J194" s="3776"/>
      <c r="K194" s="1950"/>
      <c r="L194" s="1892"/>
      <c r="M194" s="1892">
        <v>250</v>
      </c>
      <c r="N194" s="43" t="s">
        <v>1188</v>
      </c>
      <c r="O194" s="43"/>
      <c r="P194" s="1817" t="e">
        <f>INDEX(#REF!,MATCH(F194,#REF!,0),2)</f>
        <v>#REF!</v>
      </c>
      <c r="Q194" s="43"/>
      <c r="R194" s="43"/>
      <c r="S194" s="43"/>
      <c r="T194" s="43"/>
      <c r="U194" s="43"/>
      <c r="V194" s="43"/>
      <c r="W194" s="43"/>
      <c r="X194" s="43"/>
      <c r="Y194" s="43"/>
      <c r="Z194" s="43"/>
      <c r="AA194" s="43"/>
      <c r="AB194" s="43"/>
      <c r="AC194" s="43"/>
      <c r="AD194" s="43"/>
      <c r="AE194" s="43"/>
      <c r="AF194" s="43"/>
    </row>
    <row r="195" spans="1:32">
      <c r="A195" s="2238"/>
      <c r="B195" s="2238" t="s">
        <v>1248</v>
      </c>
      <c r="C195" s="2238" t="s">
        <v>505</v>
      </c>
      <c r="D195" s="2239">
        <v>110</v>
      </c>
      <c r="E195" s="2253" t="s">
        <v>658</v>
      </c>
      <c r="F195" s="1945">
        <v>2390</v>
      </c>
      <c r="G195" s="1946" t="s">
        <v>253</v>
      </c>
      <c r="H195" s="2479">
        <v>9805</v>
      </c>
      <c r="I195" s="2480"/>
      <c r="J195" s="3775"/>
      <c r="K195" s="1948"/>
      <c r="L195" s="2481">
        <v>9845</v>
      </c>
      <c r="M195" s="2483"/>
      <c r="N195" s="43"/>
      <c r="O195" s="43"/>
      <c r="P195" s="1817" t="e">
        <f>INDEX(#REF!,MATCH(F195,#REF!,0),2)</f>
        <v>#REF!</v>
      </c>
      <c r="Q195" s="43"/>
      <c r="R195" s="43"/>
      <c r="S195" s="43"/>
      <c r="T195" s="43"/>
      <c r="U195" s="43"/>
      <c r="V195" s="43"/>
      <c r="W195" s="43"/>
      <c r="X195" s="43"/>
      <c r="Y195" s="43"/>
      <c r="Z195" s="43"/>
      <c r="AA195" s="43"/>
      <c r="AB195" s="43"/>
      <c r="AC195" s="43"/>
      <c r="AD195" s="43"/>
      <c r="AE195" s="43"/>
      <c r="AF195" s="43"/>
    </row>
    <row r="196" spans="1:32">
      <c r="A196" s="1882"/>
      <c r="B196" s="1882" t="s">
        <v>1248</v>
      </c>
      <c r="C196" s="1882" t="s">
        <v>505</v>
      </c>
      <c r="D196" s="1935"/>
      <c r="E196" s="2229" t="s">
        <v>658</v>
      </c>
      <c r="F196" s="1936">
        <v>2390</v>
      </c>
      <c r="G196" s="1884" t="s">
        <v>5255</v>
      </c>
      <c r="H196" s="2484"/>
      <c r="I196" s="2484">
        <v>700</v>
      </c>
      <c r="J196" s="3776">
        <v>629</v>
      </c>
      <c r="K196" s="1917"/>
      <c r="L196" s="1968"/>
      <c r="M196" s="1892">
        <v>1000</v>
      </c>
      <c r="N196" s="43" t="s">
        <v>3342</v>
      </c>
      <c r="O196" s="11"/>
      <c r="P196" s="1817" t="e">
        <f>INDEX(#REF!,MATCH(F196,#REF!,0),2)</f>
        <v>#REF!</v>
      </c>
      <c r="Q196" s="11"/>
      <c r="R196" s="11"/>
      <c r="S196" s="11"/>
      <c r="T196" s="11"/>
      <c r="U196" s="11"/>
      <c r="V196" s="11"/>
      <c r="W196" s="11"/>
      <c r="X196" s="11"/>
      <c r="Y196" s="11"/>
      <c r="Z196" s="11"/>
      <c r="AA196" s="11"/>
      <c r="AB196" s="11"/>
      <c r="AC196" s="11"/>
      <c r="AD196" s="11"/>
      <c r="AE196" s="11"/>
      <c r="AF196" s="11"/>
    </row>
    <row r="197" spans="1:32" ht="33.75">
      <c r="A197" s="1882"/>
      <c r="B197" s="1882" t="s">
        <v>1248</v>
      </c>
      <c r="C197" s="1882" t="s">
        <v>505</v>
      </c>
      <c r="D197" s="1935"/>
      <c r="E197" s="2229" t="s">
        <v>658</v>
      </c>
      <c r="F197" s="1936">
        <v>2390</v>
      </c>
      <c r="G197" s="1884" t="s">
        <v>917</v>
      </c>
      <c r="H197" s="2484"/>
      <c r="I197" s="2484">
        <v>700</v>
      </c>
      <c r="J197" s="3776">
        <v>524.88</v>
      </c>
      <c r="K197" s="1917"/>
      <c r="L197" s="1968"/>
      <c r="M197" s="1892">
        <v>900</v>
      </c>
      <c r="N197" s="43" t="s">
        <v>247</v>
      </c>
      <c r="O197" s="11"/>
      <c r="P197" s="1817" t="e">
        <f>INDEX(#REF!,MATCH(F197,#REF!,0),2)</f>
        <v>#REF!</v>
      </c>
      <c r="Q197" s="11"/>
      <c r="R197" s="11"/>
      <c r="S197" s="11"/>
      <c r="T197" s="11"/>
      <c r="U197" s="11"/>
      <c r="V197" s="11"/>
      <c r="W197" s="11"/>
      <c r="X197" s="11"/>
      <c r="Y197" s="11"/>
      <c r="Z197" s="11"/>
      <c r="AA197" s="11"/>
      <c r="AB197" s="11"/>
      <c r="AC197" s="11"/>
      <c r="AD197" s="11"/>
      <c r="AE197" s="11"/>
      <c r="AF197" s="11"/>
    </row>
    <row r="198" spans="1:32">
      <c r="A198" s="1882"/>
      <c r="B198" s="1882" t="s">
        <v>1248</v>
      </c>
      <c r="C198" s="1882" t="s">
        <v>505</v>
      </c>
      <c r="D198" s="1935"/>
      <c r="E198" s="2229" t="s">
        <v>658</v>
      </c>
      <c r="F198" s="1936">
        <v>2390</v>
      </c>
      <c r="G198" s="1884" t="s">
        <v>2956</v>
      </c>
      <c r="H198" s="2484"/>
      <c r="I198" s="2484">
        <v>75</v>
      </c>
      <c r="J198" s="3776"/>
      <c r="K198" s="1917"/>
      <c r="L198" s="1968"/>
      <c r="M198" s="1968">
        <v>75</v>
      </c>
      <c r="N198" s="43"/>
      <c r="O198" s="43"/>
      <c r="P198" s="1817" t="e">
        <f>INDEX(#REF!,MATCH(F198,#REF!,0),2)</f>
        <v>#REF!</v>
      </c>
      <c r="Q198" s="43"/>
      <c r="R198" s="43"/>
      <c r="S198" s="43"/>
      <c r="T198" s="43"/>
      <c r="U198" s="43"/>
      <c r="V198" s="43"/>
      <c r="W198" s="43"/>
      <c r="X198" s="43"/>
      <c r="Y198" s="43"/>
      <c r="Z198" s="43"/>
      <c r="AA198" s="43"/>
      <c r="AB198" s="43"/>
      <c r="AC198" s="43"/>
      <c r="AD198" s="43"/>
      <c r="AE198" s="43"/>
      <c r="AF198" s="43"/>
    </row>
    <row r="199" spans="1:32">
      <c r="A199" s="1882"/>
      <c r="B199" s="1882" t="s">
        <v>1248</v>
      </c>
      <c r="C199" s="1882" t="s">
        <v>505</v>
      </c>
      <c r="D199" s="1935"/>
      <c r="E199" s="2229" t="s">
        <v>658</v>
      </c>
      <c r="F199" s="1936">
        <v>2390</v>
      </c>
      <c r="G199" s="1884" t="s">
        <v>2452</v>
      </c>
      <c r="H199" s="2484"/>
      <c r="I199" s="2484">
        <v>200</v>
      </c>
      <c r="J199" s="3776"/>
      <c r="K199" s="1917"/>
      <c r="L199" s="1968"/>
      <c r="M199" s="1892">
        <v>200</v>
      </c>
      <c r="N199" s="43" t="s">
        <v>1189</v>
      </c>
      <c r="O199" s="4"/>
      <c r="P199" s="1817" t="e">
        <f>INDEX(#REF!,MATCH(F199,#REF!,0),2)</f>
        <v>#REF!</v>
      </c>
      <c r="Q199" s="4"/>
      <c r="R199" s="43"/>
      <c r="S199" s="43"/>
      <c r="T199" s="43"/>
      <c r="U199" s="43"/>
      <c r="V199" s="43"/>
      <c r="W199" s="43"/>
      <c r="X199" s="43"/>
      <c r="Y199" s="43"/>
      <c r="Z199" s="43"/>
      <c r="AA199" s="43"/>
      <c r="AB199" s="43"/>
      <c r="AC199" s="43"/>
      <c r="AD199" s="43"/>
      <c r="AE199" s="43"/>
      <c r="AF199" s="43"/>
    </row>
    <row r="200" spans="1:32">
      <c r="A200" s="1882"/>
      <c r="B200" s="1882" t="s">
        <v>1248</v>
      </c>
      <c r="C200" s="1882" t="s">
        <v>505</v>
      </c>
      <c r="D200" s="1935"/>
      <c r="E200" s="2229" t="s">
        <v>658</v>
      </c>
      <c r="F200" s="1936">
        <v>2390</v>
      </c>
      <c r="G200" s="1884" t="s">
        <v>2453</v>
      </c>
      <c r="H200" s="2484"/>
      <c r="I200" s="2484">
        <v>400</v>
      </c>
      <c r="J200" s="3776"/>
      <c r="K200" s="1917"/>
      <c r="L200" s="1968"/>
      <c r="M200" s="1892">
        <v>300</v>
      </c>
      <c r="N200" s="43" t="s">
        <v>1189</v>
      </c>
      <c r="O200" s="43"/>
      <c r="P200" s="1817" t="e">
        <f>INDEX(#REF!,MATCH(F200,#REF!,0),2)</f>
        <v>#REF!</v>
      </c>
      <c r="Q200" s="43"/>
      <c r="R200" s="43"/>
      <c r="S200" s="43"/>
      <c r="T200" s="43"/>
      <c r="U200" s="43"/>
      <c r="V200" s="43"/>
      <c r="W200" s="43"/>
      <c r="X200" s="43"/>
      <c r="Y200" s="43"/>
      <c r="Z200" s="43"/>
      <c r="AA200" s="43"/>
      <c r="AB200" s="43"/>
      <c r="AC200" s="43"/>
      <c r="AD200" s="43"/>
      <c r="AE200" s="43"/>
      <c r="AF200" s="43"/>
    </row>
    <row r="201" spans="1:32">
      <c r="A201" s="1882"/>
      <c r="B201" s="1882" t="s">
        <v>1248</v>
      </c>
      <c r="C201" s="1882" t="s">
        <v>505</v>
      </c>
      <c r="D201" s="1935"/>
      <c r="E201" s="2229" t="s">
        <v>658</v>
      </c>
      <c r="F201" s="1936">
        <v>2390</v>
      </c>
      <c r="G201" s="1884" t="s">
        <v>2454</v>
      </c>
      <c r="H201" s="2484"/>
      <c r="I201" s="2484">
        <v>1500</v>
      </c>
      <c r="J201" s="3776">
        <v>1283</v>
      </c>
      <c r="K201" s="1917"/>
      <c r="L201" s="1968"/>
      <c r="M201" s="1892">
        <v>1500</v>
      </c>
      <c r="N201" s="43" t="s">
        <v>1189</v>
      </c>
      <c r="O201" s="43"/>
      <c r="P201" s="1817" t="e">
        <f>INDEX(#REF!,MATCH(F201,#REF!,0),2)</f>
        <v>#REF!</v>
      </c>
      <c r="Q201" s="43"/>
      <c r="R201" s="43"/>
      <c r="S201" s="43"/>
      <c r="T201" s="43"/>
      <c r="U201" s="43"/>
      <c r="V201" s="43"/>
      <c r="W201" s="43"/>
      <c r="X201" s="43"/>
      <c r="Y201" s="43"/>
      <c r="Z201" s="43"/>
      <c r="AA201" s="43"/>
      <c r="AB201" s="43"/>
      <c r="AC201" s="43"/>
      <c r="AD201" s="43"/>
      <c r="AE201" s="43"/>
      <c r="AF201" s="43"/>
    </row>
    <row r="202" spans="1:32">
      <c r="A202" s="1882"/>
      <c r="B202" s="1882" t="s">
        <v>1248</v>
      </c>
      <c r="C202" s="1882" t="s">
        <v>505</v>
      </c>
      <c r="D202" s="1935"/>
      <c r="E202" s="2229" t="s">
        <v>658</v>
      </c>
      <c r="F202" s="1936">
        <v>2390</v>
      </c>
      <c r="G202" s="1884" t="s">
        <v>2455</v>
      </c>
      <c r="H202" s="2484"/>
      <c r="I202" s="2484">
        <v>300</v>
      </c>
      <c r="J202" s="3776"/>
      <c r="K202" s="1917"/>
      <c r="L202" s="1968"/>
      <c r="M202" s="1892">
        <v>300</v>
      </c>
      <c r="N202" s="43" t="s">
        <v>1189</v>
      </c>
      <c r="O202" s="4"/>
      <c r="P202" s="1817" t="e">
        <f>INDEX(#REF!,MATCH(F202,#REF!,0),2)</f>
        <v>#REF!</v>
      </c>
      <c r="Q202" s="4"/>
      <c r="R202" s="43"/>
      <c r="S202" s="43"/>
      <c r="T202" s="43"/>
      <c r="U202" s="43"/>
      <c r="V202" s="43"/>
      <c r="W202" s="43"/>
      <c r="X202" s="43"/>
      <c r="Y202" s="43"/>
      <c r="Z202" s="43"/>
      <c r="AA202" s="43"/>
      <c r="AB202" s="43"/>
      <c r="AC202" s="43"/>
      <c r="AD202" s="43"/>
      <c r="AE202" s="43"/>
      <c r="AF202" s="43"/>
    </row>
    <row r="203" spans="1:32">
      <c r="A203" s="1882"/>
      <c r="B203" s="1882" t="s">
        <v>1248</v>
      </c>
      <c r="C203" s="1882" t="s">
        <v>505</v>
      </c>
      <c r="D203" s="1935"/>
      <c r="E203" s="2229" t="s">
        <v>658</v>
      </c>
      <c r="F203" s="1936">
        <v>2390</v>
      </c>
      <c r="G203" s="1884" t="s">
        <v>2456</v>
      </c>
      <c r="H203" s="2484"/>
      <c r="I203" s="2484">
        <v>770</v>
      </c>
      <c r="J203" s="3776">
        <v>768</v>
      </c>
      <c r="K203" s="1917"/>
      <c r="L203" s="1968"/>
      <c r="M203" s="1892">
        <v>770</v>
      </c>
      <c r="N203" s="43" t="s">
        <v>1189</v>
      </c>
      <c r="O203" s="43"/>
      <c r="P203" s="1817" t="e">
        <f>INDEX(#REF!,MATCH(F203,#REF!,0),2)</f>
        <v>#REF!</v>
      </c>
      <c r="Q203" s="43"/>
      <c r="R203" s="43"/>
      <c r="S203" s="43"/>
      <c r="T203" s="43"/>
      <c r="U203" s="43"/>
      <c r="V203" s="43"/>
      <c r="W203" s="43"/>
      <c r="X203" s="43"/>
      <c r="Y203" s="43"/>
      <c r="Z203" s="43"/>
      <c r="AA203" s="43"/>
      <c r="AB203" s="43"/>
      <c r="AC203" s="43"/>
      <c r="AD203" s="43"/>
      <c r="AE203" s="43"/>
      <c r="AF203" s="43"/>
    </row>
    <row r="204" spans="1:32" ht="33.75">
      <c r="A204" s="1882"/>
      <c r="B204" s="1882" t="s">
        <v>1248</v>
      </c>
      <c r="C204" s="1882" t="s">
        <v>505</v>
      </c>
      <c r="D204" s="1935"/>
      <c r="E204" s="2229" t="s">
        <v>658</v>
      </c>
      <c r="F204" s="1936">
        <v>2390</v>
      </c>
      <c r="G204" s="1884" t="s">
        <v>3473</v>
      </c>
      <c r="H204" s="2484"/>
      <c r="I204" s="2484">
        <v>160</v>
      </c>
      <c r="J204" s="3776"/>
      <c r="K204" s="1917"/>
      <c r="L204" s="1968"/>
      <c r="M204" s="1892"/>
      <c r="N204" s="43" t="s">
        <v>1189</v>
      </c>
      <c r="O204" s="43"/>
      <c r="P204" s="1817" t="e">
        <f>INDEX(#REF!,MATCH(F204,#REF!,0),2)</f>
        <v>#REF!</v>
      </c>
      <c r="Q204" s="43"/>
      <c r="R204" s="43"/>
      <c r="S204" s="43"/>
      <c r="T204" s="43"/>
      <c r="U204" s="43"/>
      <c r="V204" s="43"/>
      <c r="W204" s="43"/>
      <c r="X204" s="43"/>
      <c r="Y204" s="43"/>
      <c r="Z204" s="43"/>
      <c r="AA204" s="43"/>
      <c r="AB204" s="43"/>
      <c r="AC204" s="43"/>
      <c r="AD204" s="43"/>
      <c r="AE204" s="43"/>
      <c r="AF204" s="43"/>
    </row>
    <row r="205" spans="1:32" ht="18" customHeight="1">
      <c r="A205" s="1882"/>
      <c r="B205" s="1882" t="s">
        <v>1248</v>
      </c>
      <c r="C205" s="1882" t="s">
        <v>505</v>
      </c>
      <c r="D205" s="1935"/>
      <c r="E205" s="2229" t="s">
        <v>658</v>
      </c>
      <c r="F205" s="1936">
        <v>2390</v>
      </c>
      <c r="G205" s="1884" t="s">
        <v>2458</v>
      </c>
      <c r="H205" s="2484"/>
      <c r="I205" s="2484">
        <v>4500</v>
      </c>
      <c r="J205" s="3776">
        <v>2880</v>
      </c>
      <c r="K205" s="1917"/>
      <c r="L205" s="1968"/>
      <c r="M205" s="1892">
        <v>4500</v>
      </c>
      <c r="N205" s="43" t="s">
        <v>1189</v>
      </c>
      <c r="O205" s="43"/>
      <c r="P205" s="1817" t="e">
        <f>INDEX(#REF!,MATCH(F205,#REF!,0),2)</f>
        <v>#REF!</v>
      </c>
      <c r="Q205" s="43"/>
      <c r="R205" s="43"/>
      <c r="S205" s="43"/>
      <c r="T205" s="43"/>
      <c r="U205" s="43"/>
      <c r="V205" s="43"/>
      <c r="W205" s="43"/>
      <c r="X205" s="43"/>
      <c r="Y205" s="43"/>
      <c r="Z205" s="43"/>
      <c r="AA205" s="43"/>
      <c r="AB205" s="43"/>
      <c r="AC205" s="43"/>
      <c r="AD205" s="43"/>
      <c r="AE205" s="43"/>
      <c r="AF205" s="43"/>
    </row>
    <row r="206" spans="1:32" ht="21.6" customHeight="1">
      <c r="A206" s="2587"/>
      <c r="B206" s="1882" t="s">
        <v>1248</v>
      </c>
      <c r="C206" s="1882" t="s">
        <v>505</v>
      </c>
      <c r="D206" s="1935"/>
      <c r="E206" s="2229" t="s">
        <v>658</v>
      </c>
      <c r="F206" s="1936">
        <v>2390</v>
      </c>
      <c r="G206" s="2590" t="s">
        <v>3474</v>
      </c>
      <c r="H206" s="2591"/>
      <c r="I206" s="2591"/>
      <c r="J206" s="3780"/>
      <c r="K206" s="2593"/>
      <c r="L206" s="2594"/>
      <c r="M206" s="2592">
        <v>150</v>
      </c>
      <c r="N206" s="43" t="s">
        <v>1189</v>
      </c>
      <c r="O206" s="43"/>
      <c r="P206" s="1817"/>
      <c r="Q206" s="43"/>
      <c r="R206" s="43"/>
      <c r="S206" s="43"/>
      <c r="T206" s="43"/>
      <c r="U206" s="43"/>
      <c r="V206" s="43"/>
      <c r="W206" s="43"/>
      <c r="X206" s="43"/>
      <c r="Y206" s="43"/>
      <c r="Z206" s="43"/>
      <c r="AA206" s="43"/>
      <c r="AB206" s="43"/>
      <c r="AC206" s="43"/>
      <c r="AD206" s="43"/>
      <c r="AE206" s="43"/>
      <c r="AF206" s="43"/>
    </row>
    <row r="207" spans="1:32">
      <c r="A207" s="1882"/>
      <c r="B207" s="1882" t="s">
        <v>1248</v>
      </c>
      <c r="C207" s="1882" t="s">
        <v>505</v>
      </c>
      <c r="D207" s="1935"/>
      <c r="E207" s="2229" t="s">
        <v>658</v>
      </c>
      <c r="F207" s="1936">
        <v>2390</v>
      </c>
      <c r="G207" s="1884" t="s">
        <v>2457</v>
      </c>
      <c r="H207" s="2484"/>
      <c r="I207" s="2484">
        <v>150</v>
      </c>
      <c r="J207" s="3776"/>
      <c r="K207" s="1917"/>
      <c r="L207" s="1968"/>
      <c r="M207" s="1892">
        <v>150</v>
      </c>
      <c r="N207" s="43" t="s">
        <v>1189</v>
      </c>
      <c r="O207" s="43"/>
      <c r="P207" s="1817" t="e">
        <f>INDEX(#REF!,MATCH(F207,#REF!,0),2)</f>
        <v>#REF!</v>
      </c>
      <c r="Q207" s="43"/>
      <c r="R207" s="43"/>
      <c r="S207" s="43"/>
      <c r="T207" s="43"/>
      <c r="U207" s="43"/>
      <c r="V207" s="43"/>
      <c r="W207" s="43"/>
      <c r="X207" s="43"/>
      <c r="Y207" s="43"/>
      <c r="Z207" s="43"/>
      <c r="AA207" s="43"/>
      <c r="AB207" s="43"/>
      <c r="AC207" s="43"/>
      <c r="AD207" s="43"/>
      <c r="AE207" s="43"/>
      <c r="AF207" s="43"/>
    </row>
    <row r="208" spans="1:32">
      <c r="A208" s="1882"/>
      <c r="B208" s="1882" t="s">
        <v>1248</v>
      </c>
      <c r="C208" s="1882" t="s">
        <v>505</v>
      </c>
      <c r="D208" s="1935"/>
      <c r="E208" s="2229" t="s">
        <v>658</v>
      </c>
      <c r="F208" s="1936">
        <v>2390</v>
      </c>
      <c r="G208" s="1884" t="s">
        <v>2937</v>
      </c>
      <c r="H208" s="2484"/>
      <c r="I208" s="2484">
        <v>350</v>
      </c>
      <c r="J208" s="3776"/>
      <c r="K208" s="1917"/>
      <c r="L208" s="1968"/>
      <c r="M208" s="1968"/>
      <c r="N208" s="43" t="s">
        <v>247</v>
      </c>
      <c r="O208" s="11"/>
      <c r="P208" s="1817" t="e">
        <f>INDEX(#REF!,MATCH(F208,#REF!,0),2)</f>
        <v>#REF!</v>
      </c>
      <c r="Q208" s="11"/>
      <c r="R208" s="11"/>
      <c r="S208" s="11"/>
      <c r="T208" s="11"/>
      <c r="U208" s="11"/>
      <c r="V208" s="11"/>
      <c r="W208" s="11"/>
      <c r="X208" s="11"/>
      <c r="Y208" s="11"/>
      <c r="Z208" s="11"/>
      <c r="AA208" s="11"/>
      <c r="AB208" s="11"/>
      <c r="AC208" s="11"/>
      <c r="AD208" s="11"/>
      <c r="AE208" s="11"/>
      <c r="AF208" s="11"/>
    </row>
    <row r="209" spans="1:32" ht="22.5">
      <c r="A209" s="2238"/>
      <c r="B209" s="2238" t="s">
        <v>1248</v>
      </c>
      <c r="C209" s="2238" t="s">
        <v>505</v>
      </c>
      <c r="D209" s="2239">
        <v>110</v>
      </c>
      <c r="E209" s="2253" t="s">
        <v>658</v>
      </c>
      <c r="F209" s="1945">
        <v>2519</v>
      </c>
      <c r="G209" s="1946" t="s">
        <v>1256</v>
      </c>
      <c r="H209" s="2479">
        <v>2400</v>
      </c>
      <c r="I209" s="2480"/>
      <c r="J209" s="3775">
        <v>45</v>
      </c>
      <c r="K209" s="1948"/>
      <c r="L209" s="2481">
        <v>1200</v>
      </c>
      <c r="M209" s="2582"/>
      <c r="N209" s="43"/>
      <c r="O209" s="43"/>
      <c r="P209" s="1817" t="e">
        <f>INDEX(#REF!,MATCH(F209,#REF!,0),2)</f>
        <v>#REF!</v>
      </c>
      <c r="Q209" s="43"/>
      <c r="R209" s="43"/>
      <c r="S209" s="43"/>
      <c r="T209" s="43"/>
      <c r="U209" s="43"/>
      <c r="V209" s="43"/>
      <c r="W209" s="43"/>
      <c r="X209" s="43"/>
      <c r="Y209" s="43"/>
      <c r="Z209" s="43"/>
      <c r="AA209" s="43"/>
      <c r="AB209" s="43"/>
      <c r="AC209" s="43"/>
      <c r="AD209" s="43"/>
      <c r="AE209" s="43"/>
      <c r="AF209" s="43"/>
    </row>
    <row r="210" spans="1:32" ht="22.5">
      <c r="A210" s="1882"/>
      <c r="B210" s="1882" t="s">
        <v>1248</v>
      </c>
      <c r="C210" s="1882" t="s">
        <v>505</v>
      </c>
      <c r="D210" s="1935"/>
      <c r="E210" s="2229" t="s">
        <v>658</v>
      </c>
      <c r="F210" s="1936">
        <v>2519</v>
      </c>
      <c r="G210" s="1913" t="s">
        <v>3347</v>
      </c>
      <c r="H210" s="2484"/>
      <c r="I210" s="2484">
        <v>600</v>
      </c>
      <c r="J210" s="3776"/>
      <c r="K210" s="1917"/>
      <c r="L210" s="1892"/>
      <c r="M210" s="1892">
        <v>1200</v>
      </c>
      <c r="N210" s="1252" t="s">
        <v>1186</v>
      </c>
      <c r="O210" s="43"/>
      <c r="P210" s="1817" t="e">
        <f>INDEX(#REF!,MATCH(F210,#REF!,0),2)</f>
        <v>#REF!</v>
      </c>
      <c r="Q210" s="43"/>
      <c r="R210" s="43"/>
      <c r="S210" s="43"/>
      <c r="T210" s="43"/>
      <c r="U210" s="43"/>
      <c r="V210" s="43"/>
      <c r="W210" s="43"/>
      <c r="X210" s="43"/>
      <c r="Y210" s="43"/>
      <c r="Z210" s="43"/>
      <c r="AA210" s="43"/>
      <c r="AB210" s="43"/>
      <c r="AC210" s="43"/>
      <c r="AD210" s="43"/>
      <c r="AE210" s="43"/>
      <c r="AF210" s="43"/>
    </row>
    <row r="211" spans="1:32" ht="22.5">
      <c r="A211" s="1882"/>
      <c r="B211" s="1882" t="s">
        <v>1248</v>
      </c>
      <c r="C211" s="1882" t="s">
        <v>505</v>
      </c>
      <c r="D211" s="1935"/>
      <c r="E211" s="2229" t="s">
        <v>658</v>
      </c>
      <c r="F211" s="1936">
        <v>2519</v>
      </c>
      <c r="G211" s="2493" t="s">
        <v>1798</v>
      </c>
      <c r="H211" s="2484"/>
      <c r="I211" s="2484">
        <v>1800</v>
      </c>
      <c r="J211" s="3776"/>
      <c r="K211" s="1917"/>
      <c r="L211" s="1892"/>
      <c r="M211" s="1892"/>
      <c r="N211" s="43"/>
      <c r="O211" s="43"/>
      <c r="P211" s="1817" t="e">
        <f>INDEX(#REF!,MATCH(F211,#REF!,0),2)</f>
        <v>#REF!</v>
      </c>
      <c r="Q211" s="43"/>
      <c r="R211" s="43"/>
      <c r="S211" s="43"/>
      <c r="T211" s="43"/>
      <c r="U211" s="43"/>
      <c r="V211" s="43"/>
      <c r="W211" s="43"/>
      <c r="X211" s="43"/>
      <c r="Y211" s="43"/>
      <c r="Z211" s="43"/>
      <c r="AA211" s="43"/>
      <c r="AB211" s="43"/>
      <c r="AC211" s="43"/>
      <c r="AD211" s="43"/>
      <c r="AE211" s="43"/>
      <c r="AF211" s="43"/>
    </row>
    <row r="212" spans="1:32" ht="22.5">
      <c r="A212" s="2504"/>
      <c r="B212" s="2504" t="s">
        <v>1298</v>
      </c>
      <c r="C212" s="2504" t="s">
        <v>510</v>
      </c>
      <c r="D212" s="2505">
        <v>110</v>
      </c>
      <c r="E212" s="2506" t="s">
        <v>658</v>
      </c>
      <c r="F212" s="2507">
        <v>4311</v>
      </c>
      <c r="G212" s="2508" t="s">
        <v>254</v>
      </c>
      <c r="H212" s="2479">
        <v>1224463.3380284801</v>
      </c>
      <c r="I212" s="2480"/>
      <c r="J212" s="3775">
        <v>1224463</v>
      </c>
      <c r="K212" s="1948"/>
      <c r="L212" s="2481">
        <v>2229302</v>
      </c>
      <c r="M212" s="2582"/>
      <c r="N212" s="43"/>
      <c r="O212" s="4"/>
      <c r="P212" s="1817" t="e">
        <f>INDEX(#REF!,MATCH(F212,#REF!,0),2)</f>
        <v>#REF!</v>
      </c>
      <c r="Q212" s="4"/>
      <c r="R212" s="43"/>
      <c r="S212" s="43"/>
      <c r="T212" s="43"/>
      <c r="U212" s="43"/>
      <c r="V212" s="43"/>
      <c r="W212" s="43"/>
      <c r="X212" s="43"/>
      <c r="Y212" s="43"/>
      <c r="Z212" s="43"/>
      <c r="AA212" s="43"/>
      <c r="AB212" s="43"/>
      <c r="AC212" s="43"/>
      <c r="AD212" s="43"/>
      <c r="AE212" s="43"/>
      <c r="AF212" s="43"/>
    </row>
    <row r="213" spans="1:32">
      <c r="A213" s="1914"/>
      <c r="B213" s="1882" t="s">
        <v>1298</v>
      </c>
      <c r="C213" s="1882" t="s">
        <v>510</v>
      </c>
      <c r="D213" s="1935"/>
      <c r="E213" s="2229" t="s">
        <v>658</v>
      </c>
      <c r="F213" s="1936">
        <v>4311</v>
      </c>
      <c r="G213" s="1913"/>
      <c r="H213" s="2484"/>
      <c r="I213" s="2484">
        <v>1047339.3380284834</v>
      </c>
      <c r="J213" s="3776"/>
      <c r="K213" s="1917"/>
      <c r="L213" s="1892"/>
      <c r="M213" s="3791">
        <v>2229302</v>
      </c>
      <c r="N213" s="43"/>
      <c r="O213" s="43"/>
      <c r="P213" s="1817" t="e">
        <f>INDEX(#REF!,MATCH(F213,#REF!,0),2)</f>
        <v>#REF!</v>
      </c>
      <c r="Q213" s="43"/>
      <c r="R213" s="4"/>
      <c r="S213" s="4"/>
      <c r="T213" s="4"/>
      <c r="U213" s="4"/>
      <c r="V213" s="4"/>
      <c r="W213" s="4"/>
      <c r="X213" s="4"/>
      <c r="Y213" s="4"/>
      <c r="Z213" s="4"/>
      <c r="AA213" s="4"/>
      <c r="AB213" s="4"/>
      <c r="AC213" s="4"/>
      <c r="AD213" s="4"/>
      <c r="AE213" s="4"/>
      <c r="AF213" s="4"/>
    </row>
    <row r="214" spans="1:32">
      <c r="A214" s="1914"/>
      <c r="B214" s="1882" t="s">
        <v>1298</v>
      </c>
      <c r="C214" s="1882" t="s">
        <v>510</v>
      </c>
      <c r="D214" s="1935"/>
      <c r="E214" s="2229" t="s">
        <v>658</v>
      </c>
      <c r="F214" s="1936">
        <v>4311</v>
      </c>
      <c r="G214" s="1913" t="s">
        <v>3268</v>
      </c>
      <c r="H214" s="2484"/>
      <c r="I214" s="2484">
        <v>177124</v>
      </c>
      <c r="J214" s="3776"/>
      <c r="K214" s="1917"/>
      <c r="L214" s="1892"/>
      <c r="M214" s="1892"/>
      <c r="N214" s="43"/>
      <c r="O214" s="43"/>
      <c r="P214" s="1817" t="e">
        <f>INDEX(#REF!,MATCH(F214,#REF!,0),2)</f>
        <v>#REF!</v>
      </c>
      <c r="Q214" s="43"/>
      <c r="R214" s="4"/>
      <c r="S214" s="4"/>
      <c r="T214" s="4"/>
      <c r="U214" s="4"/>
      <c r="V214" s="4"/>
      <c r="W214" s="4"/>
      <c r="X214" s="4"/>
      <c r="Y214" s="4"/>
      <c r="Z214" s="4"/>
      <c r="AA214" s="4"/>
      <c r="AB214" s="4"/>
      <c r="AC214" s="4"/>
      <c r="AD214" s="4"/>
      <c r="AE214" s="4"/>
      <c r="AF214" s="4"/>
    </row>
    <row r="215" spans="1:32">
      <c r="A215" s="2238"/>
      <c r="B215" s="2238" t="s">
        <v>1248</v>
      </c>
      <c r="C215" s="2238" t="s">
        <v>509</v>
      </c>
      <c r="D215" s="2239">
        <v>110</v>
      </c>
      <c r="E215" s="2253" t="s">
        <v>658</v>
      </c>
      <c r="F215" s="1945">
        <v>5120</v>
      </c>
      <c r="G215" s="1946" t="s">
        <v>255</v>
      </c>
      <c r="H215" s="2479">
        <v>0</v>
      </c>
      <c r="I215" s="2480"/>
      <c r="J215" s="3775"/>
      <c r="K215" s="1948"/>
      <c r="L215" s="2481">
        <v>0</v>
      </c>
      <c r="M215" s="2582"/>
      <c r="N215" s="43"/>
      <c r="O215" s="43"/>
      <c r="P215" s="1817" t="e">
        <f>INDEX(#REF!,MATCH(F215,#REF!,0),2)</f>
        <v>#REF!</v>
      </c>
      <c r="Q215" s="43"/>
      <c r="R215" s="43"/>
      <c r="S215" s="43"/>
      <c r="T215" s="43"/>
      <c r="U215" s="43"/>
      <c r="V215" s="43"/>
      <c r="W215" s="43"/>
      <c r="X215" s="43"/>
      <c r="Y215" s="43"/>
      <c r="Z215" s="43"/>
      <c r="AA215" s="43"/>
      <c r="AB215" s="43"/>
      <c r="AC215" s="43"/>
      <c r="AD215" s="43"/>
      <c r="AE215" s="43"/>
      <c r="AF215" s="43"/>
    </row>
    <row r="216" spans="1:32">
      <c r="A216" s="1882"/>
      <c r="B216" s="1882" t="s">
        <v>1248</v>
      </c>
      <c r="C216" s="1882" t="s">
        <v>509</v>
      </c>
      <c r="D216" s="1935"/>
      <c r="E216" s="2229" t="s">
        <v>658</v>
      </c>
      <c r="F216" s="1936">
        <v>5120</v>
      </c>
      <c r="G216" s="1884" t="s">
        <v>1114</v>
      </c>
      <c r="H216" s="2484"/>
      <c r="I216" s="2484"/>
      <c r="J216" s="3776"/>
      <c r="K216" s="1917"/>
      <c r="L216" s="1892"/>
      <c r="M216" s="1892"/>
      <c r="N216" s="1025"/>
      <c r="O216" s="43"/>
      <c r="P216" s="1817" t="e">
        <f>INDEX(#REF!,MATCH(F216,#REF!,0),2)</f>
        <v>#REF!</v>
      </c>
      <c r="Q216" s="43"/>
      <c r="R216" s="43"/>
      <c r="S216" s="43"/>
      <c r="T216" s="43"/>
      <c r="U216" s="43"/>
      <c r="V216" s="43"/>
      <c r="W216" s="43"/>
      <c r="X216" s="43"/>
      <c r="Y216" s="43"/>
      <c r="Z216" s="43"/>
      <c r="AA216" s="43"/>
      <c r="AB216" s="43"/>
      <c r="AC216" s="43"/>
      <c r="AD216" s="43"/>
      <c r="AE216" s="43"/>
      <c r="AF216" s="43"/>
    </row>
    <row r="217" spans="1:32">
      <c r="A217" s="2238"/>
      <c r="B217" s="2238" t="s">
        <v>1249</v>
      </c>
      <c r="C217" s="2238" t="s">
        <v>509</v>
      </c>
      <c r="D217" s="2239">
        <v>110</v>
      </c>
      <c r="E217" s="2253" t="s">
        <v>658</v>
      </c>
      <c r="F217" s="1945">
        <v>5217</v>
      </c>
      <c r="G217" s="1946"/>
      <c r="H217" s="2479">
        <v>0</v>
      </c>
      <c r="I217" s="2480"/>
      <c r="J217" s="3775"/>
      <c r="K217" s="1948"/>
      <c r="L217" s="2481">
        <v>0</v>
      </c>
      <c r="M217" s="2582"/>
      <c r="N217" s="43"/>
      <c r="O217" s="43"/>
      <c r="P217" s="1817" t="e">
        <f>INDEX(#REF!,MATCH(F217,#REF!,0),2)</f>
        <v>#REF!</v>
      </c>
      <c r="Q217" s="43"/>
      <c r="R217" s="43"/>
      <c r="S217" s="43"/>
      <c r="T217" s="43"/>
      <c r="U217" s="43"/>
      <c r="V217" s="43"/>
      <c r="W217" s="43"/>
      <c r="X217" s="43"/>
      <c r="Y217" s="43"/>
      <c r="Z217" s="43"/>
      <c r="AA217" s="43"/>
      <c r="AB217" s="43"/>
      <c r="AC217" s="43"/>
      <c r="AD217" s="43"/>
      <c r="AE217" s="43"/>
      <c r="AF217" s="43"/>
    </row>
    <row r="218" spans="1:32" ht="45">
      <c r="A218" s="1882"/>
      <c r="B218" s="1882" t="s">
        <v>1249</v>
      </c>
      <c r="C218" s="1882" t="s">
        <v>509</v>
      </c>
      <c r="D218" s="1935"/>
      <c r="E218" s="2229" t="s">
        <v>658</v>
      </c>
      <c r="F218" s="1936">
        <v>5217</v>
      </c>
      <c r="G218" s="1955" t="s">
        <v>1662</v>
      </c>
      <c r="H218" s="2484"/>
      <c r="I218" s="2484"/>
      <c r="J218" s="3776"/>
      <c r="K218" s="1917"/>
      <c r="L218" s="1892"/>
      <c r="M218" s="1892"/>
      <c r="N218" s="43"/>
      <c r="O218" s="43"/>
      <c r="P218" s="1817" t="e">
        <f>INDEX(#REF!,MATCH(F218,#REF!,0),2)</f>
        <v>#REF!</v>
      </c>
      <c r="Q218" s="43"/>
      <c r="R218" s="43"/>
      <c r="S218" s="43"/>
      <c r="T218" s="43"/>
      <c r="U218" s="43"/>
      <c r="V218" s="43"/>
      <c r="W218" s="43"/>
      <c r="X218" s="43"/>
      <c r="Y218" s="43"/>
      <c r="Z218" s="43"/>
      <c r="AA218" s="43"/>
      <c r="AB218" s="43"/>
      <c r="AC218" s="43"/>
      <c r="AD218" s="43"/>
      <c r="AE218" s="43"/>
      <c r="AF218" s="43"/>
    </row>
    <row r="219" spans="1:32">
      <c r="A219" s="2238"/>
      <c r="B219" s="2238" t="s">
        <v>1250</v>
      </c>
      <c r="C219" s="2238" t="s">
        <v>509</v>
      </c>
      <c r="D219" s="2239">
        <v>110</v>
      </c>
      <c r="E219" s="2253" t="s">
        <v>658</v>
      </c>
      <c r="F219" s="1945">
        <v>5238</v>
      </c>
      <c r="G219" s="1946" t="s">
        <v>257</v>
      </c>
      <c r="H219" s="2479">
        <v>8100</v>
      </c>
      <c r="I219" s="2480"/>
      <c r="J219" s="3775">
        <v>5191</v>
      </c>
      <c r="K219" s="1948"/>
      <c r="L219" s="2481">
        <v>7700</v>
      </c>
      <c r="M219" s="2582"/>
      <c r="N219" s="43"/>
      <c r="O219" s="43"/>
      <c r="P219" s="1817" t="e">
        <f>INDEX(#REF!,MATCH(F219,#REF!,0),2)</f>
        <v>#REF!</v>
      </c>
      <c r="Q219" s="43"/>
      <c r="R219" s="43"/>
      <c r="S219" s="43"/>
      <c r="T219" s="43"/>
      <c r="U219" s="43"/>
      <c r="V219" s="43"/>
      <c r="W219" s="43"/>
      <c r="X219" s="43"/>
      <c r="Y219" s="43"/>
      <c r="Z219" s="43"/>
      <c r="AA219" s="43"/>
      <c r="AB219" s="43"/>
      <c r="AC219" s="43"/>
      <c r="AD219" s="43"/>
      <c r="AE219" s="43"/>
      <c r="AF219" s="43"/>
    </row>
    <row r="220" spans="1:32">
      <c r="A220" s="1882"/>
      <c r="B220" s="1882" t="s">
        <v>1250</v>
      </c>
      <c r="C220" s="1882" t="s">
        <v>509</v>
      </c>
      <c r="D220" s="1935"/>
      <c r="E220" s="2229" t="s">
        <v>658</v>
      </c>
      <c r="F220" s="1936">
        <v>5238</v>
      </c>
      <c r="G220" s="1884" t="s">
        <v>1300</v>
      </c>
      <c r="H220" s="2484"/>
      <c r="I220" s="2484"/>
      <c r="J220" s="3776"/>
      <c r="K220" s="1917"/>
      <c r="L220" s="1892"/>
      <c r="M220" s="1892"/>
      <c r="N220" s="43"/>
      <c r="O220" s="43"/>
      <c r="P220" s="1817" t="e">
        <f>INDEX(#REF!,MATCH(F220,#REF!,0),2)</f>
        <v>#REF!</v>
      </c>
      <c r="Q220" s="43"/>
      <c r="R220" s="43"/>
      <c r="S220" s="43"/>
      <c r="T220" s="43"/>
      <c r="U220" s="43"/>
      <c r="V220" s="43"/>
      <c r="W220" s="43"/>
      <c r="X220" s="43"/>
      <c r="Y220" s="43"/>
      <c r="Z220" s="43"/>
      <c r="AA220" s="43"/>
      <c r="AB220" s="43"/>
      <c r="AC220" s="43"/>
      <c r="AD220" s="43"/>
      <c r="AE220" s="43"/>
      <c r="AF220" s="43"/>
    </row>
    <row r="221" spans="1:32" ht="21.6" customHeight="1">
      <c r="A221" s="1882"/>
      <c r="B221" s="1882" t="s">
        <v>1250</v>
      </c>
      <c r="C221" s="1882" t="s">
        <v>509</v>
      </c>
      <c r="D221" s="1935"/>
      <c r="E221" s="2229" t="s">
        <v>658</v>
      </c>
      <c r="F221" s="1936">
        <v>5238</v>
      </c>
      <c r="G221" s="1884" t="s">
        <v>3348</v>
      </c>
      <c r="H221" s="2484"/>
      <c r="I221" s="2484">
        <v>1300</v>
      </c>
      <c r="J221" s="3776"/>
      <c r="K221" s="1917"/>
      <c r="L221" s="1892"/>
      <c r="M221" s="1892">
        <v>1300</v>
      </c>
      <c r="N221" s="1252" t="s">
        <v>3349</v>
      </c>
      <c r="O221" s="43"/>
      <c r="P221" s="1817" t="e">
        <f>INDEX(#REF!,MATCH(F221,#REF!,0),2)</f>
        <v>#REF!</v>
      </c>
      <c r="Q221" s="43"/>
      <c r="R221" s="43"/>
      <c r="S221" s="43"/>
      <c r="T221" s="43"/>
      <c r="U221" s="43"/>
      <c r="V221" s="43"/>
      <c r="W221" s="43"/>
      <c r="X221" s="43"/>
      <c r="Y221" s="43"/>
      <c r="Z221" s="43"/>
      <c r="AA221" s="43"/>
      <c r="AB221" s="43"/>
      <c r="AC221" s="43"/>
      <c r="AD221" s="43"/>
      <c r="AE221" s="43"/>
      <c r="AF221" s="43"/>
    </row>
    <row r="222" spans="1:32" ht="46.15" customHeight="1">
      <c r="A222" s="1882"/>
      <c r="B222" s="1882" t="s">
        <v>1250</v>
      </c>
      <c r="C222" s="1882" t="s">
        <v>509</v>
      </c>
      <c r="D222" s="1935"/>
      <c r="E222" s="2229" t="s">
        <v>658</v>
      </c>
      <c r="F222" s="1936">
        <v>5238</v>
      </c>
      <c r="G222" s="1884" t="s">
        <v>3350</v>
      </c>
      <c r="H222" s="2484"/>
      <c r="I222" s="2484"/>
      <c r="J222" s="3776"/>
      <c r="K222" s="1917"/>
      <c r="L222" s="1892"/>
      <c r="M222" s="1892">
        <v>1400</v>
      </c>
      <c r="N222" s="2509" t="s">
        <v>3351</v>
      </c>
      <c r="O222" s="43"/>
      <c r="P222" s="1817" t="e">
        <f>INDEX(#REF!,MATCH(F222,#REF!,0),2)</f>
        <v>#REF!</v>
      </c>
      <c r="Q222" s="43"/>
      <c r="R222" s="43"/>
      <c r="S222" s="43"/>
      <c r="T222" s="43"/>
      <c r="U222" s="43"/>
      <c r="V222" s="43"/>
      <c r="W222" s="43"/>
      <c r="X222" s="43"/>
      <c r="Y222" s="43"/>
      <c r="Z222" s="43"/>
      <c r="AA222" s="43"/>
      <c r="AB222" s="43"/>
      <c r="AC222" s="43"/>
      <c r="AD222" s="43"/>
      <c r="AE222" s="43"/>
      <c r="AF222" s="43"/>
    </row>
    <row r="223" spans="1:32">
      <c r="A223" s="1882"/>
      <c r="B223" s="1882" t="s">
        <v>1250</v>
      </c>
      <c r="C223" s="1882" t="s">
        <v>509</v>
      </c>
      <c r="D223" s="1935"/>
      <c r="E223" s="2229" t="s">
        <v>658</v>
      </c>
      <c r="F223" s="1936">
        <v>5238</v>
      </c>
      <c r="G223" s="1884" t="s">
        <v>2477</v>
      </c>
      <c r="H223" s="2484"/>
      <c r="I223" s="2484">
        <v>1300</v>
      </c>
      <c r="J223" s="3776"/>
      <c r="K223" s="1917"/>
      <c r="L223" s="1892"/>
      <c r="M223" s="1892"/>
      <c r="N223" s="43" t="s">
        <v>247</v>
      </c>
      <c r="O223" s="43"/>
      <c r="P223" s="1817" t="e">
        <f>INDEX(#REF!,MATCH(F223,#REF!,0),2)</f>
        <v>#REF!</v>
      </c>
      <c r="Q223" s="43"/>
      <c r="R223" s="43"/>
      <c r="S223" s="43"/>
      <c r="T223" s="43"/>
      <c r="U223" s="43"/>
      <c r="V223" s="43"/>
      <c r="W223" s="43"/>
      <c r="X223" s="43"/>
      <c r="Y223" s="43"/>
      <c r="Z223" s="43"/>
      <c r="AA223" s="43"/>
      <c r="AB223" s="43"/>
      <c r="AC223" s="43"/>
      <c r="AD223" s="43"/>
      <c r="AE223" s="43"/>
      <c r="AF223" s="43"/>
    </row>
    <row r="224" spans="1:32">
      <c r="A224" s="1882"/>
      <c r="B224" s="1882" t="s">
        <v>1250</v>
      </c>
      <c r="C224" s="1882" t="s">
        <v>509</v>
      </c>
      <c r="D224" s="1935"/>
      <c r="E224" s="2229" t="s">
        <v>658</v>
      </c>
      <c r="F224" s="1936">
        <v>5238</v>
      </c>
      <c r="G224" s="1884" t="s">
        <v>1446</v>
      </c>
      <c r="H224" s="2484"/>
      <c r="I224" s="2484">
        <v>3000</v>
      </c>
      <c r="J224" s="3776"/>
      <c r="K224" s="1917"/>
      <c r="L224" s="1892"/>
      <c r="M224" s="1892">
        <v>3000</v>
      </c>
      <c r="N224" s="43"/>
      <c r="O224" s="43"/>
      <c r="P224" s="1817" t="e">
        <f>INDEX(#REF!,MATCH(F224,#REF!,0),2)</f>
        <v>#REF!</v>
      </c>
      <c r="Q224" s="43"/>
      <c r="R224" s="43"/>
      <c r="S224" s="43"/>
      <c r="T224" s="43"/>
      <c r="U224" s="43"/>
      <c r="V224" s="43"/>
      <c r="W224" s="43"/>
      <c r="X224" s="43"/>
      <c r="Y224" s="43"/>
      <c r="Z224" s="43"/>
      <c r="AA224" s="43"/>
      <c r="AB224" s="43"/>
      <c r="AC224" s="43"/>
      <c r="AD224" s="43"/>
      <c r="AE224" s="43"/>
      <c r="AF224" s="43"/>
    </row>
    <row r="225" spans="1:48">
      <c r="A225" s="1882"/>
      <c r="B225" s="1882" t="s">
        <v>1250</v>
      </c>
      <c r="C225" s="1882" t="s">
        <v>509</v>
      </c>
      <c r="D225" s="1935"/>
      <c r="E225" s="2229" t="s">
        <v>658</v>
      </c>
      <c r="F225" s="1936">
        <v>5238</v>
      </c>
      <c r="G225" s="1993" t="s">
        <v>1115</v>
      </c>
      <c r="H225" s="2484"/>
      <c r="I225" s="2484">
        <v>2500</v>
      </c>
      <c r="J225" s="3776"/>
      <c r="K225" s="1917"/>
      <c r="L225" s="1892"/>
      <c r="M225" s="1892">
        <v>2000</v>
      </c>
      <c r="N225" s="43"/>
      <c r="O225" s="43"/>
      <c r="P225" s="1817" t="e">
        <f>INDEX(#REF!,MATCH(F225,#REF!,0),2)</f>
        <v>#REF!</v>
      </c>
      <c r="Q225" s="43"/>
      <c r="R225" s="43"/>
      <c r="S225" s="43"/>
      <c r="T225" s="43"/>
      <c r="U225" s="43"/>
      <c r="V225" s="43"/>
      <c r="W225" s="43"/>
      <c r="X225" s="43"/>
      <c r="Y225" s="43"/>
      <c r="Z225" s="43"/>
      <c r="AA225" s="43"/>
      <c r="AB225" s="43"/>
      <c r="AC225" s="43"/>
      <c r="AD225" s="43"/>
      <c r="AE225" s="43"/>
      <c r="AF225" s="43"/>
    </row>
    <row r="226" spans="1:48">
      <c r="A226" s="2238"/>
      <c r="B226" s="2238" t="s">
        <v>1250</v>
      </c>
      <c r="C226" s="2238" t="s">
        <v>509</v>
      </c>
      <c r="D226" s="2239">
        <v>110</v>
      </c>
      <c r="E226" s="2253" t="s">
        <v>658</v>
      </c>
      <c r="F226" s="1945">
        <v>5239</v>
      </c>
      <c r="G226" s="1946" t="s">
        <v>256</v>
      </c>
      <c r="H226" s="2479">
        <v>2500</v>
      </c>
      <c r="I226" s="2510"/>
      <c r="J226" s="3775">
        <v>1247</v>
      </c>
      <c r="K226" s="1948"/>
      <c r="L226" s="2481">
        <v>2500</v>
      </c>
      <c r="M226" s="3792"/>
      <c r="N226" s="43"/>
      <c r="O226" s="43"/>
      <c r="P226" s="1817" t="e">
        <f>INDEX(#REF!,MATCH(F226,#REF!,0),2)</f>
        <v>#REF!</v>
      </c>
      <c r="Q226" s="43"/>
      <c r="R226" s="43"/>
      <c r="S226" s="43"/>
      <c r="T226" s="43"/>
      <c r="U226" s="43"/>
      <c r="V226" s="43"/>
      <c r="W226" s="43"/>
      <c r="X226" s="43"/>
      <c r="Y226" s="43"/>
      <c r="Z226" s="43"/>
      <c r="AA226" s="43"/>
      <c r="AB226" s="43"/>
      <c r="AC226" s="43"/>
      <c r="AD226" s="43"/>
      <c r="AE226" s="43"/>
      <c r="AF226" s="43"/>
    </row>
    <row r="227" spans="1:48">
      <c r="A227" s="1882"/>
      <c r="B227" s="1882" t="s">
        <v>1250</v>
      </c>
      <c r="C227" s="1882" t="s">
        <v>509</v>
      </c>
      <c r="D227" s="1935"/>
      <c r="E227" s="2229" t="s">
        <v>658</v>
      </c>
      <c r="F227" s="1936">
        <v>5239</v>
      </c>
      <c r="G227" s="1993" t="s">
        <v>1115</v>
      </c>
      <c r="H227" s="2484"/>
      <c r="I227" s="2484">
        <v>2500</v>
      </c>
      <c r="J227" s="3776"/>
      <c r="K227" s="1917"/>
      <c r="L227" s="1892"/>
      <c r="M227" s="1892">
        <v>2500</v>
      </c>
      <c r="N227" s="43"/>
      <c r="O227" s="43"/>
      <c r="P227" s="1817" t="e">
        <f>INDEX(#REF!,MATCH(F227,#REF!,0),2)</f>
        <v>#REF!</v>
      </c>
      <c r="Q227" s="43"/>
      <c r="R227" s="43"/>
      <c r="S227" s="43"/>
      <c r="T227" s="43"/>
      <c r="U227" s="43"/>
      <c r="V227" s="43"/>
      <c r="W227" s="43"/>
      <c r="X227" s="43"/>
      <c r="Y227" s="43"/>
      <c r="Z227" s="43"/>
      <c r="AA227" s="43"/>
      <c r="AB227" s="43"/>
      <c r="AC227" s="43"/>
      <c r="AD227" s="43"/>
      <c r="AE227" s="43"/>
      <c r="AF227" s="43"/>
    </row>
    <row r="228" spans="1:48" ht="33.75">
      <c r="A228" s="2238"/>
      <c r="B228" s="2238" t="s">
        <v>1304</v>
      </c>
      <c r="C228" s="2238" t="s">
        <v>1032</v>
      </c>
      <c r="D228" s="2239">
        <v>110</v>
      </c>
      <c r="E228" s="2253" t="s">
        <v>658</v>
      </c>
      <c r="F228" s="1945">
        <v>7245</v>
      </c>
      <c r="G228" s="1946" t="s">
        <v>786</v>
      </c>
      <c r="H228" s="2479">
        <v>0</v>
      </c>
      <c r="I228" s="2480"/>
      <c r="J228" s="3775"/>
      <c r="K228" s="1948"/>
      <c r="L228" s="2482">
        <v>0</v>
      </c>
      <c r="M228" s="2483"/>
      <c r="N228" s="43"/>
      <c r="O228" s="43"/>
      <c r="P228" s="1817" t="e">
        <f>INDEX(#REF!,MATCH(F228,#REF!,0),2)</f>
        <v>#REF!</v>
      </c>
      <c r="Q228" s="43"/>
      <c r="R228" s="43"/>
      <c r="S228" s="43"/>
      <c r="T228" s="43"/>
      <c r="U228" s="43"/>
      <c r="V228" s="43"/>
      <c r="W228" s="43"/>
      <c r="X228" s="43"/>
      <c r="Y228" s="43"/>
      <c r="Z228" s="43"/>
      <c r="AA228" s="43"/>
      <c r="AB228" s="43"/>
      <c r="AC228" s="43"/>
      <c r="AD228" s="43"/>
      <c r="AE228" s="43"/>
      <c r="AF228" s="43"/>
    </row>
    <row r="229" spans="1:48" ht="45">
      <c r="A229" s="1914"/>
      <c r="B229" s="1882" t="s">
        <v>1304</v>
      </c>
      <c r="C229" s="1882" t="s">
        <v>1032</v>
      </c>
      <c r="D229" s="1935"/>
      <c r="E229" s="2229" t="s">
        <v>658</v>
      </c>
      <c r="F229" s="1936">
        <v>7245</v>
      </c>
      <c r="G229" s="1939" t="s">
        <v>1797</v>
      </c>
      <c r="H229" s="2484"/>
      <c r="I229" s="2484"/>
      <c r="J229" s="3776"/>
      <c r="K229" s="1917"/>
      <c r="L229" s="1968"/>
      <c r="M229" s="1968"/>
      <c r="N229" s="43"/>
      <c r="O229" s="43"/>
      <c r="P229" s="1817" t="e">
        <f>INDEX(#REF!,MATCH(F229,#REF!,0),2)</f>
        <v>#REF!</v>
      </c>
      <c r="Q229" s="43"/>
      <c r="R229" s="4"/>
      <c r="S229" s="4"/>
      <c r="T229" s="4"/>
      <c r="U229" s="4"/>
      <c r="V229" s="4"/>
      <c r="W229" s="4"/>
      <c r="X229" s="4"/>
      <c r="Y229" s="4"/>
      <c r="Z229" s="4"/>
      <c r="AA229" s="4"/>
      <c r="AB229" s="4"/>
      <c r="AC229" s="4"/>
      <c r="AD229" s="4"/>
      <c r="AE229" s="4"/>
      <c r="AF229" s="4"/>
    </row>
    <row r="230" spans="1:48" ht="22.5">
      <c r="A230" s="2238"/>
      <c r="B230" s="2238" t="s">
        <v>1304</v>
      </c>
      <c r="C230" s="2238" t="s">
        <v>1032</v>
      </c>
      <c r="D230" s="2239">
        <v>110</v>
      </c>
      <c r="E230" s="2253" t="s">
        <v>658</v>
      </c>
      <c r="F230" s="1945">
        <v>7260</v>
      </c>
      <c r="G230" s="1946" t="s">
        <v>258</v>
      </c>
      <c r="H230" s="2479">
        <v>4428486</v>
      </c>
      <c r="I230" s="2480"/>
      <c r="J230" s="3775">
        <v>4251683.66</v>
      </c>
      <c r="K230" s="1948"/>
      <c r="L230" s="2481">
        <v>6416104</v>
      </c>
      <c r="M230" s="2582"/>
      <c r="N230" s="43"/>
      <c r="O230" s="43"/>
      <c r="P230" s="1817" t="e">
        <f>INDEX(#REF!,MATCH(F230,#REF!,0),2)</f>
        <v>#REF!</v>
      </c>
      <c r="Q230" s="43"/>
      <c r="R230" s="43"/>
      <c r="S230" s="43"/>
      <c r="T230" s="43"/>
      <c r="U230" s="43"/>
      <c r="V230" s="43"/>
      <c r="W230" s="43"/>
      <c r="X230" s="43"/>
      <c r="Y230" s="43"/>
      <c r="Z230" s="43"/>
      <c r="AA230" s="43"/>
      <c r="AB230" s="43"/>
      <c r="AC230" s="43"/>
      <c r="AD230" s="43"/>
      <c r="AE230" s="43"/>
      <c r="AF230" s="43"/>
    </row>
    <row r="231" spans="1:48">
      <c r="A231" s="1914"/>
      <c r="B231" s="1882" t="s">
        <v>1304</v>
      </c>
      <c r="C231" s="1882" t="s">
        <v>1032</v>
      </c>
      <c r="D231" s="1935"/>
      <c r="E231" s="2229" t="s">
        <v>658</v>
      </c>
      <c r="F231" s="1936">
        <v>7260</v>
      </c>
      <c r="G231" s="1939" t="s">
        <v>1974</v>
      </c>
      <c r="H231" s="2484"/>
      <c r="I231" s="2484">
        <v>4392666</v>
      </c>
      <c r="J231" s="3776"/>
      <c r="K231" s="1917"/>
      <c r="L231" s="1892"/>
      <c r="M231" s="1892">
        <v>6416104</v>
      </c>
      <c r="N231" s="43"/>
      <c r="O231" s="43"/>
      <c r="P231" s="1817" t="e">
        <f>INDEX(#REF!,MATCH(F231,#REF!,0),2)</f>
        <v>#REF!</v>
      </c>
      <c r="Q231" s="43"/>
      <c r="R231" s="4"/>
      <c r="S231" s="4"/>
      <c r="T231" s="4"/>
      <c r="U231" s="4"/>
      <c r="V231" s="4"/>
      <c r="W231" s="4"/>
      <c r="X231" s="4"/>
      <c r="Y231" s="4"/>
      <c r="Z231" s="4"/>
      <c r="AA231" s="4"/>
      <c r="AB231" s="4"/>
      <c r="AC231" s="4"/>
      <c r="AD231" s="4"/>
      <c r="AE231" s="4"/>
      <c r="AF231" s="4"/>
    </row>
    <row r="232" spans="1:48" ht="25.15" customHeight="1">
      <c r="A232" s="1914"/>
      <c r="B232" s="1882" t="s">
        <v>1304</v>
      </c>
      <c r="C232" s="1882" t="s">
        <v>1032</v>
      </c>
      <c r="D232" s="1935"/>
      <c r="E232" s="2229" t="s">
        <v>658</v>
      </c>
      <c r="F232" s="1936">
        <v>7260</v>
      </c>
      <c r="G232" s="1939" t="s">
        <v>2058</v>
      </c>
      <c r="H232" s="2484"/>
      <c r="I232" s="2484">
        <v>35820</v>
      </c>
      <c r="J232" s="3776"/>
      <c r="K232" s="1917"/>
      <c r="L232" s="1892"/>
      <c r="M232" s="1892"/>
      <c r="N232" s="43"/>
      <c r="O232" s="43"/>
      <c r="P232" s="1817" t="e">
        <f>INDEX(#REF!,MATCH(F232,#REF!,0),2)</f>
        <v>#REF!</v>
      </c>
      <c r="Q232" s="43"/>
      <c r="R232" s="4"/>
      <c r="S232" s="4"/>
      <c r="T232" s="4"/>
      <c r="U232" s="4"/>
      <c r="V232" s="4"/>
      <c r="W232" s="4"/>
      <c r="X232" s="4"/>
      <c r="Y232" s="4"/>
      <c r="Z232" s="4"/>
      <c r="AA232" s="4"/>
      <c r="AB232" s="4"/>
      <c r="AC232" s="4"/>
      <c r="AD232" s="4"/>
      <c r="AE232" s="4"/>
      <c r="AF232" s="4"/>
    </row>
    <row r="233" spans="1:48" ht="11.45" customHeight="1">
      <c r="A233" s="5"/>
      <c r="B233" s="5" t="s">
        <v>663</v>
      </c>
      <c r="C233" s="5" t="s">
        <v>652</v>
      </c>
      <c r="D233" s="1592">
        <v>111</v>
      </c>
      <c r="E233" s="2218" t="s">
        <v>1925</v>
      </c>
      <c r="F233" s="6">
        <v>1111</v>
      </c>
      <c r="G233" s="7" t="s">
        <v>259</v>
      </c>
      <c r="H233" s="17">
        <v>287173</v>
      </c>
      <c r="I233" s="35"/>
      <c r="J233" s="17"/>
      <c r="K233" s="10"/>
      <c r="L233" s="8">
        <v>304619.57701920008</v>
      </c>
      <c r="M233" s="8"/>
      <c r="N233" s="83"/>
      <c r="O233" s="86"/>
      <c r="P233" s="1817" t="e">
        <f>INDEX(#REF!,MATCH(F233,#REF!,0),2)</f>
        <v>#REF!</v>
      </c>
      <c r="Q233" s="11"/>
      <c r="R233" s="11"/>
      <c r="S233" s="11"/>
      <c r="T233" s="11"/>
      <c r="U233" s="11"/>
      <c r="V233" s="11"/>
      <c r="W233" s="4"/>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row>
    <row r="234" spans="1:48" ht="11.45" customHeight="1">
      <c r="A234" s="12"/>
      <c r="B234" s="12" t="s">
        <v>663</v>
      </c>
      <c r="C234" s="12" t="s">
        <v>652</v>
      </c>
      <c r="D234" s="1593"/>
      <c r="E234" s="2222" t="s">
        <v>1925</v>
      </c>
      <c r="F234" s="23">
        <v>1111</v>
      </c>
      <c r="G234" s="27" t="s">
        <v>663</v>
      </c>
      <c r="H234" s="24"/>
      <c r="I234" s="25">
        <v>287173</v>
      </c>
      <c r="J234" s="24"/>
      <c r="K234" s="20"/>
      <c r="L234" s="25"/>
      <c r="M234" s="25">
        <v>304619.57701920008</v>
      </c>
      <c r="N234" s="83"/>
      <c r="O234" s="86"/>
      <c r="P234" s="1817" t="e">
        <f>INDEX(#REF!,MATCH(F234,#REF!,0),2)</f>
        <v>#REF!</v>
      </c>
      <c r="Q234" s="11"/>
      <c r="R234" s="11"/>
      <c r="S234" s="11"/>
      <c r="T234" s="11"/>
      <c r="U234" s="11"/>
      <c r="V234" s="11"/>
      <c r="W234" s="4"/>
      <c r="X234" s="11"/>
      <c r="Y234" s="11"/>
      <c r="Z234" s="11"/>
      <c r="AA234" s="11"/>
      <c r="AB234" s="11"/>
      <c r="AC234" s="11"/>
      <c r="AD234" s="11"/>
      <c r="AE234" s="11"/>
      <c r="AF234" s="11"/>
      <c r="AG234" s="11"/>
      <c r="AH234" s="11"/>
      <c r="AI234" s="11"/>
    </row>
    <row r="235" spans="1:48" ht="11.45" customHeight="1">
      <c r="A235" s="1882"/>
      <c r="B235" s="12" t="s">
        <v>663</v>
      </c>
      <c r="C235" s="12" t="s">
        <v>652</v>
      </c>
      <c r="D235" s="1593"/>
      <c r="E235" s="2222" t="s">
        <v>1925</v>
      </c>
      <c r="F235" s="23">
        <v>1111</v>
      </c>
      <c r="G235" s="1911" t="s">
        <v>3134</v>
      </c>
      <c r="H235" s="2319"/>
      <c r="I235" s="2320"/>
      <c r="J235" s="2319"/>
      <c r="K235" s="2321"/>
      <c r="L235" s="2320"/>
      <c r="M235" s="2320"/>
      <c r="N235" s="83"/>
      <c r="O235" s="86"/>
      <c r="P235" s="1817" t="e">
        <f>INDEX(#REF!,MATCH(F235,#REF!,0),2)</f>
        <v>#REF!</v>
      </c>
      <c r="Q235" s="11"/>
      <c r="R235" s="11"/>
      <c r="S235" s="11"/>
      <c r="T235" s="11"/>
      <c r="U235" s="11"/>
      <c r="V235" s="11"/>
      <c r="W235" s="4"/>
      <c r="X235" s="11"/>
      <c r="Y235" s="11"/>
      <c r="Z235" s="11"/>
      <c r="AA235" s="11"/>
      <c r="AB235" s="11"/>
      <c r="AC235" s="11"/>
      <c r="AD235" s="11"/>
      <c r="AE235" s="11"/>
      <c r="AF235" s="11"/>
      <c r="AG235" s="11"/>
      <c r="AH235" s="11"/>
      <c r="AI235" s="11"/>
    </row>
    <row r="236" spans="1:48" ht="11.45" customHeight="1">
      <c r="A236" s="5"/>
      <c r="B236" s="5" t="s">
        <v>663</v>
      </c>
      <c r="C236" s="5" t="s">
        <v>652</v>
      </c>
      <c r="D236" s="1592">
        <v>111</v>
      </c>
      <c r="E236" s="2220" t="s">
        <v>1925</v>
      </c>
      <c r="F236" s="6">
        <v>1119</v>
      </c>
      <c r="G236" s="7" t="s">
        <v>260</v>
      </c>
      <c r="H236" s="30">
        <v>400</v>
      </c>
      <c r="I236" s="35"/>
      <c r="J236" s="30"/>
      <c r="K236" s="29"/>
      <c r="L236" s="3795">
        <v>300</v>
      </c>
      <c r="M236" s="3795"/>
      <c r="N236" s="73"/>
      <c r="O236" s="86"/>
      <c r="P236" s="1817" t="e">
        <f>INDEX(#REF!,MATCH(F236,#REF!,0),2)</f>
        <v>#REF!</v>
      </c>
      <c r="Q236" s="43"/>
      <c r="R236" s="43"/>
      <c r="S236" s="43"/>
      <c r="T236" s="43"/>
      <c r="U236" s="43"/>
      <c r="V236" s="43"/>
      <c r="W236" s="43"/>
      <c r="X236" s="43"/>
      <c r="Y236" s="43"/>
      <c r="Z236" s="43"/>
      <c r="AA236" s="43"/>
      <c r="AB236" s="43"/>
      <c r="AC236" s="43"/>
      <c r="AD236" s="43"/>
      <c r="AE236" s="43"/>
      <c r="AF236" s="43"/>
      <c r="AG236" s="43"/>
      <c r="AH236" s="43"/>
      <c r="AI236" s="43"/>
      <c r="AJ236" s="43"/>
      <c r="AK236" s="11"/>
      <c r="AL236" s="11"/>
      <c r="AM236" s="11"/>
      <c r="AN236" s="11"/>
      <c r="AO236" s="11"/>
      <c r="AP236" s="11"/>
      <c r="AQ236" s="11"/>
      <c r="AR236" s="11"/>
      <c r="AS236" s="11"/>
      <c r="AT236" s="11"/>
      <c r="AU236" s="11"/>
      <c r="AV236" s="11"/>
    </row>
    <row r="237" spans="1:48" ht="13.15" customHeight="1">
      <c r="A237" s="12"/>
      <c r="B237" s="12" t="s">
        <v>663</v>
      </c>
      <c r="C237" s="12" t="s">
        <v>652</v>
      </c>
      <c r="D237" s="1593"/>
      <c r="E237" s="2222" t="s">
        <v>1925</v>
      </c>
      <c r="F237" s="23">
        <v>1119</v>
      </c>
      <c r="G237" s="27" t="s">
        <v>3134</v>
      </c>
      <c r="H237" s="24"/>
      <c r="I237" s="25">
        <v>400</v>
      </c>
      <c r="J237" s="24"/>
      <c r="K237" s="20"/>
      <c r="L237" s="25"/>
      <c r="M237" s="25">
        <v>300</v>
      </c>
      <c r="N237" s="83"/>
      <c r="O237" s="86"/>
      <c r="P237" s="1817" t="e">
        <f>INDEX(#REF!,MATCH(F237,#REF!,0),2)</f>
        <v>#REF!</v>
      </c>
      <c r="Q237" s="11"/>
      <c r="R237" s="11"/>
      <c r="S237" s="11"/>
      <c r="T237" s="11"/>
      <c r="U237" s="11"/>
      <c r="V237" s="11"/>
      <c r="W237" s="4"/>
      <c r="X237" s="11"/>
      <c r="Y237" s="11"/>
      <c r="Z237" s="11"/>
      <c r="AA237" s="11"/>
      <c r="AB237" s="11"/>
      <c r="AC237" s="11"/>
      <c r="AD237" s="11"/>
      <c r="AE237" s="11"/>
      <c r="AF237" s="11"/>
      <c r="AG237" s="11"/>
      <c r="AH237" s="11"/>
      <c r="AI237" s="11"/>
    </row>
    <row r="238" spans="1:48" ht="21" customHeight="1">
      <c r="A238" s="5"/>
      <c r="B238" s="5" t="s">
        <v>663</v>
      </c>
      <c r="C238" s="5" t="s">
        <v>507</v>
      </c>
      <c r="D238" s="1592">
        <v>111</v>
      </c>
      <c r="E238" s="2220" t="s">
        <v>1925</v>
      </c>
      <c r="F238" s="6">
        <v>1147</v>
      </c>
      <c r="G238" s="7" t="s">
        <v>226</v>
      </c>
      <c r="H238" s="267"/>
      <c r="I238" s="35"/>
      <c r="J238" s="267"/>
      <c r="K238" s="34"/>
      <c r="L238" s="35"/>
      <c r="M238" s="35"/>
      <c r="N238" s="83"/>
      <c r="O238" s="86"/>
      <c r="P238" s="1817" t="e">
        <f>INDEX(#REF!,MATCH(F238,#REF!,0),2)</f>
        <v>#REF!</v>
      </c>
      <c r="Q238" s="11"/>
      <c r="R238" s="11"/>
      <c r="S238" s="11"/>
      <c r="T238" s="11"/>
      <c r="U238" s="11"/>
      <c r="V238" s="11"/>
      <c r="W238" s="4"/>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row>
    <row r="239" spans="1:48" ht="11.45" customHeight="1">
      <c r="A239" s="5"/>
      <c r="B239" s="5" t="s">
        <v>663</v>
      </c>
      <c r="C239" s="5" t="s">
        <v>652</v>
      </c>
      <c r="D239" s="1592">
        <v>111</v>
      </c>
      <c r="E239" s="2220" t="s">
        <v>1925</v>
      </c>
      <c r="F239" s="6">
        <v>1210</v>
      </c>
      <c r="G239" s="7" t="s">
        <v>261</v>
      </c>
      <c r="H239" s="17">
        <v>67578</v>
      </c>
      <c r="I239" s="35"/>
      <c r="J239" s="17"/>
      <c r="K239" s="10"/>
      <c r="L239" s="8">
        <v>71930.528218829291</v>
      </c>
      <c r="M239" s="8"/>
      <c r="N239" s="73"/>
      <c r="O239" s="86"/>
      <c r="P239" s="1817" t="e">
        <f>INDEX(#REF!,MATCH(F239,#REF!,0),2)</f>
        <v>#REF!</v>
      </c>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43"/>
      <c r="AO239" s="43"/>
      <c r="AP239" s="43"/>
      <c r="AQ239" s="43"/>
      <c r="AR239" s="43"/>
      <c r="AS239" s="43"/>
      <c r="AT239" s="43"/>
      <c r="AU239" s="43"/>
      <c r="AV239" s="43"/>
    </row>
    <row r="240" spans="1:48" ht="11.45" customHeight="1">
      <c r="A240" s="12"/>
      <c r="B240" s="12" t="s">
        <v>663</v>
      </c>
      <c r="C240" s="12" t="s">
        <v>652</v>
      </c>
      <c r="D240" s="1593"/>
      <c r="E240" s="2222" t="s">
        <v>1925</v>
      </c>
      <c r="F240" s="23">
        <v>1210</v>
      </c>
      <c r="G240" s="27" t="s">
        <v>663</v>
      </c>
      <c r="H240" s="24"/>
      <c r="I240" s="25">
        <v>67578</v>
      </c>
      <c r="J240" s="24"/>
      <c r="K240" s="20"/>
      <c r="L240" s="25"/>
      <c r="M240" s="25">
        <v>71930.528218829291</v>
      </c>
      <c r="N240" s="83"/>
      <c r="O240" s="86"/>
      <c r="P240" s="1817" t="e">
        <f>INDEX(#REF!,MATCH(F240,#REF!,0),2)</f>
        <v>#REF!</v>
      </c>
      <c r="Q240" s="11"/>
      <c r="R240" s="11"/>
      <c r="S240" s="11"/>
      <c r="T240" s="11"/>
      <c r="U240" s="11"/>
      <c r="V240" s="11"/>
      <c r="W240" s="4"/>
      <c r="X240" s="11"/>
      <c r="Y240" s="11"/>
      <c r="Z240" s="11"/>
      <c r="AA240" s="11"/>
      <c r="AB240" s="11"/>
      <c r="AC240" s="11"/>
      <c r="AD240" s="11"/>
      <c r="AE240" s="11"/>
      <c r="AF240" s="11"/>
      <c r="AG240" s="11"/>
      <c r="AH240" s="11"/>
      <c r="AI240" s="11"/>
    </row>
    <row r="241" spans="1:48" ht="11.45" customHeight="1">
      <c r="A241" s="5"/>
      <c r="B241" s="5" t="s">
        <v>663</v>
      </c>
      <c r="C241" s="5" t="s">
        <v>652</v>
      </c>
      <c r="D241" s="1592">
        <v>111</v>
      </c>
      <c r="E241" s="2220" t="s">
        <v>1925</v>
      </c>
      <c r="F241" s="6">
        <v>1228</v>
      </c>
      <c r="G241" s="7" t="s">
        <v>229</v>
      </c>
      <c r="H241" s="42"/>
      <c r="I241" s="35"/>
      <c r="J241" s="42"/>
      <c r="K241" s="36"/>
      <c r="L241" s="37"/>
      <c r="M241" s="37"/>
      <c r="N241" s="73"/>
      <c r="O241" s="86"/>
      <c r="P241" s="1817" t="e">
        <f>INDEX(#REF!,MATCH(F241,#REF!,0),2)</f>
        <v>#REF!</v>
      </c>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row>
    <row r="242" spans="1:48" ht="11.45" customHeight="1">
      <c r="A242" s="5"/>
      <c r="B242" s="5" t="s">
        <v>1248</v>
      </c>
      <c r="C242" s="5" t="s">
        <v>505</v>
      </c>
      <c r="D242" s="1592">
        <v>111</v>
      </c>
      <c r="E242" s="2220" t="s">
        <v>1925</v>
      </c>
      <c r="F242" s="6">
        <v>2122</v>
      </c>
      <c r="G242" s="7" t="s">
        <v>233</v>
      </c>
      <c r="H242" s="8">
        <v>0</v>
      </c>
      <c r="I242" s="9"/>
      <c r="J242" s="17"/>
      <c r="K242" s="10"/>
      <c r="L242" s="8">
        <v>0</v>
      </c>
      <c r="M242" s="8"/>
      <c r="N242" s="83"/>
      <c r="O242" s="86"/>
      <c r="P242" s="1817" t="e">
        <f>INDEX(#REF!,MATCH(F242,#REF!,0),2)</f>
        <v>#REF!</v>
      </c>
      <c r="Q242" s="11"/>
      <c r="R242" s="11"/>
      <c r="S242" s="11"/>
      <c r="T242" s="11"/>
      <c r="U242" s="11"/>
      <c r="V242" s="11"/>
      <c r="W242" s="4"/>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row>
    <row r="243" spans="1:48" ht="12.6" customHeight="1">
      <c r="A243" s="325"/>
      <c r="B243" s="12" t="s">
        <v>1248</v>
      </c>
      <c r="C243" s="12" t="s">
        <v>505</v>
      </c>
      <c r="D243" s="1593"/>
      <c r="E243" s="2222" t="s">
        <v>1925</v>
      </c>
      <c r="F243" s="23">
        <v>2122</v>
      </c>
      <c r="G243" s="330"/>
      <c r="H243" s="357"/>
      <c r="I243" s="357"/>
      <c r="J243" s="356"/>
      <c r="K243" s="355"/>
      <c r="L243" s="357"/>
      <c r="M243" s="357"/>
      <c r="N243" s="73"/>
      <c r="O243" s="86"/>
      <c r="P243" s="1817" t="e">
        <f>INDEX(#REF!,MATCH(F243,#REF!,0),2)</f>
        <v>#REF!</v>
      </c>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43"/>
      <c r="AO243" s="43"/>
      <c r="AP243" s="43"/>
      <c r="AQ243" s="43"/>
      <c r="AR243" s="43"/>
      <c r="AS243" s="43"/>
      <c r="AT243" s="43"/>
      <c r="AU243" s="43"/>
    </row>
    <row r="244" spans="1:48" ht="11.45" customHeight="1">
      <c r="A244" s="5"/>
      <c r="B244" s="5" t="s">
        <v>1248</v>
      </c>
      <c r="C244" s="5" t="s">
        <v>505</v>
      </c>
      <c r="D244" s="1592">
        <v>111</v>
      </c>
      <c r="E244" s="2220" t="s">
        <v>1925</v>
      </c>
      <c r="F244" s="6">
        <v>2210</v>
      </c>
      <c r="G244" s="7" t="s">
        <v>1555</v>
      </c>
      <c r="H244" s="8">
        <v>0</v>
      </c>
      <c r="I244" s="9"/>
      <c r="J244" s="17"/>
      <c r="K244" s="10"/>
      <c r="L244" s="3796">
        <v>0</v>
      </c>
      <c r="M244" s="8"/>
      <c r="N244" s="83"/>
      <c r="O244" s="86"/>
      <c r="P244" s="1817" t="e">
        <f>INDEX(#REF!,MATCH(F244,#REF!,0),2)</f>
        <v>#REF!</v>
      </c>
      <c r="Q244" s="11"/>
      <c r="R244" s="11"/>
      <c r="S244" s="11"/>
      <c r="T244" s="11"/>
      <c r="U244" s="11"/>
      <c r="V244" s="11"/>
      <c r="W244" s="4"/>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row>
    <row r="245" spans="1:48" ht="17.45" customHeight="1">
      <c r="A245" s="325"/>
      <c r="B245" s="12" t="s">
        <v>1248</v>
      </c>
      <c r="C245" s="12" t="s">
        <v>505</v>
      </c>
      <c r="D245" s="1593"/>
      <c r="E245" s="2222" t="s">
        <v>1925</v>
      </c>
      <c r="F245" s="23">
        <v>2210</v>
      </c>
      <c r="G245" s="330" t="s">
        <v>1641</v>
      </c>
      <c r="H245" s="357"/>
      <c r="I245" s="357"/>
      <c r="J245" s="356"/>
      <c r="K245" s="355"/>
      <c r="L245" s="357"/>
      <c r="M245" s="357"/>
      <c r="N245" s="73"/>
      <c r="O245" s="86"/>
      <c r="P245" s="1817" t="e">
        <f>INDEX(#REF!,MATCH(F245,#REF!,0),2)</f>
        <v>#REF!</v>
      </c>
      <c r="Q245" s="43"/>
      <c r="R245" s="43"/>
      <c r="S245" s="43"/>
      <c r="T245" s="43"/>
      <c r="U245" s="43"/>
      <c r="V245" s="43"/>
      <c r="W245" s="43"/>
      <c r="X245" s="43"/>
      <c r="Y245" s="43"/>
      <c r="Z245" s="43"/>
      <c r="AA245" s="43"/>
      <c r="AB245" s="43"/>
      <c r="AC245" s="43"/>
      <c r="AD245" s="43"/>
      <c r="AE245" s="43"/>
      <c r="AF245" s="43"/>
      <c r="AG245" s="43"/>
      <c r="AH245" s="43"/>
      <c r="AI245" s="43"/>
      <c r="AJ245" s="43"/>
      <c r="AK245" s="43"/>
      <c r="AL245" s="43"/>
      <c r="AM245" s="43"/>
      <c r="AN245" s="43"/>
      <c r="AO245" s="43"/>
      <c r="AP245" s="43"/>
      <c r="AQ245" s="43"/>
      <c r="AR245" s="43"/>
      <c r="AS245" s="43"/>
      <c r="AT245" s="43"/>
      <c r="AU245" s="43"/>
    </row>
    <row r="246" spans="1:48" ht="12.6" customHeight="1">
      <c r="A246" s="992"/>
      <c r="B246" s="12" t="s">
        <v>1248</v>
      </c>
      <c r="C246" s="12" t="s">
        <v>505</v>
      </c>
      <c r="D246" s="1593"/>
      <c r="E246" s="2222" t="s">
        <v>1925</v>
      </c>
      <c r="F246" s="23">
        <v>2210</v>
      </c>
      <c r="G246" s="330" t="s">
        <v>1642</v>
      </c>
      <c r="H246" s="1170"/>
      <c r="I246" s="1170"/>
      <c r="J246" s="1171"/>
      <c r="K246" s="1172"/>
      <c r="L246" s="1170"/>
      <c r="M246" s="357"/>
      <c r="N246" s="73"/>
      <c r="O246" s="86"/>
      <c r="P246" s="1817" t="e">
        <f>INDEX(#REF!,MATCH(F246,#REF!,0),2)</f>
        <v>#REF!</v>
      </c>
      <c r="Q246" s="43"/>
      <c r="R246" s="43"/>
      <c r="S246" s="43"/>
      <c r="T246" s="43"/>
      <c r="U246" s="43"/>
      <c r="V246" s="43"/>
      <c r="W246" s="43"/>
      <c r="X246" s="43"/>
      <c r="Y246" s="43"/>
      <c r="Z246" s="43"/>
      <c r="AA246" s="43"/>
      <c r="AB246" s="43"/>
      <c r="AC246" s="43"/>
      <c r="AD246" s="43"/>
      <c r="AE246" s="43"/>
      <c r="AF246" s="43"/>
      <c r="AG246" s="43"/>
      <c r="AH246" s="43"/>
      <c r="AI246" s="43"/>
      <c r="AJ246" s="43"/>
      <c r="AK246" s="43"/>
      <c r="AL246" s="43"/>
      <c r="AM246" s="43"/>
      <c r="AN246" s="43"/>
      <c r="AO246" s="43"/>
      <c r="AP246" s="43"/>
      <c r="AQ246" s="43"/>
      <c r="AR246" s="43"/>
      <c r="AS246" s="43"/>
      <c r="AT246" s="43"/>
      <c r="AU246" s="43"/>
    </row>
    <row r="247" spans="1:48" ht="12.6" customHeight="1">
      <c r="A247" s="992"/>
      <c r="B247" s="12" t="s">
        <v>1248</v>
      </c>
      <c r="C247" s="12" t="s">
        <v>505</v>
      </c>
      <c r="D247" s="1593"/>
      <c r="E247" s="2222" t="s">
        <v>1925</v>
      </c>
      <c r="F247" s="23">
        <v>2210</v>
      </c>
      <c r="G247" s="994" t="s">
        <v>1643</v>
      </c>
      <c r="H247" s="1170"/>
      <c r="I247" s="1170"/>
      <c r="J247" s="1171"/>
      <c r="K247" s="1172"/>
      <c r="L247" s="1170"/>
      <c r="M247" s="1170"/>
      <c r="N247" s="73"/>
      <c r="O247" s="86"/>
      <c r="P247" s="1817" t="e">
        <f>INDEX(#REF!,MATCH(F247,#REF!,0),2)</f>
        <v>#REF!</v>
      </c>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row>
    <row r="248" spans="1:48" ht="11.45" customHeight="1">
      <c r="A248" s="5"/>
      <c r="B248" s="5" t="s">
        <v>1248</v>
      </c>
      <c r="C248" s="5" t="s">
        <v>505</v>
      </c>
      <c r="D248" s="1592">
        <v>111</v>
      </c>
      <c r="E248" s="2220" t="s">
        <v>1925</v>
      </c>
      <c r="F248" s="6">
        <v>2233</v>
      </c>
      <c r="G248" s="7" t="s">
        <v>263</v>
      </c>
      <c r="H248" s="8">
        <v>300</v>
      </c>
      <c r="I248" s="9"/>
      <c r="J248" s="17"/>
      <c r="K248" s="10"/>
      <c r="L248" s="8">
        <v>0</v>
      </c>
      <c r="M248" s="8"/>
      <c r="N248" s="83"/>
      <c r="O248" s="86"/>
      <c r="P248" s="1817" t="e">
        <f>INDEX(#REF!,MATCH(F248,#REF!,0),2)</f>
        <v>#REF!</v>
      </c>
      <c r="Q248" s="11"/>
      <c r="R248" s="11"/>
      <c r="S248" s="11"/>
      <c r="T248" s="11"/>
      <c r="U248" s="11"/>
      <c r="V248" s="11"/>
      <c r="W248" s="4"/>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row>
    <row r="249" spans="1:48" ht="12.6" customHeight="1">
      <c r="A249" s="325"/>
      <c r="B249" s="12" t="s">
        <v>1248</v>
      </c>
      <c r="C249" s="12" t="s">
        <v>505</v>
      </c>
      <c r="D249" s="1593"/>
      <c r="E249" s="2222" t="s">
        <v>1925</v>
      </c>
      <c r="F249" s="23">
        <v>2233</v>
      </c>
      <c r="G249" s="330"/>
      <c r="H249" s="357"/>
      <c r="I249" s="357">
        <v>300</v>
      </c>
      <c r="J249" s="356"/>
      <c r="K249" s="355"/>
      <c r="L249" s="357"/>
      <c r="M249" s="357"/>
      <c r="N249" s="73"/>
      <c r="O249" s="86"/>
      <c r="P249" s="1817" t="e">
        <f>INDEX(#REF!,MATCH(F249,#REF!,0),2)</f>
        <v>#REF!</v>
      </c>
      <c r="Q249" s="43"/>
      <c r="R249" s="43"/>
      <c r="S249" s="43"/>
      <c r="T249" s="43"/>
      <c r="U249" s="43"/>
      <c r="V249" s="43"/>
      <c r="W249" s="43"/>
      <c r="X249" s="43"/>
      <c r="Y249" s="43"/>
      <c r="Z249" s="43"/>
      <c r="AA249" s="43"/>
      <c r="AB249" s="43"/>
      <c r="AC249" s="43"/>
      <c r="AD249" s="43"/>
      <c r="AE249" s="43"/>
      <c r="AF249" s="43"/>
      <c r="AG249" s="43"/>
      <c r="AH249" s="43"/>
      <c r="AI249" s="43"/>
      <c r="AJ249" s="43"/>
      <c r="AK249" s="43"/>
      <c r="AL249" s="43"/>
      <c r="AM249" s="43"/>
      <c r="AN249" s="43"/>
      <c r="AO249" s="43"/>
      <c r="AP249" s="43"/>
      <c r="AQ249" s="43"/>
      <c r="AR249" s="43"/>
      <c r="AS249" s="43"/>
      <c r="AT249" s="43"/>
      <c r="AU249" s="43"/>
    </row>
    <row r="250" spans="1:48" ht="13.15" customHeight="1">
      <c r="A250" s="5"/>
      <c r="B250" s="5" t="s">
        <v>1248</v>
      </c>
      <c r="C250" s="5" t="s">
        <v>505</v>
      </c>
      <c r="D250" s="1592">
        <v>111</v>
      </c>
      <c r="E250" s="2220" t="s">
        <v>1925</v>
      </c>
      <c r="F250" s="6">
        <v>2264</v>
      </c>
      <c r="G250" s="7" t="s">
        <v>3045</v>
      </c>
      <c r="H250" s="17">
        <v>300</v>
      </c>
      <c r="I250" s="35"/>
      <c r="J250" s="17"/>
      <c r="K250" s="10"/>
      <c r="L250" s="8"/>
      <c r="M250" s="8"/>
      <c r="N250" s="83"/>
      <c r="O250" s="86"/>
      <c r="P250" s="1817" t="e">
        <f>INDEX(#REF!,MATCH(F250,#REF!,0),2)</f>
        <v>#REF!</v>
      </c>
      <c r="Q250" s="11"/>
      <c r="R250" s="11"/>
      <c r="S250" s="11"/>
      <c r="T250" s="11"/>
      <c r="U250" s="11"/>
      <c r="V250" s="11"/>
      <c r="W250" s="4"/>
      <c r="X250" s="11"/>
      <c r="Y250" s="11"/>
      <c r="Z250" s="11"/>
      <c r="AA250" s="11"/>
      <c r="AB250" s="11"/>
      <c r="AC250" s="11"/>
      <c r="AD250" s="11"/>
      <c r="AE250" s="11"/>
      <c r="AF250" s="11"/>
      <c r="AG250" s="11"/>
      <c r="AH250" s="11"/>
      <c r="AI250" s="11"/>
    </row>
    <row r="251" spans="1:48" ht="12.6" customHeight="1">
      <c r="A251" s="325"/>
      <c r="B251" s="12" t="s">
        <v>1248</v>
      </c>
      <c r="C251" s="12" t="s">
        <v>505</v>
      </c>
      <c r="D251" s="1593"/>
      <c r="E251" s="2222" t="s">
        <v>1925</v>
      </c>
      <c r="F251" s="23">
        <v>2264</v>
      </c>
      <c r="G251" s="330"/>
      <c r="H251" s="357"/>
      <c r="I251" s="357">
        <v>300</v>
      </c>
      <c r="J251" s="356"/>
      <c r="K251" s="355"/>
      <c r="L251" s="357"/>
      <c r="M251" s="357"/>
      <c r="N251" s="73"/>
      <c r="O251" s="86"/>
      <c r="P251" s="1817" t="e">
        <f>INDEX(#REF!,MATCH(F251,#REF!,0),2)</f>
        <v>#REF!</v>
      </c>
      <c r="Q251" s="43"/>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3"/>
      <c r="AP251" s="43"/>
      <c r="AQ251" s="43"/>
      <c r="AR251" s="43"/>
      <c r="AS251" s="43"/>
      <c r="AT251" s="43"/>
      <c r="AU251" s="43"/>
    </row>
    <row r="252" spans="1:48" ht="11.45" customHeight="1">
      <c r="A252" s="5"/>
      <c r="B252" s="5" t="s">
        <v>1248</v>
      </c>
      <c r="C252" s="5" t="s">
        <v>505</v>
      </c>
      <c r="D252" s="1592">
        <v>111</v>
      </c>
      <c r="E252" s="2220" t="s">
        <v>1925</v>
      </c>
      <c r="F252" s="6">
        <v>2322</v>
      </c>
      <c r="G252" s="7" t="s">
        <v>319</v>
      </c>
      <c r="H252" s="17">
        <v>68</v>
      </c>
      <c r="I252" s="35"/>
      <c r="J252" s="17"/>
      <c r="K252" s="10"/>
      <c r="L252" s="3796">
        <v>0</v>
      </c>
      <c r="M252" s="8"/>
      <c r="N252" s="73"/>
      <c r="O252" s="86"/>
      <c r="P252" s="1817" t="e">
        <f>INDEX(#REF!,MATCH(F252,#REF!,0),2)</f>
        <v>#REF!</v>
      </c>
      <c r="Q252" s="1779"/>
      <c r="R252" s="1779"/>
      <c r="S252" s="1779"/>
      <c r="T252" s="1779"/>
      <c r="U252" s="1779"/>
      <c r="V252" s="1779"/>
      <c r="W252" s="43"/>
      <c r="X252" s="1779"/>
      <c r="Y252" s="1779"/>
      <c r="Z252" s="1779"/>
      <c r="AA252" s="1779"/>
      <c r="AB252" s="1779"/>
      <c r="AC252" s="1779"/>
      <c r="AD252" s="1779"/>
      <c r="AE252" s="1779"/>
      <c r="AF252" s="1779"/>
      <c r="AG252" s="1779"/>
      <c r="AH252" s="1779"/>
      <c r="AI252" s="1779"/>
    </row>
    <row r="253" spans="1:48" ht="13.9" customHeight="1">
      <c r="A253" s="12"/>
      <c r="B253" s="12" t="s">
        <v>1248</v>
      </c>
      <c r="C253" s="12" t="s">
        <v>505</v>
      </c>
      <c r="D253" s="1593"/>
      <c r="E253" s="2222" t="s">
        <v>1925</v>
      </c>
      <c r="F253" s="23">
        <v>2322</v>
      </c>
      <c r="G253" s="330" t="s">
        <v>1556</v>
      </c>
      <c r="H253" s="24"/>
      <c r="I253" s="25">
        <v>68</v>
      </c>
      <c r="J253" s="24"/>
      <c r="K253" s="20"/>
      <c r="L253" s="25"/>
      <c r="M253" s="357"/>
      <c r="N253" s="83"/>
      <c r="O253" s="86"/>
      <c r="P253" s="1817" t="e">
        <f>INDEX(#REF!,MATCH(F253,#REF!,0),2)</f>
        <v>#REF!</v>
      </c>
      <c r="Q253" s="11"/>
      <c r="R253" s="11"/>
      <c r="S253" s="11"/>
      <c r="T253" s="11"/>
      <c r="U253" s="11"/>
      <c r="V253" s="11"/>
      <c r="W253" s="4"/>
      <c r="X253" s="11"/>
      <c r="Y253" s="11"/>
      <c r="Z253" s="11"/>
      <c r="AA253" s="11"/>
      <c r="AB253" s="11"/>
      <c r="AC253" s="11"/>
      <c r="AD253" s="11"/>
      <c r="AE253" s="11"/>
      <c r="AF253" s="11"/>
      <c r="AG253" s="11"/>
      <c r="AH253" s="11"/>
      <c r="AI253" s="11"/>
    </row>
    <row r="254" spans="1:48" ht="20.45" customHeight="1">
      <c r="A254" s="5"/>
      <c r="B254" s="5" t="s">
        <v>663</v>
      </c>
      <c r="C254" s="5" t="s">
        <v>652</v>
      </c>
      <c r="D254" s="1592">
        <v>120</v>
      </c>
      <c r="E254" s="2218" t="s">
        <v>1954</v>
      </c>
      <c r="F254" s="6">
        <v>1112</v>
      </c>
      <c r="G254" s="228" t="s">
        <v>984</v>
      </c>
      <c r="H254" s="229"/>
      <c r="I254" s="37"/>
      <c r="J254" s="42"/>
      <c r="K254" s="38"/>
      <c r="L254" s="2388"/>
      <c r="M254" s="32"/>
      <c r="N254" s="83"/>
      <c r="O254" s="86"/>
      <c r="P254" s="1817" t="e">
        <f>INDEX(#REF!,MATCH(F254,#REF!,0),2)</f>
        <v>#REF!</v>
      </c>
      <c r="Q254" s="11"/>
      <c r="R254" s="11"/>
      <c r="S254" s="11"/>
      <c r="T254" s="11"/>
      <c r="U254" s="11"/>
      <c r="V254" s="11"/>
      <c r="W254" s="4"/>
      <c r="X254" s="11"/>
      <c r="Y254" s="11"/>
      <c r="Z254" s="11"/>
      <c r="AA254" s="11"/>
      <c r="AB254" s="11"/>
      <c r="AC254" s="11"/>
      <c r="AD254" s="11"/>
      <c r="AE254" s="11"/>
      <c r="AF254" s="11"/>
      <c r="AG254" s="11"/>
      <c r="AH254" s="1779"/>
      <c r="AI254" s="1779"/>
    </row>
    <row r="255" spans="1:48" ht="11.45" customHeight="1">
      <c r="A255" s="21"/>
      <c r="B255" s="12" t="s">
        <v>663</v>
      </c>
      <c r="C255" s="12" t="s">
        <v>652</v>
      </c>
      <c r="D255" s="1593"/>
      <c r="E255" s="2219" t="s">
        <v>1954</v>
      </c>
      <c r="F255" s="23">
        <v>1112</v>
      </c>
      <c r="G255" s="22"/>
      <c r="H255" s="41"/>
      <c r="I255" s="15"/>
      <c r="J255" s="19"/>
      <c r="K255" s="40"/>
      <c r="L255" s="14"/>
      <c r="M255" s="14"/>
      <c r="N255" s="73"/>
      <c r="O255" s="86"/>
      <c r="P255" s="1817" t="e">
        <f>INDEX(#REF!,MATCH(F255,#REF!,0),2)</f>
        <v>#REF!</v>
      </c>
      <c r="Q255" s="1779"/>
      <c r="R255" s="1779"/>
      <c r="S255" s="1779"/>
      <c r="T255" s="1779"/>
      <c r="U255" s="1779"/>
      <c r="V255" s="1779"/>
      <c r="W255" s="43"/>
      <c r="X255" s="1779"/>
      <c r="Y255" s="1779"/>
      <c r="Z255" s="1779"/>
      <c r="AA255" s="1779"/>
      <c r="AB255" s="1779"/>
      <c r="AC255" s="1779"/>
      <c r="AD255" s="1779"/>
      <c r="AE255" s="1779"/>
      <c r="AF255" s="1779"/>
      <c r="AG255" s="1779"/>
      <c r="AH255" s="1779"/>
      <c r="AI255" s="1779"/>
    </row>
    <row r="256" spans="1:48" ht="11.45" customHeight="1">
      <c r="A256" s="5"/>
      <c r="B256" s="5" t="s">
        <v>663</v>
      </c>
      <c r="C256" s="5" t="s">
        <v>506</v>
      </c>
      <c r="D256" s="1592">
        <v>120</v>
      </c>
      <c r="E256" s="2220" t="s">
        <v>1954</v>
      </c>
      <c r="F256" s="6">
        <v>1119</v>
      </c>
      <c r="G256" s="228" t="s">
        <v>764</v>
      </c>
      <c r="H256" s="229">
        <v>5000</v>
      </c>
      <c r="I256" s="37"/>
      <c r="J256" s="42"/>
      <c r="K256" s="38"/>
      <c r="L256" s="229">
        <v>5000</v>
      </c>
      <c r="M256" s="37"/>
      <c r="N256" s="83"/>
      <c r="O256" s="86"/>
      <c r="P256" s="1817" t="e">
        <f>INDEX(#REF!,MATCH(F256,#REF!,0),2)</f>
        <v>#REF!</v>
      </c>
      <c r="Q256" s="11"/>
      <c r="R256" s="11"/>
      <c r="S256" s="11"/>
      <c r="T256" s="11"/>
      <c r="U256" s="11"/>
      <c r="V256" s="11"/>
      <c r="W256" s="4"/>
      <c r="X256" s="11"/>
      <c r="Y256" s="11"/>
      <c r="Z256" s="11"/>
      <c r="AA256" s="11"/>
      <c r="AB256" s="11"/>
      <c r="AC256" s="11"/>
      <c r="AD256" s="11"/>
      <c r="AE256" s="11"/>
      <c r="AF256" s="11"/>
      <c r="AG256" s="11"/>
      <c r="AH256" s="1779"/>
      <c r="AI256" s="1779"/>
    </row>
    <row r="257" spans="1:48" ht="12" customHeight="1">
      <c r="A257" s="21"/>
      <c r="B257" s="12" t="s">
        <v>663</v>
      </c>
      <c r="C257" s="12" t="s">
        <v>506</v>
      </c>
      <c r="D257" s="1593"/>
      <c r="E257" s="2219" t="s">
        <v>1954</v>
      </c>
      <c r="F257" s="23">
        <v>1119</v>
      </c>
      <c r="G257" s="22"/>
      <c r="H257" s="41"/>
      <c r="I257" s="15">
        <v>5000</v>
      </c>
      <c r="J257" s="19"/>
      <c r="K257" s="40"/>
      <c r="L257" s="15"/>
      <c r="M257" s="15">
        <v>5000</v>
      </c>
      <c r="N257" s="73"/>
      <c r="O257" s="86"/>
      <c r="P257" s="1817" t="e">
        <f>INDEX(#REF!,MATCH(F257,#REF!,0),2)</f>
        <v>#REF!</v>
      </c>
      <c r="Q257" s="1779"/>
      <c r="R257" s="1779"/>
      <c r="S257" s="1779"/>
      <c r="T257" s="1779"/>
      <c r="U257" s="1779"/>
      <c r="V257" s="1779"/>
      <c r="W257" s="43"/>
      <c r="X257" s="1779"/>
      <c r="Y257" s="1779"/>
      <c r="Z257" s="1779"/>
      <c r="AA257" s="1779"/>
      <c r="AB257" s="1779"/>
      <c r="AC257" s="1779"/>
      <c r="AD257" s="1779"/>
      <c r="AE257" s="1779"/>
      <c r="AF257" s="1779"/>
      <c r="AG257" s="1779"/>
      <c r="AH257" s="1779"/>
      <c r="AI257" s="1779"/>
    </row>
    <row r="258" spans="1:48" ht="11.45" customHeight="1">
      <c r="A258" s="5"/>
      <c r="B258" s="5" t="s">
        <v>663</v>
      </c>
      <c r="C258" s="5" t="s">
        <v>652</v>
      </c>
      <c r="D258" s="1592">
        <v>120</v>
      </c>
      <c r="E258" s="2220" t="s">
        <v>1954</v>
      </c>
      <c r="F258" s="6">
        <v>1141</v>
      </c>
      <c r="G258" s="7" t="s">
        <v>268</v>
      </c>
      <c r="H258" s="39">
        <v>0</v>
      </c>
      <c r="I258" s="37"/>
      <c r="J258" s="42"/>
      <c r="K258" s="38"/>
      <c r="L258" s="37">
        <v>0</v>
      </c>
      <c r="M258" s="37"/>
      <c r="N258" s="83"/>
      <c r="O258" s="86"/>
      <c r="P258" s="1817" t="e">
        <f>INDEX(#REF!,MATCH(F258,#REF!,0),2)</f>
        <v>#REF!</v>
      </c>
      <c r="Q258" s="11"/>
      <c r="R258" s="11"/>
      <c r="S258" s="11"/>
      <c r="T258" s="11"/>
      <c r="U258" s="11"/>
      <c r="V258" s="11"/>
      <c r="W258" s="4"/>
      <c r="X258" s="11"/>
      <c r="Y258" s="11"/>
      <c r="Z258" s="11"/>
      <c r="AA258" s="11"/>
      <c r="AB258" s="11"/>
      <c r="AC258" s="11"/>
      <c r="AD258" s="11"/>
      <c r="AE258" s="11"/>
      <c r="AF258" s="11"/>
      <c r="AG258" s="11"/>
      <c r="AH258" s="11"/>
    </row>
    <row r="259" spans="1:48" ht="14.45" customHeight="1">
      <c r="A259" s="350"/>
      <c r="B259" s="351" t="s">
        <v>663</v>
      </c>
      <c r="C259" s="351" t="s">
        <v>652</v>
      </c>
      <c r="D259" s="1594"/>
      <c r="E259" s="2221" t="s">
        <v>1954</v>
      </c>
      <c r="F259" s="376">
        <v>1141</v>
      </c>
      <c r="G259" s="237"/>
      <c r="H259" s="352"/>
      <c r="I259" s="353"/>
      <c r="J259" s="390"/>
      <c r="K259" s="354"/>
      <c r="L259" s="353"/>
      <c r="M259" s="353"/>
      <c r="N259" s="73"/>
      <c r="O259" s="86"/>
      <c r="P259" s="1817" t="e">
        <f>INDEX(#REF!,MATCH(F259,#REF!,0),2)</f>
        <v>#REF!</v>
      </c>
      <c r="Q259" s="1779"/>
      <c r="R259" s="1779"/>
      <c r="S259" s="1779"/>
      <c r="T259" s="1779"/>
      <c r="U259" s="1779"/>
      <c r="V259" s="1779"/>
      <c r="W259" s="43"/>
      <c r="X259" s="1779"/>
      <c r="Y259" s="1779"/>
      <c r="Z259" s="1779"/>
      <c r="AA259" s="1779"/>
      <c r="AB259" s="1779"/>
      <c r="AC259" s="1779"/>
      <c r="AD259" s="1779"/>
      <c r="AE259" s="1779"/>
      <c r="AF259" s="1779"/>
      <c r="AG259" s="1779"/>
      <c r="AH259" s="1779"/>
      <c r="AI259" s="1779"/>
    </row>
    <row r="260" spans="1:48" ht="11.45" customHeight="1">
      <c r="A260" s="5"/>
      <c r="B260" s="5" t="s">
        <v>663</v>
      </c>
      <c r="C260" s="5" t="s">
        <v>652</v>
      </c>
      <c r="D260" s="1592">
        <v>120</v>
      </c>
      <c r="E260" s="2220" t="s">
        <v>1954</v>
      </c>
      <c r="F260" s="6">
        <v>1148</v>
      </c>
      <c r="G260" s="7" t="s">
        <v>911</v>
      </c>
      <c r="H260" s="39">
        <v>0</v>
      </c>
      <c r="I260" s="37"/>
      <c r="J260" s="42"/>
      <c r="K260" s="38"/>
      <c r="L260" s="37">
        <v>0</v>
      </c>
      <c r="M260" s="37"/>
      <c r="N260" s="83"/>
      <c r="O260" s="86"/>
      <c r="P260" s="1817" t="e">
        <f>INDEX(#REF!,MATCH(F260,#REF!,0),2)</f>
        <v>#REF!</v>
      </c>
      <c r="Q260" s="11"/>
      <c r="R260" s="11"/>
      <c r="S260" s="11"/>
      <c r="T260" s="11"/>
      <c r="U260" s="11"/>
      <c r="V260" s="11"/>
      <c r="W260" s="4"/>
      <c r="X260" s="11"/>
      <c r="Y260" s="11"/>
      <c r="Z260" s="11"/>
      <c r="AA260" s="11"/>
      <c r="AB260" s="11"/>
      <c r="AC260" s="11"/>
      <c r="AD260" s="11"/>
      <c r="AE260" s="11"/>
      <c r="AF260" s="11"/>
      <c r="AG260" s="11"/>
      <c r="AH260" s="11"/>
    </row>
    <row r="261" spans="1:48" ht="14.45" customHeight="1">
      <c r="A261" s="350"/>
      <c r="B261" s="351" t="s">
        <v>663</v>
      </c>
      <c r="C261" s="351" t="s">
        <v>652</v>
      </c>
      <c r="D261" s="1594"/>
      <c r="E261" s="2221" t="s">
        <v>1954</v>
      </c>
      <c r="F261" s="376">
        <v>1148</v>
      </c>
      <c r="G261" s="237"/>
      <c r="H261" s="352"/>
      <c r="I261" s="353"/>
      <c r="J261" s="390"/>
      <c r="K261" s="354"/>
      <c r="L261" s="353"/>
      <c r="M261" s="353"/>
      <c r="N261" s="73"/>
      <c r="O261" s="86"/>
      <c r="P261" s="1817" t="e">
        <f>INDEX(#REF!,MATCH(F261,#REF!,0),2)</f>
        <v>#REF!</v>
      </c>
      <c r="Q261" s="1779"/>
      <c r="R261" s="1779"/>
      <c r="S261" s="1779"/>
      <c r="T261" s="1779"/>
      <c r="U261" s="1779"/>
      <c r="V261" s="1779"/>
      <c r="W261" s="43"/>
      <c r="X261" s="1779"/>
      <c r="Y261" s="1779"/>
      <c r="Z261" s="1779"/>
      <c r="AA261" s="1779"/>
      <c r="AB261" s="1779"/>
      <c r="AC261" s="1779"/>
      <c r="AD261" s="1779"/>
      <c r="AE261" s="1779"/>
      <c r="AF261" s="1779"/>
      <c r="AG261" s="1779"/>
      <c r="AH261" s="1779"/>
      <c r="AI261" s="1779"/>
    </row>
    <row r="262" spans="1:48" ht="20.45" customHeight="1">
      <c r="A262" s="5"/>
      <c r="B262" s="5" t="s">
        <v>1248</v>
      </c>
      <c r="C262" s="5" t="s">
        <v>507</v>
      </c>
      <c r="D262" s="1592">
        <v>120</v>
      </c>
      <c r="E262" s="2220" t="s">
        <v>1954</v>
      </c>
      <c r="F262" s="6">
        <v>1150</v>
      </c>
      <c r="G262" s="7" t="s">
        <v>623</v>
      </c>
      <c r="H262" s="39">
        <v>0</v>
      </c>
      <c r="I262" s="37"/>
      <c r="J262" s="42"/>
      <c r="K262" s="38"/>
      <c r="L262" s="37">
        <v>0</v>
      </c>
      <c r="M262" s="37"/>
      <c r="N262" s="83"/>
      <c r="O262" s="86"/>
      <c r="P262" s="1817" t="e">
        <f>INDEX(#REF!,MATCH(F262,#REF!,0),2)</f>
        <v>#REF!</v>
      </c>
      <c r="Q262" s="11"/>
      <c r="R262" s="11"/>
      <c r="S262" s="11"/>
      <c r="T262" s="11"/>
      <c r="U262" s="11"/>
      <c r="V262" s="11"/>
      <c r="W262" s="4"/>
      <c r="X262" s="11"/>
      <c r="Y262" s="11"/>
      <c r="Z262" s="11"/>
      <c r="AA262" s="11"/>
      <c r="AB262" s="11"/>
      <c r="AC262" s="11"/>
      <c r="AD262" s="11"/>
      <c r="AE262" s="11"/>
      <c r="AF262" s="11"/>
      <c r="AG262" s="11"/>
      <c r="AH262" s="11"/>
    </row>
    <row r="263" spans="1:48" ht="16.149999999999999" customHeight="1">
      <c r="A263" s="334"/>
      <c r="B263" s="351" t="s">
        <v>663</v>
      </c>
      <c r="C263" s="351" t="s">
        <v>507</v>
      </c>
      <c r="D263" s="1594"/>
      <c r="E263" s="2221" t="s">
        <v>1954</v>
      </c>
      <c r="F263" s="376">
        <v>1150</v>
      </c>
      <c r="G263" s="323"/>
      <c r="H263" s="332"/>
      <c r="I263" s="328"/>
      <c r="J263" s="337"/>
      <c r="K263" s="358"/>
      <c r="L263" s="328"/>
      <c r="M263" s="328"/>
      <c r="N263" s="73"/>
      <c r="O263" s="86"/>
      <c r="P263" s="1817" t="e">
        <f>INDEX(#REF!,MATCH(F263,#REF!,0),2)</f>
        <v>#REF!</v>
      </c>
      <c r="Q263" s="1779"/>
      <c r="R263" s="1779"/>
      <c r="S263" s="1779"/>
      <c r="T263" s="1779"/>
      <c r="U263" s="1779"/>
      <c r="V263" s="1779"/>
      <c r="W263" s="43"/>
      <c r="X263" s="1779"/>
      <c r="Y263" s="1779"/>
      <c r="Z263" s="1779"/>
      <c r="AA263" s="1779"/>
      <c r="AB263" s="1779"/>
      <c r="AC263" s="1779"/>
      <c r="AD263" s="1779"/>
      <c r="AE263" s="1779"/>
      <c r="AF263" s="1779"/>
      <c r="AG263" s="1779"/>
      <c r="AH263" s="1779"/>
      <c r="AI263" s="1779"/>
    </row>
    <row r="264" spans="1:48" ht="11.45" customHeight="1">
      <c r="A264" s="5"/>
      <c r="B264" s="5" t="s">
        <v>663</v>
      </c>
      <c r="C264" s="5" t="s">
        <v>652</v>
      </c>
      <c r="D264" s="1592">
        <v>120</v>
      </c>
      <c r="E264" s="2220" t="s">
        <v>1954</v>
      </c>
      <c r="F264" s="6">
        <v>1210</v>
      </c>
      <c r="G264" s="7" t="s">
        <v>228</v>
      </c>
      <c r="H264" s="39">
        <v>1179.5</v>
      </c>
      <c r="I264" s="37"/>
      <c r="J264" s="42"/>
      <c r="K264" s="38"/>
      <c r="L264" s="37">
        <v>1179.5</v>
      </c>
      <c r="M264" s="37"/>
      <c r="N264" s="83"/>
      <c r="O264" s="86"/>
      <c r="P264" s="1817" t="e">
        <f>INDEX(#REF!,MATCH(F264,#REF!,0),2)</f>
        <v>#REF!</v>
      </c>
      <c r="Q264" s="11"/>
      <c r="R264" s="11"/>
      <c r="S264" s="11"/>
      <c r="T264" s="11"/>
      <c r="U264" s="11"/>
      <c r="V264" s="11"/>
      <c r="W264" s="4"/>
      <c r="X264" s="11"/>
      <c r="Y264" s="11"/>
      <c r="Z264" s="11"/>
      <c r="AA264" s="11"/>
      <c r="AB264" s="11"/>
      <c r="AC264" s="11"/>
      <c r="AD264" s="11"/>
      <c r="AE264" s="11"/>
      <c r="AF264" s="11"/>
      <c r="AG264" s="11"/>
      <c r="AH264" s="11"/>
      <c r="AI264" s="11"/>
    </row>
    <row r="265" spans="1:48" ht="20.45" customHeight="1">
      <c r="A265" s="238"/>
      <c r="B265" s="12" t="s">
        <v>663</v>
      </c>
      <c r="C265" s="12" t="s">
        <v>652</v>
      </c>
      <c r="D265" s="1593"/>
      <c r="E265" s="2219" t="s">
        <v>1954</v>
      </c>
      <c r="F265" s="23">
        <v>1210</v>
      </c>
      <c r="G265" s="22" t="s">
        <v>765</v>
      </c>
      <c r="H265" s="240"/>
      <c r="I265" s="15">
        <v>1179.5</v>
      </c>
      <c r="J265" s="239"/>
      <c r="K265" s="242"/>
      <c r="L265" s="3846"/>
      <c r="M265" s="15">
        <v>1179.5</v>
      </c>
      <c r="N265" s="73"/>
      <c r="O265" s="86"/>
      <c r="P265" s="1817" t="e">
        <f>INDEX(#REF!,MATCH(F265,#REF!,0),2)</f>
        <v>#REF!</v>
      </c>
      <c r="Q265" s="1779"/>
      <c r="R265" s="1779"/>
      <c r="S265" s="1779"/>
      <c r="T265" s="1779"/>
      <c r="U265" s="1779"/>
      <c r="V265" s="1779"/>
      <c r="W265" s="43"/>
      <c r="X265" s="1779"/>
      <c r="Y265" s="1779"/>
      <c r="Z265" s="1779"/>
      <c r="AA265" s="1779"/>
      <c r="AB265" s="1779"/>
      <c r="AC265" s="1779"/>
      <c r="AD265" s="1779"/>
      <c r="AE265" s="1779"/>
      <c r="AF265" s="1779"/>
      <c r="AG265" s="1779"/>
      <c r="AH265" s="1779"/>
      <c r="AI265" s="1779"/>
    </row>
    <row r="266" spans="1:48" ht="11.45" customHeight="1">
      <c r="A266" s="334"/>
      <c r="B266" s="12" t="s">
        <v>663</v>
      </c>
      <c r="C266" s="12" t="s">
        <v>652</v>
      </c>
      <c r="D266" s="1593"/>
      <c r="E266" s="2219" t="s">
        <v>1954</v>
      </c>
      <c r="F266" s="23">
        <v>1210</v>
      </c>
      <c r="G266" s="568" t="s">
        <v>1195</v>
      </c>
      <c r="H266" s="41"/>
      <c r="I266" s="569"/>
      <c r="J266" s="337"/>
      <c r="K266" s="358"/>
      <c r="L266" s="328"/>
      <c r="M266" s="328"/>
      <c r="N266" s="73"/>
      <c r="O266" s="86"/>
      <c r="P266" s="1817" t="e">
        <f>INDEX(#REF!,MATCH(F266,#REF!,0),2)</f>
        <v>#REF!</v>
      </c>
      <c r="Q266" s="1779"/>
      <c r="R266" s="1779"/>
      <c r="S266" s="1779"/>
      <c r="T266" s="1779"/>
      <c r="U266" s="1779"/>
      <c r="V266" s="1779"/>
      <c r="W266" s="43"/>
      <c r="X266" s="1779"/>
      <c r="Y266" s="1779"/>
      <c r="Z266" s="1779"/>
      <c r="AA266" s="1779"/>
      <c r="AB266" s="1779"/>
      <c r="AC266" s="1779"/>
      <c r="AD266" s="1779"/>
      <c r="AE266" s="1779"/>
      <c r="AF266" s="1779"/>
      <c r="AG266" s="1779"/>
      <c r="AH266" s="1779"/>
      <c r="AI266" s="1779"/>
    </row>
    <row r="267" spans="1:48" ht="11.45" customHeight="1">
      <c r="A267" s="5"/>
      <c r="B267" s="5" t="s">
        <v>1248</v>
      </c>
      <c r="C267" s="5" t="s">
        <v>507</v>
      </c>
      <c r="D267" s="1592">
        <v>120</v>
      </c>
      <c r="E267" s="2220" t="s">
        <v>1954</v>
      </c>
      <c r="F267" s="6">
        <v>2210</v>
      </c>
      <c r="G267" s="7" t="s">
        <v>1192</v>
      </c>
      <c r="H267" s="37">
        <v>308</v>
      </c>
      <c r="I267" s="32"/>
      <c r="J267" s="42"/>
      <c r="K267" s="36"/>
      <c r="L267" s="37">
        <v>308</v>
      </c>
      <c r="M267" s="37"/>
      <c r="N267" s="83"/>
      <c r="O267" s="86"/>
      <c r="P267" s="1817" t="e">
        <f>INDEX(#REF!,MATCH(F267,#REF!,0),2)</f>
        <v>#REF!</v>
      </c>
      <c r="Q267" s="11"/>
      <c r="R267" s="11"/>
      <c r="S267" s="11"/>
      <c r="T267" s="11"/>
      <c r="U267" s="11"/>
      <c r="V267" s="11"/>
      <c r="W267" s="4"/>
      <c r="X267" s="11"/>
      <c r="Y267" s="11"/>
      <c r="Z267" s="11"/>
      <c r="AA267" s="11"/>
      <c r="AB267" s="11"/>
      <c r="AC267" s="11"/>
      <c r="AD267" s="11"/>
      <c r="AE267" s="11"/>
      <c r="AF267" s="11"/>
      <c r="AG267" s="11"/>
      <c r="AH267" s="11"/>
      <c r="AI267" s="11"/>
    </row>
    <row r="268" spans="1:48" ht="12" customHeight="1">
      <c r="A268" s="21"/>
      <c r="B268" s="12" t="s">
        <v>1248</v>
      </c>
      <c r="C268" s="12" t="s">
        <v>507</v>
      </c>
      <c r="D268" s="1593"/>
      <c r="E268" s="2219" t="s">
        <v>1954</v>
      </c>
      <c r="F268" s="23">
        <v>2210</v>
      </c>
      <c r="G268" s="568" t="s">
        <v>1859</v>
      </c>
      <c r="H268" s="14"/>
      <c r="I268" s="15">
        <v>308</v>
      </c>
      <c r="J268" s="19"/>
      <c r="K268" s="18"/>
      <c r="L268" s="15"/>
      <c r="M268" s="15">
        <v>308</v>
      </c>
      <c r="N268" s="83"/>
      <c r="O268" s="86"/>
      <c r="P268" s="1817" t="e">
        <f>INDEX(#REF!,MATCH(F268,#REF!,0),2)</f>
        <v>#REF!</v>
      </c>
      <c r="Q268" s="11"/>
      <c r="R268" s="11"/>
      <c r="S268" s="11"/>
      <c r="T268" s="11"/>
      <c r="U268" s="11"/>
      <c r="V268" s="11"/>
      <c r="W268" s="4"/>
      <c r="X268" s="11"/>
      <c r="Y268" s="11"/>
      <c r="Z268" s="11"/>
      <c r="AA268" s="11"/>
      <c r="AB268" s="11"/>
      <c r="AC268" s="11"/>
      <c r="AD268" s="11"/>
      <c r="AE268" s="11"/>
      <c r="AF268" s="11"/>
      <c r="AG268" s="11"/>
      <c r="AH268" s="11"/>
      <c r="AI268" s="11"/>
    </row>
    <row r="269" spans="1:48" ht="11.45" customHeight="1">
      <c r="A269" s="5"/>
      <c r="B269" s="5" t="s">
        <v>1248</v>
      </c>
      <c r="C269" s="5" t="s">
        <v>507</v>
      </c>
      <c r="D269" s="1592">
        <v>120</v>
      </c>
      <c r="E269" s="2220" t="s">
        <v>1954</v>
      </c>
      <c r="F269" s="6">
        <v>2233</v>
      </c>
      <c r="G269" s="7" t="s">
        <v>263</v>
      </c>
      <c r="H269" s="37">
        <v>0</v>
      </c>
      <c r="I269" s="32"/>
      <c r="J269" s="42"/>
      <c r="K269" s="36"/>
      <c r="L269" s="37">
        <v>0</v>
      </c>
      <c r="M269" s="37"/>
      <c r="N269" s="83"/>
      <c r="O269" s="86"/>
      <c r="P269" s="1817" t="e">
        <f>INDEX(#REF!,MATCH(F269,#REF!,0),2)</f>
        <v>#REF!</v>
      </c>
      <c r="Q269" s="11"/>
      <c r="R269" s="11"/>
      <c r="S269" s="11"/>
      <c r="T269" s="11"/>
      <c r="U269" s="11"/>
      <c r="V269" s="11"/>
      <c r="W269" s="4"/>
      <c r="X269" s="11"/>
      <c r="Y269" s="11"/>
      <c r="Z269" s="11"/>
      <c r="AA269" s="11"/>
      <c r="AB269" s="11"/>
      <c r="AC269" s="11"/>
      <c r="AD269" s="11"/>
      <c r="AE269" s="11"/>
      <c r="AF269" s="11"/>
      <c r="AG269" s="11"/>
      <c r="AH269" s="11"/>
      <c r="AI269" s="11"/>
    </row>
    <row r="270" spans="1:48" ht="22.15" customHeight="1">
      <c r="A270" s="21"/>
      <c r="B270" s="12" t="s">
        <v>1248</v>
      </c>
      <c r="C270" s="12" t="s">
        <v>507</v>
      </c>
      <c r="D270" s="1593"/>
      <c r="E270" s="2219" t="s">
        <v>1954</v>
      </c>
      <c r="F270" s="23">
        <v>2233</v>
      </c>
      <c r="G270" s="22" t="s">
        <v>264</v>
      </c>
      <c r="H270" s="14"/>
      <c r="I270" s="15"/>
      <c r="J270" s="19"/>
      <c r="K270" s="18"/>
      <c r="L270" s="15"/>
      <c r="M270" s="15"/>
      <c r="N270" s="83"/>
      <c r="O270" s="86"/>
      <c r="P270" s="1817" t="e">
        <f>INDEX(#REF!,MATCH(F270,#REF!,0),2)</f>
        <v>#REF!</v>
      </c>
      <c r="Q270" s="11"/>
      <c r="R270" s="11"/>
      <c r="S270" s="11"/>
      <c r="T270" s="11"/>
      <c r="U270" s="11"/>
      <c r="V270" s="11"/>
      <c r="W270" s="4"/>
      <c r="X270" s="11"/>
      <c r="Y270" s="11"/>
      <c r="Z270" s="11"/>
      <c r="AA270" s="11"/>
      <c r="AB270" s="11"/>
      <c r="AC270" s="11"/>
      <c r="AD270" s="11"/>
      <c r="AE270" s="11"/>
      <c r="AF270" s="11"/>
      <c r="AG270" s="11"/>
      <c r="AH270" s="11"/>
      <c r="AI270" s="11"/>
    </row>
    <row r="271" spans="1:48" ht="20.45" customHeight="1">
      <c r="A271" s="5"/>
      <c r="B271" s="5" t="s">
        <v>1248</v>
      </c>
      <c r="C271" s="5" t="s">
        <v>507</v>
      </c>
      <c r="D271" s="1592">
        <v>120</v>
      </c>
      <c r="E271" s="2220" t="s">
        <v>1954</v>
      </c>
      <c r="F271" s="6">
        <v>2239</v>
      </c>
      <c r="G271" s="7" t="s">
        <v>234</v>
      </c>
      <c r="H271" s="37">
        <v>0</v>
      </c>
      <c r="I271" s="32"/>
      <c r="J271" s="42"/>
      <c r="K271" s="36"/>
      <c r="L271" s="37">
        <v>0</v>
      </c>
      <c r="M271" s="37"/>
      <c r="N271" s="73"/>
      <c r="O271" s="86"/>
      <c r="P271" s="1817" t="e">
        <f>INDEX(#REF!,MATCH(F271,#REF!,0),2)</f>
        <v>#REF!</v>
      </c>
      <c r="Q271" s="1779"/>
      <c r="R271" s="1779"/>
      <c r="S271" s="1779"/>
      <c r="T271" s="1779"/>
      <c r="U271" s="1779"/>
      <c r="V271" s="1779"/>
      <c r="W271" s="43"/>
      <c r="X271" s="1779"/>
      <c r="Y271" s="1779"/>
      <c r="Z271" s="1779"/>
      <c r="AA271" s="1779"/>
      <c r="AB271" s="1779"/>
      <c r="AC271" s="1779"/>
      <c r="AD271" s="1779"/>
      <c r="AE271" s="1779"/>
      <c r="AF271" s="1779"/>
      <c r="AG271" s="1779"/>
      <c r="AH271" s="1779"/>
      <c r="AI271" s="1779"/>
    </row>
    <row r="272" spans="1:48" ht="11.45" customHeight="1">
      <c r="A272" s="21"/>
      <c r="B272" s="12" t="s">
        <v>1248</v>
      </c>
      <c r="C272" s="12" t="s">
        <v>507</v>
      </c>
      <c r="D272" s="1593"/>
      <c r="E272" s="2219" t="s">
        <v>1954</v>
      </c>
      <c r="F272" s="23">
        <v>2239</v>
      </c>
      <c r="G272" s="568" t="s">
        <v>1195</v>
      </c>
      <c r="H272" s="41"/>
      <c r="I272" s="569"/>
      <c r="J272" s="19"/>
      <c r="K272" s="18"/>
      <c r="L272" s="15"/>
      <c r="M272" s="15"/>
      <c r="N272" s="83"/>
      <c r="O272" s="86"/>
      <c r="P272" s="1817" t="e">
        <f>INDEX(#REF!,MATCH(F272,#REF!,0),2)</f>
        <v>#REF!</v>
      </c>
      <c r="Q272" s="11"/>
      <c r="R272" s="11"/>
      <c r="S272" s="11"/>
      <c r="T272" s="11"/>
      <c r="U272" s="11"/>
      <c r="V272" s="11"/>
      <c r="W272" s="4"/>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row>
    <row r="273" spans="1:48" ht="11.45" customHeight="1">
      <c r="A273" s="5"/>
      <c r="B273" s="5" t="s">
        <v>1248</v>
      </c>
      <c r="C273" s="5" t="s">
        <v>507</v>
      </c>
      <c r="D273" s="1592">
        <v>120</v>
      </c>
      <c r="E273" s="2220" t="s">
        <v>1954</v>
      </c>
      <c r="F273" s="6">
        <v>2244</v>
      </c>
      <c r="G273" s="7" t="s">
        <v>518</v>
      </c>
      <c r="H273" s="37">
        <v>0</v>
      </c>
      <c r="I273" s="32"/>
      <c r="J273" s="42"/>
      <c r="K273" s="36"/>
      <c r="L273" s="37">
        <v>0</v>
      </c>
      <c r="M273" s="37"/>
      <c r="N273" s="73"/>
      <c r="O273" s="86"/>
      <c r="P273" s="1817" t="e">
        <f>INDEX(#REF!,MATCH(F273,#REF!,0),2)</f>
        <v>#REF!</v>
      </c>
      <c r="Q273" s="1779"/>
      <c r="R273" s="1779"/>
      <c r="S273" s="1779"/>
      <c r="T273" s="1779"/>
      <c r="U273" s="1779"/>
      <c r="V273" s="1779"/>
      <c r="W273" s="43"/>
      <c r="X273" s="1779"/>
      <c r="Y273" s="1779"/>
      <c r="Z273" s="1779"/>
      <c r="AA273" s="1779"/>
      <c r="AB273" s="1779"/>
      <c r="AC273" s="1779"/>
      <c r="AD273" s="1779"/>
      <c r="AE273" s="1779"/>
      <c r="AF273" s="1779"/>
      <c r="AG273" s="1779"/>
      <c r="AH273" s="1779"/>
      <c r="AI273" s="1779"/>
    </row>
    <row r="274" spans="1:48" ht="11.45" customHeight="1">
      <c r="A274" s="21"/>
      <c r="B274" s="12" t="s">
        <v>1248</v>
      </c>
      <c r="C274" s="12" t="s">
        <v>507</v>
      </c>
      <c r="D274" s="1593"/>
      <c r="E274" s="2219" t="s">
        <v>1954</v>
      </c>
      <c r="F274" s="23">
        <v>2244</v>
      </c>
      <c r="G274" s="206"/>
      <c r="H274" s="14"/>
      <c r="I274" s="15"/>
      <c r="J274" s="19"/>
      <c r="K274" s="18"/>
      <c r="L274" s="15"/>
      <c r="M274" s="15"/>
      <c r="N274" s="83"/>
      <c r="O274" s="86"/>
      <c r="P274" s="1817" t="e">
        <f>INDEX(#REF!,MATCH(F274,#REF!,0),2)</f>
        <v>#REF!</v>
      </c>
      <c r="Q274" s="11"/>
      <c r="R274" s="11"/>
      <c r="S274" s="11"/>
      <c r="T274" s="11"/>
      <c r="U274" s="11"/>
      <c r="V274" s="11"/>
      <c r="W274" s="4"/>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row>
    <row r="275" spans="1:48" ht="11.45" customHeight="1">
      <c r="A275" s="5"/>
      <c r="B275" s="5" t="s">
        <v>1248</v>
      </c>
      <c r="C275" s="5" t="s">
        <v>507</v>
      </c>
      <c r="D275" s="1592">
        <v>120</v>
      </c>
      <c r="E275" s="2220" t="s">
        <v>1954</v>
      </c>
      <c r="F275" s="6">
        <v>2264</v>
      </c>
      <c r="G275" s="7" t="s">
        <v>240</v>
      </c>
      <c r="H275" s="37">
        <v>0</v>
      </c>
      <c r="I275" s="32"/>
      <c r="J275" s="42"/>
      <c r="K275" s="36"/>
      <c r="L275" s="37">
        <v>0</v>
      </c>
      <c r="M275" s="37"/>
      <c r="N275" s="73"/>
      <c r="O275" s="86"/>
      <c r="P275" s="1817" t="e">
        <f>INDEX(#REF!,MATCH(F275,#REF!,0),2)</f>
        <v>#REF!</v>
      </c>
      <c r="Q275" s="1779"/>
      <c r="R275" s="1779"/>
      <c r="S275" s="1779"/>
      <c r="T275" s="1779"/>
      <c r="U275" s="1779"/>
      <c r="V275" s="1779"/>
      <c r="W275" s="43"/>
      <c r="X275" s="1779"/>
      <c r="Y275" s="1779"/>
      <c r="Z275" s="1779"/>
      <c r="AA275" s="1779"/>
      <c r="AB275" s="1779"/>
      <c r="AC275" s="1779"/>
      <c r="AD275" s="1779"/>
      <c r="AE275" s="1779"/>
      <c r="AF275" s="1779"/>
      <c r="AG275" s="1779"/>
      <c r="AH275" s="1779"/>
      <c r="AI275" s="1779"/>
    </row>
    <row r="276" spans="1:48" ht="11.45" customHeight="1">
      <c r="A276" s="21"/>
      <c r="B276" s="12" t="s">
        <v>1248</v>
      </c>
      <c r="C276" s="12" t="s">
        <v>507</v>
      </c>
      <c r="D276" s="1593"/>
      <c r="E276" s="2219" t="s">
        <v>1954</v>
      </c>
      <c r="F276" s="23">
        <v>2264</v>
      </c>
      <c r="G276" s="206"/>
      <c r="H276" s="14"/>
      <c r="I276" s="15"/>
      <c r="J276" s="19"/>
      <c r="K276" s="18"/>
      <c r="L276" s="15"/>
      <c r="M276" s="15"/>
      <c r="N276" s="83"/>
      <c r="O276" s="86"/>
      <c r="P276" s="1817" t="e">
        <f>INDEX(#REF!,MATCH(F276,#REF!,0),2)</f>
        <v>#REF!</v>
      </c>
      <c r="Q276" s="11"/>
      <c r="R276" s="11"/>
      <c r="S276" s="11"/>
      <c r="T276" s="11"/>
      <c r="U276" s="11"/>
      <c r="V276" s="11"/>
      <c r="W276" s="4"/>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row>
    <row r="277" spans="1:48" ht="11.45" customHeight="1">
      <c r="A277" s="5"/>
      <c r="B277" s="5" t="s">
        <v>1248</v>
      </c>
      <c r="C277" s="5" t="s">
        <v>507</v>
      </c>
      <c r="D277" s="1592">
        <v>120</v>
      </c>
      <c r="E277" s="2220" t="s">
        <v>1954</v>
      </c>
      <c r="F277" s="6">
        <v>2311</v>
      </c>
      <c r="G277" s="7" t="s">
        <v>245</v>
      </c>
      <c r="H277" s="37">
        <v>100</v>
      </c>
      <c r="I277" s="32"/>
      <c r="J277" s="42"/>
      <c r="K277" s="36"/>
      <c r="L277" s="37">
        <v>100</v>
      </c>
      <c r="M277" s="37"/>
      <c r="N277" s="83"/>
      <c r="O277" s="86"/>
      <c r="P277" s="1817" t="e">
        <f>INDEX(#REF!,MATCH(F277,#REF!,0),2)</f>
        <v>#REF!</v>
      </c>
      <c r="Q277" s="11"/>
      <c r="R277" s="11"/>
      <c r="S277" s="11"/>
      <c r="T277" s="11"/>
      <c r="U277" s="11"/>
      <c r="V277" s="11"/>
      <c r="W277" s="4"/>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row>
    <row r="278" spans="1:48" ht="11.45" customHeight="1">
      <c r="A278" s="21"/>
      <c r="B278" s="12" t="s">
        <v>1248</v>
      </c>
      <c r="C278" s="12" t="s">
        <v>507</v>
      </c>
      <c r="D278" s="1593"/>
      <c r="E278" s="2219" t="s">
        <v>1954</v>
      </c>
      <c r="F278" s="23">
        <v>2311</v>
      </c>
      <c r="G278" s="206" t="s">
        <v>362</v>
      </c>
      <c r="H278" s="14"/>
      <c r="I278" s="15">
        <v>100</v>
      </c>
      <c r="J278" s="19"/>
      <c r="K278" s="18"/>
      <c r="L278" s="15"/>
      <c r="M278" s="15">
        <v>100</v>
      </c>
      <c r="N278" s="83"/>
      <c r="O278" s="86"/>
      <c r="P278" s="1817" t="e">
        <f>INDEX(#REF!,MATCH(F278,#REF!,0),2)</f>
        <v>#REF!</v>
      </c>
      <c r="Q278" s="11"/>
      <c r="R278" s="11"/>
      <c r="S278" s="11"/>
      <c r="T278" s="11"/>
      <c r="U278" s="11"/>
      <c r="V278" s="11"/>
      <c r="W278" s="4"/>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row>
    <row r="279" spans="1:48" ht="11.45" customHeight="1">
      <c r="A279" s="5"/>
      <c r="B279" s="5" t="s">
        <v>1248</v>
      </c>
      <c r="C279" s="5" t="s">
        <v>507</v>
      </c>
      <c r="D279" s="1592">
        <v>120</v>
      </c>
      <c r="E279" s="2220" t="s">
        <v>1954</v>
      </c>
      <c r="F279" s="6">
        <v>2312</v>
      </c>
      <c r="G279" s="7" t="s">
        <v>251</v>
      </c>
      <c r="H279" s="39">
        <v>0</v>
      </c>
      <c r="I279" s="37"/>
      <c r="J279" s="42"/>
      <c r="K279" s="38"/>
      <c r="L279" s="37">
        <v>0</v>
      </c>
      <c r="M279" s="37"/>
      <c r="N279" s="83"/>
      <c r="O279" s="86"/>
      <c r="P279" s="1817" t="e">
        <f>INDEX(#REF!,MATCH(F279,#REF!,0),2)</f>
        <v>#REF!</v>
      </c>
      <c r="Q279" s="11"/>
      <c r="R279" s="11"/>
      <c r="S279" s="11"/>
      <c r="T279" s="11"/>
      <c r="U279" s="11"/>
      <c r="V279" s="11"/>
      <c r="W279" s="4"/>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row>
    <row r="280" spans="1:48" ht="11.45" customHeight="1">
      <c r="A280" s="21"/>
      <c r="B280" s="12" t="s">
        <v>1248</v>
      </c>
      <c r="C280" s="12" t="s">
        <v>507</v>
      </c>
      <c r="D280" s="1593"/>
      <c r="E280" s="2219" t="s">
        <v>1954</v>
      </c>
      <c r="F280" s="23">
        <v>2312</v>
      </c>
      <c r="G280" s="22" t="s">
        <v>672</v>
      </c>
      <c r="H280" s="14"/>
      <c r="I280" s="15"/>
      <c r="J280" s="19"/>
      <c r="K280" s="18"/>
      <c r="L280" s="15"/>
      <c r="M280" s="15"/>
      <c r="N280" s="83"/>
      <c r="O280" s="86"/>
      <c r="P280" s="1817" t="e">
        <f>INDEX(#REF!,MATCH(F280,#REF!,0),2)</f>
        <v>#REF!</v>
      </c>
      <c r="Q280" s="11"/>
      <c r="R280" s="11"/>
      <c r="S280" s="11"/>
      <c r="T280" s="11"/>
      <c r="U280" s="11"/>
      <c r="V280" s="11"/>
      <c r="W280" s="4"/>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row>
    <row r="281" spans="1:48" ht="11.45" customHeight="1">
      <c r="A281" s="5"/>
      <c r="B281" s="5" t="s">
        <v>1250</v>
      </c>
      <c r="C281" s="5" t="s">
        <v>507</v>
      </c>
      <c r="D281" s="1592">
        <v>120</v>
      </c>
      <c r="E281" s="2220" t="s">
        <v>1954</v>
      </c>
      <c r="F281" s="6">
        <v>5238</v>
      </c>
      <c r="G281" s="7" t="s">
        <v>257</v>
      </c>
      <c r="H281" s="37">
        <v>0</v>
      </c>
      <c r="I281" s="32"/>
      <c r="J281" s="42"/>
      <c r="K281" s="36"/>
      <c r="L281" s="37">
        <v>1452</v>
      </c>
      <c r="M281" s="37"/>
      <c r="N281" s="83"/>
      <c r="O281" s="86"/>
      <c r="P281" s="1817" t="e">
        <f>INDEX(#REF!,MATCH(F281,#REF!,0),2)</f>
        <v>#REF!</v>
      </c>
      <c r="Q281" s="11"/>
      <c r="R281" s="11"/>
      <c r="S281" s="11"/>
      <c r="T281" s="11"/>
      <c r="U281" s="11"/>
      <c r="V281" s="11"/>
      <c r="W281" s="4"/>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row>
    <row r="282" spans="1:48" ht="11.45" customHeight="1">
      <c r="A282" s="21"/>
      <c r="B282" s="12" t="s">
        <v>1250</v>
      </c>
      <c r="C282" s="12" t="s">
        <v>507</v>
      </c>
      <c r="D282" s="1593"/>
      <c r="E282" s="2219" t="s">
        <v>1954</v>
      </c>
      <c r="F282" s="23">
        <v>5238</v>
      </c>
      <c r="G282" s="22" t="s">
        <v>5969</v>
      </c>
      <c r="H282" s="14"/>
      <c r="I282" s="15"/>
      <c r="J282" s="19"/>
      <c r="K282" s="18"/>
      <c r="L282" s="15"/>
      <c r="M282" s="15">
        <v>1452</v>
      </c>
      <c r="N282" s="83"/>
      <c r="O282" s="86"/>
      <c r="P282" s="1817" t="e">
        <f>INDEX(#REF!,MATCH(F282,#REF!,0),2)</f>
        <v>#REF!</v>
      </c>
      <c r="Q282" s="11"/>
      <c r="R282" s="11"/>
      <c r="S282" s="11"/>
      <c r="T282" s="11"/>
      <c r="U282" s="11"/>
      <c r="V282" s="11"/>
      <c r="W282" s="4"/>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row>
    <row r="283" spans="1:48" ht="11.45" customHeight="1">
      <c r="A283" s="506"/>
      <c r="B283" s="506" t="s">
        <v>663</v>
      </c>
      <c r="C283" s="506" t="s">
        <v>652</v>
      </c>
      <c r="D283" s="1589">
        <v>130</v>
      </c>
      <c r="E283" s="2223" t="s">
        <v>3191</v>
      </c>
      <c r="F283" s="540">
        <v>1119</v>
      </c>
      <c r="G283" s="411" t="s">
        <v>628</v>
      </c>
      <c r="H283" s="923">
        <v>45144</v>
      </c>
      <c r="I283" s="542"/>
      <c r="J283" s="542">
        <v>30600</v>
      </c>
      <c r="K283" s="458"/>
      <c r="L283" s="541">
        <v>47852.639999999999</v>
      </c>
      <c r="M283" s="541"/>
      <c r="N283" s="83"/>
      <c r="O283" s="86"/>
      <c r="P283" s="1817" t="e">
        <f>INDEX(#REF!,MATCH(F283,#REF!,0),2)</f>
        <v>#REF!</v>
      </c>
      <c r="Q283" s="11"/>
      <c r="R283" s="11"/>
      <c r="S283" s="11"/>
      <c r="T283" s="11"/>
      <c r="U283" s="11"/>
      <c r="V283" s="11"/>
      <c r="W283" s="4"/>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row>
    <row r="284" spans="1:48" ht="11.45" customHeight="1">
      <c r="A284" s="504"/>
      <c r="B284" s="412" t="s">
        <v>663</v>
      </c>
      <c r="C284" s="412" t="s">
        <v>652</v>
      </c>
      <c r="D284" s="1590"/>
      <c r="E284" s="2224" t="s">
        <v>3191</v>
      </c>
      <c r="F284" s="505">
        <v>1119</v>
      </c>
      <c r="G284" s="516" t="s">
        <v>1200</v>
      </c>
      <c r="H284" s="419"/>
      <c r="I284" s="511">
        <v>45144</v>
      </c>
      <c r="J284" s="511"/>
      <c r="K284" s="543"/>
      <c r="L284" s="419"/>
      <c r="M284" s="419">
        <v>47852.639999999999</v>
      </c>
      <c r="N284" s="83"/>
      <c r="O284" s="86"/>
      <c r="P284" s="1817" t="e">
        <f>INDEX(#REF!,MATCH(F284,#REF!,0),2)</f>
        <v>#REF!</v>
      </c>
      <c r="Q284" s="11"/>
      <c r="R284" s="11"/>
      <c r="S284" s="11"/>
      <c r="T284" s="11"/>
      <c r="U284" s="11"/>
      <c r="V284" s="11"/>
      <c r="W284" s="4"/>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row>
    <row r="285" spans="1:48" ht="12" customHeight="1">
      <c r="A285" s="506"/>
      <c r="B285" s="506" t="s">
        <v>663</v>
      </c>
      <c r="C285" s="506" t="s">
        <v>652</v>
      </c>
      <c r="D285" s="1589">
        <v>130</v>
      </c>
      <c r="E285" s="2223" t="s">
        <v>3191</v>
      </c>
      <c r="F285" s="540">
        <v>1147</v>
      </c>
      <c r="G285" s="411" t="s">
        <v>653</v>
      </c>
      <c r="H285" s="923">
        <v>0</v>
      </c>
      <c r="I285" s="542"/>
      <c r="J285" s="542"/>
      <c r="K285" s="458"/>
      <c r="L285" s="541">
        <v>0</v>
      </c>
      <c r="M285" s="541"/>
      <c r="N285" s="83"/>
      <c r="O285" s="86"/>
      <c r="P285" s="1817" t="e">
        <f>INDEX(#REF!,MATCH(F285,#REF!,0),2)</f>
        <v>#REF!</v>
      </c>
      <c r="Q285" s="11"/>
      <c r="R285" s="11"/>
      <c r="S285" s="11"/>
      <c r="T285" s="11"/>
      <c r="U285" s="11"/>
      <c r="V285" s="11"/>
      <c r="W285" s="4"/>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row>
    <row r="286" spans="1:48" ht="12" customHeight="1">
      <c r="A286" s="506"/>
      <c r="B286" s="506" t="s">
        <v>663</v>
      </c>
      <c r="C286" s="506" t="s">
        <v>652</v>
      </c>
      <c r="D286" s="1589">
        <v>130</v>
      </c>
      <c r="E286" s="2223" t="s">
        <v>3191</v>
      </c>
      <c r="F286" s="540">
        <v>1148</v>
      </c>
      <c r="G286" s="411" t="s">
        <v>911</v>
      </c>
      <c r="H286" s="923">
        <v>0</v>
      </c>
      <c r="I286" s="542"/>
      <c r="J286" s="542"/>
      <c r="K286" s="458"/>
      <c r="L286" s="541">
        <v>0</v>
      </c>
      <c r="M286" s="541"/>
      <c r="N286" s="83"/>
      <c r="O286" s="86"/>
      <c r="P286" s="1817" t="e">
        <f>INDEX(#REF!,MATCH(F286,#REF!,0),2)</f>
        <v>#REF!</v>
      </c>
      <c r="Q286" s="11"/>
      <c r="R286" s="11"/>
      <c r="S286" s="11"/>
      <c r="T286" s="11"/>
      <c r="U286" s="11"/>
      <c r="V286" s="11"/>
      <c r="W286" s="4"/>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row>
    <row r="287" spans="1:48" ht="11.45" customHeight="1">
      <c r="A287" s="504"/>
      <c r="B287" s="412" t="s">
        <v>663</v>
      </c>
      <c r="C287" s="412" t="s">
        <v>652</v>
      </c>
      <c r="D287" s="1590"/>
      <c r="E287" s="2224" t="s">
        <v>3191</v>
      </c>
      <c r="F287" s="505">
        <v>1148</v>
      </c>
      <c r="G287" s="562" t="s">
        <v>1195</v>
      </c>
      <c r="H287" s="924"/>
      <c r="I287" s="566"/>
      <c r="J287" s="511"/>
      <c r="K287" s="543"/>
      <c r="L287" s="419"/>
      <c r="M287" s="419"/>
      <c r="N287" s="83"/>
      <c r="O287" s="86"/>
      <c r="P287" s="1817" t="e">
        <f>INDEX(#REF!,MATCH(F287,#REF!,0),2)</f>
        <v>#REF!</v>
      </c>
      <c r="Q287" s="11"/>
      <c r="R287" s="11"/>
      <c r="S287" s="11"/>
      <c r="T287" s="11"/>
      <c r="U287" s="11"/>
      <c r="V287" s="11"/>
      <c r="W287" s="4"/>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row>
    <row r="288" spans="1:48" ht="11.45" customHeight="1">
      <c r="A288" s="506"/>
      <c r="B288" s="506" t="s">
        <v>663</v>
      </c>
      <c r="C288" s="506" t="s">
        <v>507</v>
      </c>
      <c r="D288" s="1589">
        <v>130</v>
      </c>
      <c r="E288" s="2223" t="s">
        <v>3191</v>
      </c>
      <c r="F288" s="540">
        <v>1170</v>
      </c>
      <c r="G288" s="411" t="s">
        <v>798</v>
      </c>
      <c r="H288" s="923">
        <v>15</v>
      </c>
      <c r="I288" s="542"/>
      <c r="J288" s="542"/>
      <c r="K288" s="458"/>
      <c r="L288" s="541">
        <v>15</v>
      </c>
      <c r="M288" s="541"/>
      <c r="N288" s="83"/>
      <c r="O288" s="86"/>
      <c r="P288" s="1817" t="e">
        <f>INDEX(#REF!,MATCH(F288,#REF!,0),2)</f>
        <v>#REF!</v>
      </c>
      <c r="Q288" s="11"/>
      <c r="R288" s="11"/>
      <c r="S288" s="11"/>
      <c r="T288" s="11"/>
      <c r="U288" s="11"/>
      <c r="V288" s="11"/>
      <c r="W288" s="4"/>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row>
    <row r="289" spans="1:48" ht="11.45" customHeight="1">
      <c r="A289" s="504"/>
      <c r="B289" s="412" t="s">
        <v>663</v>
      </c>
      <c r="C289" s="412" t="s">
        <v>652</v>
      </c>
      <c r="D289" s="1590"/>
      <c r="E289" s="2224" t="s">
        <v>3191</v>
      </c>
      <c r="F289" s="505">
        <v>1170</v>
      </c>
      <c r="G289" s="516" t="s">
        <v>1200</v>
      </c>
      <c r="H289" s="924"/>
      <c r="I289" s="511">
        <v>15</v>
      </c>
      <c r="J289" s="511"/>
      <c r="K289" s="543"/>
      <c r="L289" s="419"/>
      <c r="M289" s="419">
        <v>15</v>
      </c>
      <c r="N289" s="83"/>
      <c r="O289" s="86"/>
      <c r="P289" s="1817" t="e">
        <f>INDEX(#REF!,MATCH(F289,#REF!,0),2)</f>
        <v>#REF!</v>
      </c>
      <c r="Q289" s="11"/>
      <c r="R289" s="11"/>
      <c r="S289" s="11"/>
      <c r="T289" s="11"/>
      <c r="U289" s="11"/>
      <c r="V289" s="11"/>
      <c r="W289" s="4"/>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row>
    <row r="290" spans="1:48" ht="11.45" customHeight="1">
      <c r="A290" s="506"/>
      <c r="B290" s="506" t="s">
        <v>663</v>
      </c>
      <c r="C290" s="506" t="s">
        <v>652</v>
      </c>
      <c r="D290" s="1589">
        <v>130</v>
      </c>
      <c r="E290" s="2223" t="s">
        <v>3191</v>
      </c>
      <c r="F290" s="540">
        <v>1210</v>
      </c>
      <c r="G290" s="411" t="s">
        <v>228</v>
      </c>
      <c r="H290" s="923">
        <v>10120.4696</v>
      </c>
      <c r="I290" s="542"/>
      <c r="J290" s="542">
        <v>7015</v>
      </c>
      <c r="K290" s="458"/>
      <c r="L290" s="541">
        <v>10788.437776000001</v>
      </c>
      <c r="M290" s="541"/>
      <c r="N290" s="83"/>
      <c r="O290" s="86"/>
      <c r="P290" s="1817" t="e">
        <f>INDEX(#REF!,MATCH(F290,#REF!,0),2)</f>
        <v>#REF!</v>
      </c>
      <c r="Q290" s="11"/>
      <c r="R290" s="11"/>
      <c r="S290" s="11"/>
      <c r="T290" s="11"/>
      <c r="U290" s="11"/>
      <c r="V290" s="11"/>
      <c r="W290" s="4"/>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row>
    <row r="291" spans="1:48" ht="11.45" customHeight="1">
      <c r="A291" s="504"/>
      <c r="B291" s="412" t="s">
        <v>663</v>
      </c>
      <c r="C291" s="412" t="s">
        <v>652</v>
      </c>
      <c r="D291" s="1590"/>
      <c r="E291" s="2224" t="s">
        <v>3191</v>
      </c>
      <c r="F291" s="505">
        <v>1210</v>
      </c>
      <c r="G291" s="516" t="s">
        <v>1200</v>
      </c>
      <c r="H291" s="924"/>
      <c r="I291" s="511">
        <v>10149.4696</v>
      </c>
      <c r="J291" s="511"/>
      <c r="K291" s="543"/>
      <c r="L291" s="419"/>
      <c r="M291" s="419">
        <v>10788.437776000001</v>
      </c>
      <c r="N291" s="83"/>
      <c r="O291" s="86"/>
      <c r="P291" s="1817" t="e">
        <f>INDEX(#REF!,MATCH(F291,#REF!,0),2)</f>
        <v>#REF!</v>
      </c>
      <c r="Q291" s="11"/>
      <c r="R291" s="11"/>
      <c r="S291" s="11"/>
      <c r="T291" s="11"/>
      <c r="U291" s="11"/>
      <c r="V291" s="11"/>
      <c r="W291" s="4"/>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row>
    <row r="292" spans="1:48" ht="11.45" customHeight="1">
      <c r="A292" s="504"/>
      <c r="B292" s="412" t="s">
        <v>663</v>
      </c>
      <c r="C292" s="412" t="s">
        <v>652</v>
      </c>
      <c r="D292" s="1590"/>
      <c r="E292" s="2224" t="s">
        <v>3191</v>
      </c>
      <c r="F292" s="505">
        <v>1210</v>
      </c>
      <c r="G292" s="562" t="s">
        <v>1195</v>
      </c>
      <c r="H292" s="924"/>
      <c r="I292" s="566">
        <v>-498</v>
      </c>
      <c r="J292" s="441"/>
      <c r="K292" s="421"/>
      <c r="L292" s="433"/>
      <c r="M292" s="433"/>
      <c r="N292" s="83"/>
      <c r="O292" s="86"/>
      <c r="P292" s="1817" t="e">
        <f>INDEX(#REF!,MATCH(F292,#REF!,0),2)</f>
        <v>#REF!</v>
      </c>
      <c r="Q292" s="11"/>
      <c r="R292" s="11"/>
      <c r="S292" s="11"/>
      <c r="T292" s="11"/>
      <c r="U292" s="11"/>
      <c r="V292" s="11"/>
      <c r="W292" s="4"/>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row>
    <row r="293" spans="1:48" ht="11.45" customHeight="1">
      <c r="A293" s="506"/>
      <c r="B293" s="506" t="s">
        <v>663</v>
      </c>
      <c r="C293" s="506" t="s">
        <v>652</v>
      </c>
      <c r="D293" s="1589">
        <v>130</v>
      </c>
      <c r="E293" s="2223" t="s">
        <v>3191</v>
      </c>
      <c r="F293" s="540">
        <v>1221</v>
      </c>
      <c r="G293" s="411" t="s">
        <v>235</v>
      </c>
      <c r="H293" s="923">
        <v>500</v>
      </c>
      <c r="I293" s="542"/>
      <c r="J293" s="542"/>
      <c r="K293" s="458"/>
      <c r="L293" s="541">
        <v>500</v>
      </c>
      <c r="M293" s="541"/>
      <c r="O293" s="86"/>
      <c r="P293" s="1817" t="e">
        <f>INDEX(#REF!,MATCH(F293,#REF!,0),2)</f>
        <v>#REF!</v>
      </c>
      <c r="Q293" s="1779"/>
      <c r="R293" s="1779"/>
      <c r="S293" s="1779"/>
      <c r="T293" s="1779"/>
      <c r="U293" s="1779"/>
      <c r="V293" s="1779"/>
      <c r="W293" s="43"/>
      <c r="X293" s="1779"/>
      <c r="Y293" s="1779"/>
      <c r="Z293" s="1779"/>
      <c r="AA293" s="1779"/>
      <c r="AB293" s="1779"/>
      <c r="AC293" s="1779"/>
      <c r="AD293" s="1779"/>
      <c r="AE293" s="1779"/>
      <c r="AF293" s="1779"/>
      <c r="AG293" s="1779"/>
      <c r="AH293" s="1779"/>
      <c r="AI293" s="1779"/>
      <c r="AJ293" s="1779"/>
      <c r="AK293" s="1779"/>
      <c r="AL293" s="1779"/>
      <c r="AM293" s="1779"/>
      <c r="AN293" s="1779"/>
      <c r="AO293" s="11"/>
      <c r="AP293" s="11"/>
      <c r="AQ293" s="11"/>
      <c r="AR293" s="11"/>
      <c r="AS293" s="11"/>
      <c r="AT293" s="11"/>
      <c r="AU293" s="11"/>
      <c r="AV293" s="11"/>
    </row>
    <row r="294" spans="1:48" ht="11.45" customHeight="1">
      <c r="A294" s="504"/>
      <c r="B294" s="412" t="s">
        <v>663</v>
      </c>
      <c r="C294" s="412" t="s">
        <v>652</v>
      </c>
      <c r="D294" s="1590"/>
      <c r="E294" s="2224" t="s">
        <v>3191</v>
      </c>
      <c r="F294" s="505">
        <v>1221</v>
      </c>
      <c r="G294" s="516" t="s">
        <v>1200</v>
      </c>
      <c r="H294" s="924"/>
      <c r="I294" s="511">
        <v>500</v>
      </c>
      <c r="J294" s="511"/>
      <c r="K294" s="543"/>
      <c r="L294" s="419"/>
      <c r="M294" s="419">
        <v>500</v>
      </c>
      <c r="N294" s="83"/>
      <c r="O294" s="86"/>
      <c r="P294" s="1817" t="e">
        <f>INDEX(#REF!,MATCH(F294,#REF!,0),2)</f>
        <v>#REF!</v>
      </c>
      <c r="Q294" s="11"/>
      <c r="R294" s="11"/>
      <c r="S294" s="11"/>
      <c r="T294" s="11"/>
      <c r="U294" s="11"/>
      <c r="V294" s="11"/>
      <c r="W294" s="4"/>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row>
    <row r="295" spans="1:48" ht="32.450000000000003" customHeight="1">
      <c r="A295" s="506"/>
      <c r="B295" s="506" t="s">
        <v>663</v>
      </c>
      <c r="C295" s="506" t="s">
        <v>652</v>
      </c>
      <c r="D295" s="1589">
        <v>130</v>
      </c>
      <c r="E295" s="2223" t="s">
        <v>3191</v>
      </c>
      <c r="F295" s="540">
        <v>1228</v>
      </c>
      <c r="G295" s="411" t="s">
        <v>270</v>
      </c>
      <c r="H295" s="923"/>
      <c r="I295" s="542"/>
      <c r="J295" s="542"/>
      <c r="K295" s="458"/>
      <c r="L295" s="620"/>
      <c r="M295" s="620"/>
      <c r="N295" s="73"/>
      <c r="O295" s="86"/>
      <c r="P295" s="1817" t="e">
        <f>INDEX(#REF!,MATCH(F295,#REF!,0),2)</f>
        <v>#REF!</v>
      </c>
      <c r="Q295" s="1779"/>
      <c r="R295" s="1779"/>
      <c r="S295" s="1779"/>
      <c r="T295" s="1779"/>
      <c r="U295" s="1779"/>
      <c r="V295" s="1779"/>
      <c r="W295" s="43"/>
      <c r="X295" s="1779"/>
      <c r="Y295" s="1779"/>
      <c r="Z295" s="1779"/>
      <c r="AA295" s="1779"/>
      <c r="AB295" s="1779"/>
      <c r="AC295" s="1779"/>
      <c r="AD295" s="1779"/>
      <c r="AE295" s="1779"/>
      <c r="AF295" s="1779"/>
      <c r="AG295" s="1779"/>
      <c r="AH295" s="1779"/>
      <c r="AI295" s="1779"/>
      <c r="AJ295" s="1779"/>
      <c r="AK295" s="1779"/>
      <c r="AL295" s="1779"/>
      <c r="AM295" s="1779"/>
      <c r="AN295" s="1779"/>
      <c r="AO295" s="11"/>
      <c r="AP295" s="11"/>
      <c r="AQ295" s="11"/>
      <c r="AR295" s="11"/>
      <c r="AS295" s="11"/>
      <c r="AT295" s="11"/>
      <c r="AU295" s="11"/>
      <c r="AV295" s="11"/>
    </row>
    <row r="296" spans="1:48" ht="11.45" customHeight="1">
      <c r="A296" s="504"/>
      <c r="B296" s="412" t="s">
        <v>663</v>
      </c>
      <c r="C296" s="412" t="s">
        <v>652</v>
      </c>
      <c r="D296" s="1590"/>
      <c r="E296" s="2224" t="s">
        <v>3191</v>
      </c>
      <c r="F296" s="505">
        <v>1228</v>
      </c>
      <c r="G296" s="516" t="s">
        <v>1200</v>
      </c>
      <c r="H296" s="924"/>
      <c r="I296" s="511"/>
      <c r="J296" s="511"/>
      <c r="K296" s="543"/>
      <c r="L296" s="420"/>
      <c r="M296" s="420"/>
      <c r="N296" s="83"/>
      <c r="O296" s="86"/>
      <c r="P296" s="1817" t="e">
        <f>INDEX(#REF!,MATCH(F296,#REF!,0),2)</f>
        <v>#REF!</v>
      </c>
      <c r="Q296" s="11"/>
      <c r="R296" s="11"/>
      <c r="S296" s="11"/>
      <c r="T296" s="11"/>
      <c r="U296" s="11"/>
      <c r="V296" s="11"/>
      <c r="W296" s="4"/>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row>
    <row r="297" spans="1:48" ht="11.45" customHeight="1">
      <c r="A297" s="506"/>
      <c r="B297" s="506" t="s">
        <v>1248</v>
      </c>
      <c r="C297" s="506" t="s">
        <v>507</v>
      </c>
      <c r="D297" s="1589">
        <v>130</v>
      </c>
      <c r="E297" s="2223" t="s">
        <v>3191</v>
      </c>
      <c r="F297" s="540">
        <v>2210</v>
      </c>
      <c r="G297" s="411" t="s">
        <v>879</v>
      </c>
      <c r="H297" s="923">
        <v>420</v>
      </c>
      <c r="I297" s="542"/>
      <c r="J297" s="542">
        <v>187</v>
      </c>
      <c r="K297" s="458"/>
      <c r="L297" s="541">
        <v>190.44</v>
      </c>
      <c r="M297" s="541"/>
      <c r="N297" s="73"/>
      <c r="O297" s="86"/>
      <c r="P297" s="1817" t="e">
        <f>INDEX(#REF!,MATCH(F297,#REF!,0),2)</f>
        <v>#REF!</v>
      </c>
      <c r="Q297" s="1779"/>
      <c r="R297" s="1779"/>
      <c r="S297" s="1779"/>
      <c r="T297" s="1779"/>
      <c r="U297" s="1779"/>
      <c r="V297" s="1779"/>
      <c r="W297" s="43"/>
      <c r="X297" s="1779"/>
      <c r="Y297" s="1779"/>
      <c r="Z297" s="1779"/>
      <c r="AA297" s="1779"/>
      <c r="AB297" s="1779"/>
      <c r="AC297" s="1779"/>
      <c r="AD297" s="1779"/>
      <c r="AE297" s="1779"/>
      <c r="AF297" s="1779"/>
      <c r="AG297" s="1779"/>
      <c r="AH297" s="1779"/>
      <c r="AI297" s="1779"/>
      <c r="AJ297" s="1779"/>
      <c r="AK297" s="1779"/>
      <c r="AL297" s="1779"/>
      <c r="AM297" s="1779"/>
      <c r="AN297" s="1779"/>
      <c r="AO297" s="11"/>
      <c r="AP297" s="11"/>
      <c r="AQ297" s="11"/>
      <c r="AR297" s="11"/>
      <c r="AS297" s="11"/>
      <c r="AT297" s="11"/>
      <c r="AU297" s="11"/>
      <c r="AV297" s="11"/>
    </row>
    <row r="298" spans="1:48" ht="11.45" customHeight="1">
      <c r="A298" s="504"/>
      <c r="B298" s="412" t="s">
        <v>1248</v>
      </c>
      <c r="C298" s="412" t="s">
        <v>507</v>
      </c>
      <c r="D298" s="1590"/>
      <c r="E298" s="2224" t="s">
        <v>3191</v>
      </c>
      <c r="F298" s="505">
        <v>2210</v>
      </c>
      <c r="G298" s="516" t="s">
        <v>5242</v>
      </c>
      <c r="H298" s="924"/>
      <c r="I298" s="511">
        <v>420</v>
      </c>
      <c r="J298" s="511"/>
      <c r="K298" s="543"/>
      <c r="L298" s="419"/>
      <c r="M298" s="419">
        <v>190.44</v>
      </c>
      <c r="N298" s="2389"/>
      <c r="O298" s="86"/>
      <c r="P298" s="1817" t="e">
        <f>INDEX(#REF!,MATCH(F298,#REF!,0),2)</f>
        <v>#REF!</v>
      </c>
      <c r="Q298" s="11"/>
      <c r="R298" s="11"/>
      <c r="S298" s="11"/>
      <c r="T298" s="11"/>
      <c r="U298" s="11"/>
      <c r="V298" s="11"/>
      <c r="W298" s="4"/>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row>
    <row r="299" spans="1:48" ht="30.6" customHeight="1">
      <c r="A299" s="506"/>
      <c r="B299" s="506" t="s">
        <v>1248</v>
      </c>
      <c r="C299" s="506" t="s">
        <v>507</v>
      </c>
      <c r="D299" s="1589">
        <v>130</v>
      </c>
      <c r="E299" s="2223" t="s">
        <v>3191</v>
      </c>
      <c r="F299" s="540">
        <v>2235</v>
      </c>
      <c r="G299" s="411" t="s">
        <v>1570</v>
      </c>
      <c r="H299" s="923">
        <v>765</v>
      </c>
      <c r="I299" s="542"/>
      <c r="J299" s="542"/>
      <c r="K299" s="458"/>
      <c r="L299" s="541">
        <v>765</v>
      </c>
      <c r="M299" s="541"/>
      <c r="N299" s="73"/>
      <c r="O299" s="86"/>
      <c r="P299" s="1817" t="e">
        <f>INDEX(#REF!,MATCH(F299,#REF!,0),2)</f>
        <v>#REF!</v>
      </c>
      <c r="Q299" s="1779"/>
      <c r="R299" s="1779"/>
      <c r="S299" s="1779"/>
      <c r="T299" s="1779"/>
      <c r="U299" s="1779"/>
      <c r="V299" s="1779"/>
      <c r="W299" s="43"/>
      <c r="X299" s="1779"/>
      <c r="Y299" s="1779"/>
      <c r="Z299" s="1779"/>
      <c r="AA299" s="1779"/>
      <c r="AB299" s="1779"/>
      <c r="AC299" s="1779"/>
      <c r="AD299" s="1779"/>
      <c r="AE299" s="1779"/>
      <c r="AF299" s="1779"/>
      <c r="AG299" s="1779"/>
      <c r="AH299" s="1779"/>
      <c r="AI299" s="1779"/>
      <c r="AJ299" s="1779"/>
      <c r="AK299" s="1779"/>
      <c r="AL299" s="1779"/>
      <c r="AM299" s="1779"/>
      <c r="AN299" s="1779"/>
      <c r="AO299" s="1779"/>
      <c r="AP299" s="1779"/>
      <c r="AQ299" s="1779"/>
      <c r="AR299" s="1779"/>
      <c r="AS299" s="1779"/>
      <c r="AT299" s="1779"/>
      <c r="AU299" s="1779"/>
      <c r="AV299" s="1779"/>
    </row>
    <row r="300" spans="1:48" ht="14.45" customHeight="1">
      <c r="A300" s="504"/>
      <c r="B300" s="412" t="s">
        <v>1248</v>
      </c>
      <c r="C300" s="412" t="s">
        <v>507</v>
      </c>
      <c r="D300" s="1590"/>
      <c r="E300" s="2224" t="s">
        <v>3191</v>
      </c>
      <c r="F300" s="505">
        <v>2235</v>
      </c>
      <c r="G300" s="410" t="s">
        <v>1553</v>
      </c>
      <c r="H300" s="924"/>
      <c r="I300" s="511">
        <v>765</v>
      </c>
      <c r="J300" s="511"/>
      <c r="K300" s="543"/>
      <c r="L300" s="419"/>
      <c r="M300" s="419">
        <v>765</v>
      </c>
      <c r="N300" s="83"/>
      <c r="O300" s="86"/>
      <c r="P300" s="1817" t="e">
        <f>INDEX(#REF!,MATCH(F300,#REF!,0),2)</f>
        <v>#REF!</v>
      </c>
      <c r="Q300" s="11"/>
      <c r="R300" s="11"/>
      <c r="S300" s="11"/>
      <c r="T300" s="11"/>
      <c r="U300" s="11"/>
      <c r="V300" s="11"/>
      <c r="W300" s="4"/>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row>
    <row r="301" spans="1:48" ht="30.6" customHeight="1">
      <c r="A301" s="506"/>
      <c r="B301" s="506" t="s">
        <v>1248</v>
      </c>
      <c r="C301" s="506" t="s">
        <v>507</v>
      </c>
      <c r="D301" s="1589">
        <v>130</v>
      </c>
      <c r="E301" s="2223" t="s">
        <v>3191</v>
      </c>
      <c r="F301" s="540">
        <v>2239</v>
      </c>
      <c r="G301" s="411" t="s">
        <v>234</v>
      </c>
      <c r="H301" s="923">
        <v>500</v>
      </c>
      <c r="I301" s="542"/>
      <c r="J301" s="542"/>
      <c r="K301" s="458"/>
      <c r="L301" s="541">
        <v>500</v>
      </c>
      <c r="M301" s="541"/>
      <c r="N301" s="73"/>
      <c r="O301" s="86"/>
      <c r="P301" s="1817" t="e">
        <f>INDEX(#REF!,MATCH(F301,#REF!,0),2)</f>
        <v>#REF!</v>
      </c>
      <c r="Q301" s="1779"/>
      <c r="R301" s="1779"/>
      <c r="S301" s="1779"/>
      <c r="T301" s="1779"/>
      <c r="U301" s="1779"/>
      <c r="V301" s="1779"/>
      <c r="W301" s="43"/>
      <c r="X301" s="1779"/>
      <c r="Y301" s="1779"/>
      <c r="Z301" s="1779"/>
      <c r="AA301" s="1779"/>
      <c r="AB301" s="1779"/>
      <c r="AC301" s="1779"/>
      <c r="AD301" s="1779"/>
      <c r="AE301" s="1779"/>
      <c r="AF301" s="1779"/>
      <c r="AG301" s="1779"/>
      <c r="AH301" s="1779"/>
      <c r="AI301" s="1779"/>
      <c r="AJ301" s="1779"/>
      <c r="AK301" s="1779"/>
      <c r="AL301" s="1779"/>
      <c r="AM301" s="1779"/>
      <c r="AN301" s="1779"/>
      <c r="AO301" s="1779"/>
      <c r="AP301" s="1779"/>
      <c r="AQ301" s="1779"/>
      <c r="AR301" s="1779"/>
      <c r="AS301" s="1779"/>
      <c r="AT301" s="1779"/>
      <c r="AU301" s="1779"/>
      <c r="AV301" s="1779"/>
    </row>
    <row r="302" spans="1:48" ht="14.45" customHeight="1">
      <c r="A302" s="504"/>
      <c r="B302" s="412" t="s">
        <v>1248</v>
      </c>
      <c r="C302" s="412" t="s">
        <v>507</v>
      </c>
      <c r="D302" s="1590"/>
      <c r="E302" s="2224" t="s">
        <v>3191</v>
      </c>
      <c r="F302" s="505">
        <v>2239</v>
      </c>
      <c r="G302" s="410" t="s">
        <v>1007</v>
      </c>
      <c r="H302" s="925"/>
      <c r="I302" s="441">
        <v>500</v>
      </c>
      <c r="J302" s="441"/>
      <c r="K302" s="421"/>
      <c r="L302" s="433"/>
      <c r="M302" s="433">
        <v>500</v>
      </c>
      <c r="N302" s="83"/>
      <c r="O302" s="86"/>
      <c r="P302" s="1817" t="e">
        <f>INDEX(#REF!,MATCH(F302,#REF!,0),2)</f>
        <v>#REF!</v>
      </c>
      <c r="Q302" s="11"/>
      <c r="R302" s="11"/>
      <c r="S302" s="11"/>
      <c r="T302" s="11"/>
      <c r="U302" s="11"/>
      <c r="V302" s="11"/>
      <c r="W302" s="4"/>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row>
    <row r="303" spans="1:48" ht="21" customHeight="1">
      <c r="A303" s="506"/>
      <c r="B303" s="506" t="s">
        <v>1248</v>
      </c>
      <c r="C303" s="506" t="s">
        <v>507</v>
      </c>
      <c r="D303" s="1589">
        <v>130</v>
      </c>
      <c r="E303" s="2223" t="s">
        <v>3191</v>
      </c>
      <c r="F303" s="540">
        <v>2272</v>
      </c>
      <c r="G303" s="411" t="s">
        <v>1799</v>
      </c>
      <c r="H303" s="923">
        <v>531</v>
      </c>
      <c r="I303" s="542"/>
      <c r="J303" s="542"/>
      <c r="K303" s="458"/>
      <c r="L303" s="541">
        <v>1000</v>
      </c>
      <c r="M303" s="541"/>
      <c r="N303" s="2389"/>
      <c r="O303" s="86"/>
      <c r="P303" s="1817" t="e">
        <f>INDEX(#REF!,MATCH(F303,#REF!,0),2)</f>
        <v>#REF!</v>
      </c>
      <c r="Q303" s="1779"/>
      <c r="R303" s="1779"/>
      <c r="S303" s="1779"/>
      <c r="T303" s="1779"/>
      <c r="U303" s="1779"/>
      <c r="V303" s="43"/>
      <c r="W303" s="1779"/>
      <c r="X303" s="1779"/>
      <c r="Y303" s="1779"/>
      <c r="Z303" s="1779"/>
      <c r="AA303" s="1779"/>
      <c r="AB303" s="1779"/>
      <c r="AC303" s="1779"/>
      <c r="AD303" s="1779"/>
      <c r="AE303" s="1779"/>
      <c r="AF303" s="1779"/>
      <c r="AG303" s="1779"/>
      <c r="AH303" s="1779"/>
      <c r="AI303" s="1779"/>
      <c r="AJ303" s="1779"/>
      <c r="AK303" s="1779"/>
      <c r="AL303" s="1779"/>
      <c r="AM303" s="1779"/>
      <c r="AN303" s="1779"/>
      <c r="AO303" s="1779"/>
      <c r="AP303" s="1779"/>
      <c r="AQ303" s="1779"/>
      <c r="AR303" s="1779"/>
      <c r="AS303" s="1779"/>
      <c r="AT303" s="1779"/>
      <c r="AU303" s="1779"/>
    </row>
    <row r="304" spans="1:48" ht="21" customHeight="1">
      <c r="A304" s="1914"/>
      <c r="B304" s="412" t="s">
        <v>1248</v>
      </c>
      <c r="C304" s="412" t="s">
        <v>507</v>
      </c>
      <c r="D304" s="1590"/>
      <c r="E304" s="2224" t="s">
        <v>3191</v>
      </c>
      <c r="F304" s="505">
        <v>2272</v>
      </c>
      <c r="G304" s="410" t="s">
        <v>1830</v>
      </c>
      <c r="H304" s="2045"/>
      <c r="I304" s="511">
        <v>500</v>
      </c>
      <c r="J304" s="1651"/>
      <c r="K304" s="1652"/>
      <c r="L304" s="1650"/>
      <c r="M304" s="1650">
        <v>500</v>
      </c>
      <c r="N304" s="83"/>
      <c r="O304" s="86"/>
      <c r="P304" s="1817" t="e">
        <f>INDEX(#REF!,MATCH(F304,#REF!,0),2)</f>
        <v>#REF!</v>
      </c>
      <c r="Q304" s="11"/>
      <c r="R304" s="11"/>
      <c r="S304" s="11"/>
      <c r="T304" s="11"/>
      <c r="U304" s="11"/>
      <c r="V304" s="11"/>
      <c r="W304" s="4"/>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row>
    <row r="305" spans="1:48" ht="21" customHeight="1">
      <c r="A305" s="2589"/>
      <c r="B305" s="412" t="s">
        <v>1248</v>
      </c>
      <c r="C305" s="412" t="s">
        <v>507</v>
      </c>
      <c r="D305" s="1590"/>
      <c r="E305" s="2224" t="s">
        <v>3191</v>
      </c>
      <c r="F305" s="505">
        <v>2272</v>
      </c>
      <c r="G305" s="410" t="s">
        <v>1007</v>
      </c>
      <c r="H305" s="2045"/>
      <c r="I305" s="441">
        <v>500</v>
      </c>
      <c r="J305" s="1651"/>
      <c r="K305" s="1652"/>
      <c r="L305" s="1650"/>
      <c r="M305" s="1650">
        <v>500</v>
      </c>
      <c r="N305" s="83"/>
      <c r="O305" s="86"/>
      <c r="P305" s="1817"/>
      <c r="Q305" s="11"/>
      <c r="R305" s="11"/>
      <c r="S305" s="11"/>
      <c r="T305" s="11"/>
      <c r="U305" s="11"/>
      <c r="V305" s="11"/>
      <c r="W305" s="4"/>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row>
    <row r="306" spans="1:48" ht="11.45" customHeight="1">
      <c r="A306" s="506"/>
      <c r="B306" s="506" t="s">
        <v>1248</v>
      </c>
      <c r="C306" s="506" t="s">
        <v>507</v>
      </c>
      <c r="D306" s="1589">
        <v>130</v>
      </c>
      <c r="E306" s="2223" t="s">
        <v>3191</v>
      </c>
      <c r="F306" s="540">
        <v>2311</v>
      </c>
      <c r="G306" s="411" t="s">
        <v>245</v>
      </c>
      <c r="H306" s="923">
        <v>400</v>
      </c>
      <c r="I306" s="542"/>
      <c r="J306" s="542"/>
      <c r="K306" s="458"/>
      <c r="L306" s="541">
        <v>400</v>
      </c>
      <c r="M306" s="541"/>
      <c r="N306" s="73"/>
      <c r="O306" s="86"/>
      <c r="P306" s="1817" t="e">
        <f>INDEX(#REF!,MATCH(F306,#REF!,0),2)</f>
        <v>#REF!</v>
      </c>
      <c r="Q306" s="1779"/>
      <c r="R306" s="1779"/>
      <c r="S306" s="1779"/>
      <c r="T306" s="1779"/>
      <c r="U306" s="1779"/>
      <c r="V306" s="1779"/>
      <c r="W306" s="43"/>
      <c r="X306" s="1779"/>
      <c r="Y306" s="1779"/>
      <c r="Z306" s="1779"/>
      <c r="AA306" s="1779"/>
      <c r="AB306" s="1779"/>
      <c r="AC306" s="1779"/>
      <c r="AD306" s="1779"/>
      <c r="AE306" s="1779"/>
      <c r="AF306" s="1779"/>
      <c r="AG306" s="1779"/>
      <c r="AH306" s="1779"/>
      <c r="AI306" s="1779"/>
      <c r="AJ306" s="1779"/>
      <c r="AK306" s="1779"/>
      <c r="AL306" s="1779"/>
      <c r="AM306" s="1779"/>
      <c r="AN306" s="1779"/>
      <c r="AO306" s="1779"/>
      <c r="AP306" s="1779"/>
      <c r="AQ306" s="1779"/>
      <c r="AR306" s="1779"/>
      <c r="AS306" s="1779"/>
      <c r="AT306" s="1779"/>
      <c r="AU306" s="1779"/>
      <c r="AV306" s="1779"/>
    </row>
    <row r="307" spans="1:48" ht="20.45" customHeight="1">
      <c r="A307" s="504"/>
      <c r="B307" s="412" t="s">
        <v>1248</v>
      </c>
      <c r="C307" s="412" t="s">
        <v>507</v>
      </c>
      <c r="D307" s="1590"/>
      <c r="E307" s="2224" t="s">
        <v>3191</v>
      </c>
      <c r="F307" s="505">
        <v>2311</v>
      </c>
      <c r="G307" s="410" t="s">
        <v>983</v>
      </c>
      <c r="H307" s="924"/>
      <c r="I307" s="511">
        <v>200</v>
      </c>
      <c r="J307" s="511"/>
      <c r="K307" s="543"/>
      <c r="L307" s="419"/>
      <c r="M307" s="419">
        <v>200</v>
      </c>
      <c r="N307" s="73"/>
      <c r="O307" s="86"/>
      <c r="P307" s="1817" t="e">
        <f>INDEX(#REF!,MATCH(F307,#REF!,0),2)</f>
        <v>#REF!</v>
      </c>
      <c r="Q307" s="1779"/>
      <c r="R307" s="1779"/>
      <c r="S307" s="1779"/>
      <c r="T307" s="1779"/>
      <c r="U307" s="1779"/>
      <c r="V307" s="1779"/>
      <c r="W307" s="43"/>
      <c r="X307" s="1779"/>
      <c r="Y307" s="1779"/>
      <c r="Z307" s="1779"/>
      <c r="AA307" s="1779"/>
      <c r="AB307" s="1779"/>
      <c r="AC307" s="1779"/>
      <c r="AD307" s="1779"/>
      <c r="AE307" s="1779"/>
      <c r="AF307" s="1779"/>
      <c r="AG307" s="1779"/>
      <c r="AH307" s="1779"/>
      <c r="AI307" s="1779"/>
      <c r="AJ307" s="1779"/>
      <c r="AK307" s="1779"/>
      <c r="AL307" s="1779"/>
      <c r="AM307" s="1779"/>
      <c r="AN307" s="1779"/>
      <c r="AO307" s="1779"/>
      <c r="AP307" s="1779"/>
      <c r="AQ307" s="1779"/>
      <c r="AR307" s="1779"/>
      <c r="AS307" s="1779"/>
      <c r="AT307" s="1779"/>
      <c r="AU307" s="1779"/>
      <c r="AV307" s="1779"/>
    </row>
    <row r="308" spans="1:48" ht="16.899999999999999" customHeight="1">
      <c r="A308" s="504"/>
      <c r="B308" s="412" t="s">
        <v>1248</v>
      </c>
      <c r="C308" s="412" t="s">
        <v>507</v>
      </c>
      <c r="D308" s="1590"/>
      <c r="E308" s="2224" t="s">
        <v>3191</v>
      </c>
      <c r="F308" s="505">
        <v>2311</v>
      </c>
      <c r="G308" s="410" t="s">
        <v>748</v>
      </c>
      <c r="H308" s="924"/>
      <c r="I308" s="511">
        <v>200</v>
      </c>
      <c r="J308" s="511"/>
      <c r="K308" s="543"/>
      <c r="L308" s="419"/>
      <c r="M308" s="419">
        <v>200</v>
      </c>
      <c r="O308" s="86"/>
      <c r="P308" s="1817" t="e">
        <f>INDEX(#REF!,MATCH(F308,#REF!,0),2)</f>
        <v>#REF!</v>
      </c>
      <c r="Q308" s="11"/>
      <c r="R308" s="11"/>
      <c r="S308" s="11"/>
      <c r="T308" s="11"/>
      <c r="U308" s="11"/>
      <c r="V308" s="11"/>
      <c r="W308" s="4"/>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row>
    <row r="309" spans="1:48" ht="30.6" customHeight="1">
      <c r="A309" s="506"/>
      <c r="B309" s="506" t="s">
        <v>1248</v>
      </c>
      <c r="C309" s="506" t="s">
        <v>507</v>
      </c>
      <c r="D309" s="1589">
        <v>130</v>
      </c>
      <c r="E309" s="2223" t="s">
        <v>3191</v>
      </c>
      <c r="F309" s="540">
        <v>2519</v>
      </c>
      <c r="G309" s="411" t="s">
        <v>1831</v>
      </c>
      <c r="H309" s="923">
        <v>500</v>
      </c>
      <c r="I309" s="542"/>
      <c r="J309" s="542"/>
      <c r="K309" s="458"/>
      <c r="L309" s="541">
        <v>500</v>
      </c>
      <c r="M309" s="541"/>
      <c r="N309" s="73"/>
      <c r="O309" s="86"/>
      <c r="P309" s="1817" t="e">
        <f>INDEX(#REF!,MATCH(F309,#REF!,0),2)</f>
        <v>#REF!</v>
      </c>
      <c r="Q309" s="1779"/>
      <c r="R309" s="1779"/>
      <c r="S309" s="1779"/>
      <c r="T309" s="1779"/>
      <c r="U309" s="1779"/>
      <c r="V309" s="1779"/>
      <c r="W309" s="43"/>
      <c r="X309" s="1779"/>
      <c r="Y309" s="1779"/>
      <c r="Z309" s="1779"/>
      <c r="AA309" s="1779"/>
      <c r="AB309" s="1779"/>
      <c r="AC309" s="1779"/>
      <c r="AD309" s="1779"/>
      <c r="AE309" s="1779"/>
      <c r="AF309" s="1779"/>
      <c r="AG309" s="1779"/>
      <c r="AH309" s="1779"/>
      <c r="AI309" s="1779"/>
      <c r="AJ309" s="1779"/>
      <c r="AK309" s="1779"/>
      <c r="AL309" s="1779"/>
      <c r="AM309" s="1779"/>
      <c r="AN309" s="1779"/>
      <c r="AO309" s="1779"/>
      <c r="AP309" s="1779"/>
      <c r="AQ309" s="1779"/>
      <c r="AR309" s="1779"/>
      <c r="AS309" s="1779"/>
      <c r="AT309" s="1779"/>
      <c r="AU309" s="1779"/>
      <c r="AV309" s="1779"/>
    </row>
    <row r="310" spans="1:48" ht="27" customHeight="1">
      <c r="A310" s="504"/>
      <c r="B310" s="412" t="s">
        <v>1248</v>
      </c>
      <c r="C310" s="412" t="s">
        <v>507</v>
      </c>
      <c r="D310" s="1590"/>
      <c r="E310" s="2224" t="s">
        <v>3191</v>
      </c>
      <c r="F310" s="505">
        <v>2519</v>
      </c>
      <c r="G310" s="410" t="s">
        <v>1830</v>
      </c>
      <c r="H310" s="924"/>
      <c r="I310" s="511">
        <v>500</v>
      </c>
      <c r="J310" s="511"/>
      <c r="K310" s="543"/>
      <c r="L310" s="419"/>
      <c r="M310" s="419">
        <v>500</v>
      </c>
      <c r="N310" s="83"/>
      <c r="O310" s="86"/>
      <c r="P310" s="1817" t="e">
        <f>INDEX(#REF!,MATCH(F310,#REF!,0),2)</f>
        <v>#REF!</v>
      </c>
      <c r="Q310" s="11"/>
      <c r="R310" s="11"/>
      <c r="S310" s="11"/>
      <c r="T310" s="11"/>
      <c r="U310" s="11"/>
      <c r="V310" s="11"/>
      <c r="W310" s="4"/>
      <c r="X310" s="11"/>
      <c r="Y310" s="11"/>
      <c r="Z310" s="11"/>
      <c r="AA310" s="11"/>
      <c r="AB310" s="11"/>
      <c r="AC310" s="11"/>
      <c r="AD310" s="11"/>
      <c r="AE310" s="11"/>
      <c r="AF310" s="11"/>
      <c r="AG310" s="11"/>
      <c r="AH310" s="1779"/>
      <c r="AI310" s="1779"/>
      <c r="AJ310" s="1779"/>
      <c r="AK310" s="1779"/>
      <c r="AL310" s="1779"/>
      <c r="AM310" s="1779"/>
      <c r="AN310" s="1779"/>
      <c r="AO310" s="1779"/>
      <c r="AP310" s="1779"/>
      <c r="AQ310" s="1779"/>
      <c r="AR310" s="1779"/>
      <c r="AS310" s="1779"/>
      <c r="AT310" s="1779"/>
      <c r="AU310" s="1779"/>
      <c r="AV310" s="1779"/>
    </row>
    <row r="311" spans="1:48" ht="16.899999999999999" customHeight="1">
      <c r="A311" s="506"/>
      <c r="B311" s="506" t="s">
        <v>1250</v>
      </c>
      <c r="C311" s="506" t="s">
        <v>509</v>
      </c>
      <c r="D311" s="1589">
        <v>130</v>
      </c>
      <c r="E311" s="2223" t="s">
        <v>3191</v>
      </c>
      <c r="F311" s="540">
        <v>5238</v>
      </c>
      <c r="G311" s="411" t="s">
        <v>257</v>
      </c>
      <c r="H311" s="928">
        <v>0</v>
      </c>
      <c r="I311" s="545"/>
      <c r="J311" s="545"/>
      <c r="K311" s="546"/>
      <c r="L311" s="1492">
        <v>0</v>
      </c>
      <c r="M311" s="1492"/>
      <c r="N311" s="149"/>
      <c r="O311" s="86"/>
      <c r="P311" s="1817" t="e">
        <f>INDEX(#REF!,MATCH(F311,#REF!,0),2)</f>
        <v>#REF!</v>
      </c>
      <c r="Q311" s="1779"/>
      <c r="R311" s="1779"/>
      <c r="S311" s="1779"/>
      <c r="T311" s="1779"/>
      <c r="U311" s="1779"/>
      <c r="V311" s="1779"/>
      <c r="W311" s="43"/>
      <c r="X311" s="1779"/>
      <c r="Y311" s="1779"/>
      <c r="Z311" s="1779"/>
      <c r="AA311" s="1779"/>
      <c r="AB311" s="1779"/>
      <c r="AC311" s="1779"/>
      <c r="AD311" s="1779"/>
      <c r="AE311" s="1779"/>
      <c r="AF311" s="1779"/>
      <c r="AG311" s="1779"/>
      <c r="AH311" s="1779"/>
      <c r="AI311" s="1779"/>
      <c r="AJ311" s="1779"/>
      <c r="AK311" s="1779"/>
      <c r="AL311" s="1779"/>
      <c r="AM311" s="1779"/>
      <c r="AN311" s="1779"/>
      <c r="AO311" s="1779"/>
      <c r="AP311" s="1779"/>
      <c r="AQ311" s="1779"/>
      <c r="AR311" s="1779"/>
      <c r="AS311" s="1779"/>
      <c r="AT311" s="1779"/>
      <c r="AU311" s="1779"/>
      <c r="AV311" s="1779"/>
    </row>
    <row r="312" spans="1:48" ht="34.9" customHeight="1">
      <c r="A312" s="504"/>
      <c r="B312" s="412" t="s">
        <v>1250</v>
      </c>
      <c r="C312" s="412" t="s">
        <v>509</v>
      </c>
      <c r="D312" s="1590"/>
      <c r="E312" s="2224" t="s">
        <v>3191</v>
      </c>
      <c r="F312" s="505">
        <v>5238</v>
      </c>
      <c r="G312" s="410" t="s">
        <v>1554</v>
      </c>
      <c r="H312" s="929"/>
      <c r="I312" s="547"/>
      <c r="J312" s="547"/>
      <c r="K312" s="548"/>
      <c r="L312" s="1493"/>
      <c r="M312" s="1493"/>
      <c r="N312" s="83"/>
      <c r="O312" s="86"/>
      <c r="P312" s="1817" t="e">
        <f>INDEX(#REF!,MATCH(F312,#REF!,0),2)</f>
        <v>#REF!</v>
      </c>
      <c r="Q312" s="11"/>
      <c r="R312" s="11"/>
      <c r="S312" s="11"/>
      <c r="T312" s="11"/>
      <c r="U312" s="11"/>
      <c r="V312" s="11"/>
      <c r="W312" s="4"/>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row>
    <row r="313" spans="1:48" s="255" customFormat="1" ht="20.45" customHeight="1">
      <c r="A313" s="249"/>
      <c r="B313" s="5" t="s">
        <v>663</v>
      </c>
      <c r="C313" s="5" t="s">
        <v>652</v>
      </c>
      <c r="D313" s="1595">
        <v>140</v>
      </c>
      <c r="E313" s="2225" t="s">
        <v>1928</v>
      </c>
      <c r="F313" s="377">
        <v>1111</v>
      </c>
      <c r="G313" s="251" t="s">
        <v>886</v>
      </c>
      <c r="H313" s="266">
        <v>6840</v>
      </c>
      <c r="I313" s="253"/>
      <c r="J313" s="266"/>
      <c r="K313" s="254"/>
      <c r="L313" s="253">
        <v>6840</v>
      </c>
      <c r="M313" s="253"/>
      <c r="N313" s="2390"/>
      <c r="O313" s="86"/>
      <c r="P313" s="1817" t="e">
        <f>INDEX(#REF!,MATCH(F313,#REF!,0),2)</f>
        <v>#REF!</v>
      </c>
      <c r="W313" s="1809"/>
    </row>
    <row r="314" spans="1:48" s="255" customFormat="1" ht="21" customHeight="1">
      <c r="A314" s="334"/>
      <c r="B314" s="246" t="s">
        <v>663</v>
      </c>
      <c r="C314" s="246" t="s">
        <v>652</v>
      </c>
      <c r="D314" s="1596"/>
      <c r="E314" s="2226" t="s">
        <v>1928</v>
      </c>
      <c r="F314" s="366">
        <v>1111</v>
      </c>
      <c r="G314" s="330" t="s">
        <v>663</v>
      </c>
      <c r="H314" s="396"/>
      <c r="I314" s="397">
        <v>6840</v>
      </c>
      <c r="J314" s="396"/>
      <c r="K314" s="342"/>
      <c r="L314" s="397"/>
      <c r="M314" s="397">
        <v>6840</v>
      </c>
      <c r="N314" s="2390"/>
      <c r="O314" s="86"/>
      <c r="P314" s="1817" t="e">
        <f>INDEX(#REF!,MATCH(F314,#REF!,0),2)</f>
        <v>#REF!</v>
      </c>
      <c r="W314" s="1809"/>
    </row>
    <row r="315" spans="1:48" ht="30.6" customHeight="1">
      <c r="A315" s="338"/>
      <c r="B315" s="5" t="s">
        <v>663</v>
      </c>
      <c r="C315" s="5" t="s">
        <v>652</v>
      </c>
      <c r="D315" s="1595">
        <v>140</v>
      </c>
      <c r="E315" s="2227" t="s">
        <v>1928</v>
      </c>
      <c r="F315" s="385">
        <v>1112</v>
      </c>
      <c r="G315" s="339" t="s">
        <v>878</v>
      </c>
      <c r="H315" s="340">
        <v>9120</v>
      </c>
      <c r="I315" s="341"/>
      <c r="J315" s="341"/>
      <c r="K315" s="342"/>
      <c r="L315" s="340">
        <v>9120</v>
      </c>
      <c r="M315" s="340"/>
      <c r="N315" s="83"/>
      <c r="O315" s="86"/>
      <c r="P315" s="1817" t="e">
        <f>INDEX(#REF!,MATCH(F315,#REF!,0),2)</f>
        <v>#REF!</v>
      </c>
      <c r="Q315" s="11"/>
      <c r="R315" s="11"/>
      <c r="S315" s="11"/>
      <c r="T315" s="11"/>
      <c r="U315" s="11"/>
      <c r="V315" s="11"/>
      <c r="W315" s="4"/>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row>
    <row r="316" spans="1:48" s="255" customFormat="1" ht="21" customHeight="1">
      <c r="A316" s="334"/>
      <c r="B316" s="246" t="s">
        <v>663</v>
      </c>
      <c r="C316" s="246" t="s">
        <v>652</v>
      </c>
      <c r="D316" s="1596"/>
      <c r="E316" s="2226" t="s">
        <v>1928</v>
      </c>
      <c r="F316" s="366">
        <v>1112</v>
      </c>
      <c r="G316" s="330" t="s">
        <v>663</v>
      </c>
      <c r="H316" s="396"/>
      <c r="I316" s="397">
        <v>9120</v>
      </c>
      <c r="J316" s="396"/>
      <c r="K316" s="342"/>
      <c r="L316" s="397"/>
      <c r="M316" s="397">
        <v>9120</v>
      </c>
      <c r="N316" s="2390"/>
      <c r="O316" s="86"/>
      <c r="P316" s="1817" t="e">
        <f>INDEX(#REF!,MATCH(F316,#REF!,0),2)</f>
        <v>#REF!</v>
      </c>
      <c r="W316" s="1809"/>
    </row>
    <row r="317" spans="1:48" s="255" customFormat="1" ht="13.9" customHeight="1">
      <c r="A317" s="249"/>
      <c r="B317" s="5" t="s">
        <v>663</v>
      </c>
      <c r="C317" s="5" t="s">
        <v>652</v>
      </c>
      <c r="D317" s="1595">
        <v>140</v>
      </c>
      <c r="E317" s="2227" t="s">
        <v>1928</v>
      </c>
      <c r="F317" s="377">
        <v>1119</v>
      </c>
      <c r="G317" s="251" t="s">
        <v>224</v>
      </c>
      <c r="H317" s="266">
        <v>24168</v>
      </c>
      <c r="I317" s="253"/>
      <c r="J317" s="266"/>
      <c r="K317" s="254"/>
      <c r="L317" s="253">
        <v>26575.68</v>
      </c>
      <c r="M317" s="253"/>
      <c r="N317" s="2390"/>
      <c r="O317" s="86"/>
      <c r="P317" s="1817" t="e">
        <f>INDEX(#REF!,MATCH(F317,#REF!,0),2)</f>
        <v>#REF!</v>
      </c>
      <c r="W317" s="1809"/>
    </row>
    <row r="318" spans="1:48" s="255" customFormat="1" ht="21" customHeight="1">
      <c r="A318" s="334"/>
      <c r="B318" s="246" t="s">
        <v>663</v>
      </c>
      <c r="C318" s="246" t="s">
        <v>652</v>
      </c>
      <c r="D318" s="1596"/>
      <c r="E318" s="2226" t="s">
        <v>1928</v>
      </c>
      <c r="F318" s="366">
        <v>1119</v>
      </c>
      <c r="G318" s="330" t="s">
        <v>663</v>
      </c>
      <c r="H318" s="396"/>
      <c r="I318" s="397">
        <v>24168</v>
      </c>
      <c r="J318" s="396"/>
      <c r="K318" s="342"/>
      <c r="L318" s="397"/>
      <c r="M318" s="397">
        <v>26575.68</v>
      </c>
      <c r="N318" s="2390"/>
      <c r="O318" s="86"/>
      <c r="P318" s="1817" t="e">
        <f>INDEX(#REF!,MATCH(F318,#REF!,0),2)</f>
        <v>#REF!</v>
      </c>
      <c r="W318" s="1809"/>
    </row>
    <row r="319" spans="1:48" s="255" customFormat="1" ht="13.9" customHeight="1">
      <c r="A319" s="249"/>
      <c r="B319" s="5" t="s">
        <v>663</v>
      </c>
      <c r="C319" s="5" t="s">
        <v>652</v>
      </c>
      <c r="D319" s="1595">
        <v>140</v>
      </c>
      <c r="E319" s="2227" t="s">
        <v>1928</v>
      </c>
      <c r="F319" s="377">
        <v>1210</v>
      </c>
      <c r="G319" s="251" t="s">
        <v>228</v>
      </c>
      <c r="H319" s="266">
        <v>9466.1952000000001</v>
      </c>
      <c r="I319" s="253"/>
      <c r="J319" s="266"/>
      <c r="K319" s="254"/>
      <c r="L319" s="253">
        <v>10034.166912000001</v>
      </c>
      <c r="M319" s="253"/>
      <c r="N319" s="2390"/>
      <c r="O319" s="86"/>
      <c r="P319" s="1817" t="e">
        <f>INDEX(#REF!,MATCH(F319,#REF!,0),2)</f>
        <v>#REF!</v>
      </c>
      <c r="W319" s="1809"/>
    </row>
    <row r="320" spans="1:48" s="255" customFormat="1" ht="21" customHeight="1">
      <c r="A320" s="334"/>
      <c r="B320" s="246" t="s">
        <v>663</v>
      </c>
      <c r="C320" s="246" t="s">
        <v>652</v>
      </c>
      <c r="D320" s="1596"/>
      <c r="E320" s="2226" t="s">
        <v>1928</v>
      </c>
      <c r="F320" s="366">
        <v>1210</v>
      </c>
      <c r="G320" s="330" t="s">
        <v>663</v>
      </c>
      <c r="H320" s="396"/>
      <c r="I320" s="397">
        <v>9466.1952000000001</v>
      </c>
      <c r="J320" s="396"/>
      <c r="K320" s="342"/>
      <c r="L320" s="397"/>
      <c r="M320" s="397">
        <v>10034.166912000001</v>
      </c>
      <c r="N320" s="2390"/>
      <c r="O320" s="86"/>
      <c r="P320" s="1817" t="e">
        <f>INDEX(#REF!,MATCH(F320,#REF!,0),2)</f>
        <v>#REF!</v>
      </c>
      <c r="W320" s="1809"/>
    </row>
    <row r="321" spans="1:48" s="255" customFormat="1" ht="13.9" customHeight="1">
      <c r="A321" s="249"/>
      <c r="B321" s="249" t="s">
        <v>1248</v>
      </c>
      <c r="C321" s="249" t="s">
        <v>507</v>
      </c>
      <c r="D321" s="1595">
        <v>140</v>
      </c>
      <c r="E321" s="2227" t="s">
        <v>1928</v>
      </c>
      <c r="F321" s="399">
        <v>2235</v>
      </c>
      <c r="G321" s="251" t="s">
        <v>1570</v>
      </c>
      <c r="H321" s="266">
        <v>500</v>
      </c>
      <c r="I321" s="253"/>
      <c r="J321" s="266"/>
      <c r="K321" s="254"/>
      <c r="L321" s="253">
        <v>500</v>
      </c>
      <c r="M321" s="253"/>
      <c r="N321" s="2390"/>
      <c r="O321" s="86"/>
      <c r="P321" s="1817" t="e">
        <f>INDEX(#REF!,MATCH(F321,#REF!,0),2)</f>
        <v>#REF!</v>
      </c>
      <c r="W321" s="1809"/>
    </row>
    <row r="322" spans="1:48" s="255" customFormat="1" ht="14.45" customHeight="1">
      <c r="A322" s="252"/>
      <c r="B322" s="246" t="s">
        <v>1248</v>
      </c>
      <c r="C322" s="246" t="s">
        <v>507</v>
      </c>
      <c r="D322" s="1596"/>
      <c r="E322" s="2226" t="s">
        <v>1928</v>
      </c>
      <c r="F322" s="366">
        <v>2235</v>
      </c>
      <c r="G322" s="247" t="s">
        <v>707</v>
      </c>
      <c r="H322" s="319"/>
      <c r="I322" s="256">
        <v>500</v>
      </c>
      <c r="J322" s="319"/>
      <c r="K322" s="254"/>
      <c r="L322" s="256"/>
      <c r="M322" s="256">
        <v>500</v>
      </c>
      <c r="N322" s="2391"/>
      <c r="O322" s="86"/>
      <c r="P322" s="1817" t="e">
        <f>INDEX(#REF!,MATCH(F322,#REF!,0),2)</f>
        <v>#REF!</v>
      </c>
      <c r="W322" s="1809"/>
    </row>
    <row r="323" spans="1:48" s="255" customFormat="1" ht="13.9" customHeight="1">
      <c r="A323" s="249"/>
      <c r="B323" s="249" t="s">
        <v>1248</v>
      </c>
      <c r="C323" s="249" t="s">
        <v>507</v>
      </c>
      <c r="D323" s="1595">
        <v>140</v>
      </c>
      <c r="E323" s="2227" t="s">
        <v>1928</v>
      </c>
      <c r="F323" s="377">
        <v>2311</v>
      </c>
      <c r="G323" s="251" t="s">
        <v>245</v>
      </c>
      <c r="H323" s="266">
        <v>150</v>
      </c>
      <c r="I323" s="253"/>
      <c r="J323" s="266"/>
      <c r="K323" s="254"/>
      <c r="L323" s="253">
        <v>150</v>
      </c>
      <c r="M323" s="253"/>
      <c r="N323" s="2390"/>
      <c r="O323" s="86"/>
      <c r="P323" s="1817" t="e">
        <f>INDEX(#REF!,MATCH(F323,#REF!,0),2)</f>
        <v>#REF!</v>
      </c>
      <c r="W323" s="1809"/>
    </row>
    <row r="324" spans="1:48" s="255" customFormat="1" ht="13.9" customHeight="1">
      <c r="A324" s="252"/>
      <c r="B324" s="246" t="s">
        <v>1248</v>
      </c>
      <c r="C324" s="246" t="s">
        <v>507</v>
      </c>
      <c r="D324" s="1596"/>
      <c r="E324" s="2226" t="s">
        <v>1928</v>
      </c>
      <c r="F324" s="366">
        <v>2311</v>
      </c>
      <c r="G324" s="330" t="s">
        <v>1001</v>
      </c>
      <c r="H324" s="319"/>
      <c r="I324" s="256">
        <v>100</v>
      </c>
      <c r="J324" s="319"/>
      <c r="K324" s="254"/>
      <c r="L324" s="256"/>
      <c r="M324" s="256">
        <v>100</v>
      </c>
      <c r="N324" s="2390"/>
      <c r="O324" s="86"/>
      <c r="P324" s="1817" t="e">
        <f>INDEX(#REF!,MATCH(F324,#REF!,0),2)</f>
        <v>#REF!</v>
      </c>
      <c r="W324" s="1809"/>
    </row>
    <row r="325" spans="1:48" s="255" customFormat="1" ht="13.9" customHeight="1">
      <c r="A325" s="334"/>
      <c r="B325" s="246" t="s">
        <v>1248</v>
      </c>
      <c r="C325" s="246" t="s">
        <v>507</v>
      </c>
      <c r="D325" s="1596"/>
      <c r="E325" s="2226" t="s">
        <v>1928</v>
      </c>
      <c r="F325" s="366">
        <v>2311</v>
      </c>
      <c r="G325" s="330" t="s">
        <v>1005</v>
      </c>
      <c r="H325" s="396"/>
      <c r="I325" s="397">
        <v>50</v>
      </c>
      <c r="J325" s="396"/>
      <c r="K325" s="342"/>
      <c r="L325" s="397"/>
      <c r="M325" s="397">
        <v>50</v>
      </c>
      <c r="N325" s="2390"/>
      <c r="O325" s="86"/>
      <c r="P325" s="1817" t="e">
        <f>INDEX(#REF!,MATCH(F325,#REF!,0),2)</f>
        <v>#REF!</v>
      </c>
      <c r="W325" s="1809"/>
    </row>
    <row r="326" spans="1:48" s="255" customFormat="1" ht="13.9" customHeight="1">
      <c r="A326" s="249"/>
      <c r="B326" s="249" t="s">
        <v>1248</v>
      </c>
      <c r="C326" s="249" t="s">
        <v>507</v>
      </c>
      <c r="D326" s="1595">
        <v>140</v>
      </c>
      <c r="E326" s="2227" t="s">
        <v>1928</v>
      </c>
      <c r="F326" s="377">
        <v>2312</v>
      </c>
      <c r="G326" s="251" t="s">
        <v>363</v>
      </c>
      <c r="H326" s="266">
        <v>50</v>
      </c>
      <c r="I326" s="253"/>
      <c r="J326" s="266"/>
      <c r="K326" s="254"/>
      <c r="L326" s="253">
        <v>50</v>
      </c>
      <c r="M326" s="253"/>
      <c r="N326" s="2390"/>
      <c r="O326" s="86"/>
      <c r="P326" s="1817" t="e">
        <f>INDEX(#REF!,MATCH(F326,#REF!,0),2)</f>
        <v>#REF!</v>
      </c>
      <c r="W326" s="1809"/>
    </row>
    <row r="327" spans="1:48" s="255" customFormat="1" ht="13.9" customHeight="1">
      <c r="A327" s="252"/>
      <c r="B327" s="246" t="s">
        <v>1248</v>
      </c>
      <c r="C327" s="246" t="s">
        <v>507</v>
      </c>
      <c r="D327" s="1596"/>
      <c r="E327" s="2226" t="s">
        <v>1928</v>
      </c>
      <c r="F327" s="366">
        <v>2312</v>
      </c>
      <c r="G327" s="330" t="s">
        <v>1006</v>
      </c>
      <c r="H327" s="319"/>
      <c r="I327" s="256">
        <v>50</v>
      </c>
      <c r="J327" s="319"/>
      <c r="K327" s="254"/>
      <c r="L327" s="256"/>
      <c r="M327" s="256">
        <v>50</v>
      </c>
      <c r="N327" s="2390"/>
      <c r="O327" s="86"/>
      <c r="P327" s="1817" t="e">
        <f>INDEX(#REF!,MATCH(F327,#REF!,0),2)</f>
        <v>#REF!</v>
      </c>
      <c r="W327" s="1809"/>
    </row>
    <row r="328" spans="1:48" ht="11.45" customHeight="1">
      <c r="A328" s="5"/>
      <c r="B328" s="5" t="s">
        <v>663</v>
      </c>
      <c r="C328" s="5" t="s">
        <v>652</v>
      </c>
      <c r="D328" s="1592">
        <v>150</v>
      </c>
      <c r="E328" s="2228" t="s">
        <v>1118</v>
      </c>
      <c r="F328" s="6">
        <v>1111</v>
      </c>
      <c r="G328" s="7" t="s">
        <v>678</v>
      </c>
      <c r="H328" s="8">
        <v>10802.7</v>
      </c>
      <c r="I328" s="8"/>
      <c r="J328" s="17"/>
      <c r="K328" s="10"/>
      <c r="L328" s="8">
        <v>14264.42</v>
      </c>
      <c r="M328" s="8"/>
      <c r="N328" s="83"/>
      <c r="O328" s="86"/>
      <c r="P328" s="1817" t="e">
        <f>INDEX(#REF!,MATCH(F328,#REF!,0),2)</f>
        <v>#REF!</v>
      </c>
      <c r="Q328" s="11"/>
      <c r="R328" s="11"/>
      <c r="S328" s="11"/>
      <c r="T328" s="11"/>
      <c r="U328" s="11"/>
      <c r="V328" s="11"/>
      <c r="W328" s="4"/>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row>
    <row r="329" spans="1:48" ht="11.45" customHeight="1">
      <c r="A329" s="334"/>
      <c r="B329" s="12" t="s">
        <v>663</v>
      </c>
      <c r="C329" s="12" t="s">
        <v>652</v>
      </c>
      <c r="D329" s="1593"/>
      <c r="E329" s="2222" t="s">
        <v>1118</v>
      </c>
      <c r="F329" s="23">
        <v>1111</v>
      </c>
      <c r="G329" s="330" t="s">
        <v>663</v>
      </c>
      <c r="H329" s="329"/>
      <c r="I329" s="329">
        <v>14802.7</v>
      </c>
      <c r="J329" s="327"/>
      <c r="K329" s="326"/>
      <c r="L329" s="329"/>
      <c r="M329" s="329">
        <v>14264.42</v>
      </c>
      <c r="N329" s="83"/>
      <c r="O329" s="86"/>
      <c r="P329" s="1817" t="e">
        <f>INDEX(#REF!,MATCH(F329,#REF!,0),2)</f>
        <v>#REF!</v>
      </c>
      <c r="Q329" s="11"/>
      <c r="R329" s="11"/>
      <c r="S329" s="11"/>
      <c r="T329" s="11"/>
      <c r="U329" s="11"/>
      <c r="V329" s="11"/>
      <c r="W329" s="4"/>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row>
    <row r="330" spans="1:48" ht="11.45" customHeight="1">
      <c r="A330" s="1914"/>
      <c r="B330" s="1882" t="s">
        <v>663</v>
      </c>
      <c r="C330" s="1882" t="s">
        <v>652</v>
      </c>
      <c r="D330" s="1935"/>
      <c r="E330" s="2229" t="s">
        <v>1118</v>
      </c>
      <c r="F330" s="1936">
        <v>1111</v>
      </c>
      <c r="G330" s="1911"/>
      <c r="H330" s="2086"/>
      <c r="I330" s="2086">
        <v>-4000</v>
      </c>
      <c r="J330" s="2208"/>
      <c r="K330" s="2209"/>
      <c r="L330" s="2086"/>
      <c r="M330" s="2086"/>
      <c r="N330" s="83"/>
      <c r="O330" s="86"/>
      <c r="P330" s="1817" t="e">
        <f>INDEX(#REF!,MATCH(F330,#REF!,0),2)</f>
        <v>#REF!</v>
      </c>
      <c r="Q330" s="11"/>
      <c r="R330" s="11"/>
      <c r="S330" s="11"/>
      <c r="T330" s="11"/>
      <c r="U330" s="11"/>
      <c r="V330" s="11"/>
      <c r="W330" s="4"/>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row>
    <row r="331" spans="1:48" ht="30.6" customHeight="1">
      <c r="A331" s="338"/>
      <c r="B331" s="5" t="s">
        <v>663</v>
      </c>
      <c r="C331" s="5" t="s">
        <v>652</v>
      </c>
      <c r="D331" s="1592">
        <v>150</v>
      </c>
      <c r="E331" s="2230" t="s">
        <v>1118</v>
      </c>
      <c r="F331" s="385">
        <v>1112</v>
      </c>
      <c r="G331" s="339" t="s">
        <v>878</v>
      </c>
      <c r="H331" s="340">
        <v>2651</v>
      </c>
      <c r="I331" s="340"/>
      <c r="J331" s="341"/>
      <c r="K331" s="342"/>
      <c r="L331" s="340">
        <v>2554.6</v>
      </c>
      <c r="M331" s="340"/>
      <c r="N331" s="83"/>
      <c r="O331" s="86"/>
      <c r="P331" s="1817" t="e">
        <f>INDEX(#REF!,MATCH(F331,#REF!,0),2)</f>
        <v>#REF!</v>
      </c>
      <c r="Q331" s="11"/>
      <c r="R331" s="11"/>
      <c r="S331" s="11"/>
      <c r="T331" s="11"/>
      <c r="U331" s="11"/>
      <c r="V331" s="11"/>
      <c r="W331" s="4"/>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row>
    <row r="332" spans="1:48" ht="11.45" customHeight="1">
      <c r="A332" s="334"/>
      <c r="B332" s="12" t="s">
        <v>663</v>
      </c>
      <c r="C332" s="12" t="s">
        <v>652</v>
      </c>
      <c r="D332" s="1593"/>
      <c r="E332" s="2222" t="s">
        <v>1118</v>
      </c>
      <c r="F332" s="23">
        <v>1112</v>
      </c>
      <c r="G332" s="330" t="s">
        <v>663</v>
      </c>
      <c r="H332" s="329"/>
      <c r="I332" s="329">
        <v>2651</v>
      </c>
      <c r="J332" s="327"/>
      <c r="K332" s="326"/>
      <c r="L332" s="329"/>
      <c r="M332" s="329">
        <v>2554.6</v>
      </c>
      <c r="N332" s="83"/>
      <c r="O332" s="86"/>
      <c r="P332" s="1817" t="e">
        <f>INDEX(#REF!,MATCH(F332,#REF!,0),2)</f>
        <v>#REF!</v>
      </c>
      <c r="Q332" s="11"/>
      <c r="R332" s="11"/>
      <c r="S332" s="11"/>
      <c r="T332" s="11"/>
      <c r="U332" s="11"/>
      <c r="V332" s="11"/>
      <c r="W332" s="4"/>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row>
    <row r="333" spans="1:48" ht="11.45" customHeight="1">
      <c r="A333" s="5"/>
      <c r="B333" s="5" t="s">
        <v>663</v>
      </c>
      <c r="C333" s="5" t="s">
        <v>652</v>
      </c>
      <c r="D333" s="1592">
        <v>150</v>
      </c>
      <c r="E333" s="2230" t="s">
        <v>1118</v>
      </c>
      <c r="F333" s="6">
        <v>1119</v>
      </c>
      <c r="G333" s="7" t="s">
        <v>224</v>
      </c>
      <c r="H333" s="8">
        <v>29338.2</v>
      </c>
      <c r="I333" s="8"/>
      <c r="J333" s="17"/>
      <c r="K333" s="10"/>
      <c r="L333" s="8">
        <v>34164.012000000002</v>
      </c>
      <c r="M333" s="8"/>
      <c r="N333" s="83"/>
      <c r="O333" s="86"/>
      <c r="P333" s="1817" t="e">
        <f>INDEX(#REF!,MATCH(F333,#REF!,0),2)</f>
        <v>#REF!</v>
      </c>
      <c r="Q333" s="11"/>
      <c r="R333" s="11"/>
      <c r="S333" s="11"/>
      <c r="T333" s="11"/>
      <c r="U333" s="11"/>
      <c r="V333" s="11"/>
      <c r="W333" s="4"/>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row>
    <row r="334" spans="1:48" ht="11.45" customHeight="1">
      <c r="A334" s="334"/>
      <c r="B334" s="12" t="s">
        <v>663</v>
      </c>
      <c r="C334" s="12" t="s">
        <v>652</v>
      </c>
      <c r="D334" s="1593"/>
      <c r="E334" s="2222" t="s">
        <v>1118</v>
      </c>
      <c r="F334" s="23">
        <v>1119</v>
      </c>
      <c r="G334" s="330" t="s">
        <v>663</v>
      </c>
      <c r="H334" s="329"/>
      <c r="I334" s="329">
        <v>34188</v>
      </c>
      <c r="J334" s="327"/>
      <c r="K334" s="326"/>
      <c r="L334" s="329"/>
      <c r="M334" s="329">
        <v>32944.800000000003</v>
      </c>
      <c r="N334" s="83"/>
      <c r="O334" s="86"/>
      <c r="P334" s="1817" t="e">
        <f>INDEX(#REF!,MATCH(F334,#REF!,0),2)</f>
        <v>#REF!</v>
      </c>
      <c r="Q334" s="11"/>
      <c r="R334" s="11"/>
      <c r="S334" s="11"/>
      <c r="T334" s="11"/>
      <c r="U334" s="11"/>
      <c r="V334" s="11"/>
      <c r="W334" s="4"/>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row>
    <row r="335" spans="1:48" ht="11.45" customHeight="1">
      <c r="A335" s="1914"/>
      <c r="B335" s="12" t="s">
        <v>663</v>
      </c>
      <c r="C335" s="12" t="s">
        <v>652</v>
      </c>
      <c r="D335" s="1593"/>
      <c r="E335" s="2222" t="s">
        <v>1118</v>
      </c>
      <c r="F335" s="23">
        <v>1119</v>
      </c>
      <c r="G335" s="1911"/>
      <c r="H335" s="2086"/>
      <c r="I335" s="2086">
        <v>-4000</v>
      </c>
      <c r="J335" s="2208"/>
      <c r="K335" s="2209"/>
      <c r="L335" s="2086"/>
      <c r="M335" s="2086"/>
      <c r="N335" s="83"/>
      <c r="O335" s="86"/>
      <c r="P335" s="1817" t="e">
        <f>INDEX(#REF!,MATCH(F335,#REF!,0),2)</f>
        <v>#REF!</v>
      </c>
      <c r="Q335" s="11"/>
      <c r="R335" s="11"/>
      <c r="S335" s="11"/>
      <c r="T335" s="11"/>
      <c r="U335" s="11"/>
      <c r="V335" s="11"/>
      <c r="W335" s="4"/>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row>
    <row r="336" spans="1:48" ht="33.6" customHeight="1">
      <c r="A336" s="1000"/>
      <c r="B336" s="12" t="s">
        <v>663</v>
      </c>
      <c r="C336" s="12" t="s">
        <v>652</v>
      </c>
      <c r="D336" s="1593"/>
      <c r="E336" s="2222" t="s">
        <v>1118</v>
      </c>
      <c r="F336" s="23">
        <v>1119</v>
      </c>
      <c r="G336" s="994" t="s">
        <v>1629</v>
      </c>
      <c r="H336" s="1170"/>
      <c r="I336" s="1170">
        <v>1150.2</v>
      </c>
      <c r="J336" s="1171"/>
      <c r="K336" s="1172"/>
      <c r="L336" s="1170"/>
      <c r="M336" s="1170">
        <v>1219.2120000000002</v>
      </c>
      <c r="N336" s="83"/>
      <c r="O336" s="86"/>
      <c r="P336" s="1817" t="e">
        <f>INDEX(#REF!,MATCH(F336,#REF!,0),2)</f>
        <v>#REF!</v>
      </c>
      <c r="Q336" s="11"/>
      <c r="R336" s="11"/>
      <c r="S336" s="11"/>
      <c r="T336" s="11"/>
      <c r="U336" s="11"/>
      <c r="V336" s="11"/>
      <c r="W336" s="4"/>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row>
    <row r="337" spans="1:48" ht="33.6" customHeight="1">
      <c r="A337" s="1914"/>
      <c r="B337" s="12" t="s">
        <v>663</v>
      </c>
      <c r="C337" s="12" t="s">
        <v>652</v>
      </c>
      <c r="D337" s="1593"/>
      <c r="E337" s="2222" t="s">
        <v>1118</v>
      </c>
      <c r="F337" s="23">
        <v>1119</v>
      </c>
      <c r="G337" s="1911" t="s">
        <v>3180</v>
      </c>
      <c r="H337" s="2086"/>
      <c r="I337" s="2086">
        <v>-2000</v>
      </c>
      <c r="J337" s="2208"/>
      <c r="K337" s="2209"/>
      <c r="L337" s="2086"/>
      <c r="M337" s="2086"/>
      <c r="N337" s="83"/>
      <c r="O337" s="86"/>
      <c r="P337" s="1817" t="e">
        <f>INDEX(#REF!,MATCH(F337,#REF!,0),2)</f>
        <v>#REF!</v>
      </c>
      <c r="Q337" s="11"/>
      <c r="R337" s="11"/>
      <c r="S337" s="11"/>
      <c r="T337" s="11"/>
      <c r="U337" s="11"/>
      <c r="V337" s="11"/>
      <c r="W337" s="4"/>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row>
    <row r="338" spans="1:48" ht="11.45" customHeight="1">
      <c r="A338" s="5"/>
      <c r="B338" s="5" t="s">
        <v>663</v>
      </c>
      <c r="C338" s="5" t="s">
        <v>652</v>
      </c>
      <c r="D338" s="1592">
        <v>150</v>
      </c>
      <c r="E338" s="2230" t="s">
        <v>1118</v>
      </c>
      <c r="F338" s="6">
        <v>1210</v>
      </c>
      <c r="G338" s="7" t="s">
        <v>228</v>
      </c>
      <c r="H338" s="8">
        <v>11828.238309999999</v>
      </c>
      <c r="I338" s="8"/>
      <c r="J338" s="17"/>
      <c r="K338" s="10"/>
      <c r="L338" s="8">
        <v>11424.267108800001</v>
      </c>
      <c r="M338" s="8"/>
      <c r="N338" s="83"/>
      <c r="O338" s="86"/>
      <c r="P338" s="1817" t="e">
        <f>INDEX(#REF!,MATCH(F338,#REF!,0),2)</f>
        <v>#REF!</v>
      </c>
      <c r="Q338" s="11"/>
      <c r="R338" s="11"/>
      <c r="S338" s="11"/>
      <c r="T338" s="11"/>
      <c r="U338" s="11"/>
      <c r="V338" s="11"/>
      <c r="W338" s="4"/>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row>
    <row r="339" spans="1:48" ht="11.45" customHeight="1">
      <c r="A339" s="334"/>
      <c r="B339" s="12" t="s">
        <v>663</v>
      </c>
      <c r="C339" s="12" t="s">
        <v>652</v>
      </c>
      <c r="D339" s="1593"/>
      <c r="E339" s="2222" t="s">
        <v>1118</v>
      </c>
      <c r="F339" s="23">
        <v>1210</v>
      </c>
      <c r="G339" s="330" t="s">
        <v>663</v>
      </c>
      <c r="H339" s="329"/>
      <c r="I339" s="329">
        <v>11556.906129999999</v>
      </c>
      <c r="J339" s="327"/>
      <c r="K339" s="326"/>
      <c r="L339" s="329"/>
      <c r="M339" s="329">
        <v>11136.654998</v>
      </c>
      <c r="N339" s="83"/>
      <c r="O339" s="86"/>
      <c r="P339" s="1817" t="e">
        <f>INDEX(#REF!,MATCH(F339,#REF!,0),2)</f>
        <v>#REF!</v>
      </c>
      <c r="Q339" s="11"/>
      <c r="R339" s="11"/>
      <c r="S339" s="11"/>
      <c r="T339" s="11"/>
      <c r="U339" s="11"/>
      <c r="V339" s="11"/>
      <c r="W339" s="4"/>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row>
    <row r="340" spans="1:48" ht="27.6" customHeight="1">
      <c r="A340" s="1000"/>
      <c r="B340" s="12" t="s">
        <v>663</v>
      </c>
      <c r="C340" s="12" t="s">
        <v>652</v>
      </c>
      <c r="D340" s="1593"/>
      <c r="E340" s="2222" t="s">
        <v>1118</v>
      </c>
      <c r="F340" s="23">
        <v>1210</v>
      </c>
      <c r="G340" s="994" t="s">
        <v>1629</v>
      </c>
      <c r="H340" s="1170"/>
      <c r="I340" s="1170">
        <v>271.33217999999999</v>
      </c>
      <c r="J340" s="1171"/>
      <c r="K340" s="1172"/>
      <c r="L340" s="1170"/>
      <c r="M340" s="1170">
        <v>287.61211080000004</v>
      </c>
      <c r="N340" s="83"/>
      <c r="O340" s="86"/>
      <c r="P340" s="1817" t="e">
        <f>INDEX(#REF!,MATCH(F340,#REF!,0),2)</f>
        <v>#REF!</v>
      </c>
      <c r="Q340" s="11"/>
      <c r="R340" s="11"/>
      <c r="S340" s="11"/>
      <c r="T340" s="11"/>
      <c r="U340" s="11"/>
      <c r="V340" s="11"/>
      <c r="W340" s="4"/>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row>
    <row r="341" spans="1:48" ht="21" customHeight="1">
      <c r="A341" s="5"/>
      <c r="B341" s="5" t="s">
        <v>1248</v>
      </c>
      <c r="C341" s="5" t="s">
        <v>507</v>
      </c>
      <c r="D341" s="1592">
        <v>150</v>
      </c>
      <c r="E341" s="2230" t="s">
        <v>1118</v>
      </c>
      <c r="F341" s="381">
        <v>2239</v>
      </c>
      <c r="G341" s="7" t="s">
        <v>266</v>
      </c>
      <c r="H341" s="8">
        <v>15000</v>
      </c>
      <c r="I341" s="8"/>
      <c r="J341" s="17"/>
      <c r="K341" s="10"/>
      <c r="L341" s="8">
        <v>0</v>
      </c>
      <c r="M341" s="8"/>
      <c r="N341" s="83"/>
      <c r="O341" s="86"/>
      <c r="P341" s="1817" t="e">
        <f>INDEX(#REF!,MATCH(F341,#REF!,0),2)</f>
        <v>#REF!</v>
      </c>
      <c r="Q341" s="11"/>
      <c r="R341" s="11"/>
      <c r="S341" s="11"/>
      <c r="T341" s="11"/>
      <c r="U341" s="11"/>
      <c r="V341" s="11"/>
      <c r="W341" s="4"/>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row>
    <row r="342" spans="1:48" ht="35.25" customHeight="1">
      <c r="A342" s="334"/>
      <c r="B342" s="12" t="s">
        <v>1248</v>
      </c>
      <c r="C342" s="12" t="s">
        <v>507</v>
      </c>
      <c r="D342" s="1593"/>
      <c r="E342" s="2222" t="s">
        <v>1118</v>
      </c>
      <c r="F342" s="23">
        <v>2239</v>
      </c>
      <c r="G342" s="1071" t="s">
        <v>3209</v>
      </c>
      <c r="H342" s="329"/>
      <c r="I342" s="329">
        <v>15000</v>
      </c>
      <c r="J342" s="327"/>
      <c r="K342" s="326"/>
      <c r="L342" s="329"/>
      <c r="M342" s="329"/>
      <c r="N342" s="83"/>
      <c r="O342" s="86"/>
      <c r="P342" s="1817" t="e">
        <f>INDEX(#REF!,MATCH(F342,#REF!,0),2)</f>
        <v>#REF!</v>
      </c>
      <c r="Q342" s="11"/>
      <c r="R342" s="11"/>
      <c r="S342" s="11"/>
      <c r="T342" s="11"/>
      <c r="U342" s="11"/>
      <c r="V342" s="11"/>
      <c r="W342" s="4"/>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row>
    <row r="343" spans="1:48" ht="11.45" customHeight="1">
      <c r="A343" s="634"/>
      <c r="B343" s="634" t="s">
        <v>663</v>
      </c>
      <c r="C343" s="634" t="s">
        <v>652</v>
      </c>
      <c r="D343" s="1597">
        <v>340</v>
      </c>
      <c r="E343" s="2244" t="s">
        <v>1908</v>
      </c>
      <c r="F343" s="635">
        <v>1119</v>
      </c>
      <c r="G343" s="432" t="s">
        <v>224</v>
      </c>
      <c r="H343" s="674">
        <v>479512</v>
      </c>
      <c r="I343" s="620"/>
      <c r="J343" s="542"/>
      <c r="K343" s="458"/>
      <c r="L343" s="674">
        <v>529299.80000000005</v>
      </c>
      <c r="M343" s="541"/>
      <c r="N343" s="3799">
        <f>L343/H343-1</f>
        <v>0.10383014397971291</v>
      </c>
      <c r="O343" s="86"/>
      <c r="P343" s="1817" t="e">
        <f>INDEX(#REF!,MATCH(F343,#REF!,0),2)</f>
        <v>#REF!</v>
      </c>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row>
    <row r="344" spans="1:48" ht="11.45" customHeight="1">
      <c r="A344" s="428"/>
      <c r="B344" s="424" t="s">
        <v>663</v>
      </c>
      <c r="C344" s="424" t="s">
        <v>652</v>
      </c>
      <c r="D344" s="1598"/>
      <c r="E344" s="2104" t="s">
        <v>1908</v>
      </c>
      <c r="F344" s="438">
        <v>1119</v>
      </c>
      <c r="G344" s="437" t="s">
        <v>663</v>
      </c>
      <c r="H344" s="745"/>
      <c r="I344" s="746">
        <v>479512</v>
      </c>
      <c r="J344" s="747"/>
      <c r="K344" s="748"/>
      <c r="L344" s="745"/>
      <c r="M344" s="746">
        <v>529299.80000000005</v>
      </c>
      <c r="N344" s="73"/>
      <c r="O344" s="86"/>
      <c r="P344" s="1817" t="e">
        <f>INDEX(#REF!,MATCH(F344,#REF!,0),2)</f>
        <v>#REF!</v>
      </c>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row>
    <row r="345" spans="1:48" ht="19.149999999999999" customHeight="1">
      <c r="A345" s="1882"/>
      <c r="B345" s="424" t="s">
        <v>663</v>
      </c>
      <c r="C345" s="424" t="s">
        <v>652</v>
      </c>
      <c r="D345" s="1598"/>
      <c r="E345" s="2104" t="s">
        <v>1908</v>
      </c>
      <c r="F345" s="763">
        <v>1119</v>
      </c>
      <c r="G345" s="2352"/>
      <c r="H345" s="2353"/>
      <c r="I345" s="2353"/>
      <c r="J345" s="1745"/>
      <c r="K345" s="2236"/>
      <c r="L345" s="1744"/>
      <c r="M345" s="1744"/>
      <c r="N345" s="149"/>
      <c r="O345" s="86"/>
      <c r="P345" s="1817" t="e">
        <f>INDEX(#REF!,MATCH(F345,#REF!,0),2)</f>
        <v>#REF!</v>
      </c>
      <c r="Q345" s="43"/>
      <c r="R345" s="43"/>
      <c r="S345" s="43"/>
      <c r="T345" s="43"/>
      <c r="U345" s="43"/>
      <c r="V345" s="43"/>
      <c r="W345" s="43"/>
      <c r="X345" s="43"/>
      <c r="Y345" s="43"/>
      <c r="Z345" s="43"/>
      <c r="AA345" s="43"/>
      <c r="AB345" s="43"/>
      <c r="AC345" s="43"/>
      <c r="AD345" s="43"/>
      <c r="AE345" s="43"/>
      <c r="AF345" s="43"/>
      <c r="AG345" s="43"/>
      <c r="AH345" s="43"/>
      <c r="AI345" s="43"/>
      <c r="AJ345" s="43"/>
      <c r="AK345" s="43"/>
      <c r="AL345" s="43"/>
      <c r="AM345" s="43"/>
      <c r="AN345" s="43"/>
      <c r="AO345" s="43"/>
      <c r="AP345" s="43"/>
      <c r="AQ345" s="43"/>
      <c r="AR345" s="43"/>
      <c r="AS345" s="43"/>
      <c r="AT345" s="43"/>
      <c r="AU345" s="43"/>
      <c r="AV345" s="43"/>
    </row>
    <row r="346" spans="1:48" ht="13.15" customHeight="1">
      <c r="A346" s="634"/>
      <c r="B346" s="634" t="s">
        <v>663</v>
      </c>
      <c r="C346" s="634" t="s">
        <v>652</v>
      </c>
      <c r="D346" s="1597">
        <v>340</v>
      </c>
      <c r="E346" s="2093" t="s">
        <v>1908</v>
      </c>
      <c r="F346" s="635">
        <v>1141</v>
      </c>
      <c r="G346" s="432" t="s">
        <v>268</v>
      </c>
      <c r="H346" s="674">
        <v>40500</v>
      </c>
      <c r="I346" s="541"/>
      <c r="J346" s="542"/>
      <c r="K346" s="458"/>
      <c r="L346" s="674">
        <v>13500</v>
      </c>
      <c r="M346" s="541"/>
      <c r="N346" s="73">
        <f>L346/H346-1</f>
        <v>-0.66666666666666674</v>
      </c>
      <c r="O346" s="86"/>
      <c r="P346" s="1817" t="e">
        <f>INDEX(#REF!,MATCH(F346,#REF!,0),2)</f>
        <v>#REF!</v>
      </c>
      <c r="Q346" s="43"/>
      <c r="R346" s="43"/>
      <c r="S346" s="43"/>
      <c r="T346" s="43"/>
      <c r="U346" s="43"/>
      <c r="V346" s="43"/>
      <c r="W346" s="43"/>
      <c r="X346" s="43"/>
      <c r="Y346" s="43"/>
      <c r="Z346" s="43"/>
      <c r="AA346" s="43"/>
      <c r="AB346" s="43"/>
      <c r="AC346" s="43"/>
      <c r="AD346" s="43"/>
      <c r="AE346" s="43"/>
      <c r="AF346" s="43"/>
      <c r="AG346" s="43"/>
      <c r="AH346" s="43"/>
      <c r="AI346" s="43"/>
      <c r="AJ346" s="43"/>
      <c r="AK346" s="43"/>
      <c r="AL346" s="43"/>
      <c r="AM346" s="43"/>
      <c r="AN346" s="43"/>
      <c r="AO346" s="43"/>
      <c r="AP346" s="43"/>
      <c r="AQ346" s="43"/>
      <c r="AR346" s="43"/>
      <c r="AS346" s="43"/>
      <c r="AT346" s="43"/>
      <c r="AU346" s="43"/>
      <c r="AV346" s="43"/>
    </row>
    <row r="347" spans="1:48" ht="11.45" customHeight="1">
      <c r="A347" s="428"/>
      <c r="B347" s="424" t="s">
        <v>663</v>
      </c>
      <c r="C347" s="424" t="s">
        <v>652</v>
      </c>
      <c r="D347" s="1598"/>
      <c r="E347" s="2104" t="s">
        <v>1908</v>
      </c>
      <c r="F347" s="438">
        <v>1141</v>
      </c>
      <c r="G347" s="437" t="s">
        <v>663</v>
      </c>
      <c r="H347" s="745"/>
      <c r="I347" s="746">
        <v>40500</v>
      </c>
      <c r="J347" s="747"/>
      <c r="K347" s="748"/>
      <c r="L347" s="745"/>
      <c r="M347" s="746">
        <v>13500</v>
      </c>
      <c r="N347" s="73"/>
      <c r="O347" s="86"/>
      <c r="P347" s="1817" t="e">
        <f>INDEX(#REF!,MATCH(F347,#REF!,0),2)</f>
        <v>#REF!</v>
      </c>
      <c r="Q347" s="43"/>
      <c r="R347" s="43"/>
      <c r="S347" s="43"/>
      <c r="T347" s="43"/>
      <c r="U347" s="43"/>
      <c r="V347" s="43"/>
      <c r="W347" s="43"/>
      <c r="X347" s="43"/>
      <c r="Y347" s="43"/>
      <c r="Z347" s="43"/>
      <c r="AA347" s="43"/>
      <c r="AB347" s="43"/>
      <c r="AC347" s="43"/>
      <c r="AD347" s="43"/>
      <c r="AE347" s="43"/>
      <c r="AF347" s="43"/>
      <c r="AG347" s="43"/>
      <c r="AH347" s="43"/>
      <c r="AI347" s="43"/>
      <c r="AJ347" s="43"/>
      <c r="AK347" s="43"/>
      <c r="AL347" s="43"/>
      <c r="AM347" s="43"/>
      <c r="AN347" s="43"/>
      <c r="AO347" s="43"/>
      <c r="AP347" s="43"/>
      <c r="AQ347" s="43"/>
      <c r="AR347" s="43"/>
      <c r="AS347" s="43"/>
      <c r="AT347" s="43"/>
      <c r="AU347" s="43"/>
      <c r="AV347" s="43"/>
    </row>
    <row r="348" spans="1:48" ht="22.9" customHeight="1">
      <c r="A348" s="428"/>
      <c r="B348" s="424" t="s">
        <v>663</v>
      </c>
      <c r="C348" s="424" t="s">
        <v>652</v>
      </c>
      <c r="D348" s="1598"/>
      <c r="E348" s="2104" t="s">
        <v>1908</v>
      </c>
      <c r="F348" s="438">
        <v>1141</v>
      </c>
      <c r="G348" s="802" t="s">
        <v>1969</v>
      </c>
      <c r="H348" s="745"/>
      <c r="I348" s="746"/>
      <c r="J348" s="747"/>
      <c r="K348" s="748"/>
      <c r="L348" s="745"/>
      <c r="M348" s="746"/>
      <c r="N348" s="73"/>
      <c r="O348" s="86"/>
      <c r="P348" s="1817" t="e">
        <f>INDEX(#REF!,MATCH(F348,#REF!,0),2)</f>
        <v>#REF!</v>
      </c>
      <c r="Q348" s="43"/>
      <c r="R348" s="43"/>
      <c r="S348" s="43"/>
      <c r="T348" s="43"/>
      <c r="U348" s="43"/>
      <c r="V348" s="43"/>
      <c r="W348" s="43"/>
      <c r="X348" s="43"/>
      <c r="Y348" s="43"/>
      <c r="Z348" s="43"/>
      <c r="AA348" s="43"/>
      <c r="AB348" s="43"/>
      <c r="AC348" s="43"/>
      <c r="AD348" s="43"/>
      <c r="AE348" s="43"/>
      <c r="AF348" s="43"/>
      <c r="AG348" s="43"/>
      <c r="AH348" s="43"/>
      <c r="AI348" s="43"/>
      <c r="AJ348" s="43"/>
      <c r="AK348" s="43"/>
      <c r="AL348" s="43"/>
      <c r="AM348" s="43"/>
      <c r="AN348" s="43"/>
      <c r="AO348" s="43"/>
      <c r="AP348" s="43"/>
      <c r="AQ348" s="43"/>
      <c r="AR348" s="43"/>
      <c r="AS348" s="43"/>
      <c r="AT348" s="43"/>
      <c r="AU348" s="43"/>
      <c r="AV348" s="43"/>
    </row>
    <row r="349" spans="1:48" ht="19.899999999999999" customHeight="1">
      <c r="A349" s="634"/>
      <c r="B349" s="634" t="s">
        <v>663</v>
      </c>
      <c r="C349" s="634" t="s">
        <v>652</v>
      </c>
      <c r="D349" s="1597">
        <v>340</v>
      </c>
      <c r="E349" s="2093" t="s">
        <v>1908</v>
      </c>
      <c r="F349" s="635">
        <v>1142</v>
      </c>
      <c r="G349" s="432" t="s">
        <v>225</v>
      </c>
      <c r="H349" s="674">
        <v>40000</v>
      </c>
      <c r="I349" s="541"/>
      <c r="J349" s="542"/>
      <c r="K349" s="458"/>
      <c r="L349" s="674">
        <v>40000</v>
      </c>
      <c r="M349" s="541"/>
      <c r="N349" s="73">
        <f>L349/H349-1</f>
        <v>0</v>
      </c>
      <c r="O349" s="86"/>
      <c r="P349" s="1817" t="e">
        <f>INDEX(#REF!,MATCH(F349,#REF!,0),2)</f>
        <v>#REF!</v>
      </c>
      <c r="Q349" s="43"/>
      <c r="R349" s="43"/>
      <c r="S349" s="43"/>
      <c r="T349" s="43"/>
      <c r="U349" s="43"/>
      <c r="V349" s="43"/>
      <c r="W349" s="43"/>
      <c r="X349" s="43"/>
      <c r="Y349" s="43"/>
      <c r="Z349" s="43"/>
      <c r="AA349" s="43"/>
      <c r="AB349" s="43"/>
      <c r="AC349" s="43"/>
      <c r="AD349" s="43"/>
      <c r="AE349" s="43"/>
      <c r="AF349" s="43"/>
      <c r="AG349" s="43"/>
      <c r="AH349" s="43"/>
      <c r="AI349" s="43"/>
      <c r="AJ349" s="43"/>
      <c r="AK349" s="43"/>
      <c r="AL349" s="43"/>
      <c r="AM349" s="43"/>
      <c r="AN349" s="43"/>
      <c r="AO349" s="43"/>
      <c r="AP349" s="43"/>
      <c r="AQ349" s="43"/>
      <c r="AR349" s="43"/>
      <c r="AS349" s="43"/>
      <c r="AT349" s="43"/>
      <c r="AU349" s="43"/>
      <c r="AV349" s="43"/>
    </row>
    <row r="350" spans="1:48" ht="13.15" customHeight="1">
      <c r="A350" s="428"/>
      <c r="B350" s="424" t="s">
        <v>663</v>
      </c>
      <c r="C350" s="424" t="s">
        <v>652</v>
      </c>
      <c r="D350" s="1598"/>
      <c r="E350" s="2104" t="s">
        <v>1908</v>
      </c>
      <c r="F350" s="438">
        <v>1142</v>
      </c>
      <c r="G350" s="437" t="s">
        <v>663</v>
      </c>
      <c r="H350" s="745"/>
      <c r="I350" s="746">
        <v>40000</v>
      </c>
      <c r="J350" s="747"/>
      <c r="K350" s="748"/>
      <c r="L350" s="745"/>
      <c r="M350" s="746">
        <v>40000</v>
      </c>
      <c r="N350" s="73"/>
      <c r="O350" s="86"/>
      <c r="P350" s="1817" t="e">
        <f>INDEX(#REF!,MATCH(F350,#REF!,0),2)</f>
        <v>#REF!</v>
      </c>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row>
    <row r="351" spans="1:48" ht="12" customHeight="1">
      <c r="A351" s="428"/>
      <c r="B351" s="424" t="s">
        <v>663</v>
      </c>
      <c r="C351" s="424" t="s">
        <v>652</v>
      </c>
      <c r="D351" s="1598"/>
      <c r="E351" s="2104" t="s">
        <v>1908</v>
      </c>
      <c r="F351" s="438">
        <v>1142</v>
      </c>
      <c r="G351" s="437"/>
      <c r="H351" s="745"/>
      <c r="I351" s="746"/>
      <c r="J351" s="747"/>
      <c r="K351" s="748"/>
      <c r="L351" s="745"/>
      <c r="M351" s="746"/>
      <c r="N351" s="73"/>
      <c r="O351" s="86"/>
      <c r="P351" s="1817" t="e">
        <f>INDEX(#REF!,MATCH(F351,#REF!,0),2)</f>
        <v>#REF!</v>
      </c>
      <c r="Q351" s="43"/>
      <c r="R351" s="43"/>
      <c r="S351" s="43"/>
      <c r="T351" s="43"/>
      <c r="U351" s="43"/>
      <c r="V351" s="43"/>
      <c r="W351" s="43"/>
      <c r="X351" s="43"/>
      <c r="Y351" s="43"/>
      <c r="Z351" s="43"/>
      <c r="AA351" s="43"/>
      <c r="AB351" s="43"/>
      <c r="AC351" s="43"/>
      <c r="AD351" s="43"/>
      <c r="AE351" s="43"/>
      <c r="AF351" s="43"/>
      <c r="AG351" s="43"/>
      <c r="AH351" s="43"/>
      <c r="AI351" s="43"/>
      <c r="AJ351" s="43"/>
      <c r="AK351" s="43"/>
      <c r="AL351" s="43"/>
      <c r="AM351" s="43"/>
      <c r="AN351" s="43"/>
      <c r="AO351" s="43"/>
      <c r="AP351" s="43"/>
      <c r="AQ351" s="43"/>
      <c r="AR351" s="43"/>
      <c r="AS351" s="43"/>
      <c r="AT351" s="43"/>
      <c r="AU351" s="43"/>
    </row>
    <row r="352" spans="1:48" ht="16.899999999999999" customHeight="1">
      <c r="A352" s="636"/>
      <c r="B352" s="634" t="s">
        <v>663</v>
      </c>
      <c r="C352" s="634" t="s">
        <v>652</v>
      </c>
      <c r="D352" s="1597">
        <v>340</v>
      </c>
      <c r="E352" s="2093" t="s">
        <v>1908</v>
      </c>
      <c r="F352" s="635">
        <v>1145</v>
      </c>
      <c r="G352" s="658" t="s">
        <v>1800</v>
      </c>
      <c r="H352" s="541">
        <v>4000</v>
      </c>
      <c r="I352" s="541"/>
      <c r="J352" s="542"/>
      <c r="K352" s="458"/>
      <c r="L352" s="541">
        <v>5000</v>
      </c>
      <c r="M352" s="541"/>
      <c r="N352" s="73">
        <f>L352/H352-1</f>
        <v>0.25</v>
      </c>
      <c r="O352" s="86"/>
      <c r="P352" s="1817" t="e">
        <f>INDEX(#REF!,MATCH(F352,#REF!,0),2)</f>
        <v>#REF!</v>
      </c>
      <c r="Q352" s="43"/>
      <c r="R352" s="43"/>
      <c r="S352" s="43"/>
      <c r="T352" s="43"/>
      <c r="U352" s="43"/>
      <c r="V352" s="43"/>
      <c r="W352" s="43"/>
      <c r="X352" s="43"/>
      <c r="Y352" s="43"/>
      <c r="Z352" s="43"/>
      <c r="AA352" s="43"/>
      <c r="AB352" s="43"/>
      <c r="AC352" s="43"/>
      <c r="AD352" s="43"/>
      <c r="AE352" s="43"/>
      <c r="AF352" s="43"/>
      <c r="AG352" s="43"/>
      <c r="AH352" s="43"/>
      <c r="AI352" s="43"/>
      <c r="AJ352" s="43"/>
      <c r="AK352" s="43"/>
      <c r="AL352" s="43"/>
      <c r="AM352" s="43"/>
      <c r="AN352" s="43"/>
      <c r="AO352" s="43"/>
      <c r="AP352" s="43"/>
      <c r="AQ352" s="43"/>
      <c r="AR352" s="43"/>
      <c r="AS352" s="43"/>
      <c r="AT352" s="43"/>
      <c r="AU352" s="43"/>
    </row>
    <row r="353" spans="1:48" ht="13.9" customHeight="1">
      <c r="A353" s="428"/>
      <c r="B353" s="424" t="s">
        <v>663</v>
      </c>
      <c r="C353" s="424" t="s">
        <v>652</v>
      </c>
      <c r="D353" s="1598"/>
      <c r="E353" s="2104" t="s">
        <v>1908</v>
      </c>
      <c r="F353" s="438">
        <v>1145</v>
      </c>
      <c r="G353" s="437"/>
      <c r="H353" s="745"/>
      <c r="I353" s="746">
        <v>4000</v>
      </c>
      <c r="J353" s="749"/>
      <c r="K353" s="748"/>
      <c r="L353" s="745"/>
      <c r="M353" s="746">
        <v>5000</v>
      </c>
      <c r="N353" s="73"/>
      <c r="O353" s="86"/>
      <c r="P353" s="1817" t="e">
        <f>INDEX(#REF!,MATCH(F353,#REF!,0),2)</f>
        <v>#REF!</v>
      </c>
      <c r="Q353" s="1779"/>
      <c r="R353" s="1779"/>
      <c r="S353" s="1779"/>
      <c r="T353" s="1779"/>
      <c r="U353" s="1779"/>
      <c r="V353" s="1779"/>
      <c r="W353" s="43"/>
      <c r="X353" s="1779"/>
      <c r="Y353" s="1779"/>
      <c r="Z353" s="1779"/>
      <c r="AA353" s="1779"/>
      <c r="AB353" s="1779"/>
      <c r="AC353" s="1779"/>
      <c r="AD353" s="1779"/>
      <c r="AE353" s="1779"/>
      <c r="AF353" s="1779"/>
      <c r="AG353" s="1779"/>
      <c r="AH353" s="1779"/>
      <c r="AI353" s="1779"/>
      <c r="AJ353" s="1779"/>
      <c r="AK353" s="1779"/>
      <c r="AL353" s="1779"/>
      <c r="AM353" s="1779"/>
      <c r="AN353" s="1779"/>
      <c r="AO353" s="1779"/>
      <c r="AP353" s="1779"/>
      <c r="AQ353" s="1779"/>
      <c r="AR353" s="1779"/>
      <c r="AS353" s="1779"/>
      <c r="AT353" s="1779"/>
      <c r="AU353" s="1779"/>
      <c r="AV353" s="1779"/>
    </row>
    <row r="354" spans="1:48" ht="41.45" customHeight="1">
      <c r="A354" s="1315"/>
      <c r="B354" s="424" t="s">
        <v>663</v>
      </c>
      <c r="C354" s="424" t="s">
        <v>652</v>
      </c>
      <c r="D354" s="1598"/>
      <c r="E354" s="2104" t="s">
        <v>1908</v>
      </c>
      <c r="F354" s="438">
        <v>1145</v>
      </c>
      <c r="G354" s="1325" t="s">
        <v>1854</v>
      </c>
      <c r="H354" s="1326"/>
      <c r="I354" s="1316"/>
      <c r="J354" s="1317"/>
      <c r="K354" s="1318"/>
      <c r="L354" s="1326"/>
      <c r="M354" s="1316"/>
      <c r="N354" s="73"/>
      <c r="O354" s="86"/>
      <c r="P354" s="1817" t="e">
        <f>INDEX(#REF!,MATCH(F354,#REF!,0),2)</f>
        <v>#REF!</v>
      </c>
      <c r="Q354" s="1779"/>
      <c r="R354" s="1779"/>
      <c r="S354" s="1779"/>
      <c r="T354" s="1779"/>
      <c r="U354" s="1779"/>
      <c r="V354" s="1779"/>
      <c r="W354" s="43"/>
      <c r="X354" s="1779"/>
      <c r="Y354" s="1779"/>
      <c r="Z354" s="1779"/>
      <c r="AA354" s="1779"/>
      <c r="AB354" s="1779"/>
      <c r="AC354" s="1779"/>
      <c r="AD354" s="1779"/>
      <c r="AE354" s="1779"/>
      <c r="AF354" s="1779"/>
      <c r="AG354" s="1779"/>
      <c r="AH354" s="1779"/>
      <c r="AI354" s="1779"/>
      <c r="AJ354" s="1779"/>
      <c r="AK354" s="1779"/>
      <c r="AL354" s="1779"/>
      <c r="AM354" s="1779"/>
      <c r="AN354" s="1779"/>
      <c r="AO354" s="1779"/>
      <c r="AP354" s="1779"/>
      <c r="AQ354" s="1779"/>
      <c r="AR354" s="1779"/>
      <c r="AS354" s="1779"/>
      <c r="AT354" s="1779"/>
      <c r="AU354" s="1779"/>
      <c r="AV354" s="1779"/>
    </row>
    <row r="355" spans="1:48" ht="16.899999999999999" customHeight="1">
      <c r="A355" s="636"/>
      <c r="B355" s="634" t="s">
        <v>663</v>
      </c>
      <c r="C355" s="634" t="s">
        <v>652</v>
      </c>
      <c r="D355" s="1597">
        <v>340</v>
      </c>
      <c r="E355" s="2093" t="s">
        <v>1908</v>
      </c>
      <c r="F355" s="635">
        <v>1146</v>
      </c>
      <c r="G355" s="658" t="s">
        <v>922</v>
      </c>
      <c r="H355" s="541">
        <v>100</v>
      </c>
      <c r="I355" s="541"/>
      <c r="J355" s="542"/>
      <c r="K355" s="458"/>
      <c r="L355" s="541">
        <v>100</v>
      </c>
      <c r="M355" s="541"/>
      <c r="N355" s="73"/>
      <c r="O355" s="86"/>
      <c r="P355" s="1817" t="e">
        <f>INDEX(#REF!,MATCH(F355,#REF!,0),2)</f>
        <v>#REF!</v>
      </c>
      <c r="Q355" s="43"/>
      <c r="R355" s="43"/>
      <c r="S355" s="43"/>
      <c r="T355" s="43"/>
      <c r="U355" s="43"/>
      <c r="V355" s="43"/>
      <c r="W355" s="43"/>
      <c r="X355" s="43"/>
      <c r="Y355" s="43"/>
      <c r="Z355" s="43"/>
      <c r="AA355" s="43"/>
      <c r="AB355" s="43"/>
      <c r="AC355" s="43"/>
      <c r="AD355" s="43"/>
      <c r="AE355" s="43"/>
      <c r="AF355" s="43"/>
      <c r="AG355" s="43"/>
      <c r="AH355" s="43"/>
      <c r="AI355" s="43"/>
      <c r="AJ355" s="43"/>
      <c r="AK355" s="43"/>
      <c r="AL355" s="43"/>
      <c r="AM355" s="43"/>
      <c r="AN355" s="43"/>
      <c r="AO355" s="43"/>
      <c r="AP355" s="43"/>
      <c r="AQ355" s="43"/>
      <c r="AR355" s="43"/>
      <c r="AS355" s="43"/>
      <c r="AT355" s="43"/>
      <c r="AU355" s="43"/>
    </row>
    <row r="356" spans="1:48" ht="13.9" customHeight="1">
      <c r="A356" s="428"/>
      <c r="B356" s="424" t="s">
        <v>663</v>
      </c>
      <c r="C356" s="424" t="s">
        <v>652</v>
      </c>
      <c r="D356" s="1598"/>
      <c r="E356" s="2104" t="s">
        <v>1908</v>
      </c>
      <c r="F356" s="438">
        <v>1146</v>
      </c>
      <c r="G356" s="437"/>
      <c r="H356" s="745"/>
      <c r="I356" s="746">
        <v>100</v>
      </c>
      <c r="J356" s="749"/>
      <c r="K356" s="748"/>
      <c r="L356" s="745"/>
      <c r="M356" s="746">
        <v>100</v>
      </c>
      <c r="N356" s="73"/>
      <c r="O356" s="86"/>
      <c r="P356" s="1817" t="e">
        <f>INDEX(#REF!,MATCH(F356,#REF!,0),2)</f>
        <v>#REF!</v>
      </c>
      <c r="Q356" s="1779"/>
      <c r="R356" s="1779"/>
      <c r="S356" s="1779"/>
      <c r="T356" s="1779"/>
      <c r="U356" s="1779"/>
      <c r="V356" s="1779"/>
      <c r="W356" s="43"/>
      <c r="X356" s="1779"/>
      <c r="Y356" s="1779"/>
      <c r="Z356" s="1779"/>
      <c r="AA356" s="1779"/>
      <c r="AB356" s="1779"/>
      <c r="AC356" s="1779"/>
      <c r="AD356" s="1779"/>
      <c r="AE356" s="1779"/>
      <c r="AF356" s="1779"/>
      <c r="AG356" s="1779"/>
      <c r="AH356" s="1779"/>
      <c r="AI356" s="1779"/>
      <c r="AJ356" s="1779"/>
      <c r="AK356" s="1779"/>
      <c r="AL356" s="1779"/>
      <c r="AM356" s="1779"/>
      <c r="AN356" s="1779"/>
      <c r="AO356" s="1779"/>
      <c r="AP356" s="1779"/>
      <c r="AQ356" s="1779"/>
      <c r="AR356" s="1779"/>
      <c r="AS356" s="1779"/>
      <c r="AT356" s="1779"/>
      <c r="AU356" s="1779"/>
      <c r="AV356" s="1779"/>
    </row>
    <row r="357" spans="1:48" ht="11.45" customHeight="1">
      <c r="A357" s="636"/>
      <c r="B357" s="634" t="s">
        <v>663</v>
      </c>
      <c r="C357" s="634" t="s">
        <v>652</v>
      </c>
      <c r="D357" s="1597">
        <v>340</v>
      </c>
      <c r="E357" s="2093" t="s">
        <v>1908</v>
      </c>
      <c r="F357" s="635">
        <v>1147</v>
      </c>
      <c r="G357" s="658" t="s">
        <v>574</v>
      </c>
      <c r="H357" s="541">
        <v>24151</v>
      </c>
      <c r="I357" s="541"/>
      <c r="J357" s="542"/>
      <c r="K357" s="458"/>
      <c r="L357" s="541">
        <v>51661.196484343367</v>
      </c>
      <c r="M357" s="541"/>
      <c r="N357" s="73">
        <f>L357/H357-1</f>
        <v>1.1390914034343655</v>
      </c>
      <c r="O357" s="86"/>
      <c r="P357" s="1817" t="e">
        <f>INDEX(#REF!,MATCH(F357,#REF!,0),2)</f>
        <v>#REF!</v>
      </c>
      <c r="Q357" s="43"/>
      <c r="R357" s="43"/>
      <c r="S357" s="43"/>
      <c r="T357" s="43"/>
      <c r="U357" s="43"/>
      <c r="V357" s="43"/>
      <c r="W357" s="43"/>
      <c r="X357" s="43"/>
      <c r="Y357" s="43"/>
      <c r="Z357" s="43"/>
      <c r="AA357" s="43"/>
      <c r="AB357" s="43"/>
      <c r="AC357" s="43"/>
      <c r="AD357" s="43"/>
      <c r="AE357" s="43"/>
      <c r="AF357" s="43"/>
      <c r="AG357" s="43"/>
      <c r="AH357" s="43"/>
      <c r="AI357" s="43"/>
      <c r="AJ357" s="43"/>
      <c r="AK357" s="43"/>
      <c r="AL357" s="43"/>
      <c r="AM357" s="43"/>
      <c r="AN357" s="43"/>
      <c r="AO357" s="43"/>
      <c r="AP357" s="43"/>
      <c r="AQ357" s="43"/>
      <c r="AR357" s="43"/>
      <c r="AS357" s="43"/>
      <c r="AT357" s="43"/>
      <c r="AU357" s="43"/>
      <c r="AV357" s="43"/>
    </row>
    <row r="358" spans="1:48" ht="12" customHeight="1">
      <c r="A358" s="428"/>
      <c r="B358" s="424" t="s">
        <v>663</v>
      </c>
      <c r="C358" s="424" t="s">
        <v>652</v>
      </c>
      <c r="D358" s="1598"/>
      <c r="E358" s="2104" t="s">
        <v>1908</v>
      </c>
      <c r="F358" s="438">
        <v>1147</v>
      </c>
      <c r="G358" s="437" t="s">
        <v>663</v>
      </c>
      <c r="H358" s="745"/>
      <c r="I358" s="746">
        <v>24151</v>
      </c>
      <c r="J358" s="747"/>
      <c r="K358" s="748"/>
      <c r="L358" s="745"/>
      <c r="M358" s="746">
        <v>38066.649999999972</v>
      </c>
      <c r="N358" s="73"/>
      <c r="O358" s="86"/>
      <c r="P358" s="1817" t="e">
        <f>INDEX(#REF!,MATCH(F358,#REF!,0),2)</f>
        <v>#REF!</v>
      </c>
      <c r="Q358" s="1779"/>
      <c r="R358" s="1779"/>
      <c r="S358" s="1779"/>
      <c r="T358" s="1779"/>
      <c r="U358" s="1779"/>
      <c r="V358" s="1779"/>
      <c r="W358" s="43"/>
      <c r="X358" s="1779"/>
      <c r="Y358" s="1779"/>
      <c r="Z358" s="1779"/>
      <c r="AA358" s="1779"/>
      <c r="AB358" s="1779"/>
      <c r="AC358" s="1779"/>
      <c r="AD358" s="1779"/>
      <c r="AE358" s="1779"/>
      <c r="AF358" s="1779"/>
      <c r="AG358" s="1779"/>
      <c r="AH358" s="1779"/>
      <c r="AI358" s="1779"/>
      <c r="AJ358" s="1779"/>
      <c r="AK358" s="1779"/>
      <c r="AL358" s="1779"/>
      <c r="AM358" s="1779"/>
      <c r="AN358" s="1779"/>
      <c r="AO358" s="1779"/>
      <c r="AP358" s="1779"/>
      <c r="AQ358" s="1779"/>
      <c r="AR358" s="1779"/>
      <c r="AS358" s="1779"/>
      <c r="AT358" s="1779"/>
      <c r="AU358" s="1779"/>
      <c r="AV358" s="1779"/>
    </row>
    <row r="359" spans="1:48" ht="13.15" customHeight="1">
      <c r="A359" s="1376"/>
      <c r="B359" s="424" t="s">
        <v>663</v>
      </c>
      <c r="C359" s="424" t="s">
        <v>652</v>
      </c>
      <c r="D359" s="1598"/>
      <c r="E359" s="2104" t="s">
        <v>1908</v>
      </c>
      <c r="F359" s="438">
        <v>1147</v>
      </c>
      <c r="G359" s="1325" t="s">
        <v>6213</v>
      </c>
      <c r="H359" s="1382"/>
      <c r="I359" s="1386"/>
      <c r="J359" s="1387"/>
      <c r="K359" s="1388"/>
      <c r="L359" s="1382"/>
      <c r="M359" s="4590">
        <v>13594.546484343393</v>
      </c>
      <c r="N359" s="73" t="s">
        <v>6214</v>
      </c>
      <c r="O359" s="86"/>
      <c r="P359" s="1817" t="e">
        <f>INDEX(#REF!,MATCH(F359,#REF!,0),2)</f>
        <v>#REF!</v>
      </c>
      <c r="Q359" s="1779"/>
      <c r="R359" s="1779"/>
      <c r="S359" s="1779"/>
      <c r="T359" s="1779"/>
      <c r="U359" s="1779"/>
      <c r="V359" s="1779"/>
      <c r="W359" s="43"/>
      <c r="X359" s="1779"/>
      <c r="Y359" s="1779"/>
      <c r="Z359" s="1779"/>
      <c r="AA359" s="1779"/>
      <c r="AB359" s="1779"/>
      <c r="AC359" s="1779"/>
      <c r="AD359" s="1779"/>
      <c r="AE359" s="1779"/>
      <c r="AF359" s="1779"/>
      <c r="AG359" s="1779"/>
      <c r="AH359" s="1779"/>
      <c r="AI359" s="1779"/>
      <c r="AJ359" s="1779"/>
      <c r="AK359" s="1779"/>
      <c r="AL359" s="1779"/>
      <c r="AM359" s="1779"/>
      <c r="AN359" s="1779"/>
      <c r="AO359" s="1779"/>
      <c r="AP359" s="1779"/>
      <c r="AQ359" s="1779"/>
      <c r="AR359" s="1779"/>
      <c r="AS359" s="1779"/>
      <c r="AT359" s="1779"/>
      <c r="AU359" s="1779"/>
      <c r="AV359" s="1779"/>
    </row>
    <row r="360" spans="1:48" ht="11.45" customHeight="1">
      <c r="A360" s="634"/>
      <c r="B360" s="634" t="s">
        <v>663</v>
      </c>
      <c r="C360" s="634" t="s">
        <v>652</v>
      </c>
      <c r="D360" s="1597">
        <v>340</v>
      </c>
      <c r="E360" s="2093" t="s">
        <v>1908</v>
      </c>
      <c r="F360" s="635">
        <v>1148</v>
      </c>
      <c r="G360" s="432" t="s">
        <v>227</v>
      </c>
      <c r="H360" s="674">
        <v>1500</v>
      </c>
      <c r="I360" s="541"/>
      <c r="J360" s="542"/>
      <c r="K360" s="458"/>
      <c r="L360" s="674">
        <v>500</v>
      </c>
      <c r="M360" s="541"/>
      <c r="N360" s="73">
        <f>L360/H360-1</f>
        <v>-0.66666666666666674</v>
      </c>
      <c r="O360" s="86"/>
      <c r="P360" s="1817" t="e">
        <f>INDEX(#REF!,MATCH(F360,#REF!,0),2)</f>
        <v>#REF!</v>
      </c>
      <c r="Q360" s="43"/>
      <c r="R360" s="43"/>
      <c r="S360" s="43"/>
      <c r="T360" s="43"/>
      <c r="U360" s="43"/>
      <c r="V360" s="43"/>
      <c r="W360" s="43"/>
      <c r="X360" s="43"/>
      <c r="Y360" s="43"/>
      <c r="Z360" s="43"/>
      <c r="AA360" s="43"/>
      <c r="AB360" s="43"/>
      <c r="AC360" s="43"/>
      <c r="AD360" s="43"/>
      <c r="AE360" s="43"/>
      <c r="AF360" s="43"/>
      <c r="AG360" s="43"/>
      <c r="AH360" s="43"/>
      <c r="AI360" s="43"/>
      <c r="AJ360" s="43"/>
      <c r="AK360" s="43"/>
      <c r="AL360" s="43"/>
      <c r="AM360" s="43"/>
      <c r="AN360" s="43"/>
      <c r="AO360" s="43"/>
      <c r="AP360" s="43"/>
      <c r="AQ360" s="43"/>
      <c r="AR360" s="43"/>
      <c r="AS360" s="43"/>
      <c r="AT360" s="43"/>
      <c r="AU360" s="43"/>
      <c r="AV360" s="43"/>
    </row>
    <row r="361" spans="1:48" ht="11.45" customHeight="1">
      <c r="A361" s="424"/>
      <c r="B361" s="424" t="s">
        <v>663</v>
      </c>
      <c r="C361" s="424" t="s">
        <v>652</v>
      </c>
      <c r="D361" s="1598"/>
      <c r="E361" s="2104" t="s">
        <v>1908</v>
      </c>
      <c r="F361" s="438">
        <v>1148</v>
      </c>
      <c r="G361" s="426"/>
      <c r="H361" s="431"/>
      <c r="I361" s="433">
        <v>1500</v>
      </c>
      <c r="J361" s="441"/>
      <c r="K361" s="458"/>
      <c r="L361" s="431"/>
      <c r="M361" s="433">
        <v>500</v>
      </c>
      <c r="N361" s="83"/>
      <c r="O361" s="86"/>
      <c r="P361" s="1817" t="e">
        <f>INDEX(#REF!,MATCH(F361,#REF!,0),2)</f>
        <v>#REF!</v>
      </c>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row>
    <row r="362" spans="1:48" ht="11.45" customHeight="1">
      <c r="A362" s="1465"/>
      <c r="B362" s="424" t="s">
        <v>663</v>
      </c>
      <c r="C362" s="424" t="s">
        <v>652</v>
      </c>
      <c r="D362" s="1598"/>
      <c r="E362" s="2104" t="s">
        <v>1908</v>
      </c>
      <c r="F362" s="438">
        <v>1148</v>
      </c>
      <c r="G362" s="1466"/>
      <c r="H362" s="1479"/>
      <c r="I362" s="1375"/>
      <c r="J362" s="1379"/>
      <c r="K362" s="1416"/>
      <c r="L362" s="1479"/>
      <c r="M362" s="1375"/>
      <c r="N362" s="83"/>
      <c r="O362" s="86"/>
      <c r="P362" s="1817" t="e">
        <f>INDEX(#REF!,MATCH(F362,#REF!,0),2)</f>
        <v>#REF!</v>
      </c>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row>
    <row r="363" spans="1:48" ht="19.149999999999999" customHeight="1">
      <c r="A363" s="634"/>
      <c r="B363" s="634" t="s">
        <v>663</v>
      </c>
      <c r="C363" s="634" t="s">
        <v>652</v>
      </c>
      <c r="D363" s="1597">
        <v>340</v>
      </c>
      <c r="E363" s="2093" t="s">
        <v>1908</v>
      </c>
      <c r="F363" s="635">
        <v>1149</v>
      </c>
      <c r="G363" s="432" t="s">
        <v>1267</v>
      </c>
      <c r="H363" s="674">
        <v>5000</v>
      </c>
      <c r="I363" s="541"/>
      <c r="J363" s="542"/>
      <c r="K363" s="458"/>
      <c r="L363" s="674">
        <v>5000</v>
      </c>
      <c r="M363" s="541"/>
      <c r="N363" s="73"/>
      <c r="O363" s="86"/>
      <c r="P363" s="1817" t="e">
        <f>INDEX(#REF!,MATCH(F363,#REF!,0),2)</f>
        <v>#REF!</v>
      </c>
      <c r="Q363" s="43"/>
      <c r="R363" s="43"/>
      <c r="S363" s="43"/>
      <c r="T363" s="43"/>
      <c r="U363" s="43"/>
      <c r="V363" s="43"/>
      <c r="W363" s="43"/>
      <c r="X363" s="43"/>
      <c r="Y363" s="43"/>
      <c r="Z363" s="43"/>
      <c r="AA363" s="43"/>
      <c r="AB363" s="43"/>
      <c r="AC363" s="43"/>
      <c r="AD363" s="43"/>
      <c r="AE363" s="43"/>
      <c r="AF363" s="43"/>
      <c r="AG363" s="43"/>
      <c r="AH363" s="43"/>
      <c r="AI363" s="43"/>
      <c r="AJ363" s="43"/>
      <c r="AK363" s="43"/>
      <c r="AL363" s="43"/>
      <c r="AM363" s="43"/>
      <c r="AN363" s="43"/>
      <c r="AO363" s="43"/>
      <c r="AP363" s="43"/>
      <c r="AQ363" s="43"/>
      <c r="AR363" s="43"/>
      <c r="AS363" s="43"/>
      <c r="AT363" s="43"/>
      <c r="AU363" s="43"/>
      <c r="AV363" s="43"/>
    </row>
    <row r="364" spans="1:48" ht="18.600000000000001" customHeight="1">
      <c r="A364" s="424"/>
      <c r="B364" s="424" t="s">
        <v>663</v>
      </c>
      <c r="C364" s="424" t="s">
        <v>652</v>
      </c>
      <c r="D364" s="1598"/>
      <c r="E364" s="2104" t="s">
        <v>1908</v>
      </c>
      <c r="F364" s="438">
        <v>1149</v>
      </c>
      <c r="G364" s="426"/>
      <c r="H364" s="431"/>
      <c r="I364" s="433">
        <v>5000</v>
      </c>
      <c r="J364" s="441"/>
      <c r="K364" s="458"/>
      <c r="L364" s="431"/>
      <c r="M364" s="433">
        <v>5000</v>
      </c>
      <c r="N364" s="83"/>
      <c r="O364" s="86"/>
      <c r="P364" s="1817" t="e">
        <f>INDEX(#REF!,MATCH(F364,#REF!,0),2)</f>
        <v>#REF!</v>
      </c>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row>
    <row r="365" spans="1:48" ht="28.9" customHeight="1">
      <c r="A365" s="634"/>
      <c r="B365" s="634" t="s">
        <v>663</v>
      </c>
      <c r="C365" s="634" t="s">
        <v>652</v>
      </c>
      <c r="D365" s="1597">
        <v>340</v>
      </c>
      <c r="E365" s="2093" t="s">
        <v>1908</v>
      </c>
      <c r="F365" s="635">
        <v>1150</v>
      </c>
      <c r="G365" s="432" t="s">
        <v>1970</v>
      </c>
      <c r="H365" s="674">
        <v>0</v>
      </c>
      <c r="I365" s="541"/>
      <c r="J365" s="542"/>
      <c r="K365" s="458"/>
      <c r="L365" s="674">
        <v>0</v>
      </c>
      <c r="M365" s="541"/>
      <c r="N365" s="73"/>
      <c r="O365" s="86"/>
      <c r="P365" s="1817" t="e">
        <f>INDEX(#REF!,MATCH(F365,#REF!,0),2)</f>
        <v>#REF!</v>
      </c>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3"/>
      <c r="AT365" s="43"/>
      <c r="AU365" s="43"/>
      <c r="AV365" s="43"/>
    </row>
    <row r="366" spans="1:48" ht="11.45" customHeight="1">
      <c r="A366" s="1370"/>
      <c r="B366" s="424" t="s">
        <v>663</v>
      </c>
      <c r="C366" s="424" t="s">
        <v>652</v>
      </c>
      <c r="D366" s="1598"/>
      <c r="E366" s="2104" t="s">
        <v>1908</v>
      </c>
      <c r="F366" s="438">
        <v>1150</v>
      </c>
      <c r="G366" s="1325"/>
      <c r="H366" s="1372"/>
      <c r="I366" s="1375"/>
      <c r="J366" s="1379"/>
      <c r="K366" s="1416"/>
      <c r="L366" s="1372"/>
      <c r="M366" s="1375"/>
      <c r="N366" s="83"/>
      <c r="O366" s="86"/>
      <c r="P366" s="1817" t="e">
        <f>INDEX(#REF!,MATCH(F366,#REF!,0),2)</f>
        <v>#REF!</v>
      </c>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row>
    <row r="367" spans="1:48" ht="11.45" customHeight="1">
      <c r="A367" s="634"/>
      <c r="B367" s="634" t="s">
        <v>663</v>
      </c>
      <c r="C367" s="634" t="s">
        <v>652</v>
      </c>
      <c r="D367" s="1597">
        <v>340</v>
      </c>
      <c r="E367" s="2093" t="s">
        <v>1908</v>
      </c>
      <c r="F367" s="635">
        <v>1170</v>
      </c>
      <c r="G367" s="432" t="s">
        <v>724</v>
      </c>
      <c r="H367" s="674">
        <v>450</v>
      </c>
      <c r="I367" s="541"/>
      <c r="J367" s="542"/>
      <c r="K367" s="458"/>
      <c r="L367" s="674">
        <v>465</v>
      </c>
      <c r="M367" s="541"/>
      <c r="N367" s="73"/>
      <c r="O367" s="86"/>
      <c r="P367" s="1817" t="e">
        <f>INDEX(#REF!,MATCH(F367,#REF!,0),2)</f>
        <v>#REF!</v>
      </c>
      <c r="Q367" s="43"/>
      <c r="R367" s="43"/>
      <c r="S367" s="43"/>
      <c r="T367" s="43"/>
      <c r="U367" s="43"/>
      <c r="V367" s="43"/>
      <c r="W367" s="43"/>
      <c r="X367" s="43"/>
      <c r="Y367" s="43"/>
      <c r="Z367" s="43"/>
      <c r="AA367" s="43"/>
      <c r="AB367" s="43"/>
      <c r="AC367" s="43"/>
      <c r="AD367" s="43"/>
      <c r="AE367" s="43"/>
      <c r="AF367" s="43"/>
      <c r="AG367" s="43"/>
      <c r="AH367" s="43"/>
      <c r="AI367" s="43"/>
      <c r="AJ367" s="43"/>
      <c r="AK367" s="43"/>
      <c r="AL367" s="43"/>
      <c r="AM367" s="43"/>
      <c r="AN367" s="43"/>
      <c r="AO367" s="43"/>
      <c r="AP367" s="43"/>
      <c r="AQ367" s="43"/>
      <c r="AR367" s="43"/>
      <c r="AS367" s="43"/>
      <c r="AT367" s="43"/>
      <c r="AU367" s="43"/>
      <c r="AV367" s="43"/>
    </row>
    <row r="368" spans="1:48" ht="11.45" customHeight="1">
      <c r="A368" s="424"/>
      <c r="B368" s="424" t="s">
        <v>663</v>
      </c>
      <c r="C368" s="424" t="s">
        <v>652</v>
      </c>
      <c r="D368" s="1598"/>
      <c r="E368" s="2104" t="s">
        <v>1908</v>
      </c>
      <c r="F368" s="438">
        <v>1170</v>
      </c>
      <c r="G368" s="425" t="s">
        <v>3354</v>
      </c>
      <c r="H368" s="431"/>
      <c r="I368" s="433">
        <v>450</v>
      </c>
      <c r="J368" s="441"/>
      <c r="K368" s="458"/>
      <c r="L368" s="431"/>
      <c r="M368" s="433">
        <v>465</v>
      </c>
      <c r="N368" s="83"/>
      <c r="O368" s="86"/>
      <c r="P368" s="1817" t="e">
        <f>INDEX(#REF!,MATCH(F368,#REF!,0),2)</f>
        <v>#REF!</v>
      </c>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row>
    <row r="369" spans="1:48" ht="11.45" customHeight="1">
      <c r="A369" s="634"/>
      <c r="B369" s="634" t="s">
        <v>663</v>
      </c>
      <c r="C369" s="634" t="s">
        <v>652</v>
      </c>
      <c r="D369" s="1597">
        <v>340</v>
      </c>
      <c r="E369" s="2093" t="s">
        <v>1908</v>
      </c>
      <c r="F369" s="635">
        <v>1210</v>
      </c>
      <c r="G369" s="432" t="s">
        <v>228</v>
      </c>
      <c r="H369" s="674">
        <v>138416</v>
      </c>
      <c r="I369" s="620"/>
      <c r="J369" s="542"/>
      <c r="K369" s="458"/>
      <c r="L369" s="674">
        <v>150141.34634203161</v>
      </c>
      <c r="M369" s="541"/>
      <c r="N369" s="83">
        <f>L369/H369-1</f>
        <v>8.4710917394171359E-2</v>
      </c>
      <c r="O369" s="86"/>
      <c r="P369" s="1817" t="e">
        <f>INDEX(#REF!,MATCH(F369,#REF!,0),2)</f>
        <v>#REF!</v>
      </c>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row>
    <row r="370" spans="1:48" ht="11.45" customHeight="1">
      <c r="A370" s="428"/>
      <c r="B370" s="424" t="s">
        <v>663</v>
      </c>
      <c r="C370" s="424" t="s">
        <v>652</v>
      </c>
      <c r="D370" s="1598"/>
      <c r="E370" s="2104" t="s">
        <v>1908</v>
      </c>
      <c r="F370" s="438">
        <v>1210</v>
      </c>
      <c r="G370" s="437" t="s">
        <v>663</v>
      </c>
      <c r="H370" s="745"/>
      <c r="I370" s="746">
        <v>138415.81553415005</v>
      </c>
      <c r="J370" s="747"/>
      <c r="K370" s="748"/>
      <c r="L370" s="745"/>
      <c r="M370" s="746">
        <v>146934.392826375</v>
      </c>
      <c r="N370" s="83"/>
      <c r="O370" s="86"/>
      <c r="P370" s="1817" t="e">
        <f>INDEX(#REF!,MATCH(F370,#REF!,0),2)</f>
        <v>#REF!</v>
      </c>
      <c r="Q370" s="43"/>
      <c r="R370" s="43"/>
      <c r="S370" s="43"/>
      <c r="T370" s="43"/>
      <c r="U370" s="43"/>
      <c r="V370" s="43"/>
      <c r="W370" s="43"/>
      <c r="X370" s="43"/>
      <c r="Y370" s="43"/>
      <c r="Z370" s="43"/>
      <c r="AA370" s="43"/>
      <c r="AB370" s="43"/>
      <c r="AC370" s="43"/>
      <c r="AD370" s="43"/>
      <c r="AE370" s="43"/>
      <c r="AF370" s="43"/>
      <c r="AG370" s="43"/>
      <c r="AH370" s="43"/>
      <c r="AI370" s="43"/>
      <c r="AJ370" s="43"/>
      <c r="AK370" s="43"/>
      <c r="AL370" s="43"/>
      <c r="AM370" s="43"/>
      <c r="AN370" s="43"/>
      <c r="AO370" s="43"/>
      <c r="AP370" s="43"/>
      <c r="AQ370" s="43"/>
      <c r="AR370" s="43"/>
      <c r="AS370" s="43"/>
      <c r="AT370" s="43"/>
      <c r="AU370" s="43"/>
      <c r="AV370" s="43"/>
    </row>
    <row r="371" spans="1:48" ht="11.45" customHeight="1">
      <c r="A371" s="762"/>
      <c r="B371" s="424" t="s">
        <v>663</v>
      </c>
      <c r="C371" s="424" t="s">
        <v>652</v>
      </c>
      <c r="D371" s="1598"/>
      <c r="E371" s="2104" t="s">
        <v>1908</v>
      </c>
      <c r="F371" s="763">
        <v>1210</v>
      </c>
      <c r="G371" s="1325" t="s">
        <v>6213</v>
      </c>
      <c r="H371" s="745"/>
      <c r="I371" s="801"/>
      <c r="J371" s="780"/>
      <c r="K371" s="781"/>
      <c r="L371" s="800"/>
      <c r="M371" s="4591">
        <v>3206.9535156566062</v>
      </c>
      <c r="N371" s="388"/>
      <c r="O371" s="86"/>
      <c r="P371" s="1817" t="e">
        <f>INDEX(#REF!,MATCH(F371,#REF!,0),2)</f>
        <v>#REF!</v>
      </c>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N371" s="43"/>
      <c r="AO371" s="43"/>
      <c r="AP371" s="43"/>
      <c r="AQ371" s="43"/>
      <c r="AR371" s="43"/>
      <c r="AS371" s="43"/>
      <c r="AT371" s="43"/>
      <c r="AU371" s="43"/>
      <c r="AV371" s="43"/>
    </row>
    <row r="372" spans="1:48" ht="19.149999999999999" customHeight="1">
      <c r="A372" s="634"/>
      <c r="B372" s="634" t="s">
        <v>663</v>
      </c>
      <c r="C372" s="634" t="s">
        <v>652</v>
      </c>
      <c r="D372" s="1597">
        <v>340</v>
      </c>
      <c r="E372" s="2093" t="s">
        <v>1908</v>
      </c>
      <c r="F372" s="635">
        <v>1221</v>
      </c>
      <c r="G372" s="432" t="s">
        <v>269</v>
      </c>
      <c r="H372" s="674">
        <v>30160.532922849994</v>
      </c>
      <c r="I372" s="620"/>
      <c r="J372" s="542"/>
      <c r="K372" s="458"/>
      <c r="L372" s="674">
        <v>32016.714096124986</v>
      </c>
      <c r="M372" s="541"/>
      <c r="N372" s="73"/>
      <c r="O372" s="86"/>
      <c r="P372" s="1817" t="e">
        <f>INDEX(#REF!,MATCH(F372,#REF!,0),2)</f>
        <v>#REF!</v>
      </c>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N372" s="43"/>
      <c r="AO372" s="43"/>
      <c r="AP372" s="43"/>
      <c r="AQ372" s="43"/>
      <c r="AR372" s="43"/>
      <c r="AS372" s="43"/>
      <c r="AT372" s="43"/>
      <c r="AU372" s="43"/>
      <c r="AV372" s="43"/>
    </row>
    <row r="373" spans="1:48" ht="12" customHeight="1">
      <c r="A373" s="762"/>
      <c r="B373" s="762" t="s">
        <v>663</v>
      </c>
      <c r="C373" s="762" t="s">
        <v>652</v>
      </c>
      <c r="D373" s="1599"/>
      <c r="E373" s="2245" t="s">
        <v>1908</v>
      </c>
      <c r="F373" s="763">
        <v>1221</v>
      </c>
      <c r="G373" s="802" t="s">
        <v>1987</v>
      </c>
      <c r="H373" s="745"/>
      <c r="I373" s="801">
        <v>30160.532922849994</v>
      </c>
      <c r="J373" s="780"/>
      <c r="K373" s="781"/>
      <c r="L373" s="800"/>
      <c r="M373" s="746">
        <v>32016.714096124986</v>
      </c>
      <c r="N373" s="149"/>
      <c r="O373" s="86"/>
      <c r="P373" s="1817" t="e">
        <f>INDEX(#REF!,MATCH(F373,#REF!,0),2)</f>
        <v>#REF!</v>
      </c>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N373" s="43"/>
      <c r="AO373" s="43"/>
      <c r="AP373" s="43"/>
      <c r="AQ373" s="43"/>
      <c r="AR373" s="43"/>
      <c r="AS373" s="43"/>
      <c r="AT373" s="43"/>
      <c r="AU373" s="43"/>
      <c r="AV373" s="43"/>
    </row>
    <row r="374" spans="1:48" ht="12" customHeight="1">
      <c r="A374" s="1268"/>
      <c r="B374" s="762" t="s">
        <v>663</v>
      </c>
      <c r="C374" s="762" t="s">
        <v>652</v>
      </c>
      <c r="D374" s="1599"/>
      <c r="E374" s="2245" t="s">
        <v>1908</v>
      </c>
      <c r="F374" s="763">
        <v>1221</v>
      </c>
      <c r="G374" s="1381"/>
      <c r="H374" s="1326"/>
      <c r="I374" s="1361"/>
      <c r="J374" s="1243"/>
      <c r="K374" s="1360"/>
      <c r="L374" s="3797"/>
      <c r="M374" s="1316"/>
      <c r="N374" s="149"/>
      <c r="O374" s="86"/>
      <c r="P374" s="1817" t="e">
        <f>INDEX(#REF!,MATCH(F374,#REF!,0),2)</f>
        <v>#REF!</v>
      </c>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row>
    <row r="375" spans="1:48">
      <c r="A375" s="634"/>
      <c r="B375" s="506" t="s">
        <v>663</v>
      </c>
      <c r="C375" s="506" t="s">
        <v>652</v>
      </c>
      <c r="D375" s="1597">
        <v>340</v>
      </c>
      <c r="E375" s="2093" t="s">
        <v>1908</v>
      </c>
      <c r="F375" s="635">
        <v>1227</v>
      </c>
      <c r="G375" s="432" t="s">
        <v>235</v>
      </c>
      <c r="H375" s="674">
        <v>9540</v>
      </c>
      <c r="I375" s="541"/>
      <c r="J375" s="542"/>
      <c r="K375" s="458"/>
      <c r="L375" s="674">
        <v>12555</v>
      </c>
      <c r="M375" s="541"/>
      <c r="N375" s="83"/>
      <c r="O375" s="86"/>
      <c r="P375" s="1817" t="e">
        <f>INDEX(#REF!,MATCH(F375,#REF!,0),2)</f>
        <v>#REF!</v>
      </c>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N375" s="43"/>
      <c r="AO375" s="43"/>
      <c r="AP375" s="43"/>
      <c r="AQ375" s="43"/>
      <c r="AR375" s="43"/>
      <c r="AS375" s="43"/>
      <c r="AT375" s="43"/>
      <c r="AU375" s="43"/>
      <c r="AV375" s="43"/>
    </row>
    <row r="376" spans="1:48" ht="22.5">
      <c r="A376" s="424"/>
      <c r="B376" s="412" t="s">
        <v>663</v>
      </c>
      <c r="C376" s="412" t="s">
        <v>652</v>
      </c>
      <c r="D376" s="1598"/>
      <c r="E376" s="2104" t="s">
        <v>1908</v>
      </c>
      <c r="F376" s="438">
        <v>1227</v>
      </c>
      <c r="G376" s="772" t="s">
        <v>3355</v>
      </c>
      <c r="H376" s="431"/>
      <c r="I376" s="431">
        <v>9540</v>
      </c>
      <c r="J376" s="444"/>
      <c r="K376" s="685"/>
      <c r="L376" s="431"/>
      <c r="M376" s="431">
        <v>12555</v>
      </c>
      <c r="N376" s="73"/>
      <c r="O376" s="86"/>
      <c r="P376" s="1817" t="e">
        <f>INDEX(#REF!,MATCH(F376,#REF!,0),2)</f>
        <v>#REF!</v>
      </c>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N376" s="43"/>
      <c r="AO376" s="43"/>
      <c r="AP376" s="43"/>
      <c r="AQ376" s="43"/>
      <c r="AR376" s="43"/>
      <c r="AS376" s="43"/>
      <c r="AT376" s="43"/>
      <c r="AU376" s="43"/>
      <c r="AV376" s="43"/>
    </row>
    <row r="377" spans="1:48" ht="20.45" customHeight="1">
      <c r="A377" s="634"/>
      <c r="B377" s="634" t="s">
        <v>663</v>
      </c>
      <c r="C377" s="634" t="s">
        <v>652</v>
      </c>
      <c r="D377" s="1597">
        <v>340</v>
      </c>
      <c r="E377" s="2093" t="s">
        <v>1908</v>
      </c>
      <c r="F377" s="635">
        <v>1228</v>
      </c>
      <c r="G377" s="432" t="s">
        <v>270</v>
      </c>
      <c r="H377" s="674">
        <v>600</v>
      </c>
      <c r="I377" s="620"/>
      <c r="J377" s="542"/>
      <c r="K377" s="458"/>
      <c r="L377" s="674">
        <v>750</v>
      </c>
      <c r="M377" s="541"/>
      <c r="N377" s="2394"/>
      <c r="O377" s="86"/>
      <c r="P377" s="1817" t="e">
        <f>INDEX(#REF!,MATCH(F377,#REF!,0),2)</f>
        <v>#REF!</v>
      </c>
      <c r="Q377" s="11"/>
      <c r="R377" s="11"/>
      <c r="S377" s="11"/>
      <c r="T377" s="11"/>
      <c r="U377" s="11"/>
      <c r="V377" s="11"/>
      <c r="W377" s="4"/>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row>
    <row r="378" spans="1:48" ht="12" customHeight="1">
      <c r="A378" s="424"/>
      <c r="B378" s="424" t="s">
        <v>663</v>
      </c>
      <c r="C378" s="424" t="s">
        <v>652</v>
      </c>
      <c r="D378" s="1598"/>
      <c r="E378" s="2104" t="s">
        <v>1908</v>
      </c>
      <c r="F378" s="438">
        <v>1228</v>
      </c>
      <c r="G378" s="426" t="s">
        <v>3356</v>
      </c>
      <c r="H378" s="750"/>
      <c r="I378" s="431">
        <v>600</v>
      </c>
      <c r="J378" s="444"/>
      <c r="K378" s="685"/>
      <c r="L378" s="431"/>
      <c r="M378" s="431">
        <v>750</v>
      </c>
      <c r="N378" s="2395"/>
      <c r="O378" s="86"/>
      <c r="P378" s="1817" t="e">
        <f>INDEX(#REF!,MATCH(F378,#REF!,0),2)</f>
        <v>#REF!</v>
      </c>
      <c r="Q378" s="11"/>
      <c r="R378" s="11"/>
      <c r="S378" s="11"/>
      <c r="T378" s="11"/>
      <c r="U378" s="11"/>
      <c r="V378" s="11"/>
      <c r="W378" s="4"/>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row>
    <row r="379" spans="1:48" ht="24" customHeight="1">
      <c r="A379" s="634"/>
      <c r="B379" s="634" t="s">
        <v>1248</v>
      </c>
      <c r="C379" s="634" t="s">
        <v>505</v>
      </c>
      <c r="D379" s="1597">
        <v>340</v>
      </c>
      <c r="E379" s="2093" t="s">
        <v>1908</v>
      </c>
      <c r="F379" s="635">
        <v>2111</v>
      </c>
      <c r="G379" s="432" t="s">
        <v>912</v>
      </c>
      <c r="H379" s="674">
        <v>1000</v>
      </c>
      <c r="I379" s="541"/>
      <c r="J379" s="542"/>
      <c r="K379" s="458"/>
      <c r="L379" s="674">
        <v>1000</v>
      </c>
      <c r="M379" s="541"/>
      <c r="N379" s="73"/>
      <c r="O379" s="86"/>
      <c r="P379" s="1817" t="e">
        <f>INDEX(#REF!,MATCH(F379,#REF!,0),2)</f>
        <v>#REF!</v>
      </c>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N379" s="43"/>
      <c r="AO379" s="43"/>
      <c r="AP379" s="43"/>
      <c r="AQ379" s="43"/>
      <c r="AR379" s="43"/>
      <c r="AS379" s="43"/>
      <c r="AT379" s="43"/>
      <c r="AU379" s="43"/>
      <c r="AV379" s="43"/>
    </row>
    <row r="380" spans="1:48" ht="16.149999999999999" customHeight="1">
      <c r="A380" s="424"/>
      <c r="B380" s="424" t="s">
        <v>1248</v>
      </c>
      <c r="C380" s="424" t="s">
        <v>505</v>
      </c>
      <c r="D380" s="1598"/>
      <c r="E380" s="2104" t="s">
        <v>1908</v>
      </c>
      <c r="F380" s="438">
        <v>2111</v>
      </c>
      <c r="G380" s="425" t="s">
        <v>3361</v>
      </c>
      <c r="H380" s="431"/>
      <c r="I380" s="431">
        <v>1000</v>
      </c>
      <c r="J380" s="444"/>
      <c r="K380" s="685"/>
      <c r="L380" s="431"/>
      <c r="M380" s="431">
        <v>1000</v>
      </c>
      <c r="N380" s="73"/>
      <c r="O380" s="86"/>
      <c r="P380" s="1817" t="e">
        <f>INDEX(#REF!,MATCH(F380,#REF!,0),2)</f>
        <v>#REF!</v>
      </c>
      <c r="Q380" s="11"/>
      <c r="R380" s="11"/>
      <c r="S380" s="11"/>
      <c r="T380" s="11"/>
      <c r="U380" s="11"/>
      <c r="V380" s="11"/>
      <c r="W380" s="4"/>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row>
    <row r="381" spans="1:48" ht="20.45" customHeight="1">
      <c r="A381" s="634"/>
      <c r="B381" s="634" t="s">
        <v>1248</v>
      </c>
      <c r="C381" s="634" t="s">
        <v>505</v>
      </c>
      <c r="D381" s="1597">
        <v>340</v>
      </c>
      <c r="E381" s="2093" t="s">
        <v>1908</v>
      </c>
      <c r="F381" s="635">
        <v>2121</v>
      </c>
      <c r="G381" s="432" t="s">
        <v>749</v>
      </c>
      <c r="H381" s="674">
        <v>0</v>
      </c>
      <c r="I381" s="541"/>
      <c r="J381" s="542"/>
      <c r="K381" s="458"/>
      <c r="L381" s="1481">
        <v>0</v>
      </c>
      <c r="M381" s="620"/>
      <c r="N381" s="73"/>
      <c r="O381" s="86"/>
      <c r="P381" s="1817" t="e">
        <f>INDEX(#REF!,MATCH(F381,#REF!,0),2)</f>
        <v>#REF!</v>
      </c>
      <c r="Q381" s="43"/>
      <c r="R381" s="43"/>
      <c r="S381" s="43"/>
      <c r="T381" s="43"/>
      <c r="U381" s="43"/>
      <c r="V381" s="43"/>
      <c r="W381" s="43"/>
      <c r="X381" s="43"/>
      <c r="Y381" s="43"/>
      <c r="Z381" s="43"/>
      <c r="AA381" s="43"/>
      <c r="AB381" s="43"/>
      <c r="AC381" s="43"/>
      <c r="AD381" s="43"/>
      <c r="AE381" s="43"/>
      <c r="AF381" s="43"/>
      <c r="AG381" s="43"/>
      <c r="AH381" s="43"/>
      <c r="AI381" s="43"/>
      <c r="AJ381" s="43"/>
      <c r="AK381" s="43"/>
      <c r="AL381" s="43"/>
      <c r="AM381" s="43"/>
      <c r="AN381" s="43"/>
      <c r="AO381" s="43"/>
      <c r="AP381" s="43"/>
      <c r="AQ381" s="43"/>
      <c r="AR381" s="43"/>
      <c r="AS381" s="43"/>
      <c r="AT381" s="43"/>
      <c r="AU381" s="43"/>
    </row>
    <row r="382" spans="1:48" ht="12.6" customHeight="1">
      <c r="A382" s="424"/>
      <c r="B382" s="424" t="s">
        <v>1248</v>
      </c>
      <c r="C382" s="424" t="s">
        <v>505</v>
      </c>
      <c r="D382" s="1598"/>
      <c r="E382" s="2104" t="s">
        <v>1908</v>
      </c>
      <c r="F382" s="438">
        <v>2121</v>
      </c>
      <c r="G382" s="425"/>
      <c r="H382" s="431"/>
      <c r="I382" s="431">
        <v>0</v>
      </c>
      <c r="J382" s="444"/>
      <c r="K382" s="685"/>
      <c r="L382" s="750"/>
      <c r="M382" s="750">
        <v>0</v>
      </c>
      <c r="N382" s="73"/>
      <c r="O382" s="86"/>
      <c r="P382" s="1817" t="e">
        <f>INDEX(#REF!,MATCH(F382,#REF!,0),2)</f>
        <v>#REF!</v>
      </c>
      <c r="Q382" s="43"/>
      <c r="R382" s="43"/>
      <c r="S382" s="43"/>
      <c r="T382" s="43"/>
      <c r="U382" s="43"/>
      <c r="V382" s="43"/>
      <c r="W382" s="43"/>
      <c r="X382" s="43"/>
      <c r="Y382" s="43"/>
      <c r="Z382" s="43"/>
      <c r="AA382" s="43"/>
      <c r="AB382" s="43"/>
      <c r="AC382" s="43"/>
      <c r="AD382" s="43"/>
      <c r="AE382" s="43"/>
      <c r="AF382" s="43"/>
      <c r="AG382" s="43"/>
      <c r="AH382" s="43"/>
      <c r="AI382" s="43"/>
      <c r="AJ382" s="43"/>
      <c r="AK382" s="43"/>
      <c r="AL382" s="43"/>
      <c r="AM382" s="43"/>
      <c r="AN382" s="43"/>
      <c r="AO382" s="43"/>
      <c r="AP382" s="43"/>
      <c r="AQ382" s="43"/>
      <c r="AR382" s="43"/>
      <c r="AS382" s="43"/>
      <c r="AT382" s="43"/>
      <c r="AU382" s="43"/>
    </row>
    <row r="383" spans="1:48" ht="13.15" customHeight="1">
      <c r="A383" s="634"/>
      <c r="B383" s="634" t="s">
        <v>1248</v>
      </c>
      <c r="C383" s="634" t="s">
        <v>507</v>
      </c>
      <c r="D383" s="1597">
        <v>340</v>
      </c>
      <c r="E383" s="2093" t="s">
        <v>1908</v>
      </c>
      <c r="F383" s="635">
        <v>2210</v>
      </c>
      <c r="G383" s="432" t="s">
        <v>879</v>
      </c>
      <c r="H383" s="674">
        <v>6308</v>
      </c>
      <c r="I383" s="620"/>
      <c r="J383" s="542"/>
      <c r="K383" s="458"/>
      <c r="L383" s="674">
        <v>6480</v>
      </c>
      <c r="M383" s="620"/>
      <c r="N383" s="73"/>
      <c r="O383" s="86"/>
      <c r="P383" s="1817" t="e">
        <f>INDEX(#REF!,MATCH(F383,#REF!,0),2)</f>
        <v>#REF!</v>
      </c>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row>
    <row r="384" spans="1:48" ht="30.6" customHeight="1">
      <c r="A384" s="424"/>
      <c r="B384" s="424" t="s">
        <v>1248</v>
      </c>
      <c r="C384" s="424" t="s">
        <v>507</v>
      </c>
      <c r="D384" s="1598"/>
      <c r="E384" s="2104" t="s">
        <v>1908</v>
      </c>
      <c r="F384" s="438">
        <v>2210</v>
      </c>
      <c r="G384" s="2513" t="s">
        <v>3358</v>
      </c>
      <c r="H384" s="750"/>
      <c r="I384" s="444">
        <v>480</v>
      </c>
      <c r="J384" s="444"/>
      <c r="K384" s="685"/>
      <c r="L384" s="750"/>
      <c r="M384" s="431">
        <v>600</v>
      </c>
      <c r="N384" s="2514" t="s">
        <v>3357</v>
      </c>
      <c r="O384" s="86"/>
      <c r="P384" s="1817" t="e">
        <f>INDEX(#REF!,MATCH(F384,#REF!,0),2)</f>
        <v>#REF!</v>
      </c>
      <c r="Q384" s="43"/>
      <c r="R384" s="43"/>
      <c r="S384" s="43"/>
      <c r="T384" s="43"/>
      <c r="U384" s="43"/>
      <c r="V384" s="43"/>
      <c r="W384" s="43"/>
      <c r="X384" s="43"/>
      <c r="Y384" s="43"/>
      <c r="Z384" s="43"/>
      <c r="AA384" s="43"/>
      <c r="AB384" s="43"/>
      <c r="AC384" s="43"/>
      <c r="AD384" s="43"/>
      <c r="AE384" s="43"/>
      <c r="AF384" s="43"/>
      <c r="AG384" s="43"/>
      <c r="AH384" s="43"/>
      <c r="AI384" s="43"/>
      <c r="AJ384" s="43"/>
      <c r="AK384" s="43"/>
      <c r="AL384" s="43"/>
      <c r="AM384" s="43"/>
      <c r="AN384" s="43"/>
      <c r="AO384" s="43"/>
      <c r="AP384" s="43"/>
      <c r="AQ384" s="43"/>
      <c r="AR384" s="43"/>
      <c r="AS384" s="43"/>
      <c r="AT384" s="43"/>
      <c r="AU384" s="43"/>
      <c r="AV384" s="43"/>
    </row>
    <row r="385" spans="1:48" ht="45" customHeight="1">
      <c r="A385" s="992"/>
      <c r="B385" s="424" t="s">
        <v>1248</v>
      </c>
      <c r="C385" s="424" t="s">
        <v>507</v>
      </c>
      <c r="D385" s="1598"/>
      <c r="E385" s="2104" t="s">
        <v>1908</v>
      </c>
      <c r="F385" s="438">
        <v>2210</v>
      </c>
      <c r="G385" s="996" t="s">
        <v>3359</v>
      </c>
      <c r="H385" s="1019"/>
      <c r="I385" s="966">
        <v>480</v>
      </c>
      <c r="J385" s="966"/>
      <c r="K385" s="967"/>
      <c r="L385" s="1019"/>
      <c r="M385" s="968">
        <v>1440</v>
      </c>
      <c r="N385" s="2514" t="s">
        <v>3360</v>
      </c>
      <c r="O385" s="86"/>
      <c r="P385" s="1817" t="e">
        <f>INDEX(#REF!,MATCH(F385,#REF!,0),2)</f>
        <v>#REF!</v>
      </c>
      <c r="Q385" s="43"/>
      <c r="R385" s="43"/>
      <c r="S385" s="43"/>
      <c r="T385" s="43"/>
      <c r="U385" s="43"/>
      <c r="V385" s="43"/>
      <c r="W385" s="43"/>
      <c r="X385" s="43"/>
      <c r="Y385" s="43"/>
      <c r="Z385" s="43"/>
      <c r="AA385" s="43"/>
      <c r="AB385" s="43"/>
      <c r="AC385" s="43"/>
      <c r="AD385" s="43"/>
      <c r="AE385" s="43"/>
      <c r="AF385" s="43"/>
      <c r="AG385" s="43"/>
      <c r="AH385" s="43"/>
      <c r="AI385" s="43"/>
      <c r="AJ385" s="43"/>
      <c r="AK385" s="43"/>
      <c r="AL385" s="43"/>
      <c r="AM385" s="43"/>
      <c r="AN385" s="43"/>
      <c r="AO385" s="43"/>
      <c r="AP385" s="43"/>
      <c r="AQ385" s="43"/>
      <c r="AR385" s="43"/>
      <c r="AS385" s="43"/>
      <c r="AT385" s="43"/>
      <c r="AU385" s="43"/>
      <c r="AV385" s="43"/>
    </row>
    <row r="386" spans="1:48" ht="19.149999999999999" customHeight="1">
      <c r="A386" s="424"/>
      <c r="B386" s="424" t="s">
        <v>1248</v>
      </c>
      <c r="C386" s="424" t="s">
        <v>507</v>
      </c>
      <c r="D386" s="1598"/>
      <c r="E386" s="2104" t="s">
        <v>1908</v>
      </c>
      <c r="F386" s="438">
        <v>2210</v>
      </c>
      <c r="G386" s="772" t="s">
        <v>3414</v>
      </c>
      <c r="H386" s="431"/>
      <c r="I386" s="433">
        <v>480</v>
      </c>
      <c r="J386" s="441"/>
      <c r="K386" s="580"/>
      <c r="L386" s="750"/>
      <c r="M386" s="433">
        <v>600</v>
      </c>
      <c r="N386" s="149"/>
      <c r="O386" s="86"/>
      <c r="P386" s="1817" t="e">
        <f>INDEX(#REF!,MATCH(F386,#REF!,0),2)</f>
        <v>#REF!</v>
      </c>
      <c r="Q386" s="43"/>
      <c r="R386" s="43"/>
      <c r="S386" s="43"/>
      <c r="T386" s="43"/>
      <c r="U386" s="43"/>
      <c r="V386" s="43"/>
      <c r="W386" s="43"/>
      <c r="X386" s="43"/>
      <c r="Y386" s="43"/>
      <c r="Z386" s="43"/>
      <c r="AA386" s="43"/>
      <c r="AB386" s="43"/>
      <c r="AC386" s="43"/>
      <c r="AD386" s="43"/>
      <c r="AE386" s="43"/>
      <c r="AF386" s="43"/>
      <c r="AG386" s="43"/>
      <c r="AH386" s="43"/>
      <c r="AI386" s="43"/>
      <c r="AJ386" s="43"/>
      <c r="AK386" s="43"/>
      <c r="AL386" s="43"/>
      <c r="AM386" s="43"/>
      <c r="AN386" s="43"/>
      <c r="AO386" s="43"/>
      <c r="AP386" s="43"/>
      <c r="AQ386" s="43"/>
      <c r="AR386" s="43"/>
      <c r="AS386" s="43"/>
      <c r="AT386" s="43"/>
      <c r="AU386" s="43"/>
      <c r="AV386" s="43"/>
    </row>
    <row r="387" spans="1:48" ht="12" customHeight="1">
      <c r="A387" s="424"/>
      <c r="B387" s="424" t="s">
        <v>1248</v>
      </c>
      <c r="C387" s="424" t="s">
        <v>507</v>
      </c>
      <c r="D387" s="1598"/>
      <c r="E387" s="2104" t="s">
        <v>1908</v>
      </c>
      <c r="F387" s="438">
        <v>2210</v>
      </c>
      <c r="G387" s="772" t="s">
        <v>907</v>
      </c>
      <c r="H387" s="431"/>
      <c r="I387" s="431">
        <v>540</v>
      </c>
      <c r="J387" s="444"/>
      <c r="K387" s="685"/>
      <c r="L387" s="750"/>
      <c r="M387" s="750">
        <v>0</v>
      </c>
      <c r="N387" s="73"/>
      <c r="O387" s="86"/>
      <c r="P387" s="1817" t="e">
        <f>INDEX(#REF!,MATCH(F387,#REF!,0),2)</f>
        <v>#REF!</v>
      </c>
      <c r="Q387" s="43"/>
      <c r="R387" s="43"/>
      <c r="S387" s="43"/>
      <c r="T387" s="43"/>
      <c r="U387" s="43"/>
      <c r="V387" s="43"/>
      <c r="W387" s="43"/>
      <c r="X387" s="43"/>
      <c r="Y387" s="43"/>
      <c r="Z387" s="43"/>
      <c r="AA387" s="43"/>
      <c r="AB387" s="43"/>
      <c r="AC387" s="43"/>
      <c r="AD387" s="43"/>
      <c r="AE387" s="43"/>
      <c r="AF387" s="43"/>
      <c r="AG387" s="43"/>
      <c r="AH387" s="43"/>
      <c r="AI387" s="43"/>
      <c r="AJ387" s="43"/>
      <c r="AK387" s="43"/>
      <c r="AL387" s="43"/>
      <c r="AM387" s="43"/>
      <c r="AN387" s="43"/>
      <c r="AO387" s="43"/>
      <c r="AP387" s="43"/>
      <c r="AQ387" s="43"/>
      <c r="AR387" s="43"/>
      <c r="AS387" s="43"/>
      <c r="AT387" s="43"/>
      <c r="AU387" s="43"/>
      <c r="AV387" s="43"/>
    </row>
    <row r="388" spans="1:48" ht="12" customHeight="1">
      <c r="A388" s="424"/>
      <c r="B388" s="424" t="s">
        <v>1248</v>
      </c>
      <c r="C388" s="424" t="s">
        <v>507</v>
      </c>
      <c r="D388" s="1598"/>
      <c r="E388" s="2104" t="s">
        <v>1908</v>
      </c>
      <c r="F388" s="438">
        <v>2210</v>
      </c>
      <c r="G388" s="772" t="s">
        <v>908</v>
      </c>
      <c r="H388" s="431"/>
      <c r="I388" s="431">
        <v>876</v>
      </c>
      <c r="J388" s="444"/>
      <c r="K388" s="685"/>
      <c r="L388" s="750"/>
      <c r="M388" s="750">
        <v>0</v>
      </c>
      <c r="N388" s="149"/>
      <c r="O388" s="86"/>
      <c r="P388" s="1817" t="e">
        <f>INDEX(#REF!,MATCH(F388,#REF!,0),2)</f>
        <v>#REF!</v>
      </c>
      <c r="Q388" s="43"/>
      <c r="R388" s="43"/>
      <c r="S388" s="43"/>
      <c r="T388" s="43"/>
      <c r="U388" s="43"/>
      <c r="V388" s="43"/>
      <c r="W388" s="43"/>
      <c r="X388" s="43"/>
      <c r="Y388" s="43"/>
      <c r="Z388" s="43"/>
      <c r="AA388" s="43"/>
      <c r="AB388" s="43"/>
      <c r="AC388" s="43"/>
      <c r="AD388" s="43"/>
      <c r="AE388" s="43"/>
      <c r="AF388" s="43"/>
      <c r="AG388" s="43"/>
      <c r="AH388" s="43"/>
      <c r="AI388" s="43"/>
      <c r="AJ388" s="43"/>
      <c r="AK388" s="43"/>
      <c r="AL388" s="43"/>
      <c r="AM388" s="43"/>
      <c r="AN388" s="43"/>
      <c r="AO388" s="43"/>
      <c r="AP388" s="43"/>
      <c r="AQ388" s="43"/>
      <c r="AR388" s="43"/>
      <c r="AS388" s="43"/>
      <c r="AT388" s="43"/>
      <c r="AU388" s="43"/>
      <c r="AV388" s="43"/>
    </row>
    <row r="389" spans="1:48" ht="12" customHeight="1">
      <c r="A389" s="424"/>
      <c r="B389" s="424" t="s">
        <v>1248</v>
      </c>
      <c r="C389" s="424" t="s">
        <v>507</v>
      </c>
      <c r="D389" s="1598"/>
      <c r="E389" s="2104" t="s">
        <v>1908</v>
      </c>
      <c r="F389" s="438">
        <v>2210</v>
      </c>
      <c r="G389" s="772" t="s">
        <v>3362</v>
      </c>
      <c r="H389" s="431"/>
      <c r="I389" s="431">
        <v>2000</v>
      </c>
      <c r="J389" s="444"/>
      <c r="K389" s="685"/>
      <c r="L389" s="750"/>
      <c r="M389" s="431">
        <v>2280</v>
      </c>
      <c r="N389" s="2515" t="s">
        <v>3363</v>
      </c>
      <c r="O389" s="86"/>
      <c r="P389" s="1817" t="e">
        <f>INDEX(#REF!,MATCH(F389,#REF!,0),2)</f>
        <v>#REF!</v>
      </c>
      <c r="Q389" s="43"/>
      <c r="R389" s="43"/>
      <c r="S389" s="43"/>
      <c r="T389" s="43"/>
      <c r="U389" s="43"/>
      <c r="V389" s="43"/>
      <c r="W389" s="43"/>
      <c r="X389" s="43"/>
      <c r="Y389" s="43"/>
      <c r="Z389" s="43"/>
      <c r="AA389" s="43"/>
      <c r="AB389" s="43"/>
      <c r="AC389" s="43"/>
      <c r="AD389" s="43"/>
      <c r="AE389" s="43"/>
      <c r="AF389" s="43"/>
      <c r="AG389" s="43"/>
      <c r="AH389" s="43"/>
      <c r="AI389" s="43"/>
      <c r="AJ389" s="43"/>
      <c r="AK389" s="43"/>
      <c r="AL389" s="43"/>
      <c r="AM389" s="43"/>
      <c r="AN389" s="43"/>
      <c r="AO389" s="43"/>
      <c r="AP389" s="43"/>
      <c r="AQ389" s="43"/>
      <c r="AR389" s="43"/>
      <c r="AS389" s="43"/>
      <c r="AT389" s="43"/>
      <c r="AU389" s="43"/>
      <c r="AV389" s="43"/>
    </row>
    <row r="390" spans="1:48" ht="21.6" customHeight="1">
      <c r="A390" s="424"/>
      <c r="B390" s="424" t="s">
        <v>1248</v>
      </c>
      <c r="C390" s="424" t="s">
        <v>507</v>
      </c>
      <c r="D390" s="1598"/>
      <c r="E390" s="2104" t="s">
        <v>1908</v>
      </c>
      <c r="F390" s="438">
        <v>2210</v>
      </c>
      <c r="G390" s="772" t="s">
        <v>3364</v>
      </c>
      <c r="H390" s="431"/>
      <c r="I390" s="433">
        <v>1452</v>
      </c>
      <c r="J390" s="441"/>
      <c r="K390" s="421"/>
      <c r="L390" s="750"/>
      <c r="M390" s="433">
        <v>1560</v>
      </c>
      <c r="N390" s="73"/>
      <c r="O390" s="86"/>
      <c r="P390" s="1817" t="e">
        <f>INDEX(#REF!,MATCH(F390,#REF!,0),2)</f>
        <v>#REF!</v>
      </c>
      <c r="Q390" s="11"/>
      <c r="R390" s="11"/>
      <c r="S390" s="11"/>
      <c r="T390" s="11"/>
      <c r="U390" s="11"/>
      <c r="V390" s="11"/>
      <c r="W390" s="4"/>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row>
    <row r="391" spans="1:48" s="81" customFormat="1" ht="14.45" customHeight="1">
      <c r="A391" s="634" t="s">
        <v>1133</v>
      </c>
      <c r="B391" s="634" t="s">
        <v>1248</v>
      </c>
      <c r="C391" s="634" t="s">
        <v>505</v>
      </c>
      <c r="D391" s="1597">
        <v>340</v>
      </c>
      <c r="E391" s="2093" t="s">
        <v>1908</v>
      </c>
      <c r="F391" s="635">
        <v>2221</v>
      </c>
      <c r="G391" s="432" t="s">
        <v>958</v>
      </c>
      <c r="H391" s="674">
        <v>3000</v>
      </c>
      <c r="I391" s="541"/>
      <c r="J391" s="542"/>
      <c r="K391" s="458"/>
      <c r="L391" s="674">
        <v>3000</v>
      </c>
      <c r="M391" s="541"/>
      <c r="N391" s="73"/>
      <c r="O391" s="86"/>
      <c r="P391" s="1817" t="e">
        <f>INDEX(#REF!,MATCH(F391,#REF!,0),2)</f>
        <v>#REF!</v>
      </c>
      <c r="Q391" s="43"/>
      <c r="R391" s="43"/>
      <c r="S391" s="43"/>
      <c r="T391" s="43"/>
      <c r="U391" s="43"/>
      <c r="V391" s="43"/>
      <c r="W391" s="43"/>
      <c r="X391" s="43"/>
      <c r="Y391" s="43"/>
      <c r="Z391" s="43"/>
      <c r="AA391" s="43"/>
      <c r="AB391" s="43"/>
      <c r="AC391" s="43"/>
      <c r="AD391" s="43"/>
      <c r="AE391" s="43"/>
      <c r="AF391" s="43"/>
      <c r="AG391" s="43"/>
      <c r="AH391" s="43"/>
      <c r="AI391" s="43"/>
      <c r="AJ391" s="43"/>
      <c r="AK391" s="43"/>
      <c r="AL391" s="43"/>
      <c r="AM391" s="43"/>
      <c r="AN391" s="43"/>
      <c r="AO391" s="43"/>
      <c r="AP391" s="43"/>
      <c r="AQ391" s="43"/>
      <c r="AR391" s="43"/>
      <c r="AS391" s="43"/>
      <c r="AT391" s="43"/>
      <c r="AU391" s="43"/>
      <c r="AV391" s="43"/>
    </row>
    <row r="392" spans="1:48" ht="12" customHeight="1">
      <c r="A392" s="762" t="s">
        <v>1133</v>
      </c>
      <c r="B392" s="762" t="s">
        <v>1248</v>
      </c>
      <c r="C392" s="762" t="s">
        <v>505</v>
      </c>
      <c r="D392" s="1599"/>
      <c r="E392" s="2245" t="s">
        <v>1908</v>
      </c>
      <c r="F392" s="763">
        <v>2221</v>
      </c>
      <c r="G392" s="802" t="s">
        <v>1195</v>
      </c>
      <c r="H392" s="799"/>
      <c r="I392" s="801">
        <v>3000</v>
      </c>
      <c r="J392" s="780"/>
      <c r="K392" s="781"/>
      <c r="L392" s="800"/>
      <c r="M392" s="2083">
        <v>3000</v>
      </c>
      <c r="N392" s="2396" t="s">
        <v>3365</v>
      </c>
      <c r="O392" s="86"/>
      <c r="P392" s="1817" t="e">
        <f>INDEX(#REF!,MATCH(F392,#REF!,0),2)</f>
        <v>#REF!</v>
      </c>
      <c r="Q392" s="43"/>
      <c r="R392" s="43"/>
      <c r="S392" s="43"/>
      <c r="T392" s="43"/>
      <c r="U392" s="43"/>
      <c r="V392" s="43"/>
      <c r="W392" s="43"/>
      <c r="X392" s="43"/>
      <c r="Y392" s="43"/>
      <c r="Z392" s="43"/>
      <c r="AA392" s="43"/>
      <c r="AB392" s="43"/>
      <c r="AC392" s="43"/>
      <c r="AD392" s="43"/>
      <c r="AE392" s="43"/>
      <c r="AF392" s="43"/>
      <c r="AG392" s="43"/>
      <c r="AH392" s="43"/>
      <c r="AI392" s="43"/>
      <c r="AJ392" s="43"/>
      <c r="AK392" s="43"/>
      <c r="AL392" s="43"/>
      <c r="AM392" s="43"/>
      <c r="AN392" s="43"/>
      <c r="AO392" s="43"/>
      <c r="AP392" s="43"/>
      <c r="AQ392" s="43"/>
      <c r="AR392" s="43"/>
      <c r="AS392" s="43"/>
      <c r="AT392" s="43"/>
      <c r="AU392" s="43"/>
      <c r="AV392" s="43"/>
    </row>
    <row r="393" spans="1:48" s="81" customFormat="1" ht="14.45" customHeight="1">
      <c r="A393" s="634"/>
      <c r="B393" s="634" t="s">
        <v>1248</v>
      </c>
      <c r="C393" s="634" t="s">
        <v>505</v>
      </c>
      <c r="D393" s="1597">
        <v>340</v>
      </c>
      <c r="E393" s="2093" t="s">
        <v>1908</v>
      </c>
      <c r="F393" s="635">
        <v>2222</v>
      </c>
      <c r="G393" s="432" t="s">
        <v>272</v>
      </c>
      <c r="H393" s="674">
        <v>1150</v>
      </c>
      <c r="I393" s="541"/>
      <c r="J393" s="542"/>
      <c r="K393" s="458"/>
      <c r="L393" s="674">
        <v>720</v>
      </c>
      <c r="M393" s="1244"/>
      <c r="N393" s="73"/>
      <c r="O393" s="86"/>
      <c r="P393" s="1817" t="e">
        <f>INDEX(#REF!,MATCH(F393,#REF!,0),2)</f>
        <v>#REF!</v>
      </c>
      <c r="Q393" s="43"/>
      <c r="R393" s="43"/>
      <c r="S393" s="43"/>
      <c r="T393" s="43"/>
      <c r="U393" s="43"/>
      <c r="V393" s="43"/>
      <c r="W393" s="43"/>
      <c r="X393" s="43"/>
      <c r="Y393" s="43"/>
      <c r="Z393" s="43"/>
      <c r="AA393" s="43"/>
      <c r="AB393" s="43"/>
      <c r="AC393" s="43"/>
      <c r="AD393" s="43"/>
      <c r="AE393" s="43"/>
      <c r="AF393" s="43"/>
      <c r="AG393" s="43"/>
      <c r="AH393" s="43"/>
      <c r="AI393" s="43"/>
      <c r="AJ393" s="43"/>
      <c r="AK393" s="43"/>
      <c r="AL393" s="43"/>
      <c r="AM393" s="43"/>
      <c r="AN393" s="43"/>
      <c r="AO393" s="43"/>
      <c r="AP393" s="43"/>
      <c r="AQ393" s="43"/>
      <c r="AR393" s="43"/>
      <c r="AS393" s="43"/>
      <c r="AT393" s="43"/>
      <c r="AU393" s="43"/>
      <c r="AV393" s="43"/>
    </row>
    <row r="394" spans="1:48" ht="11.45" customHeight="1">
      <c r="A394" s="424"/>
      <c r="B394" s="424" t="s">
        <v>1248</v>
      </c>
      <c r="C394" s="424" t="s">
        <v>505</v>
      </c>
      <c r="D394" s="1598"/>
      <c r="E394" s="2104" t="s">
        <v>1908</v>
      </c>
      <c r="F394" s="438">
        <v>2222</v>
      </c>
      <c r="G394" s="751" t="s">
        <v>3367</v>
      </c>
      <c r="H394" s="752"/>
      <c r="I394" s="752">
        <v>1150</v>
      </c>
      <c r="J394" s="753"/>
      <c r="K394" s="754"/>
      <c r="L394" s="752"/>
      <c r="M394" s="1020">
        <v>720</v>
      </c>
      <c r="N394" s="2514" t="s">
        <v>3366</v>
      </c>
      <c r="O394" s="86"/>
      <c r="P394" s="1817" t="e">
        <f>INDEX(#REF!,MATCH(F394,#REF!,0),2)</f>
        <v>#REF!</v>
      </c>
      <c r="Q394" s="43"/>
      <c r="R394" s="43"/>
      <c r="S394" s="43"/>
      <c r="T394" s="43"/>
      <c r="U394" s="43"/>
      <c r="V394" s="43"/>
      <c r="W394" s="43"/>
      <c r="X394" s="43"/>
      <c r="Y394" s="43"/>
      <c r="Z394" s="43"/>
      <c r="AA394" s="43"/>
      <c r="AB394" s="43"/>
      <c r="AC394" s="43"/>
      <c r="AD394" s="43"/>
      <c r="AE394" s="43"/>
      <c r="AF394" s="43"/>
      <c r="AG394" s="43"/>
      <c r="AH394" s="43"/>
      <c r="AI394" s="43"/>
      <c r="AJ394" s="43"/>
      <c r="AK394" s="43"/>
      <c r="AL394" s="43"/>
      <c r="AM394" s="43"/>
      <c r="AN394" s="43"/>
      <c r="AO394" s="43"/>
      <c r="AP394" s="43"/>
      <c r="AQ394" s="43"/>
      <c r="AR394" s="43"/>
      <c r="AS394" s="43"/>
      <c r="AT394" s="43"/>
      <c r="AU394" s="43"/>
      <c r="AV394" s="43"/>
    </row>
    <row r="395" spans="1:48" ht="15.6" customHeight="1">
      <c r="A395" s="634" t="s">
        <v>1133</v>
      </c>
      <c r="B395" s="755" t="s">
        <v>1248</v>
      </c>
      <c r="C395" s="755" t="s">
        <v>505</v>
      </c>
      <c r="D395" s="1600">
        <v>340</v>
      </c>
      <c r="E395" s="2247" t="s">
        <v>1908</v>
      </c>
      <c r="F395" s="756">
        <v>2223</v>
      </c>
      <c r="G395" s="757" t="s">
        <v>273</v>
      </c>
      <c r="H395" s="758">
        <v>10500</v>
      </c>
      <c r="I395" s="759"/>
      <c r="J395" s="760"/>
      <c r="K395" s="761"/>
      <c r="L395" s="758">
        <v>5400</v>
      </c>
      <c r="M395" s="1244"/>
      <c r="N395" s="73"/>
      <c r="O395" s="86"/>
      <c r="P395" s="1817" t="e">
        <f>INDEX(#REF!,MATCH(F395,#REF!,0),2)</f>
        <v>#REF!</v>
      </c>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row>
    <row r="396" spans="1:48" ht="19.899999999999999" customHeight="1">
      <c r="A396" s="762" t="s">
        <v>1133</v>
      </c>
      <c r="B396" s="762" t="s">
        <v>1248</v>
      </c>
      <c r="C396" s="762" t="s">
        <v>505</v>
      </c>
      <c r="D396" s="1599"/>
      <c r="E396" s="2245" t="s">
        <v>1908</v>
      </c>
      <c r="F396" s="763">
        <v>2223</v>
      </c>
      <c r="G396" s="751" t="s">
        <v>3368</v>
      </c>
      <c r="H396" s="752"/>
      <c r="I396" s="752">
        <v>10500</v>
      </c>
      <c r="J396" s="753"/>
      <c r="K396" s="754"/>
      <c r="L396" s="752"/>
      <c r="M396" s="2084">
        <v>5400</v>
      </c>
      <c r="N396" s="2396" t="s">
        <v>3365</v>
      </c>
      <c r="O396" s="86"/>
      <c r="P396" s="1817" t="e">
        <f>INDEX(#REF!,MATCH(F396,#REF!,0),2)</f>
        <v>#REF!</v>
      </c>
      <c r="Q396" s="11"/>
      <c r="R396" s="11"/>
      <c r="S396" s="11"/>
      <c r="T396" s="11"/>
      <c r="U396" s="11"/>
      <c r="V396" s="11"/>
      <c r="W396" s="4"/>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row>
    <row r="397" spans="1:48" ht="38.450000000000003" customHeight="1">
      <c r="A397" s="634" t="s">
        <v>1133</v>
      </c>
      <c r="B397" s="755" t="s">
        <v>1248</v>
      </c>
      <c r="C397" s="755" t="s">
        <v>505</v>
      </c>
      <c r="D397" s="1600">
        <v>340</v>
      </c>
      <c r="E397" s="2247" t="s">
        <v>1908</v>
      </c>
      <c r="F397" s="756">
        <v>2224</v>
      </c>
      <c r="G397" s="757" t="s">
        <v>274</v>
      </c>
      <c r="H397" s="758">
        <v>444</v>
      </c>
      <c r="I397" s="759"/>
      <c r="J397" s="760"/>
      <c r="K397" s="761"/>
      <c r="L397" s="758">
        <v>480</v>
      </c>
      <c r="M397" s="1244"/>
      <c r="N397" s="73"/>
      <c r="O397" s="86"/>
      <c r="P397" s="1817" t="e">
        <f>INDEX(#REF!,MATCH(F397,#REF!,0),2)</f>
        <v>#REF!</v>
      </c>
      <c r="Q397" s="11"/>
      <c r="R397" s="11"/>
      <c r="S397" s="11"/>
      <c r="T397" s="11"/>
      <c r="U397" s="11"/>
      <c r="V397" s="11"/>
      <c r="W397" s="4"/>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row>
    <row r="398" spans="1:48" ht="23.45" customHeight="1">
      <c r="A398" s="762" t="s">
        <v>1133</v>
      </c>
      <c r="B398" s="762" t="s">
        <v>1248</v>
      </c>
      <c r="C398" s="762" t="s">
        <v>505</v>
      </c>
      <c r="D398" s="1599"/>
      <c r="E398" s="2245" t="s">
        <v>1908</v>
      </c>
      <c r="F398" s="763">
        <v>2224</v>
      </c>
      <c r="G398" s="751" t="s">
        <v>3371</v>
      </c>
      <c r="H398" s="752"/>
      <c r="I398" s="752">
        <v>444</v>
      </c>
      <c r="J398" s="753"/>
      <c r="K398" s="754"/>
      <c r="L398" s="752"/>
      <c r="M398" s="1020">
        <v>480</v>
      </c>
      <c r="N398" s="73"/>
      <c r="O398" s="86"/>
      <c r="P398" s="1817" t="e">
        <f>INDEX(#REF!,MATCH(F398,#REF!,0),2)</f>
        <v>#REF!</v>
      </c>
      <c r="Q398" s="43"/>
      <c r="R398" s="43"/>
      <c r="S398" s="43"/>
      <c r="T398" s="43"/>
      <c r="U398" s="43"/>
      <c r="V398" s="43"/>
      <c r="W398" s="43"/>
      <c r="X398" s="43"/>
      <c r="Y398" s="43"/>
      <c r="Z398" s="43"/>
      <c r="AA398" s="43"/>
      <c r="AB398" s="43"/>
      <c r="AC398" s="43"/>
      <c r="AD398" s="43"/>
      <c r="AE398" s="43"/>
      <c r="AF398" s="43"/>
      <c r="AG398" s="43"/>
      <c r="AH398" s="43"/>
      <c r="AI398" s="43"/>
      <c r="AJ398" s="43"/>
      <c r="AK398" s="43"/>
      <c r="AL398" s="43"/>
      <c r="AM398" s="43"/>
      <c r="AN398" s="43"/>
      <c r="AO398" s="43"/>
      <c r="AP398" s="43"/>
      <c r="AQ398" s="43"/>
      <c r="AR398" s="43"/>
      <c r="AS398" s="43"/>
      <c r="AT398" s="43"/>
      <c r="AU398" s="43"/>
      <c r="AV398" s="43"/>
    </row>
    <row r="399" spans="1:48" ht="20.45" customHeight="1">
      <c r="A399" s="755"/>
      <c r="B399" s="755" t="s">
        <v>1248</v>
      </c>
      <c r="C399" s="755" t="s">
        <v>505</v>
      </c>
      <c r="D399" s="1600">
        <v>340</v>
      </c>
      <c r="E399" s="2247" t="s">
        <v>1908</v>
      </c>
      <c r="F399" s="756">
        <v>2235</v>
      </c>
      <c r="G399" s="757" t="s">
        <v>1570</v>
      </c>
      <c r="H399" s="758">
        <v>1800</v>
      </c>
      <c r="I399" s="759"/>
      <c r="J399" s="760"/>
      <c r="K399" s="761"/>
      <c r="L399" s="758">
        <v>1800</v>
      </c>
      <c r="M399" s="759"/>
      <c r="N399" s="83"/>
      <c r="O399" s="86"/>
      <c r="P399" s="1817" t="e">
        <f>INDEX(#REF!,MATCH(F399,#REF!,0),2)</f>
        <v>#REF!</v>
      </c>
      <c r="Q399" s="11"/>
      <c r="R399" s="11"/>
      <c r="S399" s="11"/>
      <c r="T399" s="11"/>
      <c r="U399" s="11"/>
      <c r="V399" s="11"/>
      <c r="W399" s="4"/>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row>
    <row r="400" spans="1:48" ht="12" customHeight="1">
      <c r="A400" s="762"/>
      <c r="B400" s="762" t="s">
        <v>1248</v>
      </c>
      <c r="C400" s="762" t="s">
        <v>505</v>
      </c>
      <c r="D400" s="1599"/>
      <c r="E400" s="2245" t="s">
        <v>1908</v>
      </c>
      <c r="F400" s="763">
        <v>2235</v>
      </c>
      <c r="G400" s="44" t="s">
        <v>1766</v>
      </c>
      <c r="H400" s="752"/>
      <c r="I400" s="765">
        <v>1800</v>
      </c>
      <c r="J400" s="765"/>
      <c r="K400" s="766"/>
      <c r="L400" s="752"/>
      <c r="M400" s="764">
        <v>1800</v>
      </c>
      <c r="N400" s="73"/>
      <c r="O400" s="86"/>
      <c r="P400" s="1817" t="e">
        <f>INDEX(#REF!,MATCH(F400,#REF!,0),2)</f>
        <v>#REF!</v>
      </c>
      <c r="Q400" s="1779"/>
      <c r="R400" s="1779"/>
      <c r="S400" s="1779"/>
      <c r="T400" s="1779"/>
      <c r="U400" s="1779"/>
      <c r="V400" s="1779"/>
      <c r="W400" s="43"/>
      <c r="X400" s="1779"/>
      <c r="Y400" s="1779"/>
      <c r="Z400" s="1779"/>
      <c r="AA400" s="1779"/>
      <c r="AB400" s="1779"/>
      <c r="AC400" s="1779"/>
      <c r="AD400" s="1779"/>
      <c r="AE400" s="1779"/>
      <c r="AF400" s="1779"/>
      <c r="AG400" s="1779"/>
      <c r="AH400" s="1779"/>
      <c r="AI400" s="1779"/>
      <c r="AJ400" s="1779"/>
      <c r="AK400" s="1779"/>
      <c r="AL400" s="1779"/>
      <c r="AM400" s="1779"/>
      <c r="AN400" s="1779"/>
      <c r="AO400" s="1779"/>
      <c r="AP400" s="1779"/>
      <c r="AQ400" s="1779"/>
      <c r="AR400" s="1779"/>
      <c r="AS400" s="1779"/>
      <c r="AT400" s="1779"/>
      <c r="AU400" s="1779"/>
      <c r="AV400" s="1779"/>
    </row>
    <row r="401" spans="1:48" ht="11.45" customHeight="1">
      <c r="A401" s="755"/>
      <c r="B401" s="755" t="s">
        <v>1248</v>
      </c>
      <c r="C401" s="755" t="s">
        <v>507</v>
      </c>
      <c r="D401" s="1600">
        <v>340</v>
      </c>
      <c r="E401" s="2247" t="s">
        <v>1908</v>
      </c>
      <c r="F401" s="756">
        <v>2239</v>
      </c>
      <c r="G401" s="757" t="s">
        <v>275</v>
      </c>
      <c r="H401" s="758">
        <v>23745</v>
      </c>
      <c r="I401" s="767"/>
      <c r="J401" s="760"/>
      <c r="K401" s="761"/>
      <c r="L401" s="758">
        <v>25941</v>
      </c>
      <c r="M401" s="767"/>
      <c r="N401" s="73"/>
      <c r="O401" s="86"/>
      <c r="P401" s="1817" t="e">
        <f>INDEX(#REF!,MATCH(F401,#REF!,0),2)</f>
        <v>#REF!</v>
      </c>
      <c r="Q401" s="1779"/>
      <c r="R401" s="1779"/>
      <c r="S401" s="1779"/>
      <c r="T401" s="1779"/>
      <c r="U401" s="1779"/>
      <c r="V401" s="1779"/>
      <c r="W401" s="43"/>
      <c r="X401" s="1779"/>
      <c r="Y401" s="1779"/>
      <c r="Z401" s="1779"/>
      <c r="AA401" s="1779"/>
      <c r="AB401" s="1779"/>
      <c r="AC401" s="1779"/>
      <c r="AD401" s="1779"/>
      <c r="AE401" s="1779"/>
      <c r="AF401" s="1779"/>
      <c r="AG401" s="1779"/>
      <c r="AH401" s="1779"/>
      <c r="AI401" s="1779"/>
      <c r="AJ401" s="1779"/>
      <c r="AK401" s="1779"/>
      <c r="AL401" s="1779"/>
      <c r="AM401" s="1779"/>
      <c r="AN401" s="1779"/>
      <c r="AO401" s="1779"/>
      <c r="AP401" s="1779"/>
      <c r="AQ401" s="1779"/>
      <c r="AR401" s="1779"/>
      <c r="AS401" s="1779"/>
      <c r="AT401" s="1779"/>
      <c r="AU401" s="1779"/>
      <c r="AV401" s="1779"/>
    </row>
    <row r="402" spans="1:48" ht="33" customHeight="1">
      <c r="A402" s="768"/>
      <c r="B402" s="762" t="s">
        <v>1248</v>
      </c>
      <c r="C402" s="762" t="s">
        <v>507</v>
      </c>
      <c r="D402" s="1599"/>
      <c r="E402" s="2245" t="s">
        <v>1908</v>
      </c>
      <c r="F402" s="763">
        <v>2239</v>
      </c>
      <c r="G402" s="751" t="s">
        <v>3415</v>
      </c>
      <c r="H402" s="769"/>
      <c r="I402" s="752">
        <v>455</v>
      </c>
      <c r="J402" s="753"/>
      <c r="K402" s="754"/>
      <c r="L402" s="769"/>
      <c r="M402" s="1892">
        <v>560</v>
      </c>
      <c r="N402" s="1779" t="s">
        <v>3375</v>
      </c>
      <c r="O402" s="86"/>
      <c r="P402" s="1817" t="e">
        <f>INDEX(#REF!,MATCH(F402,#REF!,0),2)</f>
        <v>#REF!</v>
      </c>
      <c r="Q402" s="1779"/>
      <c r="R402" s="1779"/>
      <c r="S402" s="1779"/>
      <c r="T402" s="1779"/>
      <c r="U402" s="1779"/>
      <c r="V402" s="1779"/>
      <c r="W402" s="43"/>
      <c r="X402" s="1779"/>
      <c r="Y402" s="1779"/>
      <c r="Z402" s="1779"/>
      <c r="AA402" s="1779"/>
      <c r="AB402" s="1779"/>
      <c r="AC402" s="1779"/>
      <c r="AD402" s="1779"/>
      <c r="AE402" s="1779"/>
      <c r="AF402" s="1779"/>
      <c r="AG402" s="1779"/>
      <c r="AH402" s="1779"/>
      <c r="AI402" s="1779"/>
      <c r="AJ402" s="1779"/>
      <c r="AK402" s="1779"/>
      <c r="AL402" s="1779"/>
      <c r="AM402" s="1779"/>
      <c r="AN402" s="1779"/>
      <c r="AO402" s="1779"/>
      <c r="AP402" s="1779"/>
      <c r="AQ402" s="1779"/>
      <c r="AR402" s="1779"/>
      <c r="AS402" s="1779"/>
      <c r="AT402" s="1779"/>
      <c r="AU402" s="1779"/>
      <c r="AV402" s="1779"/>
    </row>
    <row r="403" spans="1:48" ht="15.6" customHeight="1">
      <c r="A403" s="768"/>
      <c r="B403" s="762" t="s">
        <v>1248</v>
      </c>
      <c r="C403" s="762" t="s">
        <v>507</v>
      </c>
      <c r="D403" s="1599"/>
      <c r="E403" s="2245" t="s">
        <v>1908</v>
      </c>
      <c r="F403" s="763">
        <v>2239</v>
      </c>
      <c r="G403" s="751" t="s">
        <v>3372</v>
      </c>
      <c r="H403" s="750"/>
      <c r="I403" s="431">
        <v>17</v>
      </c>
      <c r="J403" s="444"/>
      <c r="K403" s="685"/>
      <c r="L403" s="750"/>
      <c r="M403" s="1892">
        <v>48</v>
      </c>
      <c r="N403" s="43"/>
      <c r="O403" s="86"/>
      <c r="P403" s="1817" t="e">
        <f>INDEX(#REF!,MATCH(F403,#REF!,0),2)</f>
        <v>#REF!</v>
      </c>
      <c r="Q403" s="1779"/>
      <c r="R403" s="1779"/>
      <c r="S403" s="1779"/>
      <c r="T403" s="1779"/>
      <c r="U403" s="1779"/>
      <c r="V403" s="1779"/>
      <c r="W403" s="43"/>
      <c r="X403" s="1779"/>
      <c r="Y403" s="1779"/>
      <c r="Z403" s="1779"/>
      <c r="AA403" s="1779"/>
      <c r="AB403" s="1779"/>
      <c r="AC403" s="1779"/>
      <c r="AD403" s="1779"/>
      <c r="AE403" s="1779"/>
      <c r="AF403" s="1779"/>
      <c r="AG403" s="1779"/>
      <c r="AH403" s="1779"/>
      <c r="AI403" s="1779"/>
      <c r="AJ403" s="1779"/>
      <c r="AK403" s="1779"/>
      <c r="AL403" s="1779"/>
      <c r="AM403" s="1779"/>
      <c r="AN403" s="1779"/>
      <c r="AO403" s="1779"/>
      <c r="AP403" s="1779"/>
      <c r="AQ403" s="1779"/>
      <c r="AR403" s="1779"/>
      <c r="AS403" s="1779"/>
      <c r="AT403" s="1779"/>
      <c r="AU403" s="1779"/>
      <c r="AV403" s="1779"/>
    </row>
    <row r="404" spans="1:48" ht="13.9" customHeight="1">
      <c r="A404" s="428"/>
      <c r="B404" s="424" t="s">
        <v>1248</v>
      </c>
      <c r="C404" s="424" t="s">
        <v>507</v>
      </c>
      <c r="D404" s="1598"/>
      <c r="E404" s="2104" t="s">
        <v>1908</v>
      </c>
      <c r="F404" s="438">
        <v>2239</v>
      </c>
      <c r="G404" s="751" t="s">
        <v>3373</v>
      </c>
      <c r="H404" s="750"/>
      <c r="I404" s="431">
        <v>83</v>
      </c>
      <c r="J404" s="444"/>
      <c r="K404" s="685"/>
      <c r="L404" s="750"/>
      <c r="M404" s="1892">
        <v>83</v>
      </c>
      <c r="N404" s="43"/>
      <c r="O404" s="86"/>
      <c r="P404" s="1817" t="e">
        <f>INDEX(#REF!,MATCH(F404,#REF!,0),2)</f>
        <v>#REF!</v>
      </c>
      <c r="Q404" s="1779"/>
      <c r="R404" s="1779"/>
      <c r="S404" s="1779"/>
      <c r="T404" s="1779"/>
      <c r="U404" s="1779"/>
      <c r="V404" s="1779"/>
      <c r="W404" s="43"/>
      <c r="X404" s="1779"/>
      <c r="Y404" s="1779"/>
      <c r="Z404" s="1779"/>
      <c r="AA404" s="1779"/>
      <c r="AB404" s="1779"/>
      <c r="AC404" s="1779"/>
      <c r="AD404" s="1779"/>
      <c r="AE404" s="1779"/>
      <c r="AF404" s="1779"/>
      <c r="AG404" s="1779"/>
      <c r="AH404" s="1779"/>
      <c r="AI404" s="1779"/>
      <c r="AJ404" s="1779"/>
      <c r="AK404" s="1779"/>
      <c r="AL404" s="1779"/>
      <c r="AM404" s="1779"/>
      <c r="AN404" s="1779"/>
      <c r="AO404" s="1779"/>
      <c r="AP404" s="1779"/>
      <c r="AQ404" s="1779"/>
      <c r="AR404" s="1779"/>
      <c r="AS404" s="1779"/>
      <c r="AT404" s="1779"/>
      <c r="AU404" s="1779"/>
    </row>
    <row r="405" spans="1:48" ht="12.6" customHeight="1">
      <c r="A405" s="428"/>
      <c r="B405" s="424" t="s">
        <v>1248</v>
      </c>
      <c r="C405" s="424" t="s">
        <v>507</v>
      </c>
      <c r="D405" s="1598"/>
      <c r="E405" s="2104" t="s">
        <v>1908</v>
      </c>
      <c r="F405" s="438">
        <v>2239</v>
      </c>
      <c r="G405" s="751" t="s">
        <v>3374</v>
      </c>
      <c r="H405" s="769"/>
      <c r="I405" s="753">
        <v>540</v>
      </c>
      <c r="J405" s="753"/>
      <c r="K405" s="754"/>
      <c r="L405" s="769"/>
      <c r="M405" s="1892">
        <v>600</v>
      </c>
      <c r="N405" s="43" t="s">
        <v>3376</v>
      </c>
      <c r="O405" s="86"/>
      <c r="P405" s="1817" t="e">
        <f>INDEX(#REF!,MATCH(F405,#REF!,0),2)</f>
        <v>#REF!</v>
      </c>
      <c r="Q405" s="1779"/>
      <c r="R405" s="1779"/>
      <c r="S405" s="1779"/>
      <c r="T405" s="1779"/>
      <c r="U405" s="1779"/>
      <c r="V405" s="1779"/>
      <c r="W405" s="43"/>
      <c r="X405" s="1779"/>
      <c r="Y405" s="1779"/>
      <c r="Z405" s="1779"/>
      <c r="AA405" s="1779"/>
      <c r="AB405" s="1779"/>
      <c r="AC405" s="1779"/>
      <c r="AD405" s="1779"/>
      <c r="AE405" s="1779"/>
      <c r="AF405" s="1779"/>
      <c r="AG405" s="1779"/>
      <c r="AH405" s="1779"/>
      <c r="AI405" s="1779"/>
      <c r="AJ405" s="1779"/>
      <c r="AK405" s="1779"/>
      <c r="AL405" s="1779"/>
      <c r="AM405" s="1779"/>
      <c r="AN405" s="1779"/>
      <c r="AO405" s="1779"/>
      <c r="AP405" s="1779"/>
      <c r="AQ405" s="1779"/>
      <c r="AR405" s="1779"/>
      <c r="AS405" s="1779"/>
      <c r="AT405" s="1779"/>
      <c r="AU405" s="1779"/>
      <c r="AV405" s="1779"/>
    </row>
    <row r="406" spans="1:48" ht="25.9" customHeight="1">
      <c r="A406" s="768"/>
      <c r="B406" s="762" t="s">
        <v>1248</v>
      </c>
      <c r="C406" s="762" t="s">
        <v>507</v>
      </c>
      <c r="D406" s="1599"/>
      <c r="E406" s="2245" t="s">
        <v>1908</v>
      </c>
      <c r="F406" s="763">
        <v>2239</v>
      </c>
      <c r="G406" s="751" t="s">
        <v>909</v>
      </c>
      <c r="H406" s="769"/>
      <c r="I406" s="753">
        <v>200</v>
      </c>
      <c r="J406" s="753"/>
      <c r="K406" s="754"/>
      <c r="L406" s="769"/>
      <c r="M406" s="1892">
        <v>200</v>
      </c>
      <c r="N406" s="43"/>
      <c r="O406" s="86"/>
      <c r="P406" s="1817" t="e">
        <f>INDEX(#REF!,MATCH(F406,#REF!,0),2)</f>
        <v>#REF!</v>
      </c>
      <c r="Q406" s="43"/>
      <c r="R406" s="43"/>
      <c r="S406" s="43"/>
      <c r="T406" s="43"/>
      <c r="U406" s="43"/>
      <c r="V406" s="43"/>
      <c r="W406" s="43"/>
      <c r="X406" s="43"/>
      <c r="Y406" s="43"/>
      <c r="Z406" s="43"/>
      <c r="AA406" s="43"/>
      <c r="AB406" s="43"/>
      <c r="AC406" s="43"/>
      <c r="AD406" s="43"/>
      <c r="AE406" s="43"/>
      <c r="AF406" s="43"/>
      <c r="AG406" s="43"/>
      <c r="AH406" s="1779"/>
      <c r="AI406" s="1779"/>
      <c r="AJ406" s="1779"/>
      <c r="AK406" s="1779"/>
      <c r="AL406" s="1779"/>
      <c r="AM406" s="1779"/>
      <c r="AN406" s="1779"/>
      <c r="AO406" s="1779"/>
      <c r="AP406" s="1779"/>
      <c r="AQ406" s="1779"/>
      <c r="AR406" s="1779"/>
      <c r="AS406" s="1779"/>
      <c r="AT406" s="1779"/>
      <c r="AU406" s="1779"/>
      <c r="AV406" s="1779"/>
    </row>
    <row r="407" spans="1:48" ht="11.45" customHeight="1">
      <c r="A407" s="768"/>
      <c r="B407" s="762" t="s">
        <v>1248</v>
      </c>
      <c r="C407" s="762" t="s">
        <v>507</v>
      </c>
      <c r="D407" s="1599"/>
      <c r="E407" s="2245" t="s">
        <v>1908</v>
      </c>
      <c r="F407" s="763">
        <v>2239</v>
      </c>
      <c r="G407" s="751" t="s">
        <v>789</v>
      </c>
      <c r="H407" s="770"/>
      <c r="I407" s="765">
        <v>250</v>
      </c>
      <c r="J407" s="765"/>
      <c r="K407" s="766"/>
      <c r="L407" s="770"/>
      <c r="M407" s="1892">
        <v>250</v>
      </c>
      <c r="N407" s="81"/>
      <c r="O407" s="86"/>
      <c r="P407" s="1817" t="e">
        <f>INDEX(#REF!,MATCH(F407,#REF!,0),2)</f>
        <v>#REF!</v>
      </c>
    </row>
    <row r="408" spans="1:48" ht="20.45" customHeight="1">
      <c r="A408" s="768"/>
      <c r="B408" s="762" t="s">
        <v>1248</v>
      </c>
      <c r="C408" s="762" t="s">
        <v>507</v>
      </c>
      <c r="D408" s="1599"/>
      <c r="E408" s="2245" t="s">
        <v>1908</v>
      </c>
      <c r="F408" s="773">
        <v>2239</v>
      </c>
      <c r="G408" s="772" t="s">
        <v>2575</v>
      </c>
      <c r="H408" s="769"/>
      <c r="I408" s="753">
        <v>5000</v>
      </c>
      <c r="J408" s="753"/>
      <c r="K408" s="754"/>
      <c r="L408" s="769"/>
      <c r="M408" s="752">
        <v>5000</v>
      </c>
      <c r="N408" s="1483"/>
      <c r="O408" s="86"/>
      <c r="P408" s="1817" t="e">
        <f>INDEX(#REF!,MATCH(F408,#REF!,0),2)</f>
        <v>#REF!</v>
      </c>
      <c r="Q408" s="43"/>
      <c r="R408" s="43"/>
      <c r="S408" s="43"/>
      <c r="T408" s="43"/>
      <c r="U408" s="43"/>
      <c r="V408" s="43"/>
      <c r="W408" s="43"/>
      <c r="X408" s="43"/>
      <c r="Y408" s="43"/>
      <c r="Z408" s="43"/>
      <c r="AA408" s="43"/>
      <c r="AB408" s="43"/>
      <c r="AC408" s="43"/>
      <c r="AD408" s="43"/>
      <c r="AE408" s="43"/>
      <c r="AF408" s="43"/>
      <c r="AG408" s="43"/>
      <c r="AH408" s="1779"/>
      <c r="AI408" s="1779"/>
      <c r="AJ408" s="1779"/>
      <c r="AK408" s="1779"/>
      <c r="AL408" s="1779"/>
      <c r="AM408" s="1779"/>
      <c r="AN408" s="1779"/>
      <c r="AO408" s="1779"/>
      <c r="AP408" s="1779"/>
      <c r="AQ408" s="1779"/>
      <c r="AR408" s="1779"/>
      <c r="AS408" s="1779"/>
      <c r="AT408" s="1779"/>
      <c r="AU408" s="1779"/>
      <c r="AV408" s="1779"/>
    </row>
    <row r="409" spans="1:48" ht="13.9" customHeight="1">
      <c r="A409" s="768"/>
      <c r="B409" s="762" t="s">
        <v>1248</v>
      </c>
      <c r="C409" s="762" t="s">
        <v>507</v>
      </c>
      <c r="D409" s="1599"/>
      <c r="E409" s="2245" t="s">
        <v>1908</v>
      </c>
      <c r="F409" s="773">
        <v>2239</v>
      </c>
      <c r="G409" s="772" t="s">
        <v>629</v>
      </c>
      <c r="H409" s="769"/>
      <c r="I409" s="753">
        <v>2800</v>
      </c>
      <c r="J409" s="753"/>
      <c r="K409" s="754"/>
      <c r="L409" s="769"/>
      <c r="M409" s="752">
        <v>2800</v>
      </c>
      <c r="N409" s="13"/>
      <c r="O409" s="86"/>
      <c r="P409" s="1817" t="e">
        <f>INDEX(#REF!,MATCH(F409,#REF!,0),2)</f>
        <v>#REF!</v>
      </c>
      <c r="Q409" s="43"/>
      <c r="R409" s="43"/>
      <c r="S409" s="43"/>
      <c r="T409" s="43"/>
      <c r="U409" s="43"/>
      <c r="V409" s="43"/>
      <c r="W409" s="43"/>
      <c r="X409" s="43"/>
      <c r="Y409" s="43"/>
      <c r="Z409" s="43"/>
      <c r="AA409" s="43"/>
      <c r="AB409" s="43"/>
      <c r="AC409" s="43"/>
      <c r="AD409" s="43"/>
      <c r="AE409" s="43"/>
      <c r="AF409" s="43"/>
      <c r="AG409" s="43"/>
      <c r="AH409" s="1779"/>
      <c r="AI409" s="1779"/>
      <c r="AJ409" s="1779"/>
      <c r="AK409" s="1779"/>
      <c r="AL409" s="1779"/>
      <c r="AM409" s="1779"/>
      <c r="AN409" s="1779"/>
      <c r="AO409" s="1779"/>
      <c r="AP409" s="1779"/>
      <c r="AQ409" s="1779"/>
      <c r="AR409" s="1779"/>
      <c r="AS409" s="1779"/>
      <c r="AT409" s="1779"/>
      <c r="AU409" s="1779"/>
      <c r="AV409" s="1779"/>
    </row>
    <row r="410" spans="1:48" ht="19.899999999999999" customHeight="1">
      <c r="A410" s="768"/>
      <c r="B410" s="762" t="s">
        <v>1248</v>
      </c>
      <c r="C410" s="762" t="s">
        <v>507</v>
      </c>
      <c r="D410" s="1599"/>
      <c r="E410" s="2245" t="s">
        <v>1908</v>
      </c>
      <c r="F410" s="773">
        <v>2239</v>
      </c>
      <c r="G410" s="772" t="s">
        <v>3377</v>
      </c>
      <c r="H410" s="769"/>
      <c r="I410" s="765">
        <v>12800</v>
      </c>
      <c r="J410" s="765"/>
      <c r="K410" s="766"/>
      <c r="L410" s="769"/>
      <c r="M410" s="764">
        <v>14000</v>
      </c>
      <c r="N410" s="13" t="s">
        <v>3380</v>
      </c>
      <c r="O410" s="86"/>
      <c r="P410" s="1817" t="e">
        <f>INDEX(#REF!,MATCH(F410,#REF!,0),2)</f>
        <v>#REF!</v>
      </c>
      <c r="Q410" s="43"/>
      <c r="R410" s="43"/>
      <c r="S410" s="43"/>
      <c r="T410" s="43"/>
      <c r="U410" s="43"/>
      <c r="V410" s="43"/>
      <c r="W410" s="43"/>
      <c r="X410" s="43"/>
      <c r="Y410" s="43"/>
      <c r="Z410" s="43"/>
      <c r="AA410" s="43"/>
      <c r="AB410" s="43"/>
      <c r="AC410" s="43"/>
      <c r="AD410" s="43"/>
      <c r="AE410" s="43"/>
      <c r="AF410" s="43"/>
      <c r="AG410" s="43"/>
      <c r="AH410" s="1779"/>
      <c r="AI410" s="1779"/>
      <c r="AJ410" s="1779"/>
      <c r="AK410" s="1779"/>
      <c r="AL410" s="1779"/>
      <c r="AM410" s="1779"/>
      <c r="AN410" s="1779"/>
      <c r="AO410" s="1779"/>
      <c r="AP410" s="1779"/>
      <c r="AQ410" s="1779"/>
      <c r="AR410" s="1779"/>
      <c r="AS410" s="1779"/>
      <c r="AT410" s="1779"/>
      <c r="AU410" s="1779"/>
      <c r="AV410" s="1779"/>
    </row>
    <row r="411" spans="1:48" ht="27.6" customHeight="1">
      <c r="A411" s="768"/>
      <c r="B411" s="762" t="s">
        <v>1248</v>
      </c>
      <c r="C411" s="762" t="s">
        <v>507</v>
      </c>
      <c r="D411" s="1599"/>
      <c r="E411" s="2245" t="s">
        <v>1908</v>
      </c>
      <c r="F411" s="773">
        <v>2239</v>
      </c>
      <c r="G411" s="772" t="s">
        <v>3378</v>
      </c>
      <c r="H411" s="769"/>
      <c r="I411" s="765">
        <v>1200</v>
      </c>
      <c r="J411" s="765"/>
      <c r="K411" s="766"/>
      <c r="L411" s="769"/>
      <c r="M411" s="764">
        <v>2000</v>
      </c>
      <c r="N411" s="13" t="s">
        <v>3380</v>
      </c>
      <c r="O411" s="86"/>
      <c r="P411" s="1817" t="e">
        <f>INDEX(#REF!,MATCH(F411,#REF!,0),2)</f>
        <v>#REF!</v>
      </c>
      <c r="Q411" s="1779"/>
      <c r="R411" s="1779"/>
      <c r="S411" s="1779"/>
      <c r="T411" s="1779"/>
      <c r="U411" s="1779"/>
      <c r="V411" s="1779"/>
      <c r="W411" s="43"/>
      <c r="X411" s="1779"/>
      <c r="Y411" s="1779"/>
      <c r="Z411" s="1779"/>
      <c r="AA411" s="1779"/>
      <c r="AB411" s="1779"/>
      <c r="AC411" s="1779"/>
      <c r="AD411" s="1779"/>
      <c r="AE411" s="1779"/>
      <c r="AF411" s="1779"/>
      <c r="AG411" s="1779"/>
      <c r="AH411" s="1779"/>
      <c r="AI411" s="1779"/>
      <c r="AJ411" s="1779"/>
      <c r="AK411" s="1779"/>
      <c r="AL411" s="1779"/>
      <c r="AM411" s="1779"/>
      <c r="AN411" s="1779"/>
      <c r="AO411" s="1779"/>
      <c r="AP411" s="1779"/>
      <c r="AQ411" s="1779"/>
      <c r="AR411" s="1779"/>
      <c r="AS411" s="1779"/>
      <c r="AT411" s="1779"/>
      <c r="AU411" s="1779"/>
      <c r="AV411" s="1779"/>
    </row>
    <row r="412" spans="1:48" ht="24.6" customHeight="1">
      <c r="A412" s="768"/>
      <c r="B412" s="762" t="s">
        <v>1248</v>
      </c>
      <c r="C412" s="762" t="s">
        <v>507</v>
      </c>
      <c r="D412" s="1599"/>
      <c r="E412" s="2245" t="s">
        <v>1908</v>
      </c>
      <c r="F412" s="773">
        <v>2239</v>
      </c>
      <c r="G412" s="772" t="s">
        <v>3379</v>
      </c>
      <c r="H412" s="769"/>
      <c r="I412" s="765">
        <v>400</v>
      </c>
      <c r="J412" s="765"/>
      <c r="K412" s="766"/>
      <c r="L412" s="769"/>
      <c r="M412" s="764">
        <v>400</v>
      </c>
      <c r="N412" s="154"/>
      <c r="O412" s="86"/>
      <c r="P412" s="1817" t="e">
        <f>INDEX(#REF!,MATCH(F412,#REF!,0),2)</f>
        <v>#REF!</v>
      </c>
      <c r="Q412" s="1779"/>
      <c r="R412" s="1779"/>
      <c r="S412" s="1779"/>
      <c r="T412" s="1779"/>
      <c r="U412" s="1779"/>
      <c r="V412" s="1779"/>
      <c r="W412" s="43"/>
      <c r="X412" s="1779"/>
      <c r="Y412" s="1779"/>
      <c r="Z412" s="1779"/>
      <c r="AA412" s="1779"/>
      <c r="AB412" s="1779"/>
      <c r="AC412" s="1779"/>
      <c r="AD412" s="1779"/>
      <c r="AE412" s="1779"/>
      <c r="AF412" s="1779"/>
      <c r="AG412" s="1779"/>
      <c r="AH412" s="1779"/>
      <c r="AI412" s="1779"/>
      <c r="AJ412" s="1779"/>
      <c r="AK412" s="1779"/>
      <c r="AL412" s="1779"/>
      <c r="AM412" s="1779"/>
      <c r="AN412" s="1779"/>
      <c r="AO412" s="1779"/>
      <c r="AP412" s="1779"/>
      <c r="AQ412" s="1779"/>
      <c r="AR412" s="1779"/>
      <c r="AS412" s="1779"/>
      <c r="AT412" s="1779"/>
      <c r="AU412" s="1779"/>
      <c r="AV412" s="1779"/>
    </row>
    <row r="413" spans="1:48" ht="15.6" customHeight="1">
      <c r="A413" s="775"/>
      <c r="B413" s="775" t="s">
        <v>1248</v>
      </c>
      <c r="C413" s="775" t="s">
        <v>505</v>
      </c>
      <c r="D413" s="1600">
        <v>340</v>
      </c>
      <c r="E413" s="2247" t="s">
        <v>1908</v>
      </c>
      <c r="F413" s="776">
        <v>2241</v>
      </c>
      <c r="G413" s="777" t="s">
        <v>276</v>
      </c>
      <c r="H413" s="759">
        <v>506</v>
      </c>
      <c r="I413" s="767"/>
      <c r="J413" s="760"/>
      <c r="K413" s="761"/>
      <c r="L413" s="759">
        <v>400</v>
      </c>
      <c r="M413" s="759"/>
      <c r="N413" s="73"/>
      <c r="O413" s="86"/>
      <c r="P413" s="1817" t="e">
        <f>INDEX(#REF!,MATCH(F413,#REF!,0),2)</f>
        <v>#REF!</v>
      </c>
      <c r="Q413" s="1779"/>
      <c r="R413" s="1779"/>
      <c r="S413" s="1779"/>
      <c r="T413" s="1779"/>
      <c r="U413" s="1779"/>
      <c r="V413" s="1779"/>
      <c r="W413" s="43"/>
      <c r="X413" s="1779"/>
      <c r="Y413" s="1779"/>
      <c r="Z413" s="1779"/>
      <c r="AA413" s="1779"/>
      <c r="AB413" s="1779"/>
      <c r="AC413" s="1779"/>
      <c r="AD413" s="1779"/>
      <c r="AE413" s="1779"/>
      <c r="AF413" s="1779"/>
      <c r="AG413" s="1779"/>
      <c r="AH413" s="1779"/>
      <c r="AI413" s="1779"/>
      <c r="AJ413" s="1779"/>
      <c r="AK413" s="1779"/>
      <c r="AL413" s="1779"/>
      <c r="AM413" s="1779"/>
      <c r="AN413" s="1779"/>
      <c r="AO413" s="1779"/>
      <c r="AP413" s="1779"/>
      <c r="AQ413" s="1779"/>
      <c r="AR413" s="1779"/>
      <c r="AS413" s="1779"/>
      <c r="AT413" s="1779"/>
      <c r="AU413" s="1779"/>
      <c r="AV413" s="1779"/>
    </row>
    <row r="414" spans="1:48" ht="15.6" customHeight="1">
      <c r="A414" s="778"/>
      <c r="B414" s="778" t="s">
        <v>1248</v>
      </c>
      <c r="C414" s="778" t="s">
        <v>505</v>
      </c>
      <c r="D414" s="1599"/>
      <c r="E414" s="2245" t="s">
        <v>1908</v>
      </c>
      <c r="F414" s="763">
        <v>2241</v>
      </c>
      <c r="G414" s="779" t="s">
        <v>655</v>
      </c>
      <c r="H414" s="764"/>
      <c r="I414" s="764">
        <v>100</v>
      </c>
      <c r="J414" s="780"/>
      <c r="K414" s="781"/>
      <c r="L414" s="764"/>
      <c r="M414" s="764">
        <v>100</v>
      </c>
      <c r="N414" s="154"/>
      <c r="O414" s="86"/>
      <c r="P414" s="1817" t="e">
        <f>INDEX(#REF!,MATCH(F414,#REF!,0),2)</f>
        <v>#REF!</v>
      </c>
      <c r="Q414" s="1779"/>
      <c r="R414" s="1779"/>
      <c r="S414" s="1779"/>
      <c r="T414" s="1779"/>
      <c r="U414" s="1779"/>
      <c r="V414" s="1779"/>
      <c r="W414" s="43"/>
      <c r="X414" s="1779"/>
      <c r="Y414" s="1779"/>
      <c r="Z414" s="1779"/>
      <c r="AA414" s="1779"/>
      <c r="AB414" s="1779"/>
      <c r="AC414" s="1779"/>
      <c r="AD414" s="1779"/>
      <c r="AE414" s="1779"/>
      <c r="AF414" s="1779"/>
      <c r="AG414" s="1779"/>
      <c r="AH414" s="1779"/>
      <c r="AI414" s="1779"/>
      <c r="AJ414" s="1779"/>
      <c r="AK414" s="1779"/>
      <c r="AL414" s="1779"/>
      <c r="AM414" s="1779"/>
      <c r="AN414" s="1779"/>
      <c r="AO414" s="1779"/>
      <c r="AP414" s="1779"/>
      <c r="AQ414" s="1779"/>
      <c r="AR414" s="1779"/>
      <c r="AS414" s="1779"/>
      <c r="AT414" s="1779"/>
      <c r="AU414" s="1779"/>
      <c r="AV414" s="1779"/>
    </row>
    <row r="415" spans="1:48" ht="20.45" customHeight="1">
      <c r="A415" s="778" t="s">
        <v>1133</v>
      </c>
      <c r="B415" s="778" t="s">
        <v>1248</v>
      </c>
      <c r="C415" s="778" t="s">
        <v>505</v>
      </c>
      <c r="D415" s="1599"/>
      <c r="E415" s="2245" t="s">
        <v>1908</v>
      </c>
      <c r="F415" s="763">
        <v>2241</v>
      </c>
      <c r="G415" s="779" t="s">
        <v>1320</v>
      </c>
      <c r="H415" s="752"/>
      <c r="I415" s="752">
        <v>300</v>
      </c>
      <c r="J415" s="780"/>
      <c r="K415" s="781"/>
      <c r="L415" s="764"/>
      <c r="M415" s="752">
        <v>300</v>
      </c>
      <c r="N415" s="154" t="s">
        <v>3381</v>
      </c>
      <c r="O415" s="86"/>
      <c r="P415" s="1817" t="e">
        <f>INDEX(#REF!,MATCH(F415,#REF!,0),2)</f>
        <v>#REF!</v>
      </c>
      <c r="Q415" s="1779"/>
      <c r="R415" s="1779"/>
      <c r="S415" s="1779"/>
      <c r="T415" s="1779"/>
      <c r="U415" s="1779"/>
      <c r="V415" s="1779"/>
      <c r="W415" s="43"/>
      <c r="X415" s="1779"/>
      <c r="Y415" s="1779"/>
      <c r="Z415" s="1779"/>
      <c r="AA415" s="1779"/>
      <c r="AB415" s="1779"/>
      <c r="AC415" s="1779"/>
      <c r="AD415" s="1779"/>
      <c r="AE415" s="1779"/>
      <c r="AF415" s="1779"/>
      <c r="AG415" s="1779"/>
      <c r="AH415" s="1779"/>
      <c r="AI415" s="1779"/>
      <c r="AJ415" s="1779"/>
      <c r="AK415" s="1779"/>
      <c r="AL415" s="1779"/>
      <c r="AM415" s="1779"/>
      <c r="AN415" s="1779"/>
      <c r="AO415" s="1779"/>
      <c r="AP415" s="1779"/>
      <c r="AQ415" s="1779"/>
      <c r="AR415" s="1779"/>
      <c r="AS415" s="1779"/>
      <c r="AT415" s="1779"/>
      <c r="AU415" s="1779"/>
      <c r="AV415" s="1779"/>
    </row>
    <row r="416" spans="1:48" ht="20.45" customHeight="1">
      <c r="A416" s="778"/>
      <c r="B416" s="778" t="s">
        <v>1248</v>
      </c>
      <c r="C416" s="778" t="s">
        <v>505</v>
      </c>
      <c r="D416" s="1599"/>
      <c r="E416" s="2245" t="s">
        <v>1908</v>
      </c>
      <c r="F416" s="763">
        <v>2241</v>
      </c>
      <c r="G416" s="1570" t="s">
        <v>3184</v>
      </c>
      <c r="H416" s="752"/>
      <c r="I416" s="752">
        <v>106</v>
      </c>
      <c r="J416" s="780"/>
      <c r="K416" s="781"/>
      <c r="L416" s="764"/>
      <c r="M416" s="752"/>
      <c r="N416" s="149"/>
      <c r="O416" s="86"/>
      <c r="P416" s="1817" t="e">
        <f>INDEX(#REF!,MATCH(F416,#REF!,0),2)</f>
        <v>#REF!</v>
      </c>
      <c r="Q416" s="1779"/>
      <c r="R416" s="1779"/>
      <c r="S416" s="1779"/>
      <c r="T416" s="1779"/>
      <c r="U416" s="1779"/>
      <c r="V416" s="1779"/>
      <c r="W416" s="43"/>
      <c r="X416" s="1779"/>
      <c r="Y416" s="1779"/>
      <c r="Z416" s="1779"/>
      <c r="AA416" s="1779"/>
      <c r="AB416" s="1779"/>
      <c r="AC416" s="1779"/>
      <c r="AD416" s="1779"/>
      <c r="AE416" s="1779"/>
      <c r="AF416" s="1779"/>
      <c r="AG416" s="1779"/>
      <c r="AH416" s="1779"/>
      <c r="AI416" s="1779"/>
      <c r="AJ416" s="1779"/>
      <c r="AK416" s="1779"/>
      <c r="AL416" s="1779"/>
      <c r="AM416" s="1779"/>
      <c r="AN416" s="1779"/>
      <c r="AO416" s="1779"/>
      <c r="AP416" s="1779"/>
      <c r="AQ416" s="1779"/>
      <c r="AR416" s="1779"/>
      <c r="AS416" s="1779"/>
      <c r="AT416" s="1779"/>
      <c r="AU416" s="1779"/>
      <c r="AV416" s="1779"/>
    </row>
    <row r="417" spans="1:48" ht="20.45" customHeight="1">
      <c r="A417" s="755"/>
      <c r="B417" s="755" t="s">
        <v>1248</v>
      </c>
      <c r="C417" s="755" t="s">
        <v>507</v>
      </c>
      <c r="D417" s="1600">
        <v>340</v>
      </c>
      <c r="E417" s="2247" t="s">
        <v>1908</v>
      </c>
      <c r="F417" s="756">
        <v>2242</v>
      </c>
      <c r="G417" s="757" t="s">
        <v>880</v>
      </c>
      <c r="H417" s="758">
        <v>22360</v>
      </c>
      <c r="I417" s="782"/>
      <c r="J417" s="760"/>
      <c r="K417" s="783"/>
      <c r="L417" s="758">
        <v>25360</v>
      </c>
      <c r="M417" s="782"/>
      <c r="N417" s="73"/>
      <c r="O417" s="86"/>
      <c r="P417" s="1817" t="e">
        <f>INDEX(#REF!,MATCH(F417,#REF!,0),2)</f>
        <v>#REF!</v>
      </c>
      <c r="Q417" s="43"/>
      <c r="R417" s="43"/>
      <c r="S417" s="43"/>
      <c r="T417" s="43"/>
      <c r="U417" s="43"/>
      <c r="V417" s="43"/>
      <c r="W417" s="43"/>
      <c r="X417" s="43"/>
      <c r="Y417" s="43"/>
      <c r="Z417" s="43"/>
      <c r="AA417" s="43"/>
      <c r="AB417" s="43"/>
      <c r="AC417" s="43"/>
      <c r="AD417" s="43"/>
      <c r="AE417" s="43"/>
      <c r="AF417" s="43"/>
      <c r="AG417" s="43"/>
      <c r="AH417" s="1779"/>
      <c r="AI417" s="1779"/>
      <c r="AJ417" s="1779"/>
      <c r="AK417" s="1779"/>
      <c r="AL417" s="1779"/>
      <c r="AM417" s="1779"/>
      <c r="AN417" s="1779"/>
      <c r="AO417" s="1779"/>
      <c r="AP417" s="1779"/>
      <c r="AQ417" s="1779"/>
      <c r="AR417" s="1779"/>
      <c r="AS417" s="1779"/>
      <c r="AT417" s="1779"/>
      <c r="AU417" s="1779"/>
      <c r="AV417" s="1779"/>
    </row>
    <row r="418" spans="1:48" ht="11.45" customHeight="1">
      <c r="A418" s="768"/>
      <c r="B418" s="762" t="s">
        <v>1248</v>
      </c>
      <c r="C418" s="762" t="s">
        <v>507</v>
      </c>
      <c r="D418" s="1599"/>
      <c r="E418" s="2245" t="s">
        <v>1908</v>
      </c>
      <c r="F418" s="763">
        <v>2242</v>
      </c>
      <c r="G418" s="751" t="s">
        <v>277</v>
      </c>
      <c r="H418" s="769"/>
      <c r="I418" s="753">
        <v>400</v>
      </c>
      <c r="J418" s="753"/>
      <c r="K418" s="754"/>
      <c r="L418" s="769"/>
      <c r="M418" s="752">
        <v>400</v>
      </c>
      <c r="N418" s="13"/>
      <c r="O418" s="86"/>
      <c r="P418" s="1817" t="e">
        <f>INDEX(#REF!,MATCH(F418,#REF!,0),2)</f>
        <v>#REF!</v>
      </c>
      <c r="Q418" s="1779"/>
      <c r="R418" s="1779"/>
      <c r="S418" s="1779"/>
      <c r="T418" s="1779"/>
      <c r="U418" s="1779"/>
      <c r="V418" s="1779"/>
      <c r="W418" s="43"/>
      <c r="X418" s="1779"/>
      <c r="Y418" s="1779"/>
      <c r="Z418" s="1779"/>
      <c r="AA418" s="1779"/>
      <c r="AB418" s="1779"/>
      <c r="AC418" s="1779"/>
      <c r="AD418" s="1779"/>
      <c r="AE418" s="1779"/>
      <c r="AF418" s="1779"/>
      <c r="AG418" s="1779"/>
      <c r="AH418" s="1779"/>
      <c r="AI418" s="1779"/>
      <c r="AJ418" s="1779"/>
      <c r="AK418" s="1779"/>
      <c r="AL418" s="1779"/>
      <c r="AM418" s="1779"/>
      <c r="AN418" s="1779"/>
      <c r="AO418" s="1779"/>
      <c r="AP418" s="1779"/>
      <c r="AQ418" s="1779"/>
      <c r="AR418" s="1779"/>
      <c r="AS418" s="1779"/>
      <c r="AT418" s="1779"/>
      <c r="AU418" s="1779"/>
      <c r="AV418" s="1779"/>
    </row>
    <row r="419" spans="1:48" ht="22.9" customHeight="1">
      <c r="A419" s="768"/>
      <c r="B419" s="762" t="s">
        <v>1248</v>
      </c>
      <c r="C419" s="762" t="s">
        <v>507</v>
      </c>
      <c r="D419" s="1599"/>
      <c r="E419" s="2245" t="s">
        <v>1908</v>
      </c>
      <c r="F419" s="763">
        <v>2242</v>
      </c>
      <c r="G419" s="751" t="s">
        <v>278</v>
      </c>
      <c r="H419" s="769"/>
      <c r="I419" s="753">
        <v>900</v>
      </c>
      <c r="J419" s="753"/>
      <c r="K419" s="754"/>
      <c r="L419" s="769"/>
      <c r="M419" s="752">
        <v>900</v>
      </c>
      <c r="N419" s="13"/>
      <c r="O419" s="86"/>
      <c r="P419" s="1817" t="e">
        <f>INDEX(#REF!,MATCH(F419,#REF!,0),2)</f>
        <v>#REF!</v>
      </c>
      <c r="Q419" s="43"/>
      <c r="R419" s="43"/>
      <c r="S419" s="43"/>
      <c r="T419" s="43"/>
      <c r="U419" s="43"/>
      <c r="V419" s="43"/>
      <c r="W419" s="43"/>
      <c r="X419" s="43"/>
      <c r="Y419" s="43"/>
      <c r="Z419" s="43"/>
      <c r="AA419" s="43"/>
      <c r="AB419" s="43"/>
      <c r="AC419" s="43"/>
      <c r="AD419" s="43"/>
      <c r="AE419" s="43"/>
      <c r="AF419" s="43"/>
      <c r="AG419" s="43"/>
      <c r="AH419" s="1779"/>
      <c r="AI419" s="1779"/>
      <c r="AJ419" s="1779"/>
      <c r="AK419" s="1779"/>
      <c r="AL419" s="1779"/>
      <c r="AM419" s="1779"/>
      <c r="AN419" s="1779"/>
      <c r="AO419" s="1779"/>
      <c r="AP419" s="1779"/>
      <c r="AQ419" s="1779"/>
      <c r="AR419" s="1779"/>
      <c r="AS419" s="1779"/>
      <c r="AT419" s="1779"/>
      <c r="AU419" s="1779"/>
      <c r="AV419" s="1779"/>
    </row>
    <row r="420" spans="1:48" ht="13.9" customHeight="1">
      <c r="A420" s="768"/>
      <c r="B420" s="762" t="s">
        <v>1248</v>
      </c>
      <c r="C420" s="762" t="s">
        <v>507</v>
      </c>
      <c r="D420" s="1599"/>
      <c r="E420" s="2245" t="s">
        <v>1908</v>
      </c>
      <c r="F420" s="763">
        <v>2242</v>
      </c>
      <c r="G420" s="751" t="s">
        <v>3382</v>
      </c>
      <c r="H420" s="769"/>
      <c r="I420" s="753">
        <v>600</v>
      </c>
      <c r="J420" s="753"/>
      <c r="K420" s="754"/>
      <c r="L420" s="769"/>
      <c r="M420" s="752">
        <v>600</v>
      </c>
      <c r="N420" s="13"/>
      <c r="O420" s="86"/>
      <c r="P420" s="1817" t="e">
        <f>INDEX(#REF!,MATCH(F420,#REF!,0),2)</f>
        <v>#REF!</v>
      </c>
      <c r="Q420" s="1779"/>
      <c r="R420" s="1779"/>
      <c r="S420" s="1779"/>
      <c r="T420" s="1779"/>
      <c r="U420" s="1779"/>
      <c r="V420" s="1779"/>
      <c r="W420" s="43"/>
      <c r="X420" s="1779"/>
      <c r="Y420" s="1779"/>
      <c r="Z420" s="1779"/>
      <c r="AA420" s="1779"/>
      <c r="AB420" s="1779"/>
      <c r="AC420" s="1779"/>
      <c r="AD420" s="1779"/>
      <c r="AE420" s="1779"/>
      <c r="AF420" s="1779"/>
      <c r="AG420" s="1779"/>
      <c r="AH420" s="1779"/>
      <c r="AI420" s="1779"/>
      <c r="AJ420" s="1779"/>
      <c r="AK420" s="1779"/>
      <c r="AL420" s="1779"/>
      <c r="AM420" s="1779"/>
      <c r="AN420" s="1779"/>
      <c r="AO420" s="1779"/>
      <c r="AP420" s="1779"/>
      <c r="AQ420" s="1779"/>
      <c r="AR420" s="1779"/>
      <c r="AS420" s="1779"/>
      <c r="AT420" s="1779"/>
      <c r="AU420" s="1779"/>
      <c r="AV420" s="1779"/>
    </row>
    <row r="421" spans="1:48" ht="10.9" customHeight="1">
      <c r="A421" s="768"/>
      <c r="B421" s="762" t="s">
        <v>1248</v>
      </c>
      <c r="C421" s="762" t="s">
        <v>507</v>
      </c>
      <c r="D421" s="1599"/>
      <c r="E421" s="2245" t="s">
        <v>1908</v>
      </c>
      <c r="F421" s="763">
        <v>2242</v>
      </c>
      <c r="G421" s="751" t="s">
        <v>547</v>
      </c>
      <c r="H421" s="769"/>
      <c r="I421" s="753">
        <v>150</v>
      </c>
      <c r="J421" s="753"/>
      <c r="K421" s="754"/>
      <c r="L421" s="769"/>
      <c r="M421" s="752">
        <v>150</v>
      </c>
      <c r="N421" s="13"/>
      <c r="O421" s="86"/>
      <c r="P421" s="1817" t="e">
        <f>INDEX(#REF!,MATCH(F421,#REF!,0),2)</f>
        <v>#REF!</v>
      </c>
      <c r="Q421" s="1779"/>
      <c r="R421" s="1779"/>
      <c r="S421" s="1779"/>
      <c r="T421" s="1779"/>
      <c r="U421" s="1779"/>
      <c r="V421" s="1779"/>
      <c r="W421" s="43"/>
      <c r="X421" s="1779"/>
      <c r="Y421" s="1779"/>
      <c r="Z421" s="1779"/>
      <c r="AA421" s="1779"/>
      <c r="AB421" s="1779"/>
      <c r="AC421" s="1779"/>
      <c r="AD421" s="1779"/>
      <c r="AE421" s="1779"/>
      <c r="AF421" s="1779"/>
      <c r="AG421" s="1779"/>
      <c r="AH421" s="1779"/>
      <c r="AI421" s="1779"/>
      <c r="AJ421" s="1779"/>
      <c r="AK421" s="1779"/>
      <c r="AL421" s="1779"/>
      <c r="AM421" s="1779"/>
      <c r="AN421" s="1779"/>
      <c r="AO421" s="1779"/>
      <c r="AP421" s="1779"/>
      <c r="AQ421" s="1779"/>
      <c r="AR421" s="1779"/>
      <c r="AS421" s="1779"/>
      <c r="AT421" s="1779"/>
      <c r="AU421" s="1779"/>
      <c r="AV421" s="1779"/>
    </row>
    <row r="422" spans="1:48" ht="14.45" customHeight="1">
      <c r="A422" s="768"/>
      <c r="B422" s="762" t="s">
        <v>1248</v>
      </c>
      <c r="C422" s="762" t="s">
        <v>507</v>
      </c>
      <c r="D422" s="1599"/>
      <c r="E422" s="2245" t="s">
        <v>1908</v>
      </c>
      <c r="F422" s="763">
        <v>2242</v>
      </c>
      <c r="G422" s="751" t="s">
        <v>1305</v>
      </c>
      <c r="H422" s="769"/>
      <c r="I422" s="753">
        <v>11000</v>
      </c>
      <c r="J422" s="753"/>
      <c r="K422" s="754"/>
      <c r="L422" s="769"/>
      <c r="M422" s="4407">
        <v>14000</v>
      </c>
      <c r="N422" s="13" t="s">
        <v>6098</v>
      </c>
      <c r="O422" s="86"/>
      <c r="P422" s="1817" t="e">
        <f>INDEX(#REF!,MATCH(F422,#REF!,0),2)</f>
        <v>#REF!</v>
      </c>
      <c r="Q422" s="1779"/>
      <c r="R422" s="1779"/>
      <c r="S422" s="1779"/>
      <c r="T422" s="1779"/>
      <c r="U422" s="1779"/>
      <c r="V422" s="1779"/>
      <c r="W422" s="43"/>
      <c r="X422" s="1779"/>
      <c r="Y422" s="1779"/>
      <c r="Z422" s="1779"/>
      <c r="AA422" s="1779"/>
      <c r="AB422" s="1779"/>
      <c r="AC422" s="1779"/>
      <c r="AD422" s="1779"/>
      <c r="AE422" s="1779"/>
      <c r="AF422" s="1779"/>
      <c r="AG422" s="1779"/>
      <c r="AH422" s="1779"/>
      <c r="AI422" s="1779"/>
      <c r="AJ422" s="1779"/>
      <c r="AK422" s="1779"/>
      <c r="AL422" s="1779"/>
      <c r="AM422" s="1779"/>
      <c r="AN422" s="1779"/>
      <c r="AO422" s="1779"/>
      <c r="AP422" s="1779"/>
      <c r="AQ422" s="1779"/>
      <c r="AR422" s="1779"/>
      <c r="AS422" s="1779"/>
      <c r="AT422" s="1779"/>
      <c r="AU422" s="1779"/>
      <c r="AV422" s="1779"/>
    </row>
    <row r="423" spans="1:48" ht="13.9" customHeight="1">
      <c r="A423" s="768"/>
      <c r="B423" s="762" t="s">
        <v>1248</v>
      </c>
      <c r="C423" s="762" t="s">
        <v>507</v>
      </c>
      <c r="D423" s="1599"/>
      <c r="E423" s="2245" t="s">
        <v>1908</v>
      </c>
      <c r="F423" s="763">
        <v>2242</v>
      </c>
      <c r="G423" s="751" t="s">
        <v>3383</v>
      </c>
      <c r="H423" s="769"/>
      <c r="I423" s="753">
        <v>1500</v>
      </c>
      <c r="J423" s="753"/>
      <c r="K423" s="754"/>
      <c r="L423" s="769"/>
      <c r="M423" s="752">
        <v>1500</v>
      </c>
      <c r="N423" s="13"/>
      <c r="O423" s="86"/>
      <c r="P423" s="1817" t="e">
        <f>INDEX(#REF!,MATCH(F423,#REF!,0),2)</f>
        <v>#REF!</v>
      </c>
      <c r="Q423" s="1779"/>
      <c r="R423" s="1779"/>
      <c r="S423" s="1779"/>
      <c r="T423" s="1779"/>
      <c r="U423" s="1779"/>
      <c r="V423" s="1779"/>
      <c r="W423" s="43"/>
      <c r="X423" s="1779"/>
      <c r="Y423" s="1779"/>
      <c r="Z423" s="1779"/>
      <c r="AA423" s="1779"/>
      <c r="AB423" s="1779"/>
      <c r="AC423" s="1779"/>
      <c r="AD423" s="1779"/>
      <c r="AE423" s="1779"/>
      <c r="AF423" s="1779"/>
      <c r="AG423" s="1779"/>
      <c r="AH423" s="1779"/>
      <c r="AI423" s="1779"/>
      <c r="AJ423" s="1779"/>
      <c r="AK423" s="1779"/>
      <c r="AL423" s="1779"/>
      <c r="AM423" s="1779"/>
      <c r="AN423" s="1779"/>
      <c r="AO423" s="1779"/>
      <c r="AP423" s="1779"/>
      <c r="AQ423" s="1779"/>
      <c r="AR423" s="1779"/>
      <c r="AS423" s="1779"/>
      <c r="AT423" s="1779"/>
      <c r="AU423" s="1779"/>
      <c r="AV423" s="1779"/>
    </row>
    <row r="424" spans="1:48" ht="13.9" customHeight="1">
      <c r="A424" s="768"/>
      <c r="B424" s="762" t="s">
        <v>1248</v>
      </c>
      <c r="C424" s="762" t="s">
        <v>507</v>
      </c>
      <c r="D424" s="1599"/>
      <c r="E424" s="2245" t="s">
        <v>1908</v>
      </c>
      <c r="F424" s="763">
        <v>2242</v>
      </c>
      <c r="G424" s="772" t="s">
        <v>1644</v>
      </c>
      <c r="H424" s="769"/>
      <c r="I424" s="753"/>
      <c r="J424" s="753"/>
      <c r="K424" s="754"/>
      <c r="L424" s="769"/>
      <c r="M424" s="2397"/>
      <c r="N424" s="73"/>
      <c r="O424" s="86"/>
      <c r="P424" s="1817" t="e">
        <f>INDEX(#REF!,MATCH(F424,#REF!,0),2)</f>
        <v>#REF!</v>
      </c>
      <c r="Q424" s="1779"/>
      <c r="R424" s="1779"/>
      <c r="S424" s="1779"/>
      <c r="T424" s="1779"/>
      <c r="U424" s="1779"/>
      <c r="V424" s="1779"/>
      <c r="W424" s="43"/>
      <c r="X424" s="1779"/>
      <c r="Y424" s="1779"/>
      <c r="Z424" s="1779"/>
      <c r="AA424" s="1779"/>
      <c r="AB424" s="1779"/>
      <c r="AC424" s="1779"/>
      <c r="AD424" s="1779"/>
      <c r="AE424" s="1779"/>
      <c r="AF424" s="1779"/>
      <c r="AG424" s="1779"/>
      <c r="AH424" s="1779"/>
      <c r="AI424" s="1779"/>
      <c r="AJ424" s="1779"/>
      <c r="AK424" s="1779"/>
      <c r="AL424" s="1779"/>
      <c r="AM424" s="1779"/>
      <c r="AN424" s="1779"/>
      <c r="AO424" s="1779"/>
      <c r="AP424" s="1779"/>
      <c r="AQ424" s="1779"/>
      <c r="AR424" s="1779"/>
      <c r="AS424" s="1779"/>
      <c r="AT424" s="1779"/>
      <c r="AU424" s="1779"/>
      <c r="AV424" s="1779"/>
    </row>
    <row r="425" spans="1:48" ht="13.9" customHeight="1">
      <c r="A425" s="768"/>
      <c r="B425" s="762" t="s">
        <v>1248</v>
      </c>
      <c r="C425" s="762" t="s">
        <v>507</v>
      </c>
      <c r="D425" s="1599"/>
      <c r="E425" s="2245" t="s">
        <v>1908</v>
      </c>
      <c r="F425" s="763">
        <v>2242</v>
      </c>
      <c r="G425" s="786" t="s">
        <v>3384</v>
      </c>
      <c r="H425" s="769"/>
      <c r="I425" s="753">
        <v>1200</v>
      </c>
      <c r="J425" s="753"/>
      <c r="K425" s="754"/>
      <c r="L425" s="769"/>
      <c r="M425" s="752">
        <v>800</v>
      </c>
      <c r="N425" s="73"/>
      <c r="O425" s="86"/>
      <c r="P425" s="1817" t="e">
        <f>INDEX(#REF!,MATCH(F425,#REF!,0),2)</f>
        <v>#REF!</v>
      </c>
      <c r="Q425" s="1779"/>
      <c r="R425" s="1779"/>
      <c r="S425" s="1779"/>
      <c r="T425" s="1779"/>
      <c r="U425" s="1779"/>
      <c r="V425" s="1779"/>
      <c r="W425" s="43"/>
      <c r="X425" s="1779"/>
      <c r="Y425" s="1779"/>
      <c r="Z425" s="1779"/>
      <c r="AA425" s="1779"/>
      <c r="AB425" s="1779"/>
      <c r="AC425" s="1779"/>
      <c r="AD425" s="1779"/>
      <c r="AE425" s="1779"/>
      <c r="AF425" s="1779"/>
      <c r="AG425" s="1779"/>
      <c r="AH425" s="1779"/>
      <c r="AI425" s="1779"/>
      <c r="AJ425" s="1779"/>
      <c r="AK425" s="1779"/>
      <c r="AL425" s="1779"/>
      <c r="AM425" s="1779"/>
      <c r="AN425" s="1779"/>
      <c r="AO425" s="1779"/>
      <c r="AP425" s="1779"/>
      <c r="AQ425" s="1779"/>
      <c r="AR425" s="1779"/>
      <c r="AS425" s="1779"/>
      <c r="AT425" s="1779"/>
      <c r="AU425" s="1779"/>
      <c r="AV425" s="1779"/>
    </row>
    <row r="426" spans="1:48" ht="13.9" customHeight="1">
      <c r="A426" s="768"/>
      <c r="B426" s="762" t="s">
        <v>1248</v>
      </c>
      <c r="C426" s="762" t="s">
        <v>507</v>
      </c>
      <c r="D426" s="1599"/>
      <c r="E426" s="2245" t="s">
        <v>1908</v>
      </c>
      <c r="F426" s="763">
        <v>2242</v>
      </c>
      <c r="G426" s="786" t="s">
        <v>3385</v>
      </c>
      <c r="H426" s="769"/>
      <c r="I426" s="753">
        <v>400</v>
      </c>
      <c r="J426" s="753"/>
      <c r="K426" s="754"/>
      <c r="L426" s="769"/>
      <c r="M426" s="752">
        <v>800</v>
      </c>
      <c r="N426" s="73"/>
      <c r="O426" s="86"/>
      <c r="P426" s="1817" t="e">
        <f>INDEX(#REF!,MATCH(F426,#REF!,0),2)</f>
        <v>#REF!</v>
      </c>
      <c r="Q426" s="1779"/>
      <c r="R426" s="1779"/>
      <c r="S426" s="1779"/>
      <c r="T426" s="1779"/>
      <c r="U426" s="1779"/>
      <c r="V426" s="1779"/>
      <c r="W426" s="43"/>
      <c r="X426" s="1779"/>
      <c r="Y426" s="1779"/>
      <c r="Z426" s="1779"/>
      <c r="AA426" s="1779"/>
      <c r="AB426" s="1779"/>
      <c r="AC426" s="1779"/>
      <c r="AD426" s="1779"/>
      <c r="AE426" s="1779"/>
      <c r="AF426" s="1779"/>
      <c r="AG426" s="1779"/>
      <c r="AH426" s="1779"/>
      <c r="AI426" s="1779"/>
      <c r="AJ426" s="1779"/>
      <c r="AK426" s="1779"/>
      <c r="AL426" s="1779"/>
      <c r="AM426" s="1779"/>
      <c r="AN426" s="1779"/>
      <c r="AO426" s="1779"/>
      <c r="AP426" s="1779"/>
      <c r="AQ426" s="1779"/>
      <c r="AR426" s="1779"/>
      <c r="AS426" s="1779"/>
      <c r="AT426" s="1779"/>
      <c r="AU426" s="1779"/>
      <c r="AV426" s="1779"/>
    </row>
    <row r="427" spans="1:48" ht="15" customHeight="1">
      <c r="A427" s="768"/>
      <c r="B427" s="762" t="s">
        <v>1248</v>
      </c>
      <c r="C427" s="762" t="s">
        <v>507</v>
      </c>
      <c r="D427" s="1599"/>
      <c r="E427" s="2245" t="s">
        <v>1908</v>
      </c>
      <c r="F427" s="763">
        <v>2242</v>
      </c>
      <c r="G427" s="751" t="s">
        <v>3386</v>
      </c>
      <c r="H427" s="769"/>
      <c r="I427" s="753">
        <v>400</v>
      </c>
      <c r="J427" s="753"/>
      <c r="K427" s="754"/>
      <c r="L427" s="769"/>
      <c r="M427" s="752">
        <v>400</v>
      </c>
      <c r="N427" s="73"/>
      <c r="O427" s="86"/>
      <c r="P427" s="1817" t="e">
        <f>INDEX(#REF!,MATCH(F427,#REF!,0),2)</f>
        <v>#REF!</v>
      </c>
      <c r="Q427" s="1779"/>
      <c r="R427" s="1779"/>
      <c r="S427" s="1779"/>
      <c r="T427" s="1779"/>
      <c r="U427" s="1779"/>
      <c r="V427" s="1779"/>
      <c r="W427" s="43"/>
      <c r="X427" s="1779"/>
      <c r="Y427" s="1779"/>
      <c r="Z427" s="1779"/>
      <c r="AA427" s="1779"/>
      <c r="AB427" s="1779"/>
      <c r="AC427" s="1779"/>
      <c r="AD427" s="1779"/>
      <c r="AE427" s="1779"/>
      <c r="AF427" s="1779"/>
      <c r="AG427" s="1779"/>
      <c r="AH427" s="1779"/>
      <c r="AI427" s="1779"/>
      <c r="AJ427" s="1779"/>
      <c r="AK427" s="1779"/>
      <c r="AL427" s="1779"/>
      <c r="AM427" s="1779"/>
      <c r="AN427" s="1779"/>
      <c r="AO427" s="1779"/>
      <c r="AP427" s="1779"/>
      <c r="AQ427" s="1779"/>
      <c r="AR427" s="1779"/>
      <c r="AS427" s="1779"/>
      <c r="AT427" s="1779"/>
      <c r="AU427" s="1779"/>
      <c r="AV427" s="1779"/>
    </row>
    <row r="428" spans="1:48" ht="15" customHeight="1">
      <c r="A428" s="768"/>
      <c r="B428" s="762" t="s">
        <v>1248</v>
      </c>
      <c r="C428" s="762" t="s">
        <v>505</v>
      </c>
      <c r="D428" s="1599"/>
      <c r="E428" s="2245" t="s">
        <v>1908</v>
      </c>
      <c r="F428" s="763">
        <v>2242</v>
      </c>
      <c r="G428" s="772" t="s">
        <v>282</v>
      </c>
      <c r="H428" s="769"/>
      <c r="I428" s="753">
        <v>5000</v>
      </c>
      <c r="J428" s="753"/>
      <c r="K428" s="754"/>
      <c r="L428" s="769"/>
      <c r="M428" s="752">
        <v>5000</v>
      </c>
      <c r="N428" s="73"/>
      <c r="O428" s="86"/>
      <c r="P428" s="1817" t="e">
        <f>INDEX(#REF!,MATCH(F428,#REF!,0),2)</f>
        <v>#REF!</v>
      </c>
      <c r="Q428" s="1779"/>
      <c r="R428" s="1779"/>
      <c r="S428" s="1779"/>
      <c r="T428" s="1779"/>
      <c r="U428" s="1779"/>
      <c r="V428" s="1779"/>
      <c r="W428" s="43"/>
      <c r="X428" s="1779"/>
      <c r="Y428" s="1779"/>
      <c r="Z428" s="1779"/>
      <c r="AA428" s="1779"/>
      <c r="AB428" s="1779"/>
      <c r="AC428" s="1779"/>
      <c r="AD428" s="1779"/>
      <c r="AE428" s="1779"/>
      <c r="AF428" s="1779"/>
      <c r="AG428" s="1779"/>
      <c r="AH428" s="1779"/>
      <c r="AI428" s="1779"/>
      <c r="AJ428" s="1779"/>
      <c r="AK428" s="1779"/>
      <c r="AL428" s="1779"/>
      <c r="AM428" s="1779"/>
      <c r="AN428" s="1779"/>
      <c r="AO428" s="1779"/>
      <c r="AP428" s="1779"/>
      <c r="AQ428" s="1779"/>
      <c r="AR428" s="1779"/>
      <c r="AS428" s="1779"/>
      <c r="AT428" s="1779"/>
      <c r="AU428" s="1779"/>
      <c r="AV428" s="1779"/>
    </row>
    <row r="429" spans="1:48" ht="13.15" customHeight="1">
      <c r="A429" s="768"/>
      <c r="B429" s="762" t="s">
        <v>1248</v>
      </c>
      <c r="C429" s="762" t="s">
        <v>505</v>
      </c>
      <c r="D429" s="1599"/>
      <c r="E429" s="2245" t="s">
        <v>1908</v>
      </c>
      <c r="F429" s="763">
        <v>2242</v>
      </c>
      <c r="G429" s="772" t="s">
        <v>548</v>
      </c>
      <c r="H429" s="769"/>
      <c r="I429" s="753">
        <v>500</v>
      </c>
      <c r="J429" s="1486"/>
      <c r="K429" s="754"/>
      <c r="L429" s="769"/>
      <c r="M429" s="752">
        <v>500</v>
      </c>
      <c r="N429" s="73"/>
      <c r="O429" s="86"/>
      <c r="P429" s="1817" t="e">
        <f>INDEX(#REF!,MATCH(F429,#REF!,0),2)</f>
        <v>#REF!</v>
      </c>
      <c r="Q429" s="1779"/>
      <c r="R429" s="1779"/>
      <c r="S429" s="1779"/>
      <c r="T429" s="1779"/>
      <c r="U429" s="1779"/>
      <c r="V429" s="1779"/>
      <c r="W429" s="43"/>
      <c r="X429" s="1779"/>
      <c r="Y429" s="1779"/>
      <c r="Z429" s="1779"/>
      <c r="AA429" s="1779"/>
      <c r="AB429" s="1779"/>
      <c r="AC429" s="1779"/>
      <c r="AD429" s="1779"/>
      <c r="AE429" s="1779"/>
      <c r="AF429" s="1779"/>
      <c r="AG429" s="1779"/>
      <c r="AH429" s="1779"/>
      <c r="AI429" s="1779"/>
      <c r="AJ429" s="1779"/>
      <c r="AK429" s="1779"/>
      <c r="AL429" s="1779"/>
      <c r="AM429" s="1779"/>
      <c r="AN429" s="1779"/>
      <c r="AO429" s="1779"/>
      <c r="AP429" s="1779"/>
      <c r="AQ429" s="1779"/>
      <c r="AR429" s="1779"/>
      <c r="AS429" s="1779"/>
      <c r="AT429" s="1779"/>
      <c r="AU429" s="1779"/>
      <c r="AV429" s="1779"/>
    </row>
    <row r="430" spans="1:48" ht="13.15" customHeight="1">
      <c r="A430" s="1484"/>
      <c r="B430" s="762" t="s">
        <v>1248</v>
      </c>
      <c r="C430" s="762" t="s">
        <v>505</v>
      </c>
      <c r="D430" s="1599"/>
      <c r="E430" s="2245" t="s">
        <v>1908</v>
      </c>
      <c r="F430" s="763">
        <v>2242</v>
      </c>
      <c r="G430" s="47" t="s">
        <v>2059</v>
      </c>
      <c r="H430" s="1482"/>
      <c r="I430" s="1485">
        <v>100</v>
      </c>
      <c r="J430" s="1486"/>
      <c r="K430" s="1380"/>
      <c r="L430" s="1482"/>
      <c r="M430" s="1479">
        <v>100</v>
      </c>
      <c r="N430" s="73"/>
      <c r="O430" s="86"/>
      <c r="P430" s="1817" t="e">
        <f>INDEX(#REF!,MATCH(F430,#REF!,0),2)</f>
        <v>#REF!</v>
      </c>
      <c r="Q430" s="1779"/>
      <c r="R430" s="1779"/>
      <c r="S430" s="1779"/>
      <c r="T430" s="1779"/>
      <c r="U430" s="1779"/>
      <c r="V430" s="1779"/>
      <c r="W430" s="43"/>
      <c r="X430" s="1779"/>
      <c r="Y430" s="1779"/>
      <c r="Z430" s="1779"/>
      <c r="AA430" s="1779"/>
      <c r="AB430" s="1779"/>
      <c r="AC430" s="1779"/>
      <c r="AD430" s="1779"/>
      <c r="AE430" s="1779"/>
      <c r="AF430" s="1779"/>
      <c r="AG430" s="1779"/>
      <c r="AH430" s="1779"/>
      <c r="AI430" s="1779"/>
      <c r="AJ430" s="1779"/>
      <c r="AK430" s="1779"/>
      <c r="AL430" s="1779"/>
      <c r="AM430" s="1779"/>
      <c r="AN430" s="1779"/>
      <c r="AO430" s="1779"/>
      <c r="AP430" s="1779"/>
      <c r="AQ430" s="1779"/>
      <c r="AR430" s="1779"/>
      <c r="AS430" s="1779"/>
      <c r="AT430" s="1779"/>
      <c r="AU430" s="1779"/>
      <c r="AV430" s="1779"/>
    </row>
    <row r="431" spans="1:48" ht="11.45" customHeight="1">
      <c r="A431" s="768"/>
      <c r="B431" s="762" t="s">
        <v>1248</v>
      </c>
      <c r="C431" s="762" t="s">
        <v>505</v>
      </c>
      <c r="D431" s="1599"/>
      <c r="E431" s="2245" t="s">
        <v>1908</v>
      </c>
      <c r="F431" s="763">
        <v>2242</v>
      </c>
      <c r="G431" s="169" t="s">
        <v>1319</v>
      </c>
      <c r="H431" s="769"/>
      <c r="I431" s="753">
        <v>210</v>
      </c>
      <c r="J431" s="1486"/>
      <c r="K431" s="766"/>
      <c r="L431" s="769"/>
      <c r="M431" s="752">
        <v>210</v>
      </c>
      <c r="N431" s="73"/>
      <c r="O431" s="86"/>
      <c r="P431" s="1817" t="e">
        <f>INDEX(#REF!,MATCH(F431,#REF!,0),2)</f>
        <v>#REF!</v>
      </c>
      <c r="Q431" s="1779"/>
      <c r="R431" s="1779"/>
      <c r="S431" s="1779"/>
      <c r="T431" s="1779"/>
      <c r="U431" s="1779"/>
      <c r="V431" s="1779"/>
      <c r="W431" s="43"/>
      <c r="X431" s="1779"/>
      <c r="Y431" s="1779"/>
      <c r="Z431" s="1779"/>
      <c r="AA431" s="1779"/>
      <c r="AB431" s="1779"/>
      <c r="AC431" s="1779"/>
      <c r="AD431" s="1779"/>
      <c r="AE431" s="1779"/>
      <c r="AF431" s="1779"/>
      <c r="AG431" s="1779"/>
      <c r="AH431" s="1779"/>
      <c r="AI431" s="1779"/>
      <c r="AJ431" s="1779"/>
      <c r="AK431" s="1779"/>
      <c r="AL431" s="1779"/>
      <c r="AM431" s="1779"/>
      <c r="AN431" s="1779"/>
      <c r="AO431" s="1779"/>
      <c r="AP431" s="1779"/>
      <c r="AQ431" s="1779"/>
      <c r="AR431" s="1779"/>
      <c r="AS431" s="1779"/>
      <c r="AT431" s="1779"/>
      <c r="AU431" s="1779"/>
      <c r="AV431" s="1779"/>
    </row>
    <row r="432" spans="1:48" ht="19.899999999999999" customHeight="1">
      <c r="A432" s="755"/>
      <c r="B432" s="755" t="s">
        <v>1248</v>
      </c>
      <c r="C432" s="755" t="s">
        <v>507</v>
      </c>
      <c r="D432" s="1600">
        <v>340</v>
      </c>
      <c r="E432" s="2247" t="s">
        <v>1908</v>
      </c>
      <c r="F432" s="756">
        <v>2243</v>
      </c>
      <c r="G432" s="757" t="s">
        <v>279</v>
      </c>
      <c r="H432" s="758">
        <v>5801</v>
      </c>
      <c r="I432" s="767"/>
      <c r="J432" s="760"/>
      <c r="K432" s="761"/>
      <c r="L432" s="758">
        <v>12046</v>
      </c>
      <c r="M432" s="767"/>
      <c r="N432" s="83"/>
      <c r="O432" s="86"/>
      <c r="P432" s="1817" t="e">
        <f>INDEX(#REF!,MATCH(F432,#REF!,0),2)</f>
        <v>#REF!</v>
      </c>
      <c r="Q432" s="11"/>
      <c r="R432" s="11"/>
      <c r="S432" s="11"/>
      <c r="T432" s="11"/>
      <c r="U432" s="11"/>
      <c r="V432" s="11"/>
      <c r="W432" s="4"/>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row>
    <row r="433" spans="1:48" ht="11.45" customHeight="1">
      <c r="A433" s="768"/>
      <c r="B433" s="762" t="s">
        <v>1248</v>
      </c>
      <c r="C433" s="762" t="s">
        <v>507</v>
      </c>
      <c r="D433" s="1599"/>
      <c r="E433" s="2245" t="s">
        <v>1908</v>
      </c>
      <c r="F433" s="763">
        <v>2243</v>
      </c>
      <c r="G433" s="772" t="s">
        <v>3388</v>
      </c>
      <c r="H433" s="769"/>
      <c r="I433" s="753">
        <v>315</v>
      </c>
      <c r="J433" s="753"/>
      <c r="K433" s="754"/>
      <c r="L433" s="769"/>
      <c r="M433" s="752">
        <v>315</v>
      </c>
      <c r="N433" s="13"/>
      <c r="O433" s="86"/>
      <c r="P433" s="1817" t="e">
        <f>INDEX(#REF!,MATCH(F433,#REF!,0),2)</f>
        <v>#REF!</v>
      </c>
      <c r="Q433" s="11"/>
      <c r="R433" s="11"/>
      <c r="S433" s="11"/>
      <c r="T433" s="11"/>
      <c r="U433" s="11"/>
      <c r="V433" s="11"/>
      <c r="W433" s="4"/>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row>
    <row r="434" spans="1:48" ht="18.600000000000001" customHeight="1">
      <c r="A434" s="768"/>
      <c r="B434" s="762" t="s">
        <v>1248</v>
      </c>
      <c r="C434" s="762" t="s">
        <v>507</v>
      </c>
      <c r="D434" s="1599"/>
      <c r="E434" s="2245" t="s">
        <v>1908</v>
      </c>
      <c r="F434" s="763">
        <v>2243</v>
      </c>
      <c r="G434" s="751" t="s">
        <v>3387</v>
      </c>
      <c r="H434" s="769"/>
      <c r="I434" s="753">
        <v>3630</v>
      </c>
      <c r="J434" s="753"/>
      <c r="K434" s="754"/>
      <c r="L434" s="769"/>
      <c r="M434" s="752">
        <v>3630</v>
      </c>
      <c r="N434" s="13"/>
      <c r="O434" s="86"/>
      <c r="P434" s="1817" t="e">
        <f>INDEX(#REF!,MATCH(F434,#REF!,0),2)</f>
        <v>#REF!</v>
      </c>
      <c r="Q434" s="11"/>
      <c r="R434" s="11"/>
      <c r="S434" s="11"/>
      <c r="T434" s="11"/>
      <c r="U434" s="11"/>
      <c r="V434" s="11"/>
      <c r="W434" s="4"/>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row>
    <row r="435" spans="1:48" ht="14.45" customHeight="1">
      <c r="A435" s="768"/>
      <c r="B435" s="762" t="s">
        <v>1248</v>
      </c>
      <c r="C435" s="762" t="s">
        <v>507</v>
      </c>
      <c r="D435" s="1599"/>
      <c r="E435" s="2245" t="s">
        <v>1908</v>
      </c>
      <c r="F435" s="763">
        <v>2243</v>
      </c>
      <c r="G435" s="787" t="s">
        <v>910</v>
      </c>
      <c r="H435" s="769"/>
      <c r="I435" s="765">
        <v>500</v>
      </c>
      <c r="J435" s="765"/>
      <c r="K435" s="766"/>
      <c r="L435" s="769"/>
      <c r="M435" s="1479">
        <v>7000</v>
      </c>
      <c r="N435" s="13" t="s">
        <v>3389</v>
      </c>
      <c r="O435" s="86"/>
      <c r="P435" s="1817" t="e">
        <f>INDEX(#REF!,MATCH(F435,#REF!,0),2)</f>
        <v>#REF!</v>
      </c>
      <c r="Q435" s="1779"/>
      <c r="R435" s="1779"/>
      <c r="S435" s="1779"/>
      <c r="T435" s="1779"/>
      <c r="U435" s="1779"/>
      <c r="V435" s="1779"/>
      <c r="W435" s="43"/>
      <c r="X435" s="1779"/>
      <c r="Y435" s="1779"/>
      <c r="Z435" s="1779"/>
      <c r="AA435" s="1779"/>
      <c r="AB435" s="1779"/>
      <c r="AC435" s="1779"/>
      <c r="AD435" s="1779"/>
      <c r="AE435" s="1779"/>
      <c r="AF435" s="1779"/>
      <c r="AG435" s="1779"/>
      <c r="AH435" s="1779"/>
      <c r="AI435" s="1779"/>
      <c r="AJ435" s="1779"/>
      <c r="AK435" s="1779"/>
      <c r="AL435" s="1779"/>
      <c r="AM435" s="1779"/>
      <c r="AN435" s="1779"/>
      <c r="AO435" s="1779"/>
      <c r="AP435" s="1779"/>
      <c r="AQ435" s="1779"/>
      <c r="AR435" s="1779"/>
      <c r="AS435" s="1779"/>
      <c r="AT435" s="1779"/>
      <c r="AU435" s="1779"/>
      <c r="AV435" s="1779"/>
    </row>
    <row r="436" spans="1:48" ht="38.450000000000003" customHeight="1">
      <c r="A436" s="1914"/>
      <c r="B436" s="762" t="s">
        <v>1248</v>
      </c>
      <c r="C436" s="762" t="s">
        <v>507</v>
      </c>
      <c r="D436" s="1599"/>
      <c r="E436" s="2245" t="s">
        <v>1908</v>
      </c>
      <c r="F436" s="763">
        <v>2243</v>
      </c>
      <c r="G436" s="1884" t="s">
        <v>3120</v>
      </c>
      <c r="H436" s="1968"/>
      <c r="I436" s="1651">
        <v>234</v>
      </c>
      <c r="J436" s="1651"/>
      <c r="K436" s="1652"/>
      <c r="L436" s="1968"/>
      <c r="M436" s="1968"/>
      <c r="N436" s="73"/>
      <c r="O436" s="86"/>
      <c r="P436" s="1817" t="e">
        <f>INDEX(#REF!,MATCH(F436,#REF!,0),2)</f>
        <v>#REF!</v>
      </c>
      <c r="Q436" s="1779"/>
      <c r="R436" s="1779"/>
      <c r="S436" s="1779"/>
      <c r="T436" s="1779"/>
      <c r="U436" s="1779"/>
      <c r="V436" s="1779"/>
      <c r="W436" s="43"/>
      <c r="X436" s="1779"/>
      <c r="Y436" s="1779"/>
      <c r="Z436" s="1779"/>
      <c r="AA436" s="1779"/>
      <c r="AB436" s="1779"/>
      <c r="AC436" s="1779"/>
      <c r="AD436" s="1779"/>
      <c r="AE436" s="1779"/>
      <c r="AF436" s="1779"/>
      <c r="AG436" s="1779"/>
      <c r="AH436" s="1779"/>
      <c r="AI436" s="1779"/>
      <c r="AJ436" s="1779"/>
      <c r="AK436" s="1779"/>
      <c r="AL436" s="1779"/>
      <c r="AM436" s="1779"/>
      <c r="AN436" s="1779"/>
      <c r="AO436" s="1779"/>
      <c r="AP436" s="1779"/>
      <c r="AQ436" s="1779"/>
      <c r="AR436" s="1779"/>
      <c r="AS436" s="1779"/>
      <c r="AT436" s="1779"/>
      <c r="AU436" s="1779"/>
      <c r="AV436" s="1779"/>
    </row>
    <row r="437" spans="1:48" ht="14.45" customHeight="1">
      <c r="A437" s="768"/>
      <c r="B437" s="762" t="s">
        <v>1248</v>
      </c>
      <c r="C437" s="762" t="s">
        <v>513</v>
      </c>
      <c r="D437" s="1599"/>
      <c r="E437" s="2245" t="s">
        <v>1908</v>
      </c>
      <c r="F437" s="763">
        <v>2243</v>
      </c>
      <c r="G437" s="772" t="s">
        <v>3390</v>
      </c>
      <c r="H437" s="769"/>
      <c r="I437" s="753">
        <v>246</v>
      </c>
      <c r="J437" s="753"/>
      <c r="K437" s="754"/>
      <c r="L437" s="769"/>
      <c r="M437" s="752">
        <v>225</v>
      </c>
      <c r="N437" s="13" t="s">
        <v>3392</v>
      </c>
      <c r="O437" s="86"/>
      <c r="P437" s="1817" t="e">
        <f>INDEX(#REF!,MATCH(F437,#REF!,0),2)</f>
        <v>#REF!</v>
      </c>
      <c r="Q437" s="1779"/>
      <c r="R437" s="1779"/>
      <c r="S437" s="1779"/>
      <c r="T437" s="1779"/>
      <c r="U437" s="1779"/>
      <c r="V437" s="1779"/>
      <c r="W437" s="43"/>
      <c r="X437" s="1779"/>
      <c r="Y437" s="1779"/>
      <c r="Z437" s="1779"/>
      <c r="AA437" s="1779"/>
      <c r="AB437" s="1779"/>
      <c r="AC437" s="1779"/>
      <c r="AD437" s="1779"/>
      <c r="AE437" s="1779"/>
      <c r="AF437" s="1779"/>
      <c r="AG437" s="1779"/>
      <c r="AH437" s="1779"/>
      <c r="AI437" s="1779"/>
      <c r="AJ437" s="1779"/>
      <c r="AK437" s="1779"/>
      <c r="AL437" s="1779"/>
      <c r="AM437" s="1779"/>
      <c r="AN437" s="1779"/>
      <c r="AO437" s="1779"/>
      <c r="AP437" s="1779"/>
      <c r="AQ437" s="1779"/>
      <c r="AR437" s="1779"/>
      <c r="AS437" s="1779"/>
      <c r="AT437" s="1779"/>
      <c r="AU437" s="1779"/>
      <c r="AV437" s="1779"/>
    </row>
    <row r="438" spans="1:48" ht="40.15" customHeight="1">
      <c r="A438" s="768" t="s">
        <v>1133</v>
      </c>
      <c r="B438" s="762" t="s">
        <v>1248</v>
      </c>
      <c r="C438" s="762" t="s">
        <v>513</v>
      </c>
      <c r="D438" s="1599"/>
      <c r="E438" s="2245" t="s">
        <v>1908</v>
      </c>
      <c r="F438" s="763">
        <v>2243</v>
      </c>
      <c r="G438" s="1570" t="s">
        <v>3391</v>
      </c>
      <c r="H438" s="769"/>
      <c r="I438" s="753">
        <v>876</v>
      </c>
      <c r="J438" s="753"/>
      <c r="K438" s="754"/>
      <c r="L438" s="769"/>
      <c r="M438" s="752">
        <v>876</v>
      </c>
      <c r="N438" s="73" t="s">
        <v>3393</v>
      </c>
      <c r="O438" s="86"/>
      <c r="P438" s="1817" t="e">
        <f>INDEX(#REF!,MATCH(F438,#REF!,0),2)</f>
        <v>#REF!</v>
      </c>
      <c r="Q438" s="1779"/>
      <c r="R438" s="1779"/>
      <c r="S438" s="1779"/>
      <c r="T438" s="1779"/>
      <c r="U438" s="1779"/>
      <c r="V438" s="1779"/>
      <c r="W438" s="43"/>
      <c r="X438" s="1779"/>
      <c r="Y438" s="1779"/>
      <c r="Z438" s="1779"/>
      <c r="AA438" s="1779"/>
      <c r="AB438" s="1779"/>
      <c r="AC438" s="1779"/>
      <c r="AD438" s="1779"/>
      <c r="AE438" s="1779"/>
      <c r="AF438" s="1779"/>
      <c r="AG438" s="1779"/>
      <c r="AH438" s="1779"/>
      <c r="AI438" s="1779"/>
      <c r="AJ438" s="1779"/>
      <c r="AK438" s="1779"/>
      <c r="AL438" s="1779"/>
      <c r="AM438" s="1779"/>
      <c r="AN438" s="1779"/>
      <c r="AO438" s="1779"/>
      <c r="AP438" s="1779"/>
      <c r="AQ438" s="1779"/>
      <c r="AR438" s="1779"/>
      <c r="AS438" s="1779"/>
      <c r="AT438" s="1779"/>
      <c r="AU438" s="1779"/>
      <c r="AV438" s="1779"/>
    </row>
    <row r="439" spans="1:48" ht="23.25" customHeight="1">
      <c r="A439" s="755"/>
      <c r="B439" s="755" t="s">
        <v>1248</v>
      </c>
      <c r="C439" s="755" t="s">
        <v>513</v>
      </c>
      <c r="D439" s="1600">
        <v>340</v>
      </c>
      <c r="E439" s="2247" t="s">
        <v>1908</v>
      </c>
      <c r="F439" s="788">
        <v>2244</v>
      </c>
      <c r="G439" s="1874" t="s">
        <v>280</v>
      </c>
      <c r="H439" s="758">
        <v>9150</v>
      </c>
      <c r="I439" s="767"/>
      <c r="J439" s="760"/>
      <c r="K439" s="761"/>
      <c r="L439" s="758">
        <v>1011</v>
      </c>
      <c r="M439" s="759"/>
      <c r="N439" s="73"/>
      <c r="O439" s="86"/>
      <c r="P439" s="1817" t="e">
        <f>INDEX(#REF!,MATCH(F439,#REF!,0),2)</f>
        <v>#REF!</v>
      </c>
      <c r="Q439" s="1779"/>
      <c r="R439" s="1779"/>
      <c r="S439" s="1779"/>
      <c r="T439" s="1779"/>
      <c r="U439" s="1779"/>
      <c r="V439" s="1779"/>
      <c r="W439" s="43"/>
      <c r="X439" s="1779"/>
      <c r="Y439" s="1779"/>
      <c r="Z439" s="1779"/>
      <c r="AA439" s="1779"/>
      <c r="AB439" s="1779"/>
      <c r="AC439" s="1779"/>
      <c r="AD439" s="1779"/>
      <c r="AE439" s="1779"/>
      <c r="AF439" s="1779"/>
      <c r="AG439" s="1779"/>
      <c r="AH439" s="1779"/>
      <c r="AI439" s="1779"/>
      <c r="AJ439" s="1779"/>
      <c r="AK439" s="1779"/>
      <c r="AL439" s="1779"/>
      <c r="AM439" s="1779"/>
      <c r="AN439" s="1779"/>
      <c r="AO439" s="1779"/>
      <c r="AP439" s="1779"/>
      <c r="AQ439" s="1779"/>
      <c r="AR439" s="1779"/>
      <c r="AS439" s="1779"/>
      <c r="AT439" s="1779"/>
      <c r="AU439" s="1779"/>
      <c r="AV439" s="1779"/>
    </row>
    <row r="440" spans="1:48" ht="19.899999999999999" customHeight="1">
      <c r="A440" s="768"/>
      <c r="B440" s="762" t="s">
        <v>1248</v>
      </c>
      <c r="C440" s="762" t="s">
        <v>513</v>
      </c>
      <c r="D440" s="1599"/>
      <c r="E440" s="2245" t="s">
        <v>1908</v>
      </c>
      <c r="F440" s="773">
        <v>2244</v>
      </c>
      <c r="G440" s="1570" t="s">
        <v>3394</v>
      </c>
      <c r="H440" s="769"/>
      <c r="I440" s="753">
        <v>359.4</v>
      </c>
      <c r="J440" s="753">
        <v>190.7</v>
      </c>
      <c r="K440" s="754"/>
      <c r="L440" s="752"/>
      <c r="M440" s="752"/>
      <c r="N440" s="73"/>
      <c r="O440" s="86"/>
      <c r="P440" s="1817" t="e">
        <f>INDEX(#REF!,MATCH(F440,#REF!,0),2)</f>
        <v>#REF!</v>
      </c>
      <c r="Q440" s="1779"/>
      <c r="R440" s="1779"/>
      <c r="S440" s="1779"/>
      <c r="T440" s="1779"/>
      <c r="U440" s="1779"/>
      <c r="V440" s="1779"/>
      <c r="W440" s="43"/>
      <c r="X440" s="1779"/>
      <c r="Y440" s="1779"/>
      <c r="Z440" s="1779"/>
      <c r="AA440" s="1779"/>
      <c r="AB440" s="1779"/>
      <c r="AC440" s="1779"/>
      <c r="AD440" s="1779"/>
      <c r="AE440" s="1779"/>
      <c r="AF440" s="1779"/>
      <c r="AG440" s="1779"/>
      <c r="AH440" s="1779"/>
      <c r="AI440" s="1779"/>
      <c r="AJ440" s="1779"/>
      <c r="AK440" s="1779"/>
      <c r="AL440" s="1779"/>
      <c r="AM440" s="1779"/>
      <c r="AN440" s="1779"/>
      <c r="AO440" s="1779"/>
      <c r="AP440" s="1779"/>
      <c r="AQ440" s="1779"/>
      <c r="AR440" s="1779"/>
      <c r="AS440" s="1779"/>
      <c r="AT440" s="1779"/>
      <c r="AU440" s="1779"/>
      <c r="AV440" s="1779"/>
    </row>
    <row r="441" spans="1:48" ht="19.899999999999999" customHeight="1">
      <c r="A441" s="762" t="s">
        <v>1133</v>
      </c>
      <c r="B441" s="762" t="s">
        <v>1248</v>
      </c>
      <c r="C441" s="762" t="s">
        <v>513</v>
      </c>
      <c r="D441" s="1599"/>
      <c r="E441" s="2245" t="s">
        <v>1908</v>
      </c>
      <c r="F441" s="773">
        <v>2244</v>
      </c>
      <c r="G441" s="1875" t="s">
        <v>2576</v>
      </c>
      <c r="H441" s="769"/>
      <c r="I441" s="765">
        <v>726</v>
      </c>
      <c r="J441" s="765"/>
      <c r="K441" s="766"/>
      <c r="L441" s="752"/>
      <c r="M441" s="752">
        <v>726</v>
      </c>
      <c r="N441" s="73" t="s">
        <v>3393</v>
      </c>
      <c r="O441" s="86"/>
      <c r="P441" s="1817" t="e">
        <f>INDEX(#REF!,MATCH(F441,#REF!,0),2)</f>
        <v>#REF!</v>
      </c>
      <c r="Q441" s="11"/>
      <c r="R441" s="11"/>
      <c r="S441" s="11"/>
      <c r="T441" s="11"/>
      <c r="U441" s="11"/>
      <c r="V441" s="11"/>
      <c r="W441" s="4"/>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row>
    <row r="442" spans="1:48" ht="28.9" customHeight="1">
      <c r="A442" s="762" t="s">
        <v>1133</v>
      </c>
      <c r="B442" s="762" t="s">
        <v>1248</v>
      </c>
      <c r="C442" s="762" t="s">
        <v>513</v>
      </c>
      <c r="D442" s="1599"/>
      <c r="E442" s="2245" t="s">
        <v>1908</v>
      </c>
      <c r="F442" s="773">
        <v>2244</v>
      </c>
      <c r="G442" s="1875" t="s">
        <v>2577</v>
      </c>
      <c r="H442" s="769"/>
      <c r="I442" s="765">
        <v>7734.8039999999992</v>
      </c>
      <c r="J442" s="765"/>
      <c r="K442" s="766"/>
      <c r="L442" s="752"/>
      <c r="M442" s="1479">
        <v>0</v>
      </c>
      <c r="N442" s="4051" t="s">
        <v>5688</v>
      </c>
      <c r="O442" s="4052"/>
      <c r="P442" s="1817" t="e">
        <f>INDEX(#REF!,MATCH(F442,#REF!,0),2)</f>
        <v>#REF!</v>
      </c>
      <c r="Q442" s="43"/>
      <c r="R442" s="43"/>
      <c r="S442" s="43"/>
      <c r="T442" s="43"/>
      <c r="U442" s="43"/>
      <c r="V442" s="43"/>
      <c r="W442" s="43"/>
      <c r="X442" s="43"/>
      <c r="Y442" s="43"/>
      <c r="Z442" s="43"/>
      <c r="AA442" s="43"/>
      <c r="AB442" s="43"/>
      <c r="AC442" s="43"/>
      <c r="AD442" s="43"/>
      <c r="AE442" s="43"/>
      <c r="AF442" s="43"/>
      <c r="AG442" s="43"/>
      <c r="AH442" s="43"/>
      <c r="AI442" s="43"/>
      <c r="AJ442" s="43"/>
      <c r="AK442" s="43"/>
      <c r="AL442" s="43"/>
      <c r="AM442" s="43"/>
      <c r="AN442" s="43"/>
      <c r="AO442" s="43"/>
      <c r="AP442" s="43"/>
      <c r="AQ442" s="43"/>
      <c r="AR442" s="43"/>
      <c r="AS442" s="43"/>
      <c r="AT442" s="43"/>
      <c r="AU442" s="43"/>
      <c r="AV442" s="43"/>
    </row>
    <row r="443" spans="1:48" ht="13.9" customHeight="1">
      <c r="A443" s="768" t="s">
        <v>1133</v>
      </c>
      <c r="B443" s="762" t="s">
        <v>1248</v>
      </c>
      <c r="C443" s="762" t="s">
        <v>513</v>
      </c>
      <c r="D443" s="1599"/>
      <c r="E443" s="2245" t="s">
        <v>1908</v>
      </c>
      <c r="F443" s="773">
        <v>2244</v>
      </c>
      <c r="G443" s="751" t="s">
        <v>3395</v>
      </c>
      <c r="H443" s="769"/>
      <c r="I443" s="753">
        <v>285</v>
      </c>
      <c r="J443" s="753"/>
      <c r="K443" s="754"/>
      <c r="L443" s="752"/>
      <c r="M443" s="752">
        <v>285</v>
      </c>
      <c r="N443" s="73" t="s">
        <v>3393</v>
      </c>
      <c r="O443" s="86"/>
      <c r="P443" s="1817" t="e">
        <f>INDEX(#REF!,MATCH(F443,#REF!,0),2)</f>
        <v>#REF!</v>
      </c>
      <c r="Q443" s="43"/>
      <c r="R443" s="43"/>
      <c r="S443" s="43"/>
      <c r="T443" s="43"/>
      <c r="U443" s="43"/>
      <c r="V443" s="43"/>
      <c r="W443" s="43"/>
      <c r="X443" s="43"/>
      <c r="Y443" s="43"/>
      <c r="Z443" s="43"/>
      <c r="AA443" s="43"/>
      <c r="AB443" s="43"/>
      <c r="AC443" s="43"/>
      <c r="AD443" s="43"/>
      <c r="AE443" s="43"/>
      <c r="AF443" s="43"/>
      <c r="AG443" s="43"/>
      <c r="AH443" s="43"/>
      <c r="AI443" s="43"/>
      <c r="AJ443" s="43"/>
      <c r="AK443" s="43"/>
      <c r="AL443" s="43"/>
      <c r="AM443" s="43"/>
      <c r="AN443" s="43"/>
      <c r="AO443" s="43"/>
      <c r="AP443" s="43"/>
      <c r="AQ443" s="43"/>
      <c r="AR443" s="43"/>
      <c r="AS443" s="43"/>
      <c r="AT443" s="43"/>
      <c r="AU443" s="43"/>
      <c r="AV443" s="43"/>
    </row>
    <row r="444" spans="1:48" ht="14.45" customHeight="1">
      <c r="A444" s="755"/>
      <c r="B444" s="755" t="s">
        <v>1248</v>
      </c>
      <c r="C444" s="755" t="s">
        <v>505</v>
      </c>
      <c r="D444" s="1600">
        <v>340</v>
      </c>
      <c r="E444" s="2247" t="s">
        <v>1908</v>
      </c>
      <c r="F444" s="788">
        <v>2247</v>
      </c>
      <c r="G444" s="757" t="s">
        <v>281</v>
      </c>
      <c r="H444" s="758">
        <v>84</v>
      </c>
      <c r="I444" s="767"/>
      <c r="J444" s="760"/>
      <c r="K444" s="761"/>
      <c r="L444" s="758">
        <v>0</v>
      </c>
      <c r="M444" s="759"/>
      <c r="N444" s="48"/>
      <c r="O444" s="86"/>
      <c r="P444" s="1817" t="e">
        <f>INDEX(#REF!,MATCH(F444,#REF!,0),2)</f>
        <v>#REF!</v>
      </c>
      <c r="Q444" s="43"/>
      <c r="R444" s="43"/>
      <c r="S444" s="43"/>
      <c r="T444" s="43"/>
      <c r="U444" s="43"/>
      <c r="V444" s="43"/>
      <c r="W444" s="43"/>
      <c r="X444" s="43"/>
      <c r="Y444" s="43"/>
      <c r="Z444" s="43"/>
      <c r="AA444" s="43"/>
      <c r="AB444" s="43"/>
      <c r="AC444" s="43"/>
      <c r="AD444" s="43"/>
      <c r="AE444" s="43"/>
      <c r="AF444" s="43"/>
      <c r="AG444" s="43"/>
      <c r="AH444" s="43"/>
      <c r="AI444" s="43"/>
      <c r="AJ444" s="43"/>
      <c r="AK444" s="43"/>
      <c r="AL444" s="43"/>
      <c r="AM444" s="43"/>
      <c r="AN444" s="43"/>
      <c r="AO444" s="43"/>
      <c r="AP444" s="43"/>
      <c r="AQ444" s="43"/>
      <c r="AR444" s="43"/>
      <c r="AS444" s="43"/>
      <c r="AT444" s="43"/>
      <c r="AU444" s="43"/>
      <c r="AV444" s="43"/>
    </row>
    <row r="445" spans="1:48" ht="10.9" customHeight="1">
      <c r="A445" s="768"/>
      <c r="B445" s="762" t="s">
        <v>1248</v>
      </c>
      <c r="C445" s="762" t="s">
        <v>505</v>
      </c>
      <c r="D445" s="1599"/>
      <c r="E445" s="2245" t="s">
        <v>1908</v>
      </c>
      <c r="F445" s="773">
        <v>2247</v>
      </c>
      <c r="G445" s="772" t="s">
        <v>850</v>
      </c>
      <c r="H445" s="769"/>
      <c r="I445" s="753">
        <v>84</v>
      </c>
      <c r="J445" s="753"/>
      <c r="K445" s="754"/>
      <c r="L445" s="752"/>
      <c r="M445" s="752"/>
      <c r="N445" s="13" t="s">
        <v>3396</v>
      </c>
      <c r="O445" s="86"/>
      <c r="P445" s="1817" t="e">
        <f>INDEX(#REF!,MATCH(F445,#REF!,0),2)</f>
        <v>#REF!</v>
      </c>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row>
    <row r="446" spans="1:48" ht="24" customHeight="1">
      <c r="A446" s="755" t="s">
        <v>1133</v>
      </c>
      <c r="B446" s="755" t="s">
        <v>1248</v>
      </c>
      <c r="C446" s="755" t="s">
        <v>513</v>
      </c>
      <c r="D446" s="1600">
        <v>340</v>
      </c>
      <c r="E446" s="2247" t="s">
        <v>1908</v>
      </c>
      <c r="F446" s="788">
        <v>2249</v>
      </c>
      <c r="G446" s="757" t="s">
        <v>2434</v>
      </c>
      <c r="H446" s="758">
        <v>1044</v>
      </c>
      <c r="I446" s="767"/>
      <c r="J446" s="760"/>
      <c r="K446" s="761"/>
      <c r="L446" s="758">
        <v>1412</v>
      </c>
      <c r="M446" s="759"/>
      <c r="N446" s="83"/>
      <c r="O446" s="86"/>
      <c r="P446" s="1817" t="e">
        <f>INDEX(#REF!,MATCH(F446,#REF!,0),2)</f>
        <v>#REF!</v>
      </c>
      <c r="Q446" s="11"/>
      <c r="R446" s="11"/>
      <c r="S446" s="11"/>
      <c r="T446" s="11"/>
      <c r="U446" s="11"/>
      <c r="V446" s="11"/>
      <c r="W446" s="4"/>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row>
    <row r="447" spans="1:48" ht="20.45" customHeight="1">
      <c r="A447" s="768" t="s">
        <v>1133</v>
      </c>
      <c r="B447" s="762" t="s">
        <v>1248</v>
      </c>
      <c r="C447" s="762" t="s">
        <v>513</v>
      </c>
      <c r="D447" s="1599"/>
      <c r="E447" s="2245" t="s">
        <v>1908</v>
      </c>
      <c r="F447" s="773">
        <v>2249</v>
      </c>
      <c r="G447" s="1570" t="s">
        <v>2582</v>
      </c>
      <c r="H447" s="769"/>
      <c r="I447" s="753">
        <v>244</v>
      </c>
      <c r="J447" s="753"/>
      <c r="K447" s="754"/>
      <c r="L447" s="752"/>
      <c r="M447" s="752">
        <v>145</v>
      </c>
      <c r="N447" s="73" t="s">
        <v>3393</v>
      </c>
      <c r="O447" s="86"/>
      <c r="P447" s="1817" t="e">
        <f>INDEX(#REF!,MATCH(F447,#REF!,0),2)</f>
        <v>#REF!</v>
      </c>
      <c r="Q447" s="43"/>
      <c r="R447" s="43"/>
      <c r="S447" s="43"/>
      <c r="T447" s="43"/>
      <c r="U447" s="43"/>
      <c r="V447" s="43"/>
      <c r="W447" s="43"/>
      <c r="X447" s="43"/>
      <c r="Y447" s="43"/>
      <c r="Z447" s="43"/>
      <c r="AA447" s="43"/>
      <c r="AB447" s="43"/>
      <c r="AC447" s="43"/>
      <c r="AD447" s="43"/>
      <c r="AE447" s="43"/>
      <c r="AF447" s="43"/>
      <c r="AG447" s="43"/>
      <c r="AH447" s="43"/>
      <c r="AI447" s="43"/>
      <c r="AJ447" s="43"/>
      <c r="AK447" s="43"/>
      <c r="AL447" s="43"/>
      <c r="AM447" s="43"/>
      <c r="AN447" s="43"/>
      <c r="AO447" s="43"/>
      <c r="AP447" s="43"/>
      <c r="AQ447" s="43"/>
      <c r="AR447" s="43"/>
      <c r="AS447" s="43"/>
      <c r="AT447" s="43"/>
      <c r="AU447" s="43"/>
      <c r="AV447" s="43"/>
    </row>
    <row r="448" spans="1:48" ht="39" customHeight="1">
      <c r="A448" s="768" t="s">
        <v>1133</v>
      </c>
      <c r="B448" s="762" t="s">
        <v>1248</v>
      </c>
      <c r="C448" s="762" t="s">
        <v>513</v>
      </c>
      <c r="D448" s="1599"/>
      <c r="E448" s="2245" t="s">
        <v>1908</v>
      </c>
      <c r="F448" s="773">
        <v>2249</v>
      </c>
      <c r="G448" s="1570" t="s">
        <v>1086</v>
      </c>
      <c r="H448" s="769"/>
      <c r="I448" s="753">
        <v>800</v>
      </c>
      <c r="J448" s="753"/>
      <c r="K448" s="754"/>
      <c r="L448" s="752"/>
      <c r="M448" s="752">
        <v>1267</v>
      </c>
      <c r="N448" s="73" t="s">
        <v>3393</v>
      </c>
      <c r="O448" s="86"/>
      <c r="P448" s="1817" t="e">
        <f>INDEX(#REF!,MATCH(F448,#REF!,0),2)</f>
        <v>#REF!</v>
      </c>
      <c r="Q448" s="43"/>
      <c r="R448" s="43"/>
      <c r="S448" s="43"/>
      <c r="T448" s="43"/>
      <c r="U448" s="43"/>
      <c r="V448" s="43"/>
      <c r="W448" s="43"/>
      <c r="X448" s="43"/>
      <c r="Y448" s="43"/>
      <c r="Z448" s="43"/>
      <c r="AA448" s="43"/>
      <c r="AB448" s="43"/>
      <c r="AC448" s="43"/>
      <c r="AD448" s="43"/>
      <c r="AE448" s="43"/>
      <c r="AF448" s="43"/>
      <c r="AG448" s="43"/>
      <c r="AH448" s="43"/>
      <c r="AI448" s="43"/>
      <c r="AJ448" s="43"/>
      <c r="AK448" s="43"/>
      <c r="AL448" s="43"/>
      <c r="AM448" s="43"/>
      <c r="AN448" s="43"/>
      <c r="AO448" s="43"/>
      <c r="AP448" s="43"/>
      <c r="AQ448" s="43"/>
      <c r="AR448" s="43"/>
      <c r="AS448" s="43"/>
      <c r="AT448" s="43"/>
      <c r="AU448" s="43"/>
      <c r="AV448" s="43"/>
    </row>
    <row r="449" spans="1:48" ht="11.45" customHeight="1">
      <c r="A449" s="755"/>
      <c r="B449" s="755" t="s">
        <v>1248</v>
      </c>
      <c r="C449" s="755" t="s">
        <v>505</v>
      </c>
      <c r="D449" s="1600">
        <v>340</v>
      </c>
      <c r="E449" s="2247" t="s">
        <v>1908</v>
      </c>
      <c r="F449" s="788">
        <v>2250</v>
      </c>
      <c r="G449" s="757" t="s">
        <v>2435</v>
      </c>
      <c r="H449" s="758">
        <v>200</v>
      </c>
      <c r="I449" s="758"/>
      <c r="J449" s="759"/>
      <c r="K449" s="761"/>
      <c r="L449" s="758">
        <v>733</v>
      </c>
      <c r="M449" s="759"/>
      <c r="N449" s="769"/>
      <c r="O449" s="11"/>
      <c r="P449" s="1817" t="e">
        <f>INDEX(#REF!,MATCH(F449,#REF!,0),2)</f>
        <v>#REF!</v>
      </c>
      <c r="Q449" s="11"/>
      <c r="R449" s="11"/>
      <c r="S449" s="4"/>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row>
    <row r="450" spans="1:48" ht="22.9" customHeight="1">
      <c r="A450" s="768"/>
      <c r="B450" s="762" t="s">
        <v>1248</v>
      </c>
      <c r="C450" s="762" t="s">
        <v>505</v>
      </c>
      <c r="D450" s="1599"/>
      <c r="E450" s="2245" t="s">
        <v>1908</v>
      </c>
      <c r="F450" s="773">
        <v>2250</v>
      </c>
      <c r="G450" s="2343" t="s">
        <v>3174</v>
      </c>
      <c r="H450" s="769"/>
      <c r="I450" s="752">
        <v>200</v>
      </c>
      <c r="J450" s="752"/>
      <c r="K450" s="754"/>
      <c r="L450" s="752"/>
      <c r="M450" s="752">
        <v>733</v>
      </c>
      <c r="N450" s="43" t="s">
        <v>3397</v>
      </c>
      <c r="O450" s="43"/>
      <c r="P450" s="1817" t="e">
        <f>INDEX(#REF!,MATCH(F450,#REF!,0),2)</f>
        <v>#REF!</v>
      </c>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row>
    <row r="451" spans="1:48" ht="11.45" customHeight="1">
      <c r="A451" s="755"/>
      <c r="B451" s="755" t="s">
        <v>1250</v>
      </c>
      <c r="C451" s="755" t="s">
        <v>509</v>
      </c>
      <c r="D451" s="1600">
        <v>340</v>
      </c>
      <c r="E451" s="2247" t="s">
        <v>1908</v>
      </c>
      <c r="F451" s="788">
        <v>2262</v>
      </c>
      <c r="G451" s="757" t="s">
        <v>622</v>
      </c>
      <c r="H451" s="758">
        <v>6802</v>
      </c>
      <c r="I451" s="767"/>
      <c r="J451" s="760"/>
      <c r="K451" s="761"/>
      <c r="L451" s="758">
        <v>11830</v>
      </c>
      <c r="M451" s="759"/>
      <c r="N451" s="13"/>
      <c r="O451" s="86"/>
      <c r="P451" s="1817" t="e">
        <f>INDEX(#REF!,MATCH(F451,#REF!,0),2)</f>
        <v>#REF!</v>
      </c>
      <c r="Q451" s="1779"/>
      <c r="R451" s="1779"/>
      <c r="S451" s="1779"/>
      <c r="T451" s="1779"/>
      <c r="U451" s="1779"/>
      <c r="V451" s="1779"/>
      <c r="W451" s="43"/>
      <c r="X451" s="1779"/>
      <c r="Y451" s="1779"/>
      <c r="Z451" s="1779"/>
      <c r="AA451" s="1779"/>
      <c r="AB451" s="1779"/>
      <c r="AC451" s="1779"/>
      <c r="AD451" s="1779"/>
      <c r="AE451" s="1779"/>
      <c r="AF451" s="1779"/>
      <c r="AG451" s="1779"/>
      <c r="AH451" s="1779"/>
      <c r="AI451" s="1779"/>
      <c r="AJ451" s="1779"/>
      <c r="AK451" s="1779"/>
      <c r="AL451" s="1779"/>
      <c r="AM451" s="1779"/>
      <c r="AN451" s="1779"/>
      <c r="AO451" s="1779"/>
      <c r="AP451" s="1779"/>
      <c r="AQ451" s="1779"/>
      <c r="AR451" s="1779"/>
      <c r="AS451" s="1779"/>
      <c r="AT451" s="1779"/>
      <c r="AU451" s="1779"/>
      <c r="AV451" s="1779"/>
    </row>
    <row r="452" spans="1:48" ht="41.45" customHeight="1">
      <c r="A452" s="762"/>
      <c r="B452" s="762" t="s">
        <v>1250</v>
      </c>
      <c r="C452" s="762" t="s">
        <v>509</v>
      </c>
      <c r="D452" s="1599"/>
      <c r="E452" s="2245" t="s">
        <v>1908</v>
      </c>
      <c r="F452" s="773">
        <v>2262</v>
      </c>
      <c r="G452" s="751" t="s">
        <v>3398</v>
      </c>
      <c r="H452" s="769"/>
      <c r="I452" s="753">
        <v>6802</v>
      </c>
      <c r="J452" s="753"/>
      <c r="K452" s="754"/>
      <c r="L452" s="752"/>
      <c r="M452" s="800">
        <v>11830</v>
      </c>
      <c r="N452" s="154" t="s">
        <v>3399</v>
      </c>
      <c r="O452" s="86"/>
      <c r="P452" s="1817" t="e">
        <f>INDEX(#REF!,MATCH(F452,#REF!,0),2)</f>
        <v>#REF!</v>
      </c>
      <c r="Q452" s="1779"/>
      <c r="R452" s="1779"/>
      <c r="S452" s="1779"/>
      <c r="T452" s="1779"/>
      <c r="U452" s="1779"/>
      <c r="V452" s="1779"/>
      <c r="W452" s="43"/>
      <c r="X452" s="1779"/>
      <c r="Y452" s="1779"/>
      <c r="Z452" s="1779"/>
      <c r="AA452" s="1779"/>
      <c r="AB452" s="1779"/>
      <c r="AC452" s="1779"/>
      <c r="AD452" s="1779"/>
      <c r="AE452" s="1779"/>
      <c r="AF452" s="1779"/>
      <c r="AG452" s="1779"/>
      <c r="AH452" s="1779"/>
      <c r="AI452" s="1779"/>
      <c r="AJ452" s="1779"/>
      <c r="AK452" s="1779"/>
      <c r="AL452" s="1779"/>
      <c r="AM452" s="1779"/>
      <c r="AN452" s="1779"/>
      <c r="AO452" s="1779"/>
      <c r="AP452" s="1779"/>
      <c r="AQ452" s="1779"/>
      <c r="AR452" s="1779"/>
      <c r="AS452" s="1779"/>
      <c r="AT452" s="1779"/>
      <c r="AU452" s="1779"/>
      <c r="AV452" s="1779"/>
    </row>
    <row r="453" spans="1:48" ht="11.45" customHeight="1">
      <c r="A453" s="755"/>
      <c r="B453" s="755" t="s">
        <v>1248</v>
      </c>
      <c r="C453" s="755" t="s">
        <v>505</v>
      </c>
      <c r="D453" s="1600">
        <v>340</v>
      </c>
      <c r="E453" s="2247" t="s">
        <v>1908</v>
      </c>
      <c r="F453" s="788">
        <v>2264</v>
      </c>
      <c r="G453" s="757" t="s">
        <v>240</v>
      </c>
      <c r="H453" s="758">
        <v>236</v>
      </c>
      <c r="I453" s="767"/>
      <c r="J453" s="760"/>
      <c r="K453" s="761"/>
      <c r="L453" s="758">
        <v>289.64</v>
      </c>
      <c r="M453" s="759"/>
      <c r="N453" s="73"/>
      <c r="O453" s="86"/>
      <c r="P453" s="1817" t="e">
        <f>INDEX(#REF!,MATCH(F453,#REF!,0),2)</f>
        <v>#REF!</v>
      </c>
      <c r="Q453" s="1779"/>
      <c r="R453" s="1779"/>
      <c r="S453" s="1779"/>
      <c r="T453" s="1779"/>
      <c r="U453" s="1779"/>
      <c r="V453" s="1779"/>
      <c r="W453" s="43"/>
      <c r="X453" s="1779"/>
      <c r="Y453" s="1779"/>
      <c r="Z453" s="1779"/>
      <c r="AA453" s="1779"/>
      <c r="AB453" s="1779"/>
      <c r="AC453" s="1779"/>
      <c r="AD453" s="1779"/>
      <c r="AE453" s="1779"/>
      <c r="AF453" s="1779"/>
      <c r="AG453" s="1779"/>
      <c r="AH453" s="1779"/>
      <c r="AI453" s="1779"/>
      <c r="AJ453" s="1779"/>
      <c r="AK453" s="1779"/>
      <c r="AL453" s="1779"/>
      <c r="AM453" s="1779"/>
      <c r="AN453" s="1779"/>
      <c r="AO453" s="1779"/>
      <c r="AP453" s="1779"/>
      <c r="AQ453" s="1779"/>
      <c r="AR453" s="1779"/>
      <c r="AS453" s="1779"/>
      <c r="AT453" s="1779"/>
      <c r="AU453" s="1779"/>
      <c r="AV453" s="1779"/>
    </row>
    <row r="454" spans="1:48" ht="13.9" customHeight="1">
      <c r="A454" s="762"/>
      <c r="B454" s="762" t="s">
        <v>1248</v>
      </c>
      <c r="C454" s="762" t="s">
        <v>505</v>
      </c>
      <c r="D454" s="1599"/>
      <c r="E454" s="2245" t="s">
        <v>1908</v>
      </c>
      <c r="F454" s="773">
        <v>2264</v>
      </c>
      <c r="G454" s="751" t="s">
        <v>284</v>
      </c>
      <c r="H454" s="769"/>
      <c r="I454" s="753">
        <v>180</v>
      </c>
      <c r="J454" s="753"/>
      <c r="K454" s="754"/>
      <c r="L454" s="752"/>
      <c r="M454" s="752">
        <v>180</v>
      </c>
      <c r="N454" s="149"/>
      <c r="O454" s="86"/>
      <c r="P454" s="1817" t="e">
        <f>INDEX(#REF!,MATCH(F454,#REF!,0),2)</f>
        <v>#REF!</v>
      </c>
      <c r="Q454" s="1779"/>
      <c r="R454" s="1779"/>
      <c r="S454" s="1779"/>
      <c r="T454" s="1779"/>
      <c r="U454" s="1779"/>
      <c r="V454" s="1779"/>
      <c r="W454" s="43"/>
      <c r="X454" s="1779"/>
      <c r="Y454" s="1779"/>
      <c r="Z454" s="1779"/>
      <c r="AA454" s="1779"/>
      <c r="AB454" s="1779"/>
      <c r="AC454" s="1779"/>
      <c r="AD454" s="1779"/>
      <c r="AE454" s="1779"/>
      <c r="AF454" s="1779"/>
      <c r="AG454" s="1779"/>
      <c r="AH454" s="1779"/>
      <c r="AI454" s="1779"/>
      <c r="AJ454" s="1779"/>
      <c r="AK454" s="1779"/>
      <c r="AL454" s="1779"/>
      <c r="AM454" s="1779"/>
      <c r="AN454" s="1779"/>
      <c r="AO454" s="1779"/>
      <c r="AP454" s="1779"/>
      <c r="AQ454" s="1779"/>
      <c r="AR454" s="1779"/>
      <c r="AS454" s="1779"/>
      <c r="AT454" s="1779"/>
      <c r="AU454" s="1779"/>
      <c r="AV454" s="1779"/>
    </row>
    <row r="455" spans="1:48" ht="13.9" customHeight="1">
      <c r="A455" s="2790"/>
      <c r="B455" s="762" t="s">
        <v>1248</v>
      </c>
      <c r="C455" s="762" t="s">
        <v>505</v>
      </c>
      <c r="D455" s="1599"/>
      <c r="E455" s="2245" t="s">
        <v>1908</v>
      </c>
      <c r="F455" s="773">
        <v>2264</v>
      </c>
      <c r="G455" s="1570" t="s">
        <v>5259</v>
      </c>
      <c r="H455" s="1657"/>
      <c r="I455" s="1651">
        <v>56</v>
      </c>
      <c r="J455" s="1651"/>
      <c r="K455" s="1652"/>
      <c r="L455" s="1650"/>
      <c r="M455" s="1650">
        <v>109.64000000000001</v>
      </c>
      <c r="N455" s="149" t="s">
        <v>5260</v>
      </c>
      <c r="O455" s="86"/>
      <c r="P455" s="1817"/>
      <c r="Q455" s="1779"/>
      <c r="R455" s="1779"/>
      <c r="S455" s="1779"/>
      <c r="T455" s="1779"/>
      <c r="U455" s="1779"/>
      <c r="V455" s="1779"/>
      <c r="W455" s="43"/>
      <c r="X455" s="1779"/>
      <c r="Y455" s="1779"/>
      <c r="Z455" s="1779"/>
      <c r="AA455" s="1779"/>
      <c r="AB455" s="1779"/>
      <c r="AC455" s="1779"/>
      <c r="AD455" s="1779"/>
      <c r="AE455" s="1779"/>
      <c r="AF455" s="1779"/>
      <c r="AG455" s="1779"/>
      <c r="AH455" s="1779"/>
      <c r="AI455" s="1779"/>
      <c r="AJ455" s="1779"/>
      <c r="AK455" s="1779"/>
      <c r="AL455" s="1779"/>
      <c r="AM455" s="1779"/>
      <c r="AN455" s="1779"/>
      <c r="AO455" s="1779"/>
      <c r="AP455" s="1779"/>
      <c r="AQ455" s="1779"/>
      <c r="AR455" s="1779"/>
      <c r="AS455" s="1779"/>
      <c r="AT455" s="1779"/>
      <c r="AU455" s="1779"/>
      <c r="AV455" s="1779"/>
    </row>
    <row r="456" spans="1:48" ht="20.45" customHeight="1">
      <c r="A456" s="755"/>
      <c r="B456" s="755" t="s">
        <v>1248</v>
      </c>
      <c r="C456" s="755" t="s">
        <v>507</v>
      </c>
      <c r="D456" s="1600">
        <v>340</v>
      </c>
      <c r="E456" s="2247" t="s">
        <v>1908</v>
      </c>
      <c r="F456" s="756">
        <v>2272</v>
      </c>
      <c r="G456" s="757" t="s">
        <v>1835</v>
      </c>
      <c r="H456" s="759">
        <v>100</v>
      </c>
      <c r="I456" s="767"/>
      <c r="J456" s="760"/>
      <c r="K456" s="761"/>
      <c r="L456" s="759">
        <v>0</v>
      </c>
      <c r="M456" s="759"/>
      <c r="N456" s="73"/>
      <c r="O456" s="86"/>
      <c r="P456" s="1817" t="e">
        <f>INDEX(#REF!,MATCH(F456,#REF!,0),2)</f>
        <v>#REF!</v>
      </c>
    </row>
    <row r="457" spans="1:48" ht="12.6" customHeight="1">
      <c r="A457" s="768"/>
      <c r="B457" s="762" t="s">
        <v>1248</v>
      </c>
      <c r="C457" s="762" t="s">
        <v>507</v>
      </c>
      <c r="D457" s="1599"/>
      <c r="E457" s="2245" t="s">
        <v>1908</v>
      </c>
      <c r="F457" s="763">
        <v>2272</v>
      </c>
      <c r="G457" s="751" t="s">
        <v>1836</v>
      </c>
      <c r="H457" s="769"/>
      <c r="I457" s="753">
        <v>100</v>
      </c>
      <c r="J457" s="753"/>
      <c r="K457" s="754"/>
      <c r="L457" s="752"/>
      <c r="M457" s="752"/>
      <c r="N457" s="1025"/>
      <c r="O457" s="86"/>
      <c r="P457" s="1817" t="e">
        <f>INDEX(#REF!,MATCH(F457,#REF!,0),2)</f>
        <v>#REF!</v>
      </c>
      <c r="Q457" s="43"/>
      <c r="R457" s="43"/>
      <c r="S457" s="43"/>
      <c r="T457" s="43"/>
      <c r="U457" s="43"/>
      <c r="V457" s="43"/>
      <c r="W457" s="43"/>
      <c r="X457" s="43"/>
      <c r="Y457" s="43"/>
      <c r="Z457" s="43"/>
      <c r="AA457" s="43"/>
      <c r="AB457" s="43"/>
      <c r="AC457" s="43"/>
      <c r="AD457" s="43"/>
      <c r="AE457" s="43"/>
      <c r="AF457" s="43"/>
      <c r="AG457" s="43"/>
      <c r="AH457" s="1779"/>
      <c r="AI457" s="1779"/>
      <c r="AJ457" s="1779"/>
      <c r="AK457" s="1779"/>
      <c r="AL457" s="1779"/>
      <c r="AM457" s="1779"/>
      <c r="AN457" s="1779"/>
      <c r="AO457" s="1779"/>
      <c r="AP457" s="1779"/>
      <c r="AQ457" s="1779"/>
      <c r="AR457" s="1779"/>
      <c r="AS457" s="1779"/>
      <c r="AT457" s="1779"/>
      <c r="AU457" s="1779"/>
      <c r="AV457" s="1779"/>
    </row>
    <row r="458" spans="1:48" ht="20.45" customHeight="1">
      <c r="A458" s="755"/>
      <c r="B458" s="755" t="s">
        <v>1248</v>
      </c>
      <c r="C458" s="755" t="s">
        <v>507</v>
      </c>
      <c r="D458" s="1600">
        <v>340</v>
      </c>
      <c r="E458" s="2247" t="s">
        <v>1908</v>
      </c>
      <c r="F458" s="756">
        <v>2311</v>
      </c>
      <c r="G458" s="757" t="s">
        <v>245</v>
      </c>
      <c r="H458" s="758">
        <v>2000</v>
      </c>
      <c r="I458" s="767"/>
      <c r="J458" s="760"/>
      <c r="K458" s="761"/>
      <c r="L458" s="758">
        <v>2000</v>
      </c>
      <c r="M458" s="759"/>
      <c r="N458" s="83"/>
      <c r="O458" s="86"/>
      <c r="P458" s="1817" t="e">
        <f>INDEX(#REF!,MATCH(F458,#REF!,0),2)</f>
        <v>#REF!</v>
      </c>
      <c r="Q458" s="11"/>
      <c r="R458" s="11"/>
      <c r="S458" s="11"/>
      <c r="T458" s="11"/>
      <c r="U458" s="11"/>
      <c r="V458" s="11"/>
      <c r="W458" s="4"/>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row>
    <row r="459" spans="1:48" ht="11.45" customHeight="1">
      <c r="A459" s="768"/>
      <c r="B459" s="762" t="s">
        <v>1248</v>
      </c>
      <c r="C459" s="762" t="s">
        <v>507</v>
      </c>
      <c r="D459" s="1599"/>
      <c r="E459" s="2245" t="s">
        <v>1908</v>
      </c>
      <c r="F459" s="763">
        <v>2311</v>
      </c>
      <c r="G459" s="772" t="s">
        <v>285</v>
      </c>
      <c r="H459" s="769"/>
      <c r="I459" s="753">
        <v>970</v>
      </c>
      <c r="J459" s="753"/>
      <c r="K459" s="754"/>
      <c r="L459" s="752"/>
      <c r="M459" s="752">
        <v>970</v>
      </c>
      <c r="N459" s="83"/>
      <c r="O459" s="86"/>
      <c r="P459" s="1817" t="e">
        <f>INDEX(#REF!,MATCH(F459,#REF!,0),2)</f>
        <v>#REF!</v>
      </c>
      <c r="Q459" s="11"/>
      <c r="R459" s="11"/>
      <c r="S459" s="11"/>
      <c r="T459" s="11"/>
      <c r="U459" s="11"/>
      <c r="V459" s="11"/>
      <c r="W459" s="4"/>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row>
    <row r="460" spans="1:48" ht="11.45" customHeight="1">
      <c r="A460" s="768"/>
      <c r="B460" s="762" t="s">
        <v>1248</v>
      </c>
      <c r="C460" s="762" t="s">
        <v>507</v>
      </c>
      <c r="D460" s="1599"/>
      <c r="E460" s="2245" t="s">
        <v>1908</v>
      </c>
      <c r="F460" s="763">
        <v>2311</v>
      </c>
      <c r="G460" s="772" t="s">
        <v>1013</v>
      </c>
      <c r="H460" s="769"/>
      <c r="I460" s="753">
        <v>480</v>
      </c>
      <c r="J460" s="753"/>
      <c r="K460" s="754"/>
      <c r="L460" s="752"/>
      <c r="M460" s="752">
        <v>480</v>
      </c>
      <c r="O460" s="86"/>
      <c r="P460" s="1817" t="e">
        <f>INDEX(#REF!,MATCH(F460,#REF!,0),2)</f>
        <v>#REF!</v>
      </c>
      <c r="Q460" s="11"/>
      <c r="R460" s="11"/>
      <c r="S460" s="11"/>
      <c r="T460" s="11"/>
      <c r="U460" s="11"/>
      <c r="V460" s="11"/>
      <c r="W460" s="4"/>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row>
    <row r="461" spans="1:48" ht="11.45" customHeight="1">
      <c r="A461" s="768"/>
      <c r="B461" s="762" t="s">
        <v>1248</v>
      </c>
      <c r="C461" s="762" t="s">
        <v>507</v>
      </c>
      <c r="D461" s="1599"/>
      <c r="E461" s="2245" t="s">
        <v>1908</v>
      </c>
      <c r="F461" s="763">
        <v>2311</v>
      </c>
      <c r="G461" s="772" t="s">
        <v>286</v>
      </c>
      <c r="H461" s="769"/>
      <c r="I461" s="753">
        <v>100</v>
      </c>
      <c r="J461" s="753"/>
      <c r="K461" s="754"/>
      <c r="L461" s="752"/>
      <c r="M461" s="752">
        <v>100</v>
      </c>
      <c r="N461" s="73"/>
      <c r="O461" s="86"/>
      <c r="P461" s="1817" t="e">
        <f>INDEX(#REF!,MATCH(F461,#REF!,0),2)</f>
        <v>#REF!</v>
      </c>
      <c r="Q461" s="43"/>
      <c r="R461" s="43"/>
      <c r="S461" s="43"/>
      <c r="T461" s="43"/>
      <c r="U461" s="43"/>
      <c r="V461" s="43"/>
      <c r="W461" s="43"/>
      <c r="X461" s="43"/>
      <c r="Y461" s="43"/>
      <c r="Z461" s="43"/>
      <c r="AA461" s="43"/>
      <c r="AB461" s="43"/>
      <c r="AC461" s="43"/>
      <c r="AD461" s="43"/>
      <c r="AE461" s="43"/>
      <c r="AF461" s="43"/>
      <c r="AG461" s="43"/>
      <c r="AH461" s="1779"/>
      <c r="AI461" s="1779"/>
      <c r="AJ461" s="1779"/>
      <c r="AK461" s="1779"/>
      <c r="AL461" s="1779"/>
      <c r="AM461" s="1779"/>
      <c r="AN461" s="1779"/>
      <c r="AO461" s="1779"/>
      <c r="AP461" s="1779"/>
      <c r="AQ461" s="1779"/>
      <c r="AR461" s="1779"/>
      <c r="AS461" s="1779"/>
      <c r="AT461" s="1779"/>
      <c r="AU461" s="1779"/>
    </row>
    <row r="462" spans="1:48" ht="11.45" customHeight="1">
      <c r="A462" s="768"/>
      <c r="B462" s="762" t="s">
        <v>1248</v>
      </c>
      <c r="C462" s="762" t="s">
        <v>507</v>
      </c>
      <c r="D462" s="1599"/>
      <c r="E462" s="2245" t="s">
        <v>1908</v>
      </c>
      <c r="F462" s="763">
        <v>2311</v>
      </c>
      <c r="G462" s="772" t="s">
        <v>287</v>
      </c>
      <c r="H462" s="769"/>
      <c r="I462" s="753">
        <v>350</v>
      </c>
      <c r="J462" s="753"/>
      <c r="K462" s="754"/>
      <c r="L462" s="752"/>
      <c r="M462" s="752">
        <v>350</v>
      </c>
      <c r="N462" s="149"/>
      <c r="O462" s="86"/>
      <c r="P462" s="1817" t="e">
        <f>INDEX(#REF!,MATCH(F462,#REF!,0),2)</f>
        <v>#REF!</v>
      </c>
      <c r="Q462" s="43"/>
      <c r="R462" s="43"/>
      <c r="S462" s="43"/>
      <c r="T462" s="43"/>
      <c r="U462" s="43"/>
      <c r="V462" s="43"/>
      <c r="W462" s="43"/>
      <c r="X462" s="43"/>
      <c r="Y462" s="43"/>
      <c r="Z462" s="43"/>
      <c r="AA462" s="43"/>
      <c r="AB462" s="43"/>
      <c r="AC462" s="43"/>
      <c r="AD462" s="43"/>
      <c r="AE462" s="43"/>
      <c r="AF462" s="43"/>
      <c r="AG462" s="43"/>
      <c r="AH462" s="1779"/>
      <c r="AI462" s="1779"/>
      <c r="AJ462" s="1779"/>
      <c r="AK462" s="1779"/>
      <c r="AL462" s="1779"/>
      <c r="AM462" s="1779"/>
      <c r="AN462" s="1779"/>
      <c r="AO462" s="1779"/>
      <c r="AP462" s="1779"/>
      <c r="AQ462" s="1779"/>
      <c r="AR462" s="1779"/>
      <c r="AS462" s="1779"/>
      <c r="AT462" s="1779"/>
      <c r="AU462" s="1779"/>
    </row>
    <row r="463" spans="1:48" ht="11.45" customHeight="1">
      <c r="A463" s="768"/>
      <c r="B463" s="762" t="s">
        <v>1248</v>
      </c>
      <c r="C463" s="762" t="s">
        <v>507</v>
      </c>
      <c r="D463" s="1599"/>
      <c r="E463" s="2245" t="s">
        <v>1908</v>
      </c>
      <c r="F463" s="763">
        <v>2311</v>
      </c>
      <c r="G463" s="772" t="s">
        <v>3400</v>
      </c>
      <c r="H463" s="770"/>
      <c r="I463" s="765">
        <v>100</v>
      </c>
      <c r="J463" s="765"/>
      <c r="K463" s="766"/>
      <c r="L463" s="764"/>
      <c r="M463" s="1479">
        <v>100</v>
      </c>
      <c r="N463" s="73"/>
      <c r="O463" s="86"/>
      <c r="P463" s="1817" t="e">
        <f>INDEX(#REF!,MATCH(F463,#REF!,0),2)</f>
        <v>#REF!</v>
      </c>
      <c r="Q463" s="43"/>
      <c r="R463" s="43"/>
      <c r="S463" s="43"/>
      <c r="T463" s="43"/>
      <c r="U463" s="43"/>
      <c r="V463" s="43"/>
      <c r="W463" s="43"/>
      <c r="X463" s="43"/>
      <c r="Y463" s="43"/>
      <c r="Z463" s="43"/>
      <c r="AA463" s="43"/>
      <c r="AB463" s="43"/>
      <c r="AC463" s="43"/>
      <c r="AD463" s="43"/>
      <c r="AE463" s="43"/>
      <c r="AF463" s="43"/>
      <c r="AG463" s="43"/>
      <c r="AH463" s="43"/>
      <c r="AI463" s="43"/>
      <c r="AJ463" s="43"/>
      <c r="AK463" s="43"/>
      <c r="AL463" s="43"/>
      <c r="AM463" s="43"/>
      <c r="AN463" s="43"/>
      <c r="AO463" s="43"/>
      <c r="AP463" s="43"/>
      <c r="AQ463" s="43"/>
      <c r="AR463" s="43"/>
      <c r="AS463" s="43"/>
      <c r="AT463" s="43"/>
      <c r="AU463" s="43"/>
      <c r="AV463" s="43"/>
    </row>
    <row r="464" spans="1:48" ht="15" customHeight="1">
      <c r="A464" s="755"/>
      <c r="B464" s="755" t="s">
        <v>1248</v>
      </c>
      <c r="C464" s="755" t="s">
        <v>507</v>
      </c>
      <c r="D464" s="1600">
        <v>340</v>
      </c>
      <c r="E464" s="2247" t="s">
        <v>1908</v>
      </c>
      <c r="F464" s="756">
        <v>2312</v>
      </c>
      <c r="G464" s="757" t="s">
        <v>249</v>
      </c>
      <c r="H464" s="759">
        <v>4631</v>
      </c>
      <c r="I464" s="767"/>
      <c r="J464" s="760"/>
      <c r="K464" s="761"/>
      <c r="L464" s="759">
        <v>4500</v>
      </c>
      <c r="M464" s="1487"/>
      <c r="N464" s="13"/>
      <c r="O464" s="86"/>
      <c r="P464" s="1817" t="e">
        <f>INDEX(#REF!,MATCH(F464,#REF!,0),2)</f>
        <v>#REF!</v>
      </c>
      <c r="Q464" s="43"/>
      <c r="R464" s="43"/>
      <c r="S464" s="43"/>
      <c r="T464" s="43"/>
      <c r="U464" s="43"/>
      <c r="V464" s="43"/>
      <c r="W464" s="43"/>
      <c r="X464" s="43"/>
      <c r="Y464" s="43"/>
      <c r="Z464" s="43"/>
      <c r="AA464" s="43"/>
      <c r="AB464" s="43"/>
      <c r="AC464" s="43"/>
      <c r="AD464" s="43"/>
      <c r="AE464" s="43"/>
      <c r="AF464" s="43"/>
      <c r="AG464" s="43"/>
      <c r="AH464" s="43"/>
      <c r="AI464" s="43"/>
      <c r="AJ464" s="43"/>
      <c r="AK464" s="43"/>
      <c r="AL464" s="43"/>
      <c r="AM464" s="43"/>
      <c r="AN464" s="43"/>
      <c r="AO464" s="43"/>
      <c r="AP464" s="43"/>
      <c r="AQ464" s="43"/>
      <c r="AR464" s="43"/>
      <c r="AS464" s="43"/>
      <c r="AT464" s="43"/>
      <c r="AU464" s="43"/>
      <c r="AV464" s="43"/>
    </row>
    <row r="465" spans="1:48" ht="20.45" customHeight="1">
      <c r="A465" s="768"/>
      <c r="B465" s="762" t="s">
        <v>1248</v>
      </c>
      <c r="C465" s="762" t="s">
        <v>507</v>
      </c>
      <c r="D465" s="1599"/>
      <c r="E465" s="2245" t="s">
        <v>1908</v>
      </c>
      <c r="F465" s="763">
        <v>2312</v>
      </c>
      <c r="G465" s="751" t="s">
        <v>630</v>
      </c>
      <c r="H465" s="769"/>
      <c r="I465" s="753">
        <v>300</v>
      </c>
      <c r="J465" s="753"/>
      <c r="K465" s="754"/>
      <c r="L465" s="752"/>
      <c r="M465" s="1479">
        <v>300</v>
      </c>
      <c r="N465" s="13"/>
      <c r="O465" s="86"/>
      <c r="P465" s="1817" t="e">
        <f>INDEX(#REF!,MATCH(F465,#REF!,0),2)</f>
        <v>#REF!</v>
      </c>
      <c r="Q465" s="11"/>
      <c r="R465" s="11"/>
      <c r="S465" s="11"/>
      <c r="T465" s="11"/>
      <c r="U465" s="11"/>
      <c r="V465" s="11"/>
      <c r="W465" s="4"/>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row>
    <row r="466" spans="1:48" ht="13.9" customHeight="1">
      <c r="A466" s="768"/>
      <c r="B466" s="762" t="s">
        <v>1248</v>
      </c>
      <c r="C466" s="762" t="s">
        <v>507</v>
      </c>
      <c r="D466" s="1599"/>
      <c r="E466" s="2245" t="s">
        <v>1908</v>
      </c>
      <c r="F466" s="763">
        <v>2312</v>
      </c>
      <c r="G466" s="751" t="s">
        <v>549</v>
      </c>
      <c r="H466" s="769"/>
      <c r="I466" s="753">
        <v>2000</v>
      </c>
      <c r="J466" s="753"/>
      <c r="K466" s="754"/>
      <c r="L466" s="752"/>
      <c r="M466" s="1479">
        <v>3200</v>
      </c>
      <c r="N466" s="13" t="s">
        <v>3402</v>
      </c>
      <c r="O466" s="86"/>
      <c r="P466" s="1817" t="e">
        <f>INDEX(#REF!,MATCH(F466,#REF!,0),2)</f>
        <v>#REF!</v>
      </c>
      <c r="Q466" s="11"/>
      <c r="R466" s="11"/>
      <c r="S466" s="11"/>
      <c r="T466" s="11"/>
      <c r="U466" s="11"/>
      <c r="V466" s="11"/>
      <c r="W466" s="4"/>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row>
    <row r="467" spans="1:48" s="1781" customFormat="1" ht="11.45" customHeight="1">
      <c r="A467" s="768"/>
      <c r="B467" s="762" t="s">
        <v>1248</v>
      </c>
      <c r="C467" s="762" t="s">
        <v>507</v>
      </c>
      <c r="D467" s="1599"/>
      <c r="E467" s="2245" t="s">
        <v>1908</v>
      </c>
      <c r="F467" s="763">
        <v>2312</v>
      </c>
      <c r="G467" s="789" t="s">
        <v>852</v>
      </c>
      <c r="H467" s="769"/>
      <c r="I467" s="791">
        <v>500</v>
      </c>
      <c r="J467" s="765"/>
      <c r="K467" s="766"/>
      <c r="L467" s="752"/>
      <c r="M467" s="1488">
        <v>500</v>
      </c>
      <c r="N467" s="13"/>
      <c r="O467" s="86"/>
      <c r="P467" s="1817" t="e">
        <f>INDEX(#REF!,MATCH(F467,#REF!,0),2)</f>
        <v>#REF!</v>
      </c>
      <c r="Q467" s="1780"/>
      <c r="R467" s="1780"/>
      <c r="S467" s="1780"/>
      <c r="T467" s="1780"/>
      <c r="U467" s="1780"/>
      <c r="V467" s="1780"/>
      <c r="W467" s="1810"/>
      <c r="X467" s="1780"/>
      <c r="Y467" s="1780"/>
      <c r="Z467" s="1780"/>
      <c r="AA467" s="1780"/>
      <c r="AB467" s="1780"/>
      <c r="AC467" s="1780"/>
      <c r="AD467" s="1780"/>
      <c r="AE467" s="1780"/>
      <c r="AF467" s="1780"/>
      <c r="AG467" s="1780"/>
      <c r="AH467" s="1780"/>
      <c r="AI467" s="1780"/>
      <c r="AJ467" s="1780"/>
      <c r="AK467" s="1780"/>
      <c r="AL467" s="1780"/>
      <c r="AM467" s="1780"/>
      <c r="AN467" s="1780"/>
      <c r="AO467" s="1780"/>
      <c r="AP467" s="1780"/>
      <c r="AQ467" s="1780"/>
      <c r="AR467" s="1780"/>
      <c r="AS467" s="1780"/>
      <c r="AT467" s="1780"/>
      <c r="AU467" s="1780"/>
      <c r="AV467" s="1780"/>
    </row>
    <row r="468" spans="1:48" ht="14.45" customHeight="1">
      <c r="A468" s="768"/>
      <c r="B468" s="762" t="s">
        <v>1248</v>
      </c>
      <c r="C468" s="762" t="s">
        <v>507</v>
      </c>
      <c r="D468" s="1599"/>
      <c r="E468" s="2245" t="s">
        <v>1908</v>
      </c>
      <c r="F468" s="763">
        <v>2312</v>
      </c>
      <c r="G468" s="789" t="s">
        <v>3401</v>
      </c>
      <c r="H468" s="769"/>
      <c r="I468" s="791">
        <v>500</v>
      </c>
      <c r="J468" s="765"/>
      <c r="K468" s="766"/>
      <c r="L468" s="752"/>
      <c r="M468" s="1488">
        <v>500</v>
      </c>
      <c r="N468" s="13"/>
      <c r="O468" s="86"/>
      <c r="P468" s="1817" t="e">
        <f>INDEX(#REF!,MATCH(F468,#REF!,0),2)</f>
        <v>#REF!</v>
      </c>
      <c r="Q468" s="11"/>
      <c r="R468" s="11"/>
      <c r="S468" s="11"/>
      <c r="T468" s="11"/>
      <c r="U468" s="11"/>
      <c r="V468" s="11"/>
      <c r="W468" s="4"/>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row>
    <row r="469" spans="1:48" ht="14.45" customHeight="1">
      <c r="A469" s="3753"/>
      <c r="B469" s="762" t="s">
        <v>1248</v>
      </c>
      <c r="C469" s="762" t="s">
        <v>507</v>
      </c>
      <c r="D469" s="1599"/>
      <c r="E469" s="2245" t="s">
        <v>1908</v>
      </c>
      <c r="F469" s="763">
        <v>2312</v>
      </c>
      <c r="G469" s="3398" t="s">
        <v>5262</v>
      </c>
      <c r="H469" s="2778"/>
      <c r="I469" s="2344">
        <v>1331</v>
      </c>
      <c r="J469" s="1651"/>
      <c r="K469" s="1652"/>
      <c r="L469" s="2779"/>
      <c r="M469" s="3801"/>
      <c r="N469" s="13"/>
      <c r="O469" s="86"/>
      <c r="P469" s="1817"/>
      <c r="Q469" s="11"/>
      <c r="R469" s="11"/>
      <c r="S469" s="11"/>
      <c r="T469" s="11"/>
      <c r="U469" s="11"/>
      <c r="V469" s="11"/>
      <c r="W469" s="4"/>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row>
    <row r="470" spans="1:48" ht="14.45" customHeight="1">
      <c r="A470" s="3753"/>
      <c r="B470" s="762" t="s">
        <v>1248</v>
      </c>
      <c r="C470" s="762" t="s">
        <v>507</v>
      </c>
      <c r="D470" s="1599"/>
      <c r="E470" s="2245" t="s">
        <v>1908</v>
      </c>
      <c r="F470" s="763">
        <v>2312</v>
      </c>
      <c r="G470" s="3398" t="s">
        <v>5263</v>
      </c>
      <c r="H470" s="2778"/>
      <c r="I470" s="2344">
        <v>118</v>
      </c>
      <c r="J470" s="1651"/>
      <c r="K470" s="1652"/>
      <c r="L470" s="2779"/>
      <c r="M470" s="3801"/>
      <c r="N470" s="13"/>
      <c r="O470" s="86"/>
      <c r="P470" s="1817"/>
      <c r="Q470" s="11"/>
      <c r="R470" s="11"/>
      <c r="S470" s="11"/>
      <c r="T470" s="11"/>
      <c r="U470" s="11"/>
      <c r="V470" s="11"/>
      <c r="W470" s="4"/>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row>
    <row r="471" spans="1:48" ht="20.45" customHeight="1">
      <c r="A471" s="755" t="s">
        <v>1133</v>
      </c>
      <c r="B471" s="755" t="s">
        <v>1248</v>
      </c>
      <c r="C471" s="755" t="s">
        <v>505</v>
      </c>
      <c r="D471" s="1600">
        <v>340</v>
      </c>
      <c r="E471" s="2247" t="s">
        <v>1908</v>
      </c>
      <c r="F471" s="756">
        <v>2321</v>
      </c>
      <c r="G471" s="757" t="s">
        <v>288</v>
      </c>
      <c r="H471" s="758">
        <v>10000</v>
      </c>
      <c r="I471" s="767"/>
      <c r="J471" s="760"/>
      <c r="K471" s="761"/>
      <c r="L471" s="758">
        <v>11000</v>
      </c>
      <c r="M471" s="1487"/>
      <c r="N471" s="73"/>
      <c r="O471" s="86"/>
      <c r="P471" s="1817" t="e">
        <f>INDEX(#REF!,MATCH(F471,#REF!,0),2)</f>
        <v>#REF!</v>
      </c>
      <c r="Q471" s="1779"/>
      <c r="R471" s="1779"/>
      <c r="S471" s="1779"/>
      <c r="T471" s="1779"/>
      <c r="U471" s="1779"/>
      <c r="V471" s="1779"/>
      <c r="W471" s="43"/>
      <c r="X471" s="1779"/>
      <c r="Y471" s="1779"/>
      <c r="Z471" s="1779"/>
      <c r="AA471" s="1779"/>
      <c r="AB471" s="1779"/>
      <c r="AC471" s="1779"/>
      <c r="AD471" s="1779"/>
      <c r="AE471" s="1779"/>
      <c r="AF471" s="1779"/>
      <c r="AG471" s="1779"/>
      <c r="AH471" s="1779"/>
      <c r="AI471" s="1779"/>
      <c r="AJ471" s="1779"/>
      <c r="AK471" s="1779"/>
      <c r="AL471" s="1779"/>
      <c r="AM471" s="1779"/>
      <c r="AN471" s="1779"/>
      <c r="AO471" s="1779"/>
      <c r="AP471" s="1779"/>
      <c r="AQ471" s="1779"/>
      <c r="AR471" s="1779"/>
      <c r="AS471" s="1779"/>
      <c r="AT471" s="1779"/>
      <c r="AU471" s="1779"/>
      <c r="AV471" s="1779"/>
    </row>
    <row r="472" spans="1:48" ht="11.45" customHeight="1">
      <c r="A472" s="762" t="s">
        <v>1133</v>
      </c>
      <c r="B472" s="762" t="s">
        <v>1248</v>
      </c>
      <c r="C472" s="762" t="s">
        <v>505</v>
      </c>
      <c r="D472" s="1599"/>
      <c r="E472" s="2245" t="s">
        <v>1908</v>
      </c>
      <c r="F472" s="763">
        <v>2321</v>
      </c>
      <c r="G472" s="169" t="s">
        <v>1306</v>
      </c>
      <c r="H472" s="752"/>
      <c r="I472" s="765">
        <v>10000</v>
      </c>
      <c r="J472" s="753"/>
      <c r="K472" s="754"/>
      <c r="L472" s="752"/>
      <c r="M472" s="1489">
        <v>11000</v>
      </c>
      <c r="N472" s="73" t="s">
        <v>3393</v>
      </c>
      <c r="O472" s="86"/>
      <c r="P472" s="1817" t="e">
        <f>INDEX(#REF!,MATCH(F472,#REF!,0),2)</f>
        <v>#REF!</v>
      </c>
      <c r="Q472" s="1779"/>
      <c r="R472" s="1779"/>
      <c r="S472" s="1779"/>
      <c r="T472" s="1779"/>
      <c r="U472" s="1779"/>
      <c r="V472" s="1779"/>
      <c r="W472" s="43"/>
      <c r="X472" s="1779"/>
      <c r="Y472" s="1779"/>
      <c r="Z472" s="1779"/>
      <c r="AA472" s="1779"/>
      <c r="AB472" s="1779"/>
      <c r="AC472" s="1779"/>
      <c r="AD472" s="1779"/>
      <c r="AE472" s="1779"/>
      <c r="AF472" s="1779"/>
      <c r="AG472" s="1779"/>
      <c r="AH472" s="1779"/>
      <c r="AI472" s="1779"/>
      <c r="AJ472" s="1779"/>
      <c r="AK472" s="1779"/>
      <c r="AL472" s="1779"/>
      <c r="AM472" s="1779"/>
      <c r="AN472" s="1779"/>
      <c r="AO472" s="1779"/>
      <c r="AP472" s="1779"/>
      <c r="AQ472" s="1779"/>
      <c r="AR472" s="1779"/>
      <c r="AS472" s="1779"/>
      <c r="AT472" s="1779"/>
      <c r="AU472" s="1779"/>
      <c r="AV472" s="1779"/>
    </row>
    <row r="473" spans="1:48" ht="11.45" customHeight="1">
      <c r="A473" s="755"/>
      <c r="B473" s="755" t="s">
        <v>1248</v>
      </c>
      <c r="C473" s="755" t="s">
        <v>507</v>
      </c>
      <c r="D473" s="1600">
        <v>340</v>
      </c>
      <c r="E473" s="2247" t="s">
        <v>1908</v>
      </c>
      <c r="F473" s="756">
        <v>2322</v>
      </c>
      <c r="G473" s="757" t="s">
        <v>289</v>
      </c>
      <c r="H473" s="758">
        <v>23600</v>
      </c>
      <c r="I473" s="760"/>
      <c r="J473" s="760"/>
      <c r="K473" s="761"/>
      <c r="L473" s="758">
        <v>30868</v>
      </c>
      <c r="M473" s="1487"/>
      <c r="N473" s="73"/>
      <c r="O473" s="86"/>
      <c r="P473" s="1817" t="e">
        <f>INDEX(#REF!,MATCH(F473,#REF!,0),2)</f>
        <v>#REF!</v>
      </c>
      <c r="Q473" s="1779"/>
      <c r="R473" s="1779"/>
      <c r="S473" s="1779"/>
      <c r="T473" s="1779"/>
      <c r="U473" s="1779"/>
      <c r="V473" s="1779"/>
      <c r="W473" s="43"/>
      <c r="X473" s="1779"/>
      <c r="Y473" s="1779"/>
      <c r="Z473" s="1779"/>
      <c r="AA473" s="1779"/>
      <c r="AB473" s="1779"/>
      <c r="AC473" s="1779"/>
      <c r="AD473" s="1779"/>
      <c r="AE473" s="1779"/>
      <c r="AF473" s="1779"/>
      <c r="AG473" s="1779"/>
      <c r="AH473" s="1779"/>
      <c r="AI473" s="1779"/>
      <c r="AJ473" s="1779"/>
      <c r="AK473" s="1779"/>
      <c r="AL473" s="1779"/>
      <c r="AM473" s="1779"/>
      <c r="AN473" s="1779"/>
      <c r="AO473" s="1779"/>
      <c r="AP473" s="1779"/>
      <c r="AQ473" s="1779"/>
      <c r="AR473" s="1779"/>
      <c r="AS473" s="1779"/>
      <c r="AT473" s="1779"/>
      <c r="AU473" s="1779"/>
      <c r="AV473" s="1779"/>
    </row>
    <row r="474" spans="1:48" ht="11.45" customHeight="1">
      <c r="A474" s="762"/>
      <c r="B474" s="762" t="s">
        <v>1248</v>
      </c>
      <c r="C474" s="762" t="s">
        <v>507</v>
      </c>
      <c r="D474" s="1599"/>
      <c r="E474" s="2245" t="s">
        <v>1908</v>
      </c>
      <c r="F474" s="763">
        <v>2322</v>
      </c>
      <c r="G474" s="772" t="s">
        <v>851</v>
      </c>
      <c r="H474" s="769"/>
      <c r="I474" s="765">
        <v>23600</v>
      </c>
      <c r="J474" s="770"/>
      <c r="K474" s="766"/>
      <c r="L474" s="752"/>
      <c r="M474" s="4408">
        <v>30868</v>
      </c>
      <c r="N474" s="13" t="s">
        <v>6099</v>
      </c>
      <c r="O474" s="86"/>
      <c r="P474" s="1817" t="e">
        <f>INDEX(#REF!,MATCH(F474,#REF!,0),2)</f>
        <v>#REF!</v>
      </c>
      <c r="Q474" s="1779"/>
      <c r="R474" s="1779"/>
      <c r="S474" s="1779"/>
      <c r="T474" s="1779"/>
      <c r="U474" s="1779"/>
      <c r="V474" s="1779"/>
      <c r="W474" s="43"/>
      <c r="X474" s="1779"/>
      <c r="Y474" s="1779"/>
      <c r="Z474" s="1779"/>
      <c r="AA474" s="1779"/>
      <c r="AB474" s="1779"/>
      <c r="AC474" s="1779"/>
      <c r="AD474" s="1779"/>
      <c r="AE474" s="1779"/>
      <c r="AF474" s="1779"/>
      <c r="AG474" s="1779"/>
      <c r="AH474" s="1779"/>
      <c r="AI474" s="1779"/>
      <c r="AJ474" s="1779"/>
      <c r="AK474" s="1779"/>
      <c r="AL474" s="1779"/>
      <c r="AM474" s="1779"/>
      <c r="AN474" s="1779"/>
      <c r="AO474" s="1779"/>
      <c r="AP474" s="1779"/>
      <c r="AQ474" s="1779"/>
      <c r="AR474" s="1779"/>
      <c r="AS474" s="1779"/>
      <c r="AT474" s="1779"/>
      <c r="AU474" s="1779"/>
      <c r="AV474" s="1779"/>
    </row>
    <row r="475" spans="1:48" ht="11.45" customHeight="1">
      <c r="A475" s="755"/>
      <c r="B475" s="755" t="s">
        <v>1248</v>
      </c>
      <c r="C475" s="755" t="s">
        <v>507</v>
      </c>
      <c r="D475" s="1600">
        <v>340</v>
      </c>
      <c r="E475" s="2247" t="s">
        <v>1908</v>
      </c>
      <c r="F475" s="756">
        <v>2341</v>
      </c>
      <c r="G475" s="757" t="s">
        <v>320</v>
      </c>
      <c r="H475" s="758">
        <v>100</v>
      </c>
      <c r="I475" s="760"/>
      <c r="J475" s="760"/>
      <c r="K475" s="761"/>
      <c r="L475" s="758">
        <v>100</v>
      </c>
      <c r="M475" s="1487"/>
      <c r="N475" s="73"/>
      <c r="O475" s="86"/>
      <c r="P475" s="1817" t="e">
        <f>INDEX(#REF!,MATCH(F475,#REF!,0),2)</f>
        <v>#REF!</v>
      </c>
      <c r="Q475" s="1779"/>
      <c r="R475" s="1779"/>
      <c r="S475" s="1779"/>
      <c r="T475" s="1779"/>
      <c r="U475" s="1779"/>
      <c r="V475" s="1779"/>
      <c r="W475" s="43"/>
      <c r="X475" s="1779"/>
      <c r="Y475" s="1779"/>
      <c r="Z475" s="1779"/>
      <c r="AA475" s="1779"/>
      <c r="AB475" s="1779"/>
      <c r="AC475" s="1779"/>
      <c r="AD475" s="1779"/>
      <c r="AE475" s="1779"/>
      <c r="AF475" s="1779"/>
      <c r="AG475" s="1779"/>
      <c r="AH475" s="1779"/>
      <c r="AI475" s="1779"/>
      <c r="AJ475" s="1779"/>
      <c r="AK475" s="1779"/>
      <c r="AL475" s="1779"/>
      <c r="AM475" s="1779"/>
      <c r="AN475" s="1779"/>
      <c r="AO475" s="1779"/>
      <c r="AP475" s="1779"/>
      <c r="AQ475" s="1779"/>
      <c r="AR475" s="1779"/>
      <c r="AS475" s="1779"/>
      <c r="AT475" s="1779"/>
      <c r="AU475" s="1779"/>
      <c r="AV475" s="1779"/>
    </row>
    <row r="476" spans="1:48" ht="11.45" customHeight="1">
      <c r="A476" s="762"/>
      <c r="B476" s="762" t="s">
        <v>1248</v>
      </c>
      <c r="C476" s="762" t="s">
        <v>507</v>
      </c>
      <c r="D476" s="1599"/>
      <c r="E476" s="2245" t="s">
        <v>1908</v>
      </c>
      <c r="F476" s="763">
        <v>2341</v>
      </c>
      <c r="G476" s="772" t="s">
        <v>3403</v>
      </c>
      <c r="H476" s="769"/>
      <c r="I476" s="765">
        <v>100</v>
      </c>
      <c r="J476" s="770"/>
      <c r="K476" s="766"/>
      <c r="L476" s="752"/>
      <c r="M476" s="1479">
        <v>100</v>
      </c>
      <c r="N476" s="73"/>
      <c r="O476" s="86"/>
      <c r="P476" s="1817" t="e">
        <f>INDEX(#REF!,MATCH(F476,#REF!,0),2)</f>
        <v>#REF!</v>
      </c>
      <c r="Q476" s="11"/>
      <c r="R476" s="11"/>
      <c r="S476" s="11"/>
      <c r="T476" s="11"/>
      <c r="U476" s="11"/>
      <c r="V476" s="11"/>
      <c r="W476" s="4"/>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row>
    <row r="477" spans="1:48" ht="19.899999999999999" customHeight="1">
      <c r="A477" s="755"/>
      <c r="B477" s="755" t="s">
        <v>1248</v>
      </c>
      <c r="C477" s="755" t="s">
        <v>505</v>
      </c>
      <c r="D477" s="1600">
        <v>340</v>
      </c>
      <c r="E477" s="2247" t="s">
        <v>1908</v>
      </c>
      <c r="F477" s="756">
        <v>2350</v>
      </c>
      <c r="G477" s="757" t="s">
        <v>290</v>
      </c>
      <c r="H477" s="758">
        <v>1700</v>
      </c>
      <c r="I477" s="767"/>
      <c r="J477" s="760"/>
      <c r="K477" s="761"/>
      <c r="L477" s="758">
        <v>1750</v>
      </c>
      <c r="M477" s="1487"/>
      <c r="N477" s="73"/>
      <c r="O477" s="86"/>
      <c r="P477" s="1817" t="e">
        <f>INDEX(#REF!,MATCH(F477,#REF!,0),2)</f>
        <v>#REF!</v>
      </c>
      <c r="Q477" s="11"/>
      <c r="R477" s="11"/>
      <c r="S477" s="11"/>
      <c r="T477" s="11"/>
      <c r="U477" s="11"/>
      <c r="V477" s="11"/>
      <c r="W477" s="4"/>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row>
    <row r="478" spans="1:48" ht="11.45" customHeight="1">
      <c r="A478" s="768" t="s">
        <v>1133</v>
      </c>
      <c r="B478" s="762" t="s">
        <v>1248</v>
      </c>
      <c r="C478" s="762" t="s">
        <v>505</v>
      </c>
      <c r="D478" s="1599"/>
      <c r="E478" s="2245" t="s">
        <v>1908</v>
      </c>
      <c r="F478" s="763">
        <v>2350</v>
      </c>
      <c r="G478" s="772" t="s">
        <v>550</v>
      </c>
      <c r="H478" s="769"/>
      <c r="I478" s="753">
        <v>400</v>
      </c>
      <c r="J478" s="753"/>
      <c r="K478" s="754"/>
      <c r="L478" s="752"/>
      <c r="M478" s="1479">
        <v>400</v>
      </c>
      <c r="N478" s="73" t="s">
        <v>3393</v>
      </c>
      <c r="O478" s="86"/>
      <c r="P478" s="1817" t="e">
        <f>INDEX(#REF!,MATCH(F478,#REF!,0),2)</f>
        <v>#REF!</v>
      </c>
      <c r="Q478" s="11"/>
      <c r="R478" s="11"/>
      <c r="S478" s="11"/>
      <c r="T478" s="11"/>
      <c r="U478" s="11"/>
      <c r="V478" s="11"/>
      <c r="W478" s="4"/>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row>
    <row r="479" spans="1:48" ht="12" customHeight="1">
      <c r="A479" s="768" t="s">
        <v>1133</v>
      </c>
      <c r="B479" s="762" t="s">
        <v>1248</v>
      </c>
      <c r="C479" s="762" t="s">
        <v>505</v>
      </c>
      <c r="D479" s="1599"/>
      <c r="E479" s="2245" t="s">
        <v>1908</v>
      </c>
      <c r="F479" s="763">
        <v>2350</v>
      </c>
      <c r="G479" s="772" t="s">
        <v>291</v>
      </c>
      <c r="H479" s="769"/>
      <c r="I479" s="753">
        <v>500</v>
      </c>
      <c r="J479" s="753"/>
      <c r="K479" s="754"/>
      <c r="L479" s="752"/>
      <c r="M479" s="1479">
        <v>500</v>
      </c>
      <c r="N479" s="73" t="s">
        <v>3393</v>
      </c>
      <c r="O479" s="86"/>
      <c r="P479" s="1817" t="e">
        <f>INDEX(#REF!,MATCH(F479,#REF!,0),2)</f>
        <v>#REF!</v>
      </c>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43"/>
      <c r="AP479" s="43"/>
      <c r="AQ479" s="43"/>
      <c r="AR479" s="43"/>
      <c r="AS479" s="43"/>
      <c r="AT479" s="43"/>
      <c r="AU479" s="43"/>
      <c r="AV479" s="43"/>
    </row>
    <row r="480" spans="1:48" ht="45" customHeight="1">
      <c r="A480" s="768"/>
      <c r="B480" s="762" t="s">
        <v>1248</v>
      </c>
      <c r="C480" s="762" t="s">
        <v>507</v>
      </c>
      <c r="D480" s="1599"/>
      <c r="E480" s="2245" t="s">
        <v>1908</v>
      </c>
      <c r="F480" s="763">
        <v>2350</v>
      </c>
      <c r="G480" s="751" t="s">
        <v>3404</v>
      </c>
      <c r="H480" s="769"/>
      <c r="I480" s="765">
        <v>800</v>
      </c>
      <c r="J480" s="753"/>
      <c r="K480" s="754"/>
      <c r="L480" s="752"/>
      <c r="M480" s="1479">
        <v>850</v>
      </c>
      <c r="N480" s="73"/>
      <c r="O480" s="86"/>
      <c r="P480" s="1817" t="e">
        <f>INDEX(#REF!,MATCH(F480,#REF!,0),2)</f>
        <v>#REF!</v>
      </c>
      <c r="Q480" s="43"/>
      <c r="R480" s="43"/>
      <c r="S480" s="43"/>
      <c r="T480" s="43"/>
      <c r="U480" s="43"/>
      <c r="V480" s="43"/>
      <c r="W480" s="43"/>
      <c r="X480" s="43"/>
      <c r="Y480" s="43"/>
      <c r="Z480" s="43"/>
      <c r="AA480" s="43"/>
      <c r="AB480" s="43"/>
      <c r="AC480" s="43"/>
      <c r="AD480" s="43"/>
      <c r="AE480" s="43"/>
      <c r="AF480" s="43"/>
      <c r="AG480" s="43"/>
      <c r="AH480" s="43"/>
      <c r="AI480" s="43"/>
      <c r="AJ480" s="43"/>
      <c r="AK480" s="43"/>
      <c r="AL480" s="43"/>
      <c r="AM480" s="43"/>
      <c r="AN480" s="43"/>
      <c r="AO480" s="43"/>
      <c r="AP480" s="43"/>
      <c r="AQ480" s="43"/>
      <c r="AR480" s="43"/>
      <c r="AS480" s="43"/>
      <c r="AT480" s="43"/>
      <c r="AU480" s="43"/>
      <c r="AV480" s="43"/>
    </row>
    <row r="481" spans="1:48" ht="11.45" customHeight="1">
      <c r="A481" s="755"/>
      <c r="B481" s="755" t="s">
        <v>1248</v>
      </c>
      <c r="C481" s="755" t="s">
        <v>507</v>
      </c>
      <c r="D481" s="1600">
        <v>340</v>
      </c>
      <c r="E481" s="2247" t="s">
        <v>1908</v>
      </c>
      <c r="F481" s="756">
        <v>2364</v>
      </c>
      <c r="G481" s="757" t="s">
        <v>292</v>
      </c>
      <c r="H481" s="758">
        <v>16923</v>
      </c>
      <c r="I481" s="767"/>
      <c r="J481" s="760"/>
      <c r="K481" s="761"/>
      <c r="L481" s="758">
        <v>16635.079999999998</v>
      </c>
      <c r="M481" s="1487"/>
      <c r="N481" s="73"/>
      <c r="O481" s="86"/>
      <c r="P481" s="1817" t="e">
        <f>INDEX(#REF!,MATCH(F481,#REF!,0),2)</f>
        <v>#REF!</v>
      </c>
      <c r="Q481" s="43"/>
      <c r="R481" s="43"/>
      <c r="S481" s="43"/>
      <c r="T481" s="43"/>
      <c r="U481" s="43"/>
      <c r="V481" s="43"/>
      <c r="W481" s="43"/>
      <c r="X481" s="43"/>
      <c r="Y481" s="43"/>
      <c r="Z481" s="43"/>
      <c r="AA481" s="43"/>
      <c r="AB481" s="43"/>
      <c r="AC481" s="43"/>
      <c r="AD481" s="43"/>
      <c r="AE481" s="43"/>
      <c r="AF481" s="43"/>
      <c r="AG481" s="43"/>
      <c r="AH481" s="43"/>
      <c r="AI481" s="43"/>
      <c r="AJ481" s="43"/>
      <c r="AK481" s="43"/>
      <c r="AL481" s="43"/>
      <c r="AM481" s="43"/>
      <c r="AN481" s="43"/>
      <c r="AO481" s="43"/>
      <c r="AP481" s="43"/>
      <c r="AQ481" s="43"/>
      <c r="AR481" s="43"/>
      <c r="AS481" s="43"/>
      <c r="AT481" s="43"/>
      <c r="AU481" s="43"/>
      <c r="AV481" s="43"/>
    </row>
    <row r="482" spans="1:48" ht="96" customHeight="1">
      <c r="A482" s="768"/>
      <c r="B482" s="762" t="s">
        <v>1248</v>
      </c>
      <c r="C482" s="762" t="s">
        <v>507</v>
      </c>
      <c r="D482" s="1599"/>
      <c r="E482" s="2245" t="s">
        <v>1908</v>
      </c>
      <c r="F482" s="763">
        <v>2364</v>
      </c>
      <c r="G482" s="1876" t="s">
        <v>3405</v>
      </c>
      <c r="H482" s="769"/>
      <c r="I482" s="753">
        <v>16923</v>
      </c>
      <c r="J482" s="753"/>
      <c r="K482" s="754"/>
      <c r="L482" s="752"/>
      <c r="M482" s="1479">
        <v>16635.079999999998</v>
      </c>
      <c r="N482" s="73"/>
      <c r="O482" s="86"/>
      <c r="P482" s="1817" t="e">
        <f>INDEX(#REF!,MATCH(F482,#REF!,0),2)</f>
        <v>#REF!</v>
      </c>
    </row>
    <row r="483" spans="1:48" ht="11.45" customHeight="1">
      <c r="A483" s="755"/>
      <c r="B483" s="755" t="s">
        <v>1248</v>
      </c>
      <c r="C483" s="755" t="s">
        <v>505</v>
      </c>
      <c r="D483" s="1600">
        <v>340</v>
      </c>
      <c r="E483" s="2247" t="s">
        <v>1908</v>
      </c>
      <c r="F483" s="756">
        <v>2390</v>
      </c>
      <c r="G483" s="757" t="s">
        <v>253</v>
      </c>
      <c r="H483" s="758">
        <v>116</v>
      </c>
      <c r="I483" s="782"/>
      <c r="J483" s="760"/>
      <c r="K483" s="783"/>
      <c r="L483" s="758">
        <v>1350</v>
      </c>
      <c r="M483" s="1524"/>
      <c r="N483" s="73"/>
      <c r="O483" s="86"/>
      <c r="P483" s="1817" t="e">
        <f>INDEX(#REF!,MATCH(F483,#REF!,0),2)</f>
        <v>#REF!</v>
      </c>
    </row>
    <row r="484" spans="1:48" ht="35.450000000000003" customHeight="1">
      <c r="A484" s="762" t="s">
        <v>750</v>
      </c>
      <c r="B484" s="762" t="s">
        <v>1248</v>
      </c>
      <c r="C484" s="762" t="s">
        <v>505</v>
      </c>
      <c r="D484" s="1599"/>
      <c r="E484" s="2245" t="s">
        <v>1908</v>
      </c>
      <c r="F484" s="763">
        <v>2390</v>
      </c>
      <c r="G484" s="772" t="s">
        <v>3406</v>
      </c>
      <c r="H484" s="769"/>
      <c r="I484" s="753">
        <v>1200</v>
      </c>
      <c r="J484" s="765"/>
      <c r="K484" s="766"/>
      <c r="L484" s="752"/>
      <c r="M484" s="1479">
        <v>1200</v>
      </c>
      <c r="N484" s="73"/>
      <c r="O484" s="86"/>
      <c r="P484" s="1817" t="e">
        <f>INDEX(#REF!,MATCH(F484,#REF!,0),2)</f>
        <v>#REF!</v>
      </c>
    </row>
    <row r="485" spans="1:48" ht="12" customHeight="1">
      <c r="A485" s="762"/>
      <c r="B485" s="762" t="s">
        <v>1248</v>
      </c>
      <c r="C485" s="762" t="s">
        <v>505</v>
      </c>
      <c r="D485" s="1599"/>
      <c r="E485" s="2245" t="s">
        <v>1908</v>
      </c>
      <c r="F485" s="763">
        <v>2390</v>
      </c>
      <c r="G485" s="772" t="s">
        <v>326</v>
      </c>
      <c r="H485" s="770"/>
      <c r="I485" s="765">
        <v>150</v>
      </c>
      <c r="J485" s="765"/>
      <c r="K485" s="766"/>
      <c r="L485" s="764"/>
      <c r="M485" s="1479">
        <v>150</v>
      </c>
      <c r="N485" s="73"/>
      <c r="O485" s="86"/>
      <c r="P485" s="1817" t="e">
        <f>INDEX(#REF!,MATCH(F485,#REF!,0),2)</f>
        <v>#REF!</v>
      </c>
    </row>
    <row r="486" spans="1:48" ht="12" customHeight="1">
      <c r="A486" s="2790"/>
      <c r="B486" s="762" t="s">
        <v>1248</v>
      </c>
      <c r="C486" s="762" t="s">
        <v>505</v>
      </c>
      <c r="D486" s="1599"/>
      <c r="E486" s="2245" t="s">
        <v>1908</v>
      </c>
      <c r="F486" s="763">
        <v>2390</v>
      </c>
      <c r="G486" s="2774" t="s">
        <v>5266</v>
      </c>
      <c r="H486" s="1657"/>
      <c r="I486" s="1651">
        <v>-1000</v>
      </c>
      <c r="J486" s="1651"/>
      <c r="K486" s="1652"/>
      <c r="L486" s="1650"/>
      <c r="M486" s="2779"/>
      <c r="N486" s="73"/>
      <c r="O486" s="86"/>
      <c r="P486" s="1817"/>
    </row>
    <row r="487" spans="1:48" ht="39.6" customHeight="1">
      <c r="A487" s="1882"/>
      <c r="B487" s="762" t="s">
        <v>1248</v>
      </c>
      <c r="C487" s="762" t="s">
        <v>505</v>
      </c>
      <c r="D487" s="1599"/>
      <c r="E487" s="2245" t="s">
        <v>1908</v>
      </c>
      <c r="F487" s="763">
        <v>2390</v>
      </c>
      <c r="G487" s="1884" t="s">
        <v>3120</v>
      </c>
      <c r="H487" s="1657"/>
      <c r="I487" s="1651">
        <v>-234</v>
      </c>
      <c r="J487" s="1651"/>
      <c r="K487" s="1652"/>
      <c r="L487" s="1650"/>
      <c r="M487" s="1892"/>
      <c r="N487" s="73"/>
      <c r="O487" s="86"/>
      <c r="P487" s="1817" t="e">
        <f>INDEX(#REF!,MATCH(F487,#REF!,0),2)</f>
        <v>#REF!</v>
      </c>
    </row>
    <row r="488" spans="1:48" ht="20.45" customHeight="1">
      <c r="A488" s="755"/>
      <c r="B488" s="755" t="s">
        <v>1248</v>
      </c>
      <c r="C488" s="755" t="s">
        <v>507</v>
      </c>
      <c r="D488" s="1600">
        <v>340</v>
      </c>
      <c r="E488" s="2247" t="s">
        <v>1908</v>
      </c>
      <c r="F488" s="756">
        <v>2519</v>
      </c>
      <c r="G488" s="757" t="s">
        <v>899</v>
      </c>
      <c r="H488" s="759">
        <v>1200</v>
      </c>
      <c r="I488" s="767"/>
      <c r="J488" s="760"/>
      <c r="K488" s="761"/>
      <c r="L488" s="759">
        <v>1000</v>
      </c>
      <c r="M488" s="1487"/>
      <c r="N488" s="13"/>
      <c r="O488" s="86"/>
      <c r="P488" s="1817" t="e">
        <f>INDEX(#REF!,MATCH(F488,#REF!,0),2)</f>
        <v>#REF!</v>
      </c>
    </row>
    <row r="489" spans="1:48" ht="20.45" customHeight="1">
      <c r="A489" s="768"/>
      <c r="B489" s="762" t="s">
        <v>1248</v>
      </c>
      <c r="C489" s="762" t="s">
        <v>507</v>
      </c>
      <c r="D489" s="1599"/>
      <c r="E489" s="2245" t="s">
        <v>1908</v>
      </c>
      <c r="F489" s="763">
        <v>2519</v>
      </c>
      <c r="G489" s="751" t="s">
        <v>3408</v>
      </c>
      <c r="H489" s="769"/>
      <c r="I489" s="753">
        <v>1200</v>
      </c>
      <c r="J489" s="753"/>
      <c r="K489" s="754"/>
      <c r="L489" s="752"/>
      <c r="M489" s="1479">
        <v>1000</v>
      </c>
      <c r="N489" s="43" t="s">
        <v>3407</v>
      </c>
      <c r="O489" s="86"/>
      <c r="P489" s="1817" t="e">
        <f>INDEX(#REF!,MATCH(F489,#REF!,0),2)</f>
        <v>#REF!</v>
      </c>
      <c r="Q489" s="43"/>
      <c r="R489" s="43"/>
      <c r="S489" s="43"/>
      <c r="T489" s="43"/>
      <c r="U489" s="43"/>
      <c r="V489" s="43"/>
      <c r="W489" s="43"/>
      <c r="X489" s="43"/>
      <c r="Y489" s="43"/>
      <c r="Z489" s="43"/>
      <c r="AA489" s="43"/>
      <c r="AB489" s="43"/>
      <c r="AC489" s="43"/>
      <c r="AD489" s="43"/>
      <c r="AE489" s="43"/>
      <c r="AF489" s="43"/>
      <c r="AG489" s="43"/>
      <c r="AH489" s="1779"/>
      <c r="AI489" s="1779"/>
      <c r="AJ489" s="1779"/>
      <c r="AK489" s="1779"/>
      <c r="AL489" s="1779"/>
      <c r="AM489" s="1779"/>
      <c r="AN489" s="1779"/>
      <c r="AO489" s="1779"/>
      <c r="AP489" s="1779"/>
      <c r="AQ489" s="1779"/>
      <c r="AR489" s="1779"/>
      <c r="AS489" s="1779"/>
      <c r="AT489" s="1779"/>
      <c r="AU489" s="1779"/>
      <c r="AV489" s="1779"/>
    </row>
    <row r="490" spans="1:48" ht="12.6" customHeight="1">
      <c r="A490" s="768"/>
      <c r="B490" s="762" t="s">
        <v>1248</v>
      </c>
      <c r="C490" s="762" t="s">
        <v>507</v>
      </c>
      <c r="D490" s="1599"/>
      <c r="E490" s="2245" t="s">
        <v>1908</v>
      </c>
      <c r="F490" s="763">
        <v>2519</v>
      </c>
      <c r="G490" s="751" t="s">
        <v>1836</v>
      </c>
      <c r="H490" s="769"/>
      <c r="I490" s="753"/>
      <c r="J490" s="753"/>
      <c r="K490" s="754"/>
      <c r="L490" s="752"/>
      <c r="M490" s="752"/>
      <c r="N490" s="43"/>
      <c r="O490" s="86"/>
      <c r="P490" s="1817" t="e">
        <f>INDEX(#REF!,MATCH(F490,#REF!,0),2)</f>
        <v>#REF!</v>
      </c>
      <c r="Q490" s="43"/>
      <c r="R490" s="43"/>
      <c r="S490" s="43"/>
      <c r="T490" s="43"/>
      <c r="U490" s="43"/>
      <c r="V490" s="43"/>
      <c r="W490" s="43"/>
      <c r="X490" s="43"/>
      <c r="Y490" s="43"/>
      <c r="Z490" s="43"/>
      <c r="AA490" s="43"/>
      <c r="AB490" s="43"/>
      <c r="AC490" s="43"/>
      <c r="AD490" s="43"/>
      <c r="AE490" s="43"/>
      <c r="AF490" s="43"/>
      <c r="AG490" s="43"/>
      <c r="AH490" s="1779"/>
      <c r="AI490" s="1779"/>
      <c r="AJ490" s="1779"/>
      <c r="AK490" s="1779"/>
      <c r="AL490" s="1779"/>
      <c r="AM490" s="1779"/>
      <c r="AN490" s="1779"/>
      <c r="AO490" s="1779"/>
      <c r="AP490" s="1779"/>
      <c r="AQ490" s="1779"/>
      <c r="AR490" s="1779"/>
      <c r="AS490" s="1779"/>
      <c r="AT490" s="1779"/>
      <c r="AU490" s="1779"/>
      <c r="AV490" s="1779"/>
    </row>
    <row r="491" spans="1:48" ht="20.45" customHeight="1">
      <c r="A491" s="755"/>
      <c r="B491" s="755" t="s">
        <v>1248</v>
      </c>
      <c r="C491" s="755" t="s">
        <v>509</v>
      </c>
      <c r="D491" s="1600">
        <v>340</v>
      </c>
      <c r="E491" s="2247" t="s">
        <v>1908</v>
      </c>
      <c r="F491" s="756">
        <v>5120</v>
      </c>
      <c r="G491" s="757" t="s">
        <v>899</v>
      </c>
      <c r="H491" s="759">
        <v>533</v>
      </c>
      <c r="I491" s="767"/>
      <c r="J491" s="760"/>
      <c r="K491" s="761"/>
      <c r="L491" s="759">
        <v>0</v>
      </c>
      <c r="M491" s="759"/>
      <c r="N491" s="73"/>
      <c r="O491" s="86"/>
      <c r="P491" s="1817" t="e">
        <f>INDEX(#REF!,MATCH(F491,#REF!,0),2)</f>
        <v>#REF!</v>
      </c>
    </row>
    <row r="492" spans="1:48" ht="12.6" customHeight="1">
      <c r="A492" s="762"/>
      <c r="B492" s="762" t="s">
        <v>1248</v>
      </c>
      <c r="C492" s="762" t="s">
        <v>509</v>
      </c>
      <c r="D492" s="1599"/>
      <c r="E492" s="2245" t="s">
        <v>1908</v>
      </c>
      <c r="F492" s="763">
        <v>5120</v>
      </c>
      <c r="G492" s="44" t="s">
        <v>1014</v>
      </c>
      <c r="H492" s="769"/>
      <c r="I492" s="793">
        <v>533</v>
      </c>
      <c r="J492" s="765"/>
      <c r="K492" s="766"/>
      <c r="L492" s="752"/>
      <c r="M492" s="1179">
        <v>0</v>
      </c>
      <c r="N492" s="13" t="s">
        <v>2578</v>
      </c>
      <c r="O492" s="86"/>
      <c r="P492" s="1817" t="e">
        <f>INDEX(#REF!,MATCH(F492,#REF!,0),2)</f>
        <v>#REF!</v>
      </c>
    </row>
    <row r="493" spans="1:48" ht="11.45" customHeight="1">
      <c r="A493" s="755"/>
      <c r="B493" s="755" t="s">
        <v>1250</v>
      </c>
      <c r="C493" s="755" t="s">
        <v>509</v>
      </c>
      <c r="D493" s="1600">
        <v>340</v>
      </c>
      <c r="E493" s="2247" t="s">
        <v>1908</v>
      </c>
      <c r="F493" s="756">
        <v>5238</v>
      </c>
      <c r="G493" s="756" t="s">
        <v>257</v>
      </c>
      <c r="H493" s="794">
        <v>6095</v>
      </c>
      <c r="I493" s="795"/>
      <c r="J493" s="796"/>
      <c r="K493" s="754"/>
      <c r="L493" s="1180">
        <v>17273</v>
      </c>
      <c r="M493" s="795"/>
      <c r="N493" s="73" t="s">
        <v>2060</v>
      </c>
      <c r="O493" s="86"/>
      <c r="P493" s="1817" t="e">
        <f>INDEX(#REF!,MATCH(F493,#REF!,0),2)</f>
        <v>#REF!</v>
      </c>
      <c r="Q493" s="1779"/>
      <c r="R493" s="1779"/>
      <c r="S493" s="1779"/>
      <c r="T493" s="1779"/>
      <c r="U493" s="1779"/>
      <c r="V493" s="1779"/>
      <c r="W493" s="43"/>
      <c r="X493" s="1779"/>
      <c r="Y493" s="1779"/>
      <c r="Z493" s="1779"/>
      <c r="AA493" s="1779"/>
      <c r="AB493" s="1779"/>
      <c r="AC493" s="1779"/>
      <c r="AD493" s="1779"/>
      <c r="AE493" s="1779"/>
      <c r="AF493" s="1779"/>
      <c r="AG493" s="1779"/>
      <c r="AH493" s="1779"/>
      <c r="AI493" s="1779"/>
      <c r="AJ493" s="1779"/>
      <c r="AK493" s="1779"/>
      <c r="AL493" s="1779"/>
      <c r="AM493" s="1779"/>
      <c r="AN493" s="1779"/>
      <c r="AO493" s="1779"/>
      <c r="AP493" s="1779"/>
      <c r="AQ493" s="1779"/>
      <c r="AR493" s="1779"/>
      <c r="AS493" s="1779"/>
      <c r="AT493" s="1779"/>
      <c r="AU493" s="1779"/>
      <c r="AV493" s="1779"/>
    </row>
    <row r="494" spans="1:48" ht="15.6" customHeight="1">
      <c r="A494" s="1490"/>
      <c r="B494" s="762" t="s">
        <v>1250</v>
      </c>
      <c r="C494" s="762" t="s">
        <v>509</v>
      </c>
      <c r="D494" s="1599"/>
      <c r="E494" s="2245" t="s">
        <v>1908</v>
      </c>
      <c r="F494" s="797">
        <v>5238</v>
      </c>
      <c r="G494" s="772" t="s">
        <v>3416</v>
      </c>
      <c r="H494" s="769"/>
      <c r="I494" s="791">
        <v>4598</v>
      </c>
      <c r="J494" s="765"/>
      <c r="K494" s="766"/>
      <c r="L494" s="769"/>
      <c r="M494" s="1178">
        <v>2904</v>
      </c>
      <c r="N494" s="13" t="s">
        <v>3389</v>
      </c>
      <c r="O494" s="86"/>
      <c r="P494" s="1817" t="e">
        <f>INDEX(#REF!,MATCH(F494,#REF!,0),2)</f>
        <v>#REF!</v>
      </c>
      <c r="Q494" s="1779"/>
      <c r="R494" s="1779"/>
      <c r="S494" s="1779"/>
      <c r="T494" s="1779"/>
      <c r="U494" s="1779"/>
      <c r="V494" s="1779"/>
      <c r="W494" s="43"/>
      <c r="X494" s="1779"/>
      <c r="Y494" s="1779"/>
      <c r="Z494" s="1779"/>
      <c r="AA494" s="1779"/>
      <c r="AB494" s="1779"/>
      <c r="AC494" s="1779"/>
      <c r="AD494" s="1779"/>
      <c r="AE494" s="1779"/>
      <c r="AF494" s="1779"/>
      <c r="AG494" s="1779"/>
      <c r="AH494" s="1779"/>
      <c r="AI494" s="1779"/>
      <c r="AJ494" s="1779"/>
      <c r="AK494" s="1779"/>
      <c r="AL494" s="1779"/>
      <c r="AM494" s="1779"/>
      <c r="AN494" s="1779"/>
      <c r="AO494" s="1779"/>
      <c r="AP494" s="1779"/>
      <c r="AQ494" s="1779"/>
      <c r="AR494" s="1779"/>
      <c r="AS494" s="1779"/>
      <c r="AT494" s="1779"/>
      <c r="AU494" s="1779"/>
      <c r="AV494" s="1779"/>
    </row>
    <row r="495" spans="1:48" ht="21" customHeight="1">
      <c r="A495" s="768"/>
      <c r="B495" s="762" t="s">
        <v>1250</v>
      </c>
      <c r="C495" s="762" t="s">
        <v>509</v>
      </c>
      <c r="D495" s="1599"/>
      <c r="E495" s="2245" t="s">
        <v>1908</v>
      </c>
      <c r="F495" s="797">
        <v>5238</v>
      </c>
      <c r="G495" s="772" t="s">
        <v>1024</v>
      </c>
      <c r="H495" s="769"/>
      <c r="I495" s="791">
        <v>1319</v>
      </c>
      <c r="J495" s="765"/>
      <c r="K495" s="766"/>
      <c r="L495" s="769"/>
      <c r="M495" s="1178">
        <v>1319</v>
      </c>
      <c r="N495" s="13"/>
      <c r="O495" s="86"/>
      <c r="P495" s="1817" t="e">
        <f>INDEX(#REF!,MATCH(F495,#REF!,0),2)</f>
        <v>#REF!</v>
      </c>
      <c r="Q495" s="1779"/>
      <c r="R495" s="1779"/>
      <c r="S495" s="1779"/>
      <c r="T495" s="1779"/>
      <c r="U495" s="1779"/>
      <c r="V495" s="1779"/>
      <c r="W495" s="43"/>
      <c r="X495" s="1779"/>
      <c r="Y495" s="1779"/>
      <c r="Z495" s="1779"/>
      <c r="AA495" s="1779"/>
      <c r="AB495" s="1779"/>
      <c r="AC495" s="1779"/>
      <c r="AD495" s="1779"/>
      <c r="AE495" s="1779"/>
      <c r="AF495" s="1779"/>
      <c r="AG495" s="1779"/>
      <c r="AH495" s="1779"/>
      <c r="AI495" s="1779"/>
      <c r="AJ495" s="1779"/>
      <c r="AK495" s="1779"/>
      <c r="AL495" s="1779"/>
      <c r="AM495" s="1779"/>
      <c r="AN495" s="1779"/>
      <c r="AO495" s="1779"/>
      <c r="AP495" s="1779"/>
      <c r="AQ495" s="1779"/>
      <c r="AR495" s="1779"/>
      <c r="AS495" s="1779"/>
      <c r="AT495" s="1779"/>
      <c r="AU495" s="1779"/>
      <c r="AV495" s="1779"/>
    </row>
    <row r="496" spans="1:48" ht="11.45" customHeight="1">
      <c r="A496" s="768"/>
      <c r="B496" s="762" t="s">
        <v>1250</v>
      </c>
      <c r="C496" s="762" t="s">
        <v>509</v>
      </c>
      <c r="D496" s="1599"/>
      <c r="E496" s="2245" t="s">
        <v>1908</v>
      </c>
      <c r="F496" s="797">
        <v>5238</v>
      </c>
      <c r="G496" s="789" t="s">
        <v>3409</v>
      </c>
      <c r="H496" s="769"/>
      <c r="I496" s="791">
        <v>1050</v>
      </c>
      <c r="J496" s="770"/>
      <c r="K496" s="766"/>
      <c r="L496" s="769"/>
      <c r="M496" s="752">
        <v>1050</v>
      </c>
      <c r="N496" s="2517"/>
      <c r="O496" s="86"/>
      <c r="P496" s="1817" t="e">
        <f>INDEX(#REF!,MATCH(F496,#REF!,0),2)</f>
        <v>#REF!</v>
      </c>
      <c r="Q496" s="1779"/>
      <c r="R496" s="1779"/>
      <c r="S496" s="1779"/>
      <c r="T496" s="1779"/>
      <c r="U496" s="1779"/>
      <c r="V496" s="1779"/>
      <c r="W496" s="43"/>
      <c r="X496" s="1779"/>
      <c r="Y496" s="1779"/>
      <c r="Z496" s="1779"/>
      <c r="AA496" s="1779"/>
      <c r="AB496" s="1779"/>
      <c r="AC496" s="1779"/>
      <c r="AD496" s="1779"/>
      <c r="AE496" s="1779"/>
      <c r="AF496" s="1779"/>
      <c r="AG496" s="1779"/>
      <c r="AH496" s="1779"/>
      <c r="AI496" s="1779"/>
      <c r="AJ496" s="1779"/>
      <c r="AK496" s="1779"/>
      <c r="AL496" s="1779"/>
      <c r="AM496" s="1779"/>
      <c r="AN496" s="1779"/>
      <c r="AO496" s="1779"/>
      <c r="AP496" s="1779"/>
      <c r="AQ496" s="1779"/>
      <c r="AR496" s="1779"/>
      <c r="AS496" s="1779"/>
      <c r="AT496" s="1779"/>
      <c r="AU496" s="1779"/>
      <c r="AV496" s="1779"/>
    </row>
    <row r="497" spans="1:48" ht="11.45" customHeight="1">
      <c r="A497" s="1914"/>
      <c r="B497" s="762" t="s">
        <v>1250</v>
      </c>
      <c r="C497" s="762" t="s">
        <v>509</v>
      </c>
      <c r="D497" s="1599"/>
      <c r="E497" s="2245" t="s">
        <v>1908</v>
      </c>
      <c r="F497" s="797">
        <v>5238</v>
      </c>
      <c r="G497" s="2516" t="s">
        <v>3410</v>
      </c>
      <c r="H497" s="1968"/>
      <c r="I497" s="2344"/>
      <c r="J497" s="1657"/>
      <c r="K497" s="1652"/>
      <c r="L497" s="1968"/>
      <c r="M497" s="1650">
        <v>12000</v>
      </c>
      <c r="N497" s="2517" t="s">
        <v>3389</v>
      </c>
      <c r="O497" s="86"/>
      <c r="P497" s="1817" t="e">
        <f>INDEX(#REF!,MATCH(F497,#REF!,0),2)</f>
        <v>#REF!</v>
      </c>
      <c r="Q497" s="1779"/>
      <c r="R497" s="1779"/>
      <c r="S497" s="1779"/>
      <c r="T497" s="1779"/>
      <c r="U497" s="1779"/>
      <c r="V497" s="1779"/>
      <c r="W497" s="43"/>
      <c r="X497" s="1779"/>
      <c r="Y497" s="1779"/>
      <c r="Z497" s="1779"/>
      <c r="AA497" s="1779"/>
      <c r="AB497" s="1779"/>
      <c r="AC497" s="1779"/>
      <c r="AD497" s="1779"/>
      <c r="AE497" s="1779"/>
      <c r="AF497" s="1779"/>
      <c r="AG497" s="1779"/>
      <c r="AH497" s="1779"/>
      <c r="AI497" s="1779"/>
      <c r="AJ497" s="1779"/>
      <c r="AK497" s="1779"/>
      <c r="AL497" s="1779"/>
      <c r="AM497" s="1779"/>
      <c r="AN497" s="1779"/>
      <c r="AO497" s="1779"/>
      <c r="AP497" s="1779"/>
      <c r="AQ497" s="1779"/>
      <c r="AR497" s="1779"/>
      <c r="AS497" s="1779"/>
      <c r="AT497" s="1779"/>
      <c r="AU497" s="1779"/>
      <c r="AV497" s="1779"/>
    </row>
    <row r="498" spans="1:48" ht="11.45" customHeight="1">
      <c r="A498" s="1490"/>
      <c r="B498" s="762" t="s">
        <v>1250</v>
      </c>
      <c r="C498" s="762" t="s">
        <v>509</v>
      </c>
      <c r="D498" s="1599"/>
      <c r="E498" s="2245" t="s">
        <v>1908</v>
      </c>
      <c r="F498" s="797">
        <v>5238</v>
      </c>
      <c r="G498" s="772" t="s">
        <v>2061</v>
      </c>
      <c r="H498" s="769"/>
      <c r="I498" s="791">
        <v>2800</v>
      </c>
      <c r="J498" s="765"/>
      <c r="K498" s="766"/>
      <c r="L498" s="769"/>
      <c r="M498" s="1178"/>
      <c r="N498" s="13"/>
      <c r="O498" s="86"/>
      <c r="P498" s="1817" t="e">
        <f>INDEX(#REF!,MATCH(F498,#REF!,0),2)</f>
        <v>#REF!</v>
      </c>
      <c r="Q498" s="1779"/>
      <c r="R498" s="1779"/>
      <c r="S498" s="1779"/>
      <c r="T498" s="1779"/>
      <c r="U498" s="1779"/>
      <c r="V498" s="1779"/>
      <c r="W498" s="43"/>
      <c r="X498" s="1779"/>
      <c r="Y498" s="1779"/>
      <c r="Z498" s="1779"/>
      <c r="AA498" s="1779"/>
      <c r="AB498" s="1779"/>
      <c r="AC498" s="1779"/>
      <c r="AD498" s="1779"/>
      <c r="AE498" s="1779"/>
      <c r="AF498" s="1779"/>
      <c r="AG498" s="1779"/>
      <c r="AH498" s="1779"/>
      <c r="AI498" s="1779"/>
      <c r="AJ498" s="1779"/>
      <c r="AK498" s="1779"/>
      <c r="AL498" s="1779"/>
      <c r="AM498" s="1779"/>
      <c r="AN498" s="1779"/>
      <c r="AO498" s="1779"/>
      <c r="AP498" s="1779"/>
      <c r="AQ498" s="1779"/>
      <c r="AR498" s="1779"/>
      <c r="AS498" s="1779"/>
      <c r="AT498" s="1779"/>
      <c r="AU498" s="1779"/>
      <c r="AV498" s="1779"/>
    </row>
    <row r="499" spans="1:48" ht="11.45" customHeight="1">
      <c r="A499" s="1914"/>
      <c r="B499" s="762" t="s">
        <v>1250</v>
      </c>
      <c r="C499" s="762" t="s">
        <v>509</v>
      </c>
      <c r="D499" s="1599"/>
      <c r="E499" s="2245" t="s">
        <v>1908</v>
      </c>
      <c r="F499" s="797">
        <v>5238</v>
      </c>
      <c r="G499" s="2343" t="s">
        <v>3174</v>
      </c>
      <c r="H499" s="1968"/>
      <c r="I499" s="2344">
        <v>-200</v>
      </c>
      <c r="J499" s="1657"/>
      <c r="K499" s="1652"/>
      <c r="L499" s="1968"/>
      <c r="M499" s="2398"/>
      <c r="N499" s="335"/>
      <c r="O499" s="86"/>
      <c r="P499" s="1817" t="e">
        <f>INDEX(#REF!,MATCH(F499,#REF!,0),2)</f>
        <v>#REF!</v>
      </c>
      <c r="Q499" s="1779"/>
      <c r="R499" s="1779"/>
      <c r="S499" s="1779"/>
      <c r="T499" s="1779"/>
      <c r="U499" s="1779"/>
      <c r="V499" s="1779"/>
      <c r="W499" s="43"/>
      <c r="X499" s="1779"/>
      <c r="Y499" s="1779"/>
      <c r="Z499" s="1779"/>
      <c r="AA499" s="1779"/>
      <c r="AB499" s="1779"/>
      <c r="AC499" s="1779"/>
      <c r="AD499" s="1779"/>
      <c r="AE499" s="1779"/>
      <c r="AF499" s="1779"/>
      <c r="AG499" s="1779"/>
      <c r="AH499" s="1779"/>
      <c r="AI499" s="1779"/>
      <c r="AJ499" s="1779"/>
      <c r="AK499" s="1779"/>
      <c r="AL499" s="1779"/>
      <c r="AM499" s="1779"/>
      <c r="AN499" s="1779"/>
      <c r="AO499" s="1779"/>
      <c r="AP499" s="1779"/>
      <c r="AQ499" s="1779"/>
      <c r="AR499" s="1779"/>
      <c r="AS499" s="1779"/>
      <c r="AT499" s="1779"/>
      <c r="AU499" s="1779"/>
      <c r="AV499" s="1779"/>
    </row>
    <row r="500" spans="1:48" ht="21.6" customHeight="1">
      <c r="A500" s="1914"/>
      <c r="B500" s="762" t="s">
        <v>1250</v>
      </c>
      <c r="C500" s="762" t="s">
        <v>509</v>
      </c>
      <c r="D500" s="1599"/>
      <c r="E500" s="2245" t="s">
        <v>1908</v>
      </c>
      <c r="F500" s="797">
        <v>5238</v>
      </c>
      <c r="G500" s="3398" t="s">
        <v>5262</v>
      </c>
      <c r="H500" s="2778"/>
      <c r="I500" s="2344">
        <v>-1331</v>
      </c>
      <c r="J500" s="1657"/>
      <c r="K500" s="1652"/>
      <c r="L500" s="2778"/>
      <c r="M500" s="3802"/>
      <c r="N500" s="335"/>
      <c r="O500" s="86"/>
      <c r="P500" s="1817"/>
      <c r="Q500" s="1779"/>
      <c r="R500" s="1779"/>
      <c r="S500" s="1779"/>
      <c r="T500" s="1779"/>
      <c r="U500" s="1779"/>
      <c r="V500" s="1779"/>
      <c r="W500" s="43"/>
      <c r="X500" s="1779"/>
      <c r="Y500" s="1779"/>
      <c r="Z500" s="1779"/>
      <c r="AA500" s="1779"/>
      <c r="AB500" s="1779"/>
      <c r="AC500" s="1779"/>
      <c r="AD500" s="1779"/>
      <c r="AE500" s="1779"/>
      <c r="AF500" s="1779"/>
      <c r="AG500" s="1779"/>
      <c r="AH500" s="1779"/>
      <c r="AI500" s="1779"/>
      <c r="AJ500" s="1779"/>
      <c r="AK500" s="1779"/>
      <c r="AL500" s="1779"/>
      <c r="AM500" s="1779"/>
      <c r="AN500" s="1779"/>
      <c r="AO500" s="1779"/>
      <c r="AP500" s="1779"/>
      <c r="AQ500" s="1779"/>
      <c r="AR500" s="1779"/>
      <c r="AS500" s="1779"/>
      <c r="AT500" s="1779"/>
      <c r="AU500" s="1779"/>
      <c r="AV500" s="1779"/>
    </row>
    <row r="501" spans="1:48" ht="11.45" customHeight="1">
      <c r="A501" s="1914"/>
      <c r="B501" s="762" t="s">
        <v>1250</v>
      </c>
      <c r="C501" s="762" t="s">
        <v>509</v>
      </c>
      <c r="D501" s="1599"/>
      <c r="E501" s="2245" t="s">
        <v>1908</v>
      </c>
      <c r="F501" s="797">
        <v>5238</v>
      </c>
      <c r="G501" s="3398" t="s">
        <v>5264</v>
      </c>
      <c r="H501" s="2778"/>
      <c r="I501" s="2344">
        <v>-141</v>
      </c>
      <c r="J501" s="1657"/>
      <c r="K501" s="1652"/>
      <c r="L501" s="2778"/>
      <c r="M501" s="3802"/>
      <c r="N501" s="335"/>
      <c r="O501" s="86"/>
      <c r="P501" s="1817"/>
      <c r="Q501" s="1779"/>
      <c r="R501" s="1779"/>
      <c r="S501" s="1779"/>
      <c r="T501" s="1779"/>
      <c r="U501" s="1779"/>
      <c r="V501" s="1779"/>
      <c r="W501" s="43"/>
      <c r="X501" s="1779"/>
      <c r="Y501" s="1779"/>
      <c r="Z501" s="1779"/>
      <c r="AA501" s="1779"/>
      <c r="AB501" s="1779"/>
      <c r="AC501" s="1779"/>
      <c r="AD501" s="1779"/>
      <c r="AE501" s="1779"/>
      <c r="AF501" s="1779"/>
      <c r="AG501" s="1779"/>
      <c r="AH501" s="1779"/>
      <c r="AI501" s="1779"/>
      <c r="AJ501" s="1779"/>
      <c r="AK501" s="1779"/>
      <c r="AL501" s="1779"/>
      <c r="AM501" s="1779"/>
      <c r="AN501" s="1779"/>
      <c r="AO501" s="1779"/>
      <c r="AP501" s="1779"/>
      <c r="AQ501" s="1779"/>
      <c r="AR501" s="1779"/>
      <c r="AS501" s="1779"/>
      <c r="AT501" s="1779"/>
      <c r="AU501" s="1779"/>
      <c r="AV501" s="1779"/>
    </row>
    <row r="502" spans="1:48" ht="11.45" customHeight="1">
      <c r="A502" s="1914"/>
      <c r="B502" s="762" t="s">
        <v>1250</v>
      </c>
      <c r="C502" s="762" t="s">
        <v>509</v>
      </c>
      <c r="D502" s="1599"/>
      <c r="E502" s="2245" t="s">
        <v>1908</v>
      </c>
      <c r="F502" s="797">
        <v>5238</v>
      </c>
      <c r="G502" s="3398" t="s">
        <v>5265</v>
      </c>
      <c r="H502" s="2778"/>
      <c r="I502" s="2344">
        <v>-2000</v>
      </c>
      <c r="J502" s="1657"/>
      <c r="K502" s="1652"/>
      <c r="L502" s="2778"/>
      <c r="M502" s="3802"/>
      <c r="N502" s="335"/>
      <c r="O502" s="86"/>
      <c r="P502" s="1817"/>
      <c r="Q502" s="1779"/>
      <c r="R502" s="1779"/>
      <c r="S502" s="1779"/>
      <c r="T502" s="1779"/>
      <c r="U502" s="1779"/>
      <c r="V502" s="1779"/>
      <c r="W502" s="43"/>
      <c r="X502" s="1779"/>
      <c r="Y502" s="1779"/>
      <c r="Z502" s="1779"/>
      <c r="AA502" s="1779"/>
      <c r="AB502" s="1779"/>
      <c r="AC502" s="1779"/>
      <c r="AD502" s="1779"/>
      <c r="AE502" s="1779"/>
      <c r="AF502" s="1779"/>
      <c r="AG502" s="1779"/>
      <c r="AH502" s="1779"/>
      <c r="AI502" s="1779"/>
      <c r="AJ502" s="1779"/>
      <c r="AK502" s="1779"/>
      <c r="AL502" s="1779"/>
      <c r="AM502" s="1779"/>
      <c r="AN502" s="1779"/>
      <c r="AO502" s="1779"/>
      <c r="AP502" s="1779"/>
      <c r="AQ502" s="1779"/>
      <c r="AR502" s="1779"/>
      <c r="AS502" s="1779"/>
      <c r="AT502" s="1779"/>
      <c r="AU502" s="1779"/>
      <c r="AV502" s="1779"/>
    </row>
    <row r="503" spans="1:48" ht="11.45" customHeight="1">
      <c r="A503" s="755"/>
      <c r="B503" s="755" t="s">
        <v>1250</v>
      </c>
      <c r="C503" s="755" t="s">
        <v>509</v>
      </c>
      <c r="D503" s="1600">
        <v>340</v>
      </c>
      <c r="E503" s="2247" t="s">
        <v>1908</v>
      </c>
      <c r="F503" s="756">
        <v>5239</v>
      </c>
      <c r="G503" s="757" t="s">
        <v>256</v>
      </c>
      <c r="H503" s="758">
        <v>894</v>
      </c>
      <c r="I503" s="767"/>
      <c r="J503" s="760"/>
      <c r="K503" s="761"/>
      <c r="L503" s="758">
        <v>0</v>
      </c>
      <c r="M503" s="759"/>
      <c r="N503" s="149"/>
      <c r="O503" s="86"/>
      <c r="P503" s="1817" t="e">
        <f>INDEX(#REF!,MATCH(F503,#REF!,0),2)</f>
        <v>#REF!</v>
      </c>
      <c r="Q503" s="1779"/>
      <c r="R503" s="1779"/>
      <c r="S503" s="1779"/>
      <c r="T503" s="1779"/>
      <c r="U503" s="1779"/>
      <c r="V503" s="1779"/>
      <c r="W503" s="43"/>
      <c r="X503" s="1779"/>
      <c r="Y503" s="1779"/>
      <c r="Z503" s="1779"/>
      <c r="AA503" s="1779"/>
      <c r="AB503" s="1779"/>
      <c r="AC503" s="1779"/>
      <c r="AD503" s="1779"/>
      <c r="AE503" s="1779"/>
      <c r="AF503" s="1779"/>
      <c r="AG503" s="1779"/>
      <c r="AH503" s="1779"/>
      <c r="AI503" s="1779"/>
      <c r="AJ503" s="1779"/>
      <c r="AK503" s="1779"/>
      <c r="AL503" s="1779"/>
      <c r="AM503" s="1779"/>
      <c r="AN503" s="1779"/>
      <c r="AO503" s="1779"/>
      <c r="AP503" s="1779"/>
      <c r="AQ503" s="1779"/>
      <c r="AR503" s="1779"/>
      <c r="AS503" s="1779"/>
      <c r="AT503" s="1779"/>
      <c r="AU503" s="1779"/>
      <c r="AV503" s="1779"/>
    </row>
    <row r="504" spans="1:48" ht="19.899999999999999" customHeight="1">
      <c r="A504" s="768"/>
      <c r="B504" s="762" t="s">
        <v>1250</v>
      </c>
      <c r="C504" s="762" t="s">
        <v>509</v>
      </c>
      <c r="D504" s="1599"/>
      <c r="E504" s="2245" t="s">
        <v>1908</v>
      </c>
      <c r="F504" s="797">
        <v>5239</v>
      </c>
      <c r="G504" s="1570" t="s">
        <v>3184</v>
      </c>
      <c r="H504" s="799"/>
      <c r="I504" s="780">
        <v>894</v>
      </c>
      <c r="J504" s="753"/>
      <c r="K504" s="754"/>
      <c r="L504" s="752"/>
      <c r="M504" s="752"/>
      <c r="N504" s="149"/>
      <c r="O504" s="86"/>
      <c r="P504" s="1817" t="e">
        <f>INDEX(#REF!,MATCH(F504,#REF!,0),2)</f>
        <v>#REF!</v>
      </c>
      <c r="Q504" s="1779"/>
      <c r="R504" s="1779"/>
      <c r="S504" s="1779"/>
      <c r="T504" s="1779"/>
      <c r="U504" s="1779"/>
      <c r="V504" s="1779"/>
      <c r="W504" s="43"/>
      <c r="X504" s="1779"/>
      <c r="Y504" s="1779"/>
      <c r="Z504" s="1779"/>
      <c r="AA504" s="1779"/>
      <c r="AB504" s="1779"/>
      <c r="AC504" s="1779"/>
      <c r="AD504" s="1779"/>
      <c r="AE504" s="1779"/>
      <c r="AF504" s="1779"/>
      <c r="AG504" s="1779"/>
      <c r="AH504" s="1779"/>
      <c r="AI504" s="1779"/>
      <c r="AJ504" s="1779"/>
      <c r="AK504" s="1779"/>
      <c r="AL504" s="1779"/>
      <c r="AM504" s="1779"/>
      <c r="AN504" s="1779"/>
      <c r="AO504" s="1779"/>
      <c r="AP504" s="1779"/>
      <c r="AQ504" s="1779"/>
      <c r="AR504" s="1779"/>
      <c r="AS504" s="1779"/>
      <c r="AT504" s="1779"/>
      <c r="AU504" s="1779"/>
      <c r="AV504" s="1779"/>
    </row>
    <row r="505" spans="1:48" ht="20.45" customHeight="1">
      <c r="A505" s="755"/>
      <c r="B505" s="755" t="s">
        <v>1249</v>
      </c>
      <c r="C505" s="755" t="s">
        <v>510</v>
      </c>
      <c r="D505" s="1600">
        <v>340</v>
      </c>
      <c r="E505" s="2247" t="s">
        <v>1908</v>
      </c>
      <c r="F505" s="756">
        <v>5239</v>
      </c>
      <c r="G505" s="757" t="s">
        <v>256</v>
      </c>
      <c r="H505" s="758">
        <v>0</v>
      </c>
      <c r="I505" s="767"/>
      <c r="J505" s="760"/>
      <c r="K505" s="761"/>
      <c r="L505" s="758">
        <v>29000</v>
      </c>
      <c r="M505" s="759"/>
      <c r="N505" s="83"/>
      <c r="O505" s="86"/>
      <c r="P505" s="1817" t="e">
        <f>INDEX(#REF!,MATCH(F505,#REF!,0),2)</f>
        <v>#REF!</v>
      </c>
      <c r="Q505" s="11"/>
      <c r="R505" s="11"/>
      <c r="S505" s="11"/>
      <c r="T505" s="11"/>
      <c r="U505" s="11"/>
      <c r="V505" s="11"/>
      <c r="W505" s="4"/>
      <c r="X505" s="11"/>
      <c r="Y505" s="11"/>
      <c r="Z505" s="11"/>
      <c r="AA505" s="11"/>
      <c r="AB505" s="11"/>
      <c r="AC505" s="11"/>
      <c r="AD505" s="11"/>
      <c r="AE505" s="11"/>
      <c r="AF505" s="11"/>
      <c r="AG505" s="11"/>
      <c r="AH505" s="11"/>
      <c r="AI505" s="11"/>
      <c r="AJ505" s="11"/>
      <c r="AL505" s="1779"/>
      <c r="AM505" s="1779"/>
      <c r="AN505" s="1779"/>
      <c r="AO505" s="1779"/>
      <c r="AP505" s="1779"/>
      <c r="AQ505" s="1779"/>
      <c r="AR505" s="1779"/>
      <c r="AS505" s="1779"/>
      <c r="AT505" s="1779"/>
      <c r="AU505" s="1779"/>
      <c r="AV505" s="1779"/>
    </row>
    <row r="506" spans="1:48" ht="19.899999999999999" customHeight="1">
      <c r="A506" s="762"/>
      <c r="B506" s="762" t="s">
        <v>1249</v>
      </c>
      <c r="C506" s="762" t="s">
        <v>510</v>
      </c>
      <c r="D506" s="1599"/>
      <c r="E506" s="2245" t="s">
        <v>1908</v>
      </c>
      <c r="F506" s="763">
        <v>5239</v>
      </c>
      <c r="G506" s="798" t="s">
        <v>751</v>
      </c>
      <c r="H506" s="799"/>
      <c r="I506" s="780">
        <v>0</v>
      </c>
      <c r="J506" s="780"/>
      <c r="K506" s="781"/>
      <c r="L506" s="800"/>
      <c r="M506" s="800">
        <v>2000</v>
      </c>
      <c r="N506" s="1526"/>
      <c r="O506" s="86"/>
      <c r="P506" s="1817" t="e">
        <f>INDEX(#REF!,MATCH(F506,#REF!,0),2)</f>
        <v>#REF!</v>
      </c>
      <c r="Q506" s="1779"/>
      <c r="R506" s="1779"/>
      <c r="S506" s="1779"/>
      <c r="T506" s="1779"/>
      <c r="U506" s="1779"/>
      <c r="V506" s="1779"/>
      <c r="W506" s="43"/>
      <c r="X506" s="1779"/>
      <c r="Y506" s="1779"/>
      <c r="Z506" s="1779"/>
      <c r="AA506" s="1779"/>
      <c r="AB506" s="1779"/>
      <c r="AC506" s="1779"/>
      <c r="AD506" s="1779"/>
      <c r="AE506" s="1779"/>
      <c r="AF506" s="1779"/>
      <c r="AG506" s="1779"/>
      <c r="AH506" s="1779"/>
      <c r="AI506" s="1779"/>
      <c r="AJ506" s="1779"/>
      <c r="AK506" s="1779"/>
      <c r="AL506" s="1779"/>
      <c r="AM506" s="1779"/>
      <c r="AN506" s="1779"/>
      <c r="AO506" s="1779"/>
      <c r="AP506" s="1779"/>
      <c r="AQ506" s="1779"/>
      <c r="AR506" s="1779"/>
      <c r="AS506" s="1779"/>
      <c r="AT506" s="1779"/>
      <c r="AU506" s="1779"/>
      <c r="AV506" s="1779"/>
    </row>
    <row r="507" spans="1:48" ht="13.15" customHeight="1">
      <c r="A507" s="1465"/>
      <c r="B507" s="762" t="s">
        <v>1249</v>
      </c>
      <c r="C507" s="762" t="s">
        <v>510</v>
      </c>
      <c r="D507" s="1599"/>
      <c r="E507" s="2245" t="s">
        <v>1908</v>
      </c>
      <c r="F507" s="763">
        <v>5239</v>
      </c>
      <c r="G507" s="1491" t="s">
        <v>3411</v>
      </c>
      <c r="H507" s="1409"/>
      <c r="I507" s="1383">
        <v>0</v>
      </c>
      <c r="J507" s="1383"/>
      <c r="K507" s="1384"/>
      <c r="L507" s="1385"/>
      <c r="M507" s="800">
        <v>20000</v>
      </c>
      <c r="N507" s="13" t="s">
        <v>3413</v>
      </c>
      <c r="O507" s="86"/>
      <c r="P507" s="1817" t="e">
        <f>INDEX(#REF!,MATCH(F507,#REF!,0),2)</f>
        <v>#REF!</v>
      </c>
      <c r="Q507" s="1779"/>
      <c r="R507" s="1779"/>
      <c r="S507" s="1779"/>
      <c r="T507" s="1779"/>
      <c r="U507" s="1779"/>
      <c r="V507" s="1779"/>
      <c r="W507" s="43"/>
      <c r="X507" s="1779"/>
      <c r="Y507" s="1779"/>
      <c r="Z507" s="1779"/>
      <c r="AA507" s="1779"/>
      <c r="AB507" s="1779"/>
      <c r="AC507" s="1779"/>
      <c r="AD507" s="1779"/>
      <c r="AE507" s="1779"/>
      <c r="AF507" s="1779"/>
      <c r="AG507" s="1779"/>
      <c r="AH507" s="1779"/>
      <c r="AI507" s="1779"/>
      <c r="AJ507" s="1779"/>
      <c r="AK507" s="1779"/>
      <c r="AL507" s="1779"/>
      <c r="AM507" s="1779"/>
      <c r="AN507" s="1779"/>
      <c r="AO507" s="1779"/>
      <c r="AP507" s="1779"/>
      <c r="AQ507" s="1779"/>
      <c r="AR507" s="1779"/>
      <c r="AS507" s="1779"/>
      <c r="AT507" s="1779"/>
      <c r="AU507" s="1779"/>
      <c r="AV507" s="1779"/>
    </row>
    <row r="508" spans="1:48" ht="79.150000000000006" customHeight="1">
      <c r="A508" s="1370"/>
      <c r="B508" s="762" t="s">
        <v>1249</v>
      </c>
      <c r="C508" s="762" t="s">
        <v>510</v>
      </c>
      <c r="D508" s="1599"/>
      <c r="E508" s="2245" t="s">
        <v>1908</v>
      </c>
      <c r="F508" s="763">
        <v>5239</v>
      </c>
      <c r="G508" s="1408" t="s">
        <v>3412</v>
      </c>
      <c r="H508" s="1409"/>
      <c r="I508" s="1383"/>
      <c r="J508" s="1383"/>
      <c r="K508" s="1384"/>
      <c r="L508" s="1385"/>
      <c r="M508" s="800">
        <v>7000</v>
      </c>
      <c r="N508" s="3798" t="s">
        <v>5261</v>
      </c>
      <c r="O508" s="86"/>
      <c r="P508" s="1817" t="e">
        <f>INDEX(#REF!,MATCH(F508,#REF!,0),2)</f>
        <v>#REF!</v>
      </c>
      <c r="Q508" s="1779"/>
      <c r="R508" s="1779"/>
      <c r="S508" s="1779"/>
      <c r="T508" s="1779"/>
      <c r="U508" s="1779"/>
      <c r="V508" s="1779"/>
      <c r="W508" s="43"/>
      <c r="X508" s="1779"/>
      <c r="Y508" s="1779"/>
      <c r="Z508" s="1779"/>
      <c r="AA508" s="1779"/>
      <c r="AB508" s="1779"/>
      <c r="AC508" s="1779"/>
      <c r="AD508" s="1779"/>
      <c r="AE508" s="1779"/>
      <c r="AF508" s="1779"/>
      <c r="AG508" s="1779"/>
      <c r="AH508" s="1779"/>
      <c r="AI508" s="1779"/>
      <c r="AJ508" s="1779"/>
      <c r="AK508" s="1779"/>
      <c r="AL508" s="1779"/>
      <c r="AM508" s="1779"/>
      <c r="AN508" s="1779"/>
      <c r="AO508" s="1779"/>
      <c r="AP508" s="1779"/>
      <c r="AQ508" s="1779"/>
      <c r="AR508" s="1779"/>
      <c r="AS508" s="1779"/>
      <c r="AT508" s="1779"/>
      <c r="AU508" s="1779"/>
      <c r="AV508" s="1779"/>
    </row>
    <row r="509" spans="1:48" ht="11.45" customHeight="1">
      <c r="A509" s="755"/>
      <c r="B509" s="755" t="s">
        <v>663</v>
      </c>
      <c r="C509" s="755" t="s">
        <v>652</v>
      </c>
      <c r="D509" s="1600">
        <v>490</v>
      </c>
      <c r="E509" s="2248" t="s">
        <v>1938</v>
      </c>
      <c r="F509" s="756">
        <v>1119</v>
      </c>
      <c r="G509" s="757" t="s">
        <v>224</v>
      </c>
      <c r="H509" s="759">
        <v>82268</v>
      </c>
      <c r="I509" s="767"/>
      <c r="J509" s="760"/>
      <c r="K509" s="761"/>
      <c r="L509" s="759">
        <v>77497.872000000003</v>
      </c>
      <c r="M509" s="759"/>
      <c r="N509" s="73"/>
      <c r="O509" s="86"/>
      <c r="P509" s="1817" t="e">
        <f>INDEX(#REF!,MATCH(F509,#REF!,0),2)</f>
        <v>#REF!</v>
      </c>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row>
    <row r="510" spans="1:48" ht="11.45" customHeight="1">
      <c r="A510" s="762"/>
      <c r="B510" s="762" t="s">
        <v>663</v>
      </c>
      <c r="C510" s="762" t="s">
        <v>652</v>
      </c>
      <c r="D510" s="1599"/>
      <c r="E510" s="2245" t="s">
        <v>1938</v>
      </c>
      <c r="F510" s="763">
        <v>1119</v>
      </c>
      <c r="G510" s="812" t="s">
        <v>663</v>
      </c>
      <c r="H510" s="554"/>
      <c r="I510" s="554">
        <v>90446.400000000023</v>
      </c>
      <c r="J510" s="555"/>
      <c r="K510" s="561"/>
      <c r="L510" s="554"/>
      <c r="M510" s="554">
        <v>77497.872000000003</v>
      </c>
      <c r="N510" s="73"/>
      <c r="O510" s="86"/>
      <c r="P510" s="1817" t="e">
        <f>INDEX(#REF!,MATCH(F510,#REF!,0),2)</f>
        <v>#REF!</v>
      </c>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row>
    <row r="511" spans="1:48" ht="11.45" customHeight="1">
      <c r="A511" s="762"/>
      <c r="B511" s="762" t="s">
        <v>663</v>
      </c>
      <c r="C511" s="762" t="s">
        <v>652</v>
      </c>
      <c r="D511" s="1599"/>
      <c r="E511" s="2245" t="s">
        <v>1938</v>
      </c>
      <c r="F511" s="763">
        <v>1119</v>
      </c>
      <c r="G511" s="4338" t="s">
        <v>3125</v>
      </c>
      <c r="H511" s="764"/>
      <c r="I511" s="764">
        <v>-8178</v>
      </c>
      <c r="J511" s="765"/>
      <c r="K511" s="761"/>
      <c r="L511" s="764"/>
      <c r="M511" s="1574"/>
      <c r="N511" s="73"/>
      <c r="O511" s="86"/>
      <c r="P511" s="1817" t="e">
        <f>INDEX(#REF!,MATCH(F511,#REF!,0),2)</f>
        <v>#REF!</v>
      </c>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row>
    <row r="512" spans="1:48" s="81" customFormat="1" ht="18" customHeight="1">
      <c r="A512" s="755"/>
      <c r="B512" s="755" t="s">
        <v>663</v>
      </c>
      <c r="C512" s="755" t="s">
        <v>652</v>
      </c>
      <c r="D512" s="1600">
        <v>490</v>
      </c>
      <c r="E512" s="2247" t="s">
        <v>1938</v>
      </c>
      <c r="F512" s="756">
        <v>1142</v>
      </c>
      <c r="G512" s="757" t="s">
        <v>1201</v>
      </c>
      <c r="H512" s="631">
        <v>0</v>
      </c>
      <c r="I512" s="631"/>
      <c r="J512" s="631"/>
      <c r="K512" s="526"/>
      <c r="L512" s="631">
        <v>0</v>
      </c>
      <c r="M512" s="631"/>
      <c r="N512" s="73"/>
      <c r="O512" s="1698"/>
      <c r="P512" s="1817" t="e">
        <f>INDEX(#REF!,MATCH(F512,#REF!,0),2)</f>
        <v>#REF!</v>
      </c>
      <c r="Q512" s="43"/>
      <c r="R512" s="43"/>
      <c r="S512" s="43"/>
      <c r="T512" s="43"/>
      <c r="U512" s="43"/>
      <c r="V512" s="43"/>
      <c r="W512" s="43"/>
      <c r="X512" s="43"/>
      <c r="Y512" s="43"/>
      <c r="Z512" s="43"/>
      <c r="AA512" s="43"/>
      <c r="AB512" s="43"/>
      <c r="AC512" s="43"/>
      <c r="AD512" s="43"/>
      <c r="AE512" s="43"/>
      <c r="AF512" s="43"/>
      <c r="AG512" s="43"/>
      <c r="AH512" s="43"/>
      <c r="AI512" s="43"/>
      <c r="AJ512" s="43"/>
      <c r="AK512" s="43"/>
      <c r="AL512" s="43"/>
      <c r="AM512" s="43"/>
      <c r="AN512" s="43"/>
      <c r="AO512" s="43"/>
      <c r="AP512" s="43"/>
      <c r="AQ512" s="43"/>
      <c r="AR512" s="43"/>
      <c r="AS512" s="43"/>
      <c r="AT512" s="43"/>
      <c r="AU512" s="43"/>
      <c r="AV512" s="43"/>
    </row>
    <row r="513" spans="1:48" s="81" customFormat="1" ht="11.45" customHeight="1">
      <c r="A513" s="762"/>
      <c r="B513" s="762" t="s">
        <v>663</v>
      </c>
      <c r="C513" s="762" t="s">
        <v>652</v>
      </c>
      <c r="D513" s="1599"/>
      <c r="E513" s="2245" t="s">
        <v>1938</v>
      </c>
      <c r="F513" s="763">
        <v>1142</v>
      </c>
      <c r="G513" s="846"/>
      <c r="H513" s="495"/>
      <c r="I513" s="495"/>
      <c r="J513" s="495"/>
      <c r="K513" s="526"/>
      <c r="L513" s="495"/>
      <c r="M513" s="495"/>
      <c r="N513" s="73"/>
      <c r="O513" s="1698"/>
      <c r="P513" s="1817" t="e">
        <f>INDEX(#REF!,MATCH(F513,#REF!,0),2)</f>
        <v>#REF!</v>
      </c>
      <c r="Q513" s="43"/>
      <c r="R513" s="43"/>
      <c r="S513" s="43"/>
      <c r="T513" s="43"/>
      <c r="U513" s="43"/>
      <c r="V513" s="43"/>
      <c r="W513" s="43"/>
      <c r="X513" s="43"/>
      <c r="Y513" s="43"/>
      <c r="Z513" s="43"/>
      <c r="AA513" s="43"/>
      <c r="AB513" s="43"/>
      <c r="AC513" s="43"/>
      <c r="AD513" s="43"/>
      <c r="AE513" s="43"/>
      <c r="AF513" s="43"/>
      <c r="AG513" s="43"/>
      <c r="AH513" s="43"/>
      <c r="AI513" s="43"/>
      <c r="AJ513" s="43"/>
      <c r="AK513" s="43"/>
      <c r="AL513" s="43"/>
      <c r="AM513" s="43"/>
      <c r="AN513" s="43"/>
      <c r="AO513" s="43"/>
      <c r="AP513" s="43"/>
      <c r="AQ513" s="43"/>
      <c r="AR513" s="43"/>
      <c r="AS513" s="43"/>
      <c r="AT513" s="43"/>
      <c r="AU513" s="43"/>
      <c r="AV513" s="43"/>
    </row>
    <row r="514" spans="1:48" s="81" customFormat="1" ht="18" customHeight="1">
      <c r="A514" s="755"/>
      <c r="B514" s="755" t="s">
        <v>663</v>
      </c>
      <c r="C514" s="755" t="s">
        <v>652</v>
      </c>
      <c r="D514" s="1600">
        <v>490</v>
      </c>
      <c r="E514" s="2247" t="s">
        <v>1938</v>
      </c>
      <c r="F514" s="756">
        <v>1146</v>
      </c>
      <c r="G514" s="757" t="s">
        <v>922</v>
      </c>
      <c r="H514" s="631">
        <v>0</v>
      </c>
      <c r="I514" s="631"/>
      <c r="J514" s="631"/>
      <c r="K514" s="526"/>
      <c r="L514" s="631">
        <v>0</v>
      </c>
      <c r="M514" s="631"/>
      <c r="N514" s="73"/>
      <c r="O514" s="1698"/>
      <c r="P514" s="1817" t="e">
        <f>INDEX(#REF!,MATCH(F514,#REF!,0),2)</f>
        <v>#REF!</v>
      </c>
      <c r="Q514" s="43"/>
      <c r="R514" s="43"/>
      <c r="S514" s="43"/>
      <c r="T514" s="43"/>
      <c r="U514" s="43"/>
      <c r="V514" s="43"/>
      <c r="W514" s="43"/>
      <c r="X514" s="43"/>
      <c r="Y514" s="43"/>
      <c r="Z514" s="43"/>
      <c r="AA514" s="43"/>
      <c r="AB514" s="43"/>
      <c r="AC514" s="43"/>
      <c r="AD514" s="43"/>
      <c r="AE514" s="43"/>
      <c r="AF514" s="43"/>
      <c r="AG514" s="43"/>
      <c r="AH514" s="43"/>
      <c r="AI514" s="43"/>
      <c r="AJ514" s="43"/>
      <c r="AK514" s="43"/>
      <c r="AL514" s="43"/>
      <c r="AM514" s="43"/>
      <c r="AN514" s="43"/>
      <c r="AO514" s="43"/>
      <c r="AP514" s="43"/>
      <c r="AQ514" s="43"/>
      <c r="AR514" s="43"/>
      <c r="AS514" s="43"/>
      <c r="AT514" s="43"/>
      <c r="AU514" s="43"/>
      <c r="AV514" s="43"/>
    </row>
    <row r="515" spans="1:48" s="81" customFormat="1" ht="11.45" customHeight="1">
      <c r="A515" s="762"/>
      <c r="B515" s="762" t="s">
        <v>663</v>
      </c>
      <c r="C515" s="762" t="s">
        <v>652</v>
      </c>
      <c r="D515" s="1599"/>
      <c r="E515" s="2245" t="s">
        <v>1938</v>
      </c>
      <c r="F515" s="763">
        <v>1146</v>
      </c>
      <c r="G515" s="846"/>
      <c r="H515" s="495"/>
      <c r="I515" s="495"/>
      <c r="J515" s="495"/>
      <c r="K515" s="526"/>
      <c r="L515" s="495"/>
      <c r="M515" s="495"/>
      <c r="N515" s="73"/>
      <c r="O515" s="1698"/>
      <c r="P515" s="1817" t="e">
        <f>INDEX(#REF!,MATCH(F515,#REF!,0),2)</f>
        <v>#REF!</v>
      </c>
      <c r="Q515" s="43"/>
      <c r="R515" s="43"/>
      <c r="S515" s="43"/>
      <c r="T515" s="43"/>
      <c r="U515" s="43"/>
      <c r="V515" s="43"/>
      <c r="W515" s="43"/>
      <c r="X515" s="43"/>
      <c r="Y515" s="43"/>
      <c r="Z515" s="43"/>
      <c r="AA515" s="43"/>
      <c r="AB515" s="43"/>
      <c r="AC515" s="43"/>
      <c r="AD515" s="43"/>
      <c r="AE515" s="43"/>
      <c r="AF515" s="43"/>
      <c r="AG515" s="43"/>
      <c r="AH515" s="43"/>
      <c r="AI515" s="43"/>
      <c r="AJ515" s="43"/>
      <c r="AK515" s="43"/>
      <c r="AL515" s="43"/>
      <c r="AM515" s="43"/>
      <c r="AN515" s="43"/>
      <c r="AO515" s="43"/>
      <c r="AP515" s="43"/>
      <c r="AQ515" s="43"/>
      <c r="AR515" s="43"/>
      <c r="AS515" s="43"/>
      <c r="AT515" s="43"/>
      <c r="AU515" s="43"/>
      <c r="AV515" s="43"/>
    </row>
    <row r="516" spans="1:48" s="81" customFormat="1" ht="11.45" customHeight="1">
      <c r="A516" s="755"/>
      <c r="B516" s="755" t="s">
        <v>663</v>
      </c>
      <c r="C516" s="755" t="s">
        <v>652</v>
      </c>
      <c r="D516" s="1600">
        <v>490</v>
      </c>
      <c r="E516" s="2247" t="s">
        <v>1938</v>
      </c>
      <c r="F516" s="756">
        <v>1147</v>
      </c>
      <c r="G516" s="757" t="s">
        <v>767</v>
      </c>
      <c r="H516" s="631">
        <v>12137</v>
      </c>
      <c r="I516" s="631"/>
      <c r="J516" s="631"/>
      <c r="K516" s="526"/>
      <c r="L516" s="631">
        <v>9213.8804000000018</v>
      </c>
      <c r="M516" s="631"/>
      <c r="N516" s="73"/>
      <c r="O516" s="1698"/>
      <c r="P516" s="1817" t="e">
        <f>INDEX(#REF!,MATCH(F516,#REF!,0),2)</f>
        <v>#REF!</v>
      </c>
      <c r="Q516" s="43"/>
      <c r="R516" s="43"/>
      <c r="S516" s="43"/>
      <c r="T516" s="43"/>
      <c r="U516" s="43"/>
      <c r="V516" s="43"/>
      <c r="W516" s="43"/>
      <c r="X516" s="43"/>
      <c r="Y516" s="43"/>
      <c r="Z516" s="43"/>
      <c r="AA516" s="43"/>
      <c r="AB516" s="43"/>
      <c r="AC516" s="43"/>
      <c r="AD516" s="43"/>
      <c r="AE516" s="43"/>
      <c r="AF516" s="43"/>
      <c r="AG516" s="43"/>
      <c r="AH516" s="43"/>
      <c r="AI516" s="43"/>
      <c r="AJ516" s="43"/>
      <c r="AK516" s="43"/>
      <c r="AL516" s="43"/>
      <c r="AM516" s="43"/>
      <c r="AN516" s="43"/>
      <c r="AO516" s="43"/>
      <c r="AP516" s="43"/>
      <c r="AQ516" s="43"/>
      <c r="AR516" s="43"/>
      <c r="AS516" s="43"/>
      <c r="AT516" s="43"/>
      <c r="AU516" s="43"/>
      <c r="AV516" s="43"/>
    </row>
    <row r="517" spans="1:48" s="81" customFormat="1" ht="11.45" customHeight="1">
      <c r="A517" s="762"/>
      <c r="B517" s="762" t="s">
        <v>663</v>
      </c>
      <c r="C517" s="762" t="s">
        <v>652</v>
      </c>
      <c r="D517" s="1599"/>
      <c r="E517" s="2245" t="s">
        <v>1938</v>
      </c>
      <c r="F517" s="763">
        <v>1147</v>
      </c>
      <c r="G517" s="846"/>
      <c r="H517" s="495"/>
      <c r="I517" s="495">
        <v>10136.94</v>
      </c>
      <c r="J517" s="495"/>
      <c r="K517" s="526"/>
      <c r="L517" s="495"/>
      <c r="M517" s="495">
        <v>9213.8804000000018</v>
      </c>
      <c r="N517" s="73"/>
      <c r="O517" s="1698"/>
      <c r="P517" s="1817" t="e">
        <f>INDEX(#REF!,MATCH(F517,#REF!,0),2)</f>
        <v>#REF!</v>
      </c>
      <c r="Q517" s="43"/>
      <c r="R517" s="43"/>
      <c r="S517" s="43"/>
      <c r="T517" s="43"/>
      <c r="U517" s="43"/>
      <c r="V517" s="43"/>
      <c r="W517" s="43"/>
      <c r="X517" s="43"/>
      <c r="Y517" s="43"/>
      <c r="Z517" s="43"/>
      <c r="AA517" s="43"/>
      <c r="AB517" s="43"/>
      <c r="AC517" s="43"/>
      <c r="AD517" s="43"/>
      <c r="AE517" s="43"/>
      <c r="AF517" s="43"/>
      <c r="AG517" s="43"/>
      <c r="AH517" s="43"/>
      <c r="AI517" s="43"/>
      <c r="AJ517" s="43"/>
      <c r="AK517" s="43"/>
      <c r="AL517" s="43"/>
      <c r="AM517" s="43"/>
      <c r="AN517" s="43"/>
      <c r="AO517" s="43"/>
      <c r="AP517" s="43"/>
      <c r="AQ517" s="43"/>
      <c r="AR517" s="43"/>
      <c r="AS517" s="43"/>
      <c r="AT517" s="43"/>
      <c r="AU517" s="43"/>
      <c r="AV517" s="43"/>
    </row>
    <row r="518" spans="1:48" s="81" customFormat="1" ht="11.45" customHeight="1">
      <c r="A518" s="762"/>
      <c r="B518" s="762" t="s">
        <v>663</v>
      </c>
      <c r="C518" s="762" t="s">
        <v>652</v>
      </c>
      <c r="D518" s="1599"/>
      <c r="E518" s="2245" t="s">
        <v>1938</v>
      </c>
      <c r="F518" s="763">
        <v>1147</v>
      </c>
      <c r="G518" s="846" t="s">
        <v>1177</v>
      </c>
      <c r="H518" s="495"/>
      <c r="I518" s="495">
        <v>2000</v>
      </c>
      <c r="J518" s="495"/>
      <c r="K518" s="526"/>
      <c r="L518" s="495"/>
      <c r="M518" s="495"/>
      <c r="N518" s="73"/>
      <c r="O518" s="1698"/>
      <c r="P518" s="1817" t="e">
        <f>INDEX(#REF!,MATCH(F518,#REF!,0),2)</f>
        <v>#REF!</v>
      </c>
      <c r="Q518" s="43"/>
      <c r="R518" s="43"/>
      <c r="S518" s="43"/>
      <c r="T518" s="43"/>
      <c r="U518" s="43"/>
      <c r="V518" s="43"/>
      <c r="W518" s="43"/>
      <c r="X518" s="43"/>
      <c r="Y518" s="43"/>
      <c r="Z518" s="43"/>
      <c r="AA518" s="43"/>
      <c r="AB518" s="43"/>
      <c r="AC518" s="43"/>
      <c r="AD518" s="43"/>
      <c r="AE518" s="43"/>
      <c r="AF518" s="43"/>
      <c r="AG518" s="43"/>
      <c r="AH518" s="43"/>
      <c r="AI518" s="43"/>
      <c r="AJ518" s="43"/>
      <c r="AK518" s="43"/>
      <c r="AL518" s="43"/>
      <c r="AM518" s="43"/>
      <c r="AN518" s="43"/>
      <c r="AO518" s="43"/>
      <c r="AP518" s="43"/>
      <c r="AQ518" s="43"/>
      <c r="AR518" s="43"/>
      <c r="AS518" s="43"/>
      <c r="AT518" s="43"/>
      <c r="AU518" s="43"/>
      <c r="AV518" s="43"/>
    </row>
    <row r="519" spans="1:48" s="81" customFormat="1" ht="25.15" customHeight="1">
      <c r="A519" s="755"/>
      <c r="B519" s="755" t="s">
        <v>663</v>
      </c>
      <c r="C519" s="755" t="s">
        <v>652</v>
      </c>
      <c r="D519" s="1600">
        <v>490</v>
      </c>
      <c r="E519" s="2247" t="s">
        <v>1938</v>
      </c>
      <c r="F519" s="756">
        <v>1148</v>
      </c>
      <c r="G519" s="757" t="s">
        <v>911</v>
      </c>
      <c r="H519" s="631">
        <v>4139</v>
      </c>
      <c r="I519" s="631"/>
      <c r="J519" s="631"/>
      <c r="K519" s="526"/>
      <c r="L519" s="631">
        <v>4139</v>
      </c>
      <c r="M519" s="631"/>
      <c r="N519" s="73"/>
      <c r="O519" s="1698"/>
      <c r="P519" s="1817" t="e">
        <f>INDEX(#REF!,MATCH(F519,#REF!,0),2)</f>
        <v>#REF!</v>
      </c>
      <c r="Q519" s="43"/>
      <c r="R519" s="43"/>
      <c r="S519" s="43"/>
      <c r="T519" s="43"/>
      <c r="U519" s="43"/>
      <c r="V519" s="43"/>
      <c r="W519" s="43"/>
      <c r="X519" s="43"/>
      <c r="Y519" s="43"/>
      <c r="Z519" s="43"/>
      <c r="AA519" s="43"/>
      <c r="AB519" s="43"/>
      <c r="AC519" s="43"/>
      <c r="AD519" s="43"/>
      <c r="AE519" s="43"/>
      <c r="AF519" s="43"/>
      <c r="AG519" s="43"/>
      <c r="AH519" s="43"/>
      <c r="AI519" s="43"/>
      <c r="AJ519" s="43"/>
      <c r="AK519" s="43"/>
      <c r="AL519" s="43"/>
      <c r="AM519" s="43"/>
      <c r="AN519" s="43"/>
      <c r="AO519" s="43"/>
      <c r="AP519" s="43"/>
      <c r="AQ519" s="43"/>
      <c r="AR519" s="43"/>
      <c r="AS519" s="43"/>
      <c r="AT519" s="43"/>
      <c r="AU519" s="43"/>
    </row>
    <row r="520" spans="1:48" s="81" customFormat="1" ht="24.6" customHeight="1">
      <c r="A520" s="762"/>
      <c r="B520" s="762" t="s">
        <v>663</v>
      </c>
      <c r="C520" s="762" t="s">
        <v>652</v>
      </c>
      <c r="D520" s="1599"/>
      <c r="E520" s="2245" t="s">
        <v>1938</v>
      </c>
      <c r="F520" s="763">
        <v>1148</v>
      </c>
      <c r="G520" s="772" t="s">
        <v>2047</v>
      </c>
      <c r="H520" s="495"/>
      <c r="I520" s="495">
        <v>4139</v>
      </c>
      <c r="J520" s="495"/>
      <c r="K520" s="526"/>
      <c r="L520" s="495"/>
      <c r="M520" s="495">
        <v>4139</v>
      </c>
      <c r="N520" s="73"/>
      <c r="O520" s="1698"/>
      <c r="P520" s="1817" t="e">
        <f>INDEX(#REF!,MATCH(F520,#REF!,0),2)</f>
        <v>#REF!</v>
      </c>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row>
    <row r="521" spans="1:48" s="81" customFormat="1" ht="21.6" customHeight="1">
      <c r="A521" s="755"/>
      <c r="B521" s="755" t="s">
        <v>1248</v>
      </c>
      <c r="C521" s="755" t="s">
        <v>652</v>
      </c>
      <c r="D521" s="1600">
        <v>490</v>
      </c>
      <c r="E521" s="2247" t="s">
        <v>1938</v>
      </c>
      <c r="F521" s="756">
        <v>1150</v>
      </c>
      <c r="G521" s="757" t="s">
        <v>1197</v>
      </c>
      <c r="H521" s="631">
        <v>0</v>
      </c>
      <c r="I521" s="631"/>
      <c r="J521" s="631"/>
      <c r="K521" s="526"/>
      <c r="L521" s="631">
        <v>0</v>
      </c>
      <c r="M521" s="631"/>
      <c r="N521" s="73"/>
      <c r="O521" s="1698"/>
      <c r="P521" s="1817" t="e">
        <f>INDEX(#REF!,MATCH(F521,#REF!,0),2)</f>
        <v>#REF!</v>
      </c>
      <c r="Q521" s="43"/>
      <c r="R521" s="43"/>
      <c r="S521" s="43"/>
      <c r="T521" s="43"/>
      <c r="U521" s="43"/>
      <c r="V521" s="43"/>
      <c r="W521" s="43"/>
      <c r="X521" s="43"/>
      <c r="Y521" s="43"/>
      <c r="Z521" s="43"/>
      <c r="AA521" s="43"/>
      <c r="AB521" s="43"/>
      <c r="AC521" s="43"/>
      <c r="AD521" s="43"/>
      <c r="AE521" s="43"/>
      <c r="AF521" s="43"/>
      <c r="AG521" s="43"/>
      <c r="AH521" s="43"/>
      <c r="AI521" s="43"/>
      <c r="AJ521" s="43"/>
      <c r="AK521" s="43"/>
      <c r="AL521" s="43"/>
      <c r="AM521" s="43"/>
      <c r="AN521" s="43"/>
      <c r="AO521" s="43"/>
      <c r="AP521" s="43"/>
      <c r="AQ521" s="43"/>
      <c r="AR521" s="43"/>
      <c r="AS521" s="43"/>
      <c r="AT521" s="43"/>
      <c r="AU521" s="43"/>
    </row>
    <row r="522" spans="1:48" s="81" customFormat="1" ht="11.45" customHeight="1">
      <c r="A522" s="762"/>
      <c r="B522" s="762" t="s">
        <v>1248</v>
      </c>
      <c r="C522" s="762" t="s">
        <v>652</v>
      </c>
      <c r="D522" s="1599"/>
      <c r="E522" s="2245" t="s">
        <v>1938</v>
      </c>
      <c r="F522" s="763">
        <v>1150</v>
      </c>
      <c r="G522" s="846"/>
      <c r="H522" s="495"/>
      <c r="I522" s="495"/>
      <c r="J522" s="495"/>
      <c r="K522" s="526"/>
      <c r="L522" s="495"/>
      <c r="M522" s="495"/>
      <c r="N522" s="73"/>
      <c r="O522" s="1698"/>
      <c r="P522" s="1817" t="e">
        <f>INDEX(#REF!,MATCH(F522,#REF!,0),2)</f>
        <v>#REF!</v>
      </c>
      <c r="Q522" s="43"/>
      <c r="R522" s="43"/>
      <c r="S522" s="43"/>
      <c r="T522" s="43"/>
      <c r="U522" s="43"/>
      <c r="V522" s="43"/>
      <c r="W522" s="43"/>
      <c r="X522" s="43"/>
      <c r="Y522" s="43"/>
      <c r="Z522" s="43"/>
      <c r="AA522" s="43"/>
      <c r="AB522" s="43"/>
      <c r="AC522" s="43"/>
      <c r="AD522" s="43"/>
      <c r="AE522" s="43"/>
      <c r="AF522" s="43"/>
      <c r="AG522" s="43"/>
      <c r="AH522" s="43"/>
      <c r="AI522" s="43"/>
      <c r="AJ522" s="43"/>
      <c r="AK522" s="43"/>
      <c r="AL522" s="43"/>
      <c r="AM522" s="43"/>
      <c r="AN522" s="43"/>
      <c r="AO522" s="43"/>
      <c r="AP522" s="43"/>
      <c r="AQ522" s="43"/>
      <c r="AR522" s="43"/>
      <c r="AS522" s="43"/>
      <c r="AT522" s="43"/>
      <c r="AU522" s="43"/>
      <c r="AV522" s="43"/>
    </row>
    <row r="523" spans="1:48" s="81" customFormat="1" ht="11.45" customHeight="1">
      <c r="A523" s="755"/>
      <c r="B523" s="755" t="s">
        <v>663</v>
      </c>
      <c r="C523" s="755" t="s">
        <v>652</v>
      </c>
      <c r="D523" s="1600">
        <v>490</v>
      </c>
      <c r="E523" s="2247" t="s">
        <v>1938</v>
      </c>
      <c r="F523" s="756">
        <v>1170</v>
      </c>
      <c r="G523" s="757" t="s">
        <v>724</v>
      </c>
      <c r="H523" s="631">
        <v>75</v>
      </c>
      <c r="I523" s="631"/>
      <c r="J523" s="631"/>
      <c r="K523" s="526"/>
      <c r="L523" s="631">
        <v>75</v>
      </c>
      <c r="M523" s="631"/>
      <c r="N523" s="73"/>
      <c r="O523" s="1698"/>
      <c r="P523" s="1817" t="e">
        <f>INDEX(#REF!,MATCH(F523,#REF!,0),2)</f>
        <v>#REF!</v>
      </c>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row>
    <row r="524" spans="1:48" s="81" customFormat="1" ht="11.45" customHeight="1">
      <c r="A524" s="762"/>
      <c r="B524" s="762" t="s">
        <v>663</v>
      </c>
      <c r="C524" s="762" t="s">
        <v>652</v>
      </c>
      <c r="D524" s="1599"/>
      <c r="E524" s="2245" t="s">
        <v>1938</v>
      </c>
      <c r="F524" s="763">
        <v>1170</v>
      </c>
      <c r="G524" s="846" t="s">
        <v>723</v>
      </c>
      <c r="H524" s="495"/>
      <c r="I524" s="495">
        <v>75</v>
      </c>
      <c r="J524" s="495"/>
      <c r="K524" s="526"/>
      <c r="L524" s="495"/>
      <c r="M524" s="495">
        <v>75</v>
      </c>
      <c r="N524" s="73"/>
      <c r="O524" s="1698"/>
      <c r="P524" s="1817" t="e">
        <f>INDEX(#REF!,MATCH(F524,#REF!,0),2)</f>
        <v>#REF!</v>
      </c>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3"/>
      <c r="AT524" s="43"/>
      <c r="AU524" s="43"/>
      <c r="AV524" s="43"/>
    </row>
    <row r="525" spans="1:48" s="81" customFormat="1" ht="11.45" customHeight="1">
      <c r="A525" s="755"/>
      <c r="B525" s="755" t="s">
        <v>663</v>
      </c>
      <c r="C525" s="755" t="s">
        <v>652</v>
      </c>
      <c r="D525" s="1600">
        <v>490</v>
      </c>
      <c r="E525" s="2247" t="s">
        <v>1938</v>
      </c>
      <c r="F525" s="756">
        <v>1210</v>
      </c>
      <c r="G525" s="757" t="s">
        <v>228</v>
      </c>
      <c r="H525" s="759">
        <v>20386</v>
      </c>
      <c r="I525" s="759"/>
      <c r="J525" s="759"/>
      <c r="K525" s="761"/>
      <c r="L525" s="759">
        <v>20156.189796792001</v>
      </c>
      <c r="M525" s="759"/>
      <c r="N525" s="73"/>
      <c r="O525" s="1698"/>
      <c r="P525" s="1817" t="e">
        <f>INDEX(#REF!,MATCH(F525,#REF!,0),2)</f>
        <v>#REF!</v>
      </c>
      <c r="Q525" s="43"/>
      <c r="R525" s="43"/>
      <c r="S525" s="43"/>
      <c r="T525" s="43"/>
      <c r="U525" s="43"/>
      <c r="V525" s="43"/>
      <c r="W525" s="43"/>
      <c r="X525" s="43"/>
      <c r="Y525" s="43"/>
      <c r="Z525" s="43"/>
      <c r="AA525" s="43"/>
      <c r="AB525" s="43"/>
      <c r="AC525" s="43"/>
      <c r="AD525" s="43"/>
      <c r="AE525" s="43"/>
      <c r="AF525" s="43"/>
      <c r="AG525" s="43"/>
      <c r="AH525" s="43"/>
      <c r="AI525" s="43"/>
      <c r="AJ525" s="43"/>
      <c r="AK525" s="43"/>
      <c r="AL525" s="43"/>
      <c r="AM525" s="43"/>
      <c r="AN525" s="43"/>
      <c r="AO525" s="43"/>
      <c r="AP525" s="43"/>
      <c r="AQ525" s="43"/>
      <c r="AR525" s="43"/>
      <c r="AS525" s="43"/>
      <c r="AT525" s="43"/>
      <c r="AU525" s="43"/>
      <c r="AV525" s="43"/>
    </row>
    <row r="526" spans="1:48" s="81" customFormat="1" ht="11.45" customHeight="1">
      <c r="A526" s="762"/>
      <c r="B526" s="762" t="s">
        <v>663</v>
      </c>
      <c r="C526" s="762" t="s">
        <v>652</v>
      </c>
      <c r="D526" s="1599"/>
      <c r="E526" s="2245" t="s">
        <v>1938</v>
      </c>
      <c r="F526" s="763">
        <v>1210</v>
      </c>
      <c r="G526" s="772" t="s">
        <v>663</v>
      </c>
      <c r="H526" s="764"/>
      <c r="I526" s="764">
        <v>23385.791513700002</v>
      </c>
      <c r="J526" s="764"/>
      <c r="K526" s="761"/>
      <c r="L526" s="764"/>
      <c r="M526" s="764">
        <v>20156.189796792001</v>
      </c>
      <c r="N526" s="73"/>
      <c r="O526" s="1698"/>
      <c r="P526" s="1817" t="e">
        <f>INDEX(#REF!,MATCH(F526,#REF!,0),2)</f>
        <v>#REF!</v>
      </c>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row>
    <row r="527" spans="1:48" s="81" customFormat="1" ht="11.45" customHeight="1">
      <c r="A527" s="2790"/>
      <c r="B527" s="762" t="s">
        <v>663</v>
      </c>
      <c r="C527" s="762" t="s">
        <v>652</v>
      </c>
      <c r="D527" s="1599"/>
      <c r="E527" s="2245" t="s">
        <v>1938</v>
      </c>
      <c r="F527" s="763">
        <v>1210</v>
      </c>
      <c r="G527" s="2774"/>
      <c r="H527" s="1650"/>
      <c r="I527" s="1650">
        <v>-3000</v>
      </c>
      <c r="J527" s="1650"/>
      <c r="K527" s="1724"/>
      <c r="L527" s="1650"/>
      <c r="M527" s="1650"/>
      <c r="N527" s="73"/>
      <c r="O527" s="1698"/>
      <c r="P527" s="1817"/>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row>
    <row r="528" spans="1:48" s="81" customFormat="1" ht="11.45" customHeight="1">
      <c r="A528" s="755"/>
      <c r="B528" s="755" t="s">
        <v>663</v>
      </c>
      <c r="C528" s="755" t="s">
        <v>652</v>
      </c>
      <c r="D528" s="1600">
        <v>490</v>
      </c>
      <c r="E528" s="2247" t="s">
        <v>1938</v>
      </c>
      <c r="F528" s="756">
        <v>1221</v>
      </c>
      <c r="G528" s="757" t="s">
        <v>235</v>
      </c>
      <c r="H528" s="759">
        <v>7999</v>
      </c>
      <c r="I528" s="759"/>
      <c r="J528" s="759"/>
      <c r="K528" s="761"/>
      <c r="L528" s="759">
        <v>4289.9300945680006</v>
      </c>
      <c r="M528" s="759"/>
      <c r="N528" s="73"/>
      <c r="O528" s="1698"/>
      <c r="P528" s="1817" t="e">
        <f>INDEX(#REF!,MATCH(F528,#REF!,0),2)</f>
        <v>#REF!</v>
      </c>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4"/>
      <c r="AR528" s="4"/>
      <c r="AS528" s="4"/>
      <c r="AT528" s="4"/>
      <c r="AU528" s="4"/>
      <c r="AV528" s="4"/>
    </row>
    <row r="529" spans="1:48" s="81" customFormat="1" ht="11.45" customHeight="1">
      <c r="A529" s="762"/>
      <c r="B529" s="762" t="s">
        <v>663</v>
      </c>
      <c r="C529" s="762" t="s">
        <v>652</v>
      </c>
      <c r="D529" s="1599"/>
      <c r="E529" s="2245" t="s">
        <v>1938</v>
      </c>
      <c r="F529" s="763">
        <v>1221</v>
      </c>
      <c r="G529" s="772" t="s">
        <v>1987</v>
      </c>
      <c r="H529" s="764"/>
      <c r="I529" s="764">
        <v>4999.4311323000002</v>
      </c>
      <c r="J529" s="764"/>
      <c r="K529" s="761"/>
      <c r="L529" s="764"/>
      <c r="M529" s="764">
        <v>4289.9300945680006</v>
      </c>
      <c r="N529" s="73"/>
      <c r="O529" s="1698"/>
      <c r="P529" s="1817" t="e">
        <f>INDEX(#REF!,MATCH(F529,#REF!,0),2)</f>
        <v>#REF!</v>
      </c>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4"/>
      <c r="AR529" s="4"/>
      <c r="AS529" s="4"/>
      <c r="AT529" s="4"/>
      <c r="AU529" s="4"/>
      <c r="AV529" s="4"/>
    </row>
    <row r="530" spans="1:48" s="81" customFormat="1" ht="11.45" customHeight="1">
      <c r="A530" s="762"/>
      <c r="B530" s="762" t="s">
        <v>663</v>
      </c>
      <c r="C530" s="762" t="s">
        <v>652</v>
      </c>
      <c r="D530" s="1599"/>
      <c r="E530" s="2245" t="s">
        <v>1938</v>
      </c>
      <c r="F530" s="763">
        <v>1221</v>
      </c>
      <c r="G530" s="846"/>
      <c r="H530" s="554"/>
      <c r="I530" s="554">
        <v>3000</v>
      </c>
      <c r="J530" s="554"/>
      <c r="K530" s="561"/>
      <c r="L530" s="554"/>
      <c r="M530" s="554"/>
      <c r="N530" s="73"/>
      <c r="O530" s="1698"/>
      <c r="P530" s="1817" t="e">
        <f>INDEX(#REF!,MATCH(F530,#REF!,0),2)</f>
        <v>#REF!</v>
      </c>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4"/>
      <c r="AR530" s="4"/>
      <c r="AS530" s="4"/>
      <c r="AT530" s="4"/>
      <c r="AU530" s="4"/>
      <c r="AV530" s="4"/>
    </row>
    <row r="531" spans="1:48" ht="18.600000000000001" customHeight="1">
      <c r="A531" s="755"/>
      <c r="B531" s="755" t="s">
        <v>1248</v>
      </c>
      <c r="C531" s="755" t="s">
        <v>652</v>
      </c>
      <c r="D531" s="1600">
        <v>490</v>
      </c>
      <c r="E531" s="2247" t="s">
        <v>1938</v>
      </c>
      <c r="F531" s="756">
        <v>1227</v>
      </c>
      <c r="G531" s="757" t="s">
        <v>1257</v>
      </c>
      <c r="H531" s="759">
        <v>13</v>
      </c>
      <c r="I531" s="767"/>
      <c r="J531" s="760"/>
      <c r="K531" s="761"/>
      <c r="L531" s="759">
        <v>0</v>
      </c>
      <c r="M531" s="759"/>
      <c r="N531" s="73"/>
      <c r="O531" s="86"/>
      <c r="P531" s="1817" t="e">
        <f>INDEX(#REF!,MATCH(F531,#REF!,0),2)</f>
        <v>#REF!</v>
      </c>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4"/>
      <c r="AR531" s="4"/>
      <c r="AS531" s="4"/>
      <c r="AT531" s="4"/>
      <c r="AU531" s="4"/>
      <c r="AV531" s="4"/>
    </row>
    <row r="532" spans="1:48" ht="11.45" customHeight="1">
      <c r="A532" s="762"/>
      <c r="B532" s="762" t="s">
        <v>1248</v>
      </c>
      <c r="C532" s="762" t="s">
        <v>652</v>
      </c>
      <c r="D532" s="1599"/>
      <c r="E532" s="2245" t="s">
        <v>1938</v>
      </c>
      <c r="F532" s="763">
        <v>1227</v>
      </c>
      <c r="G532" s="812"/>
      <c r="H532" s="764"/>
      <c r="I532" s="764"/>
      <c r="J532" s="765"/>
      <c r="K532" s="761"/>
      <c r="L532" s="764"/>
      <c r="M532" s="764"/>
      <c r="N532" s="73"/>
      <c r="O532" s="86"/>
      <c r="P532" s="1817" t="e">
        <f>INDEX(#REF!,MATCH(F532,#REF!,0),2)</f>
        <v>#REF!</v>
      </c>
      <c r="Q532" s="43"/>
      <c r="R532" s="43"/>
      <c r="S532" s="43"/>
      <c r="T532" s="43"/>
      <c r="U532" s="43"/>
      <c r="V532" s="43"/>
      <c r="W532" s="43"/>
      <c r="X532" s="43"/>
      <c r="Y532" s="43"/>
      <c r="Z532" s="43"/>
      <c r="AA532" s="43"/>
      <c r="AB532" s="43"/>
      <c r="AC532" s="43"/>
      <c r="AD532" s="43"/>
      <c r="AE532" s="43"/>
      <c r="AF532" s="43"/>
      <c r="AG532" s="43"/>
      <c r="AH532" s="43"/>
      <c r="AI532" s="43"/>
      <c r="AJ532" s="43"/>
      <c r="AK532" s="43"/>
      <c r="AL532" s="43"/>
      <c r="AM532" s="43"/>
      <c r="AN532" s="43"/>
      <c r="AO532" s="43"/>
      <c r="AP532" s="43"/>
      <c r="AQ532" s="43"/>
      <c r="AR532" s="43"/>
      <c r="AS532" s="43"/>
      <c r="AT532" s="43"/>
      <c r="AU532" s="43"/>
      <c r="AV532" s="43"/>
    </row>
    <row r="533" spans="1:48" ht="11.45" customHeight="1">
      <c r="A533" s="755"/>
      <c r="B533" s="755" t="s">
        <v>1248</v>
      </c>
      <c r="C533" s="755" t="s">
        <v>652</v>
      </c>
      <c r="D533" s="1600">
        <v>490</v>
      </c>
      <c r="E533" s="2247" t="s">
        <v>1938</v>
      </c>
      <c r="F533" s="756">
        <v>1228</v>
      </c>
      <c r="G533" s="757" t="s">
        <v>1015</v>
      </c>
      <c r="H533" s="759">
        <v>237</v>
      </c>
      <c r="I533" s="767"/>
      <c r="J533" s="760"/>
      <c r="K533" s="761"/>
      <c r="L533" s="759">
        <v>200</v>
      </c>
      <c r="M533" s="759"/>
      <c r="N533" s="73"/>
      <c r="O533" s="86"/>
      <c r="P533" s="1817" t="e">
        <f>INDEX(#REF!,MATCH(F533,#REF!,0),2)</f>
        <v>#REF!</v>
      </c>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4"/>
      <c r="AR533" s="4"/>
      <c r="AS533" s="4"/>
      <c r="AT533" s="4"/>
      <c r="AU533" s="4"/>
      <c r="AV533" s="4"/>
    </row>
    <row r="534" spans="1:48" ht="21.6" customHeight="1">
      <c r="A534" s="762"/>
      <c r="B534" s="762" t="s">
        <v>1248</v>
      </c>
      <c r="C534" s="762" t="s">
        <v>652</v>
      </c>
      <c r="D534" s="1599"/>
      <c r="E534" s="2245" t="s">
        <v>1938</v>
      </c>
      <c r="F534" s="763">
        <v>1228</v>
      </c>
      <c r="G534" s="2774" t="s">
        <v>4729</v>
      </c>
      <c r="H534" s="535"/>
      <c r="I534" s="536">
        <v>250</v>
      </c>
      <c r="J534" s="765"/>
      <c r="K534" s="761"/>
      <c r="L534" s="764"/>
      <c r="M534" s="764"/>
      <c r="N534" s="73"/>
      <c r="O534" s="86"/>
      <c r="P534" s="1817" t="e">
        <f>INDEX(#REF!,MATCH(F534,#REF!,0),2)</f>
        <v>#REF!</v>
      </c>
      <c r="Q534" s="43"/>
      <c r="R534" s="43"/>
      <c r="S534" s="43"/>
      <c r="T534" s="43"/>
      <c r="U534" s="43"/>
      <c r="V534" s="43"/>
      <c r="W534" s="43"/>
      <c r="X534" s="43"/>
      <c r="Y534" s="43"/>
      <c r="Z534" s="43"/>
      <c r="AA534" s="43"/>
      <c r="AB534" s="43"/>
      <c r="AC534" s="43"/>
      <c r="AD534" s="43"/>
      <c r="AE534" s="43"/>
      <c r="AF534" s="43"/>
      <c r="AG534" s="43"/>
      <c r="AH534" s="43"/>
      <c r="AI534" s="43"/>
      <c r="AJ534" s="43"/>
      <c r="AK534" s="43"/>
      <c r="AL534" s="43"/>
      <c r="AM534" s="43"/>
      <c r="AN534" s="43"/>
      <c r="AO534" s="43"/>
      <c r="AP534" s="43"/>
      <c r="AQ534" s="43"/>
      <c r="AR534" s="43"/>
      <c r="AS534" s="43"/>
      <c r="AT534" s="43"/>
      <c r="AU534" s="43"/>
      <c r="AV534" s="43"/>
    </row>
    <row r="535" spans="1:48" ht="24.6" customHeight="1">
      <c r="A535" s="762"/>
      <c r="B535" s="762" t="s">
        <v>1248</v>
      </c>
      <c r="C535" s="762" t="s">
        <v>652</v>
      </c>
      <c r="D535" s="1599"/>
      <c r="E535" s="2245" t="s">
        <v>1938</v>
      </c>
      <c r="F535" s="763">
        <v>1228</v>
      </c>
      <c r="G535" s="2774"/>
      <c r="H535" s="535"/>
      <c r="I535" s="536">
        <v>-13</v>
      </c>
      <c r="J535" s="537"/>
      <c r="K535" s="538"/>
      <c r="L535" s="536"/>
      <c r="M535" s="536">
        <v>200</v>
      </c>
      <c r="N535" s="73"/>
      <c r="O535" s="86"/>
      <c r="P535" s="1817" t="e">
        <f>INDEX(#REF!,MATCH(F535,#REF!,0),2)</f>
        <v>#REF!</v>
      </c>
      <c r="Q535" s="1779"/>
      <c r="R535" s="1779"/>
      <c r="S535" s="1779"/>
      <c r="T535" s="1779"/>
      <c r="U535" s="1779"/>
      <c r="V535" s="1779"/>
      <c r="W535" s="43"/>
      <c r="X535" s="1779"/>
      <c r="Y535" s="1779"/>
      <c r="Z535" s="1779"/>
      <c r="AA535" s="1779"/>
      <c r="AB535" s="1779"/>
      <c r="AC535" s="1779"/>
      <c r="AD535" s="1779"/>
      <c r="AE535" s="1779"/>
      <c r="AF535" s="1779"/>
      <c r="AG535" s="1779"/>
      <c r="AH535" s="1779"/>
      <c r="AI535" s="1779"/>
      <c r="AJ535" s="1779"/>
      <c r="AK535" s="1779"/>
      <c r="AL535" s="1779"/>
      <c r="AM535" s="1779"/>
      <c r="AN535" s="1779"/>
      <c r="AO535" s="1779"/>
      <c r="AP535" s="1779"/>
      <c r="AQ535" s="1779"/>
      <c r="AR535" s="1779"/>
      <c r="AS535" s="1779"/>
      <c r="AT535" s="1779"/>
      <c r="AU535" s="1779"/>
      <c r="AV535" s="1779"/>
    </row>
    <row r="536" spans="1:48" ht="11.45" customHeight="1">
      <c r="A536" s="755"/>
      <c r="B536" s="755" t="s">
        <v>1248</v>
      </c>
      <c r="C536" s="755" t="s">
        <v>507</v>
      </c>
      <c r="D536" s="1600">
        <v>490</v>
      </c>
      <c r="E536" s="2247" t="s">
        <v>1938</v>
      </c>
      <c r="F536" s="756">
        <v>2210</v>
      </c>
      <c r="G536" s="757" t="s">
        <v>879</v>
      </c>
      <c r="H536" s="759">
        <v>288</v>
      </c>
      <c r="I536" s="759"/>
      <c r="J536" s="760"/>
      <c r="K536" s="761"/>
      <c r="L536" s="759">
        <v>288</v>
      </c>
      <c r="M536" s="759"/>
      <c r="N536" s="73"/>
      <c r="O536" s="86"/>
      <c r="P536" s="1817" t="e">
        <f>INDEX(#REF!,MATCH(F536,#REF!,0),2)</f>
        <v>#REF!</v>
      </c>
      <c r="Q536" s="43"/>
      <c r="R536" s="43"/>
      <c r="S536" s="43"/>
      <c r="T536" s="43"/>
      <c r="U536" s="43"/>
      <c r="V536" s="43"/>
      <c r="W536" s="43"/>
      <c r="X536" s="43"/>
      <c r="Y536" s="43"/>
      <c r="Z536" s="43"/>
      <c r="AA536" s="43"/>
      <c r="AB536" s="43"/>
      <c r="AC536" s="43"/>
      <c r="AD536" s="43"/>
      <c r="AE536" s="43"/>
      <c r="AF536" s="43"/>
      <c r="AG536" s="43"/>
      <c r="AH536" s="43"/>
      <c r="AI536" s="43"/>
      <c r="AJ536" s="43"/>
      <c r="AK536" s="43"/>
      <c r="AL536" s="43"/>
      <c r="AM536" s="43"/>
      <c r="AN536" s="43"/>
      <c r="AO536" s="43"/>
      <c r="AP536" s="43"/>
      <c r="AQ536" s="43"/>
      <c r="AR536" s="43"/>
      <c r="AS536" s="43"/>
      <c r="AT536" s="43"/>
      <c r="AU536" s="43"/>
      <c r="AV536" s="43"/>
    </row>
    <row r="537" spans="1:48" ht="37.9" customHeight="1">
      <c r="A537" s="762" t="s">
        <v>854</v>
      </c>
      <c r="B537" s="762" t="s">
        <v>1248</v>
      </c>
      <c r="C537" s="762" t="s">
        <v>507</v>
      </c>
      <c r="D537" s="1599"/>
      <c r="E537" s="2245" t="s">
        <v>1938</v>
      </c>
      <c r="F537" s="763">
        <v>2210</v>
      </c>
      <c r="G537" s="813" t="s">
        <v>4731</v>
      </c>
      <c r="H537" s="770"/>
      <c r="I537" s="764">
        <v>218</v>
      </c>
      <c r="J537" s="765"/>
      <c r="K537" s="766"/>
      <c r="L537" s="764"/>
      <c r="M537" s="764">
        <v>218</v>
      </c>
      <c r="N537" s="73"/>
      <c r="O537" s="86"/>
      <c r="P537" s="1817" t="e">
        <f>INDEX(#REF!,MATCH(F537,#REF!,0),2)</f>
        <v>#REF!</v>
      </c>
      <c r="Q537" s="43"/>
      <c r="R537" s="43"/>
      <c r="S537" s="43"/>
      <c r="T537" s="43"/>
      <c r="U537" s="43"/>
      <c r="V537" s="43"/>
      <c r="W537" s="43"/>
      <c r="X537" s="43"/>
      <c r="Y537" s="43"/>
      <c r="Z537" s="43"/>
      <c r="AA537" s="43"/>
      <c r="AB537" s="43"/>
      <c r="AC537" s="43"/>
      <c r="AD537" s="43"/>
      <c r="AE537" s="43"/>
      <c r="AF537" s="43"/>
      <c r="AG537" s="43"/>
      <c r="AH537" s="43"/>
      <c r="AI537" s="43"/>
      <c r="AJ537" s="43"/>
      <c r="AK537" s="43"/>
      <c r="AL537" s="43"/>
      <c r="AM537" s="43"/>
      <c r="AN537" s="43"/>
      <c r="AO537" s="43"/>
      <c r="AP537" s="43"/>
      <c r="AQ537" s="43"/>
      <c r="AR537" s="43"/>
      <c r="AS537" s="43"/>
      <c r="AT537" s="43"/>
      <c r="AU537" s="43"/>
      <c r="AV537" s="43"/>
    </row>
    <row r="538" spans="1:48" ht="11.45" customHeight="1">
      <c r="A538" s="762"/>
      <c r="B538" s="762" t="s">
        <v>1248</v>
      </c>
      <c r="C538" s="762" t="s">
        <v>507</v>
      </c>
      <c r="D538" s="1599"/>
      <c r="E538" s="2245" t="s">
        <v>1938</v>
      </c>
      <c r="F538" s="763">
        <v>2210</v>
      </c>
      <c r="G538" s="829" t="s">
        <v>1195</v>
      </c>
      <c r="H538" s="554"/>
      <c r="I538" s="567">
        <v>70</v>
      </c>
      <c r="J538" s="555"/>
      <c r="K538" s="561"/>
      <c r="L538" s="554"/>
      <c r="M538" s="554">
        <v>70</v>
      </c>
      <c r="N538" s="73"/>
      <c r="O538" s="86"/>
      <c r="P538" s="1817" t="e">
        <f>INDEX(#REF!,MATCH(F538,#REF!,0),2)</f>
        <v>#REF!</v>
      </c>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4"/>
      <c r="AR538" s="4"/>
      <c r="AS538" s="4"/>
      <c r="AT538" s="4"/>
      <c r="AU538" s="4"/>
      <c r="AV538" s="4"/>
    </row>
    <row r="539" spans="1:48" ht="11.45" customHeight="1">
      <c r="A539" s="755"/>
      <c r="B539" s="755" t="s">
        <v>1248</v>
      </c>
      <c r="C539" s="755" t="s">
        <v>505</v>
      </c>
      <c r="D539" s="1600">
        <v>490</v>
      </c>
      <c r="E539" s="2247" t="s">
        <v>1938</v>
      </c>
      <c r="F539" s="756">
        <v>2234</v>
      </c>
      <c r="G539" s="757" t="s">
        <v>235</v>
      </c>
      <c r="H539" s="759">
        <v>200</v>
      </c>
      <c r="I539" s="759"/>
      <c r="J539" s="760"/>
      <c r="K539" s="761"/>
      <c r="L539" s="759">
        <v>45</v>
      </c>
      <c r="M539" s="759"/>
      <c r="N539" s="73"/>
      <c r="O539" s="86"/>
      <c r="P539" s="1817" t="e">
        <f>INDEX(#REF!,MATCH(F539,#REF!,0),2)</f>
        <v>#REF!</v>
      </c>
      <c r="Q539" s="11"/>
      <c r="R539" s="11"/>
      <c r="S539" s="11"/>
      <c r="T539" s="11"/>
      <c r="U539" s="11"/>
      <c r="V539" s="11"/>
      <c r="W539" s="4"/>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row>
    <row r="540" spans="1:48" ht="20.45" customHeight="1">
      <c r="A540" s="762"/>
      <c r="B540" s="762" t="s">
        <v>1248</v>
      </c>
      <c r="C540" s="762" t="s">
        <v>505</v>
      </c>
      <c r="D540" s="1599"/>
      <c r="E540" s="2245" t="s">
        <v>1938</v>
      </c>
      <c r="F540" s="763">
        <v>2234</v>
      </c>
      <c r="G540" s="2783" t="s">
        <v>5730</v>
      </c>
      <c r="H540" s="770"/>
      <c r="I540" s="764">
        <v>200</v>
      </c>
      <c r="J540" s="765"/>
      <c r="K540" s="766"/>
      <c r="L540" s="764"/>
      <c r="M540" s="764">
        <v>45</v>
      </c>
      <c r="N540" s="73" t="s">
        <v>5731</v>
      </c>
      <c r="O540" s="86"/>
      <c r="P540" s="1817" t="e">
        <f>INDEX(#REF!,MATCH(F540,#REF!,0),2)</f>
        <v>#REF!</v>
      </c>
      <c r="Q540" s="1779"/>
      <c r="R540" s="1779"/>
      <c r="S540" s="1779"/>
      <c r="T540" s="1779"/>
      <c r="U540" s="1779"/>
      <c r="V540" s="1779"/>
      <c r="W540" s="43"/>
      <c r="X540" s="1779"/>
      <c r="Y540" s="1779"/>
      <c r="Z540" s="1779"/>
      <c r="AA540" s="1779"/>
      <c r="AB540" s="1779"/>
      <c r="AC540" s="1779"/>
      <c r="AD540" s="1779"/>
      <c r="AE540" s="1779"/>
      <c r="AF540" s="1779"/>
      <c r="AG540" s="1779"/>
      <c r="AH540" s="1779"/>
      <c r="AI540" s="1779"/>
      <c r="AJ540" s="1779"/>
      <c r="AK540" s="1779"/>
      <c r="AL540" s="1779"/>
      <c r="AM540" s="1779"/>
      <c r="AN540" s="1779"/>
      <c r="AO540" s="1779"/>
      <c r="AP540" s="1779"/>
      <c r="AQ540" s="1779"/>
      <c r="AR540" s="1779"/>
      <c r="AS540" s="1779"/>
      <c r="AT540" s="1779"/>
      <c r="AU540" s="1779"/>
      <c r="AV540" s="1779"/>
    </row>
    <row r="541" spans="1:48" ht="11.45" customHeight="1">
      <c r="A541" s="755"/>
      <c r="B541" s="755" t="s">
        <v>1248</v>
      </c>
      <c r="C541" s="755" t="s">
        <v>505</v>
      </c>
      <c r="D541" s="1600">
        <v>490</v>
      </c>
      <c r="E541" s="2247" t="s">
        <v>1938</v>
      </c>
      <c r="F541" s="756">
        <v>2235</v>
      </c>
      <c r="G541" s="757" t="s">
        <v>2431</v>
      </c>
      <c r="H541" s="759">
        <v>375</v>
      </c>
      <c r="I541" s="759"/>
      <c r="J541" s="760"/>
      <c r="K541" s="761"/>
      <c r="L541" s="759">
        <v>375</v>
      </c>
      <c r="M541" s="759"/>
      <c r="N541" s="73"/>
      <c r="O541" s="86"/>
      <c r="P541" s="1817" t="e">
        <f>INDEX(#REF!,MATCH(F541,#REF!,0),2)</f>
        <v>#REF!</v>
      </c>
      <c r="Q541" s="11"/>
      <c r="R541" s="11"/>
      <c r="S541" s="11"/>
      <c r="T541" s="11"/>
      <c r="U541" s="11"/>
      <c r="V541" s="11"/>
      <c r="W541" s="4"/>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row>
    <row r="542" spans="1:48" ht="20.45" customHeight="1">
      <c r="A542" s="762"/>
      <c r="B542" s="762" t="s">
        <v>1248</v>
      </c>
      <c r="C542" s="762" t="s">
        <v>507</v>
      </c>
      <c r="D542" s="1599"/>
      <c r="E542" s="2245" t="s">
        <v>1938</v>
      </c>
      <c r="F542" s="763">
        <v>2235</v>
      </c>
      <c r="G542" s="772" t="s">
        <v>1310</v>
      </c>
      <c r="H542" s="769"/>
      <c r="I542" s="752">
        <v>375</v>
      </c>
      <c r="J542" s="753"/>
      <c r="K542" s="754"/>
      <c r="L542" s="769"/>
      <c r="M542" s="3403">
        <v>375</v>
      </c>
      <c r="N542" s="73"/>
      <c r="O542" s="86"/>
      <c r="P542" s="1817" t="e">
        <f>INDEX(#REF!,MATCH(F542,#REF!,0),2)</f>
        <v>#REF!</v>
      </c>
      <c r="Q542" s="43"/>
      <c r="R542" s="43"/>
      <c r="S542" s="43"/>
      <c r="T542" s="43"/>
      <c r="U542" s="43"/>
      <c r="V542" s="43"/>
      <c r="W542" s="43"/>
      <c r="X542" s="43"/>
      <c r="Y542" s="43"/>
      <c r="Z542" s="43"/>
      <c r="AA542" s="43"/>
      <c r="AB542" s="43"/>
      <c r="AC542" s="43"/>
      <c r="AD542" s="43"/>
      <c r="AE542" s="43"/>
      <c r="AF542" s="43"/>
      <c r="AG542" s="43"/>
      <c r="AH542" s="1774"/>
      <c r="AI542" s="1030"/>
      <c r="AJ542" s="1030"/>
      <c r="AK542" s="43"/>
      <c r="AL542" s="43"/>
      <c r="AM542" s="43"/>
      <c r="AN542" s="43"/>
      <c r="AO542" s="43"/>
      <c r="AP542" s="43"/>
      <c r="AQ542" s="43"/>
      <c r="AR542" s="43"/>
      <c r="AS542" s="43"/>
      <c r="AT542" s="43"/>
      <c r="AU542" s="43"/>
      <c r="AV542" s="43"/>
    </row>
    <row r="543" spans="1:48" ht="26.45" customHeight="1">
      <c r="A543" s="755"/>
      <c r="B543" s="755" t="s">
        <v>1248</v>
      </c>
      <c r="C543" s="755" t="s">
        <v>507</v>
      </c>
      <c r="D543" s="1600">
        <v>490</v>
      </c>
      <c r="E543" s="2247" t="s">
        <v>1938</v>
      </c>
      <c r="F543" s="756">
        <v>2239</v>
      </c>
      <c r="G543" s="757" t="s">
        <v>237</v>
      </c>
      <c r="H543" s="759">
        <v>6531.4</v>
      </c>
      <c r="I543" s="767"/>
      <c r="J543" s="760"/>
      <c r="K543" s="761"/>
      <c r="L543" s="759">
        <v>8892.6</v>
      </c>
      <c r="M543" s="767"/>
      <c r="N543" s="73"/>
      <c r="O543" s="86"/>
      <c r="P543" s="1817" t="e">
        <f>INDEX(#REF!,MATCH(F543,#REF!,0),2)</f>
        <v>#REF!</v>
      </c>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3"/>
      <c r="AT543" s="43"/>
      <c r="AU543" s="43"/>
      <c r="AV543" s="43"/>
    </row>
    <row r="544" spans="1:48" ht="14.45" customHeight="1">
      <c r="A544" s="762" t="s">
        <v>856</v>
      </c>
      <c r="B544" s="762" t="s">
        <v>1248</v>
      </c>
      <c r="C544" s="762" t="s">
        <v>507</v>
      </c>
      <c r="D544" s="1599"/>
      <c r="E544" s="2245" t="s">
        <v>1938</v>
      </c>
      <c r="F544" s="763">
        <v>2239</v>
      </c>
      <c r="G544" s="772" t="s">
        <v>1307</v>
      </c>
      <c r="H544" s="814"/>
      <c r="I544" s="818">
        <v>475</v>
      </c>
      <c r="J544" s="819"/>
      <c r="K544" s="816"/>
      <c r="L544" s="814"/>
      <c r="M544" s="818">
        <v>475</v>
      </c>
      <c r="N544" s="73"/>
      <c r="O544" s="86"/>
      <c r="P544" s="1817" t="e">
        <f>INDEX(#REF!,MATCH(F544,#REF!,0),2)</f>
        <v>#REF!</v>
      </c>
      <c r="Q544" s="43"/>
      <c r="R544" s="43"/>
      <c r="S544" s="43"/>
      <c r="T544" s="43"/>
      <c r="U544" s="43"/>
      <c r="V544" s="43"/>
      <c r="W544" s="43"/>
      <c r="X544" s="43"/>
      <c r="Y544" s="43"/>
      <c r="Z544" s="43"/>
      <c r="AA544" s="43"/>
      <c r="AB544" s="43"/>
      <c r="AC544" s="43"/>
      <c r="AD544" s="43"/>
      <c r="AE544" s="43"/>
      <c r="AF544" s="43"/>
      <c r="AG544" s="43"/>
      <c r="AH544" s="43"/>
      <c r="AI544" s="43"/>
      <c r="AJ544" s="43"/>
      <c r="AK544" s="43"/>
      <c r="AL544" s="43"/>
      <c r="AM544" s="43"/>
      <c r="AN544" s="43"/>
      <c r="AO544" s="43"/>
      <c r="AP544" s="43"/>
      <c r="AQ544" s="43"/>
      <c r="AR544" s="43"/>
      <c r="AS544" s="43"/>
      <c r="AT544" s="43"/>
      <c r="AU544" s="43"/>
    </row>
    <row r="545" spans="1:48" ht="20.45" customHeight="1">
      <c r="A545" s="762" t="s">
        <v>858</v>
      </c>
      <c r="B545" s="762" t="s">
        <v>1248</v>
      </c>
      <c r="C545" s="762" t="s">
        <v>507</v>
      </c>
      <c r="D545" s="1599"/>
      <c r="E545" s="2245" t="s">
        <v>1938</v>
      </c>
      <c r="F545" s="763">
        <v>2239</v>
      </c>
      <c r="G545" s="2810" t="s">
        <v>4732</v>
      </c>
      <c r="H545" s="3399"/>
      <c r="I545" s="3399">
        <v>0</v>
      </c>
      <c r="J545" s="3400"/>
      <c r="K545" s="3401"/>
      <c r="L545" s="3402"/>
      <c r="M545" s="2779">
        <v>2323.1999999999998</v>
      </c>
      <c r="N545" s="13" t="s">
        <v>4733</v>
      </c>
      <c r="O545" s="86"/>
      <c r="P545" s="1817" t="e">
        <f>INDEX(#REF!,MATCH(F545,#REF!,0),2)</f>
        <v>#REF!</v>
      </c>
      <c r="Q545" s="43"/>
      <c r="R545" s="43"/>
      <c r="S545" s="43"/>
      <c r="T545" s="43"/>
      <c r="U545" s="43"/>
      <c r="V545" s="43"/>
      <c r="W545" s="43"/>
      <c r="X545" s="43"/>
      <c r="Y545" s="43"/>
      <c r="Z545" s="43"/>
      <c r="AA545" s="43"/>
      <c r="AB545" s="43"/>
      <c r="AC545" s="43"/>
      <c r="AD545" s="43"/>
      <c r="AE545" s="43"/>
      <c r="AF545" s="43"/>
      <c r="AG545" s="43"/>
      <c r="AH545" s="43"/>
      <c r="AI545" s="43"/>
      <c r="AJ545" s="43"/>
      <c r="AK545" s="43"/>
      <c r="AL545" s="43"/>
      <c r="AM545" s="43"/>
      <c r="AN545" s="43"/>
      <c r="AO545" s="43"/>
      <c r="AP545" s="43"/>
      <c r="AQ545" s="43"/>
      <c r="AR545" s="43"/>
      <c r="AS545" s="43"/>
      <c r="AT545" s="43"/>
      <c r="AU545" s="43"/>
    </row>
    <row r="546" spans="1:48" ht="30.6" customHeight="1">
      <c r="A546" s="762" t="s">
        <v>855</v>
      </c>
      <c r="B546" s="762" t="s">
        <v>1248</v>
      </c>
      <c r="C546" s="762" t="s">
        <v>507</v>
      </c>
      <c r="D546" s="1599"/>
      <c r="E546" s="2245" t="s">
        <v>1938</v>
      </c>
      <c r="F546" s="763">
        <v>2239</v>
      </c>
      <c r="G546" s="772" t="s">
        <v>4734</v>
      </c>
      <c r="H546" s="814"/>
      <c r="I546" s="815">
        <v>2030</v>
      </c>
      <c r="J546" s="819"/>
      <c r="K546" s="816"/>
      <c r="L546" s="814"/>
      <c r="M546" s="815">
        <v>2030</v>
      </c>
      <c r="N546" s="73"/>
      <c r="O546" s="86"/>
      <c r="P546" s="1817" t="e">
        <f>INDEX(#REF!,MATCH(F546,#REF!,0),2)</f>
        <v>#REF!</v>
      </c>
      <c r="Q546" s="43"/>
      <c r="R546" s="43"/>
      <c r="S546" s="43"/>
      <c r="T546" s="43"/>
      <c r="U546" s="43"/>
      <c r="V546" s="43"/>
      <c r="W546" s="43"/>
      <c r="X546" s="43"/>
      <c r="Y546" s="43"/>
      <c r="Z546" s="43"/>
      <c r="AA546" s="43"/>
      <c r="AB546" s="43"/>
      <c r="AC546" s="43"/>
      <c r="AD546" s="43"/>
      <c r="AE546" s="43"/>
      <c r="AF546" s="43"/>
      <c r="AG546" s="43"/>
      <c r="AH546" s="43"/>
      <c r="AI546" s="43"/>
      <c r="AJ546" s="43"/>
      <c r="AK546" s="43"/>
      <c r="AL546" s="43"/>
      <c r="AM546" s="43"/>
      <c r="AN546" s="43"/>
      <c r="AO546" s="43"/>
      <c r="AP546" s="43"/>
      <c r="AQ546" s="43"/>
      <c r="AR546" s="43"/>
      <c r="AS546" s="43"/>
      <c r="AT546" s="43"/>
      <c r="AU546" s="43"/>
    </row>
    <row r="547" spans="1:48" ht="27.75" customHeight="1">
      <c r="A547" s="762" t="s">
        <v>855</v>
      </c>
      <c r="B547" s="762" t="s">
        <v>1248</v>
      </c>
      <c r="C547" s="762" t="s">
        <v>507</v>
      </c>
      <c r="D547" s="1599"/>
      <c r="E547" s="2245" t="s">
        <v>1938</v>
      </c>
      <c r="F547" s="763">
        <v>2239</v>
      </c>
      <c r="G547" s="772" t="s">
        <v>859</v>
      </c>
      <c r="H547" s="814"/>
      <c r="I547" s="815">
        <v>3194.4</v>
      </c>
      <c r="J547" s="819"/>
      <c r="K547" s="816"/>
      <c r="L547" s="814"/>
      <c r="M547" s="815">
        <v>3194.4</v>
      </c>
      <c r="N547" s="73"/>
      <c r="O547" s="86"/>
      <c r="P547" s="1817" t="e">
        <f>INDEX(#REF!,MATCH(F547,#REF!,0),2)</f>
        <v>#REF!</v>
      </c>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row>
    <row r="548" spans="1:48" ht="18" customHeight="1">
      <c r="A548" s="774" t="s">
        <v>860</v>
      </c>
      <c r="B548" s="820" t="s">
        <v>1248</v>
      </c>
      <c r="C548" s="820" t="s">
        <v>507</v>
      </c>
      <c r="D548" s="1601"/>
      <c r="E548" s="2249" t="s">
        <v>1938</v>
      </c>
      <c r="F548" s="821">
        <v>2239</v>
      </c>
      <c r="G548" s="822" t="s">
        <v>631</v>
      </c>
      <c r="H548" s="823"/>
      <c r="I548" s="824">
        <v>400</v>
      </c>
      <c r="J548" s="825"/>
      <c r="K548" s="816"/>
      <c r="L548" s="823"/>
      <c r="M548" s="824">
        <v>400</v>
      </c>
      <c r="N548" s="73"/>
      <c r="O548" s="86"/>
      <c r="P548" s="1817" t="e">
        <f>INDEX(#REF!,MATCH(F548,#REF!,0),2)</f>
        <v>#REF!</v>
      </c>
      <c r="Q548" s="43"/>
      <c r="R548" s="43"/>
      <c r="S548" s="43"/>
      <c r="T548" s="43"/>
      <c r="U548" s="43"/>
      <c r="V548" s="43"/>
      <c r="W548" s="43"/>
      <c r="X548" s="43"/>
      <c r="Y548" s="43"/>
      <c r="Z548" s="43"/>
      <c r="AA548" s="43"/>
      <c r="AB548" s="43"/>
      <c r="AC548" s="43"/>
      <c r="AD548" s="43"/>
      <c r="AE548" s="43"/>
      <c r="AF548" s="43"/>
      <c r="AG548" s="43"/>
      <c r="AH548" s="43"/>
      <c r="AI548" s="43"/>
      <c r="AJ548" s="43"/>
      <c r="AK548" s="43"/>
      <c r="AL548" s="43"/>
      <c r="AM548" s="43"/>
      <c r="AN548" s="43"/>
      <c r="AO548" s="43"/>
      <c r="AP548" s="43"/>
      <c r="AQ548" s="43"/>
      <c r="AR548" s="43"/>
      <c r="AS548" s="43"/>
      <c r="AT548" s="43"/>
      <c r="AU548" s="43"/>
    </row>
    <row r="549" spans="1:48" ht="18" customHeight="1">
      <c r="A549" s="1478"/>
      <c r="B549" s="820" t="s">
        <v>1248</v>
      </c>
      <c r="C549" s="820" t="s">
        <v>507</v>
      </c>
      <c r="D549" s="1601"/>
      <c r="E549" s="2249" t="s">
        <v>1938</v>
      </c>
      <c r="F549" s="821">
        <v>2239</v>
      </c>
      <c r="G549" s="1551" t="s">
        <v>2136</v>
      </c>
      <c r="H549" s="1552"/>
      <c r="I549" s="1553">
        <v>470</v>
      </c>
      <c r="J549" s="1554"/>
      <c r="K549" s="1555"/>
      <c r="L549" s="1552"/>
      <c r="M549" s="3403">
        <v>470</v>
      </c>
      <c r="N549" s="73"/>
      <c r="O549" s="86"/>
      <c r="P549" s="1817" t="e">
        <f>INDEX(#REF!,MATCH(F549,#REF!,0),2)</f>
        <v>#REF!</v>
      </c>
      <c r="Q549" s="43"/>
      <c r="R549" s="43"/>
      <c r="S549" s="43"/>
      <c r="T549" s="43"/>
      <c r="U549" s="43"/>
      <c r="V549" s="43"/>
      <c r="W549" s="43"/>
      <c r="X549" s="43"/>
      <c r="Y549" s="43"/>
      <c r="Z549" s="43"/>
      <c r="AA549" s="43"/>
      <c r="AB549" s="43"/>
      <c r="AC549" s="43"/>
      <c r="AD549" s="43"/>
      <c r="AE549" s="43"/>
      <c r="AF549" s="43"/>
      <c r="AG549" s="43"/>
      <c r="AH549" s="43"/>
      <c r="AI549" s="43"/>
      <c r="AJ549" s="43"/>
      <c r="AK549" s="43"/>
      <c r="AL549" s="43"/>
      <c r="AM549" s="43"/>
      <c r="AN549" s="43"/>
      <c r="AO549" s="43"/>
      <c r="AP549" s="43"/>
      <c r="AQ549" s="43"/>
      <c r="AR549" s="43"/>
      <c r="AS549" s="43"/>
      <c r="AT549" s="43"/>
      <c r="AU549" s="43"/>
    </row>
    <row r="550" spans="1:48" ht="20.45" customHeight="1">
      <c r="A550" s="1882"/>
      <c r="B550" s="762" t="s">
        <v>1248</v>
      </c>
      <c r="C550" s="762" t="s">
        <v>507</v>
      </c>
      <c r="D550" s="1599"/>
      <c r="E550" s="2245" t="s">
        <v>1938</v>
      </c>
      <c r="F550" s="763">
        <v>2239</v>
      </c>
      <c r="G550" s="1884" t="s">
        <v>3125</v>
      </c>
      <c r="H550" s="1648"/>
      <c r="I550" s="1574">
        <v>1089</v>
      </c>
      <c r="J550" s="1572"/>
      <c r="K550" s="1573"/>
      <c r="L550" s="1648"/>
      <c r="M550" s="2400"/>
      <c r="N550" s="73"/>
      <c r="O550" s="86"/>
      <c r="P550" s="1817" t="e">
        <f>INDEX(#REF!,MATCH(F550,#REF!,0),2)</f>
        <v>#REF!</v>
      </c>
      <c r="Q550" s="43"/>
      <c r="R550" s="43"/>
      <c r="S550" s="43"/>
      <c r="T550" s="43"/>
      <c r="U550" s="43"/>
      <c r="V550" s="43"/>
      <c r="W550" s="43"/>
      <c r="X550" s="43"/>
      <c r="Y550" s="43"/>
      <c r="Z550" s="43"/>
      <c r="AA550" s="43"/>
      <c r="AB550" s="43"/>
      <c r="AC550" s="43"/>
      <c r="AD550" s="43"/>
      <c r="AE550" s="43"/>
      <c r="AF550" s="43"/>
      <c r="AG550" s="43"/>
      <c r="AH550" s="1774"/>
      <c r="AI550" s="1030"/>
      <c r="AJ550" s="1030"/>
      <c r="AK550" s="43"/>
      <c r="AL550" s="43"/>
      <c r="AM550" s="43"/>
      <c r="AN550" s="43"/>
      <c r="AO550" s="43"/>
      <c r="AP550" s="43"/>
      <c r="AQ550" s="43"/>
      <c r="AR550" s="43"/>
      <c r="AS550" s="43"/>
      <c r="AT550" s="43"/>
      <c r="AU550" s="43"/>
      <c r="AV550" s="43"/>
    </row>
    <row r="551" spans="1:48" ht="20.45" customHeight="1">
      <c r="A551" s="1882"/>
      <c r="B551" s="762" t="s">
        <v>1248</v>
      </c>
      <c r="C551" s="762" t="s">
        <v>507</v>
      </c>
      <c r="D551" s="1599"/>
      <c r="E551" s="2245" t="s">
        <v>1938</v>
      </c>
      <c r="F551" s="763">
        <v>2239</v>
      </c>
      <c r="G551" s="1884" t="s">
        <v>3245</v>
      </c>
      <c r="H551" s="2339"/>
      <c r="I551" s="2357">
        <v>998</v>
      </c>
      <c r="J551" s="2358"/>
      <c r="K551" s="2359"/>
      <c r="L551" s="2339"/>
      <c r="M551" s="2400"/>
      <c r="N551" s="73"/>
      <c r="O551" s="86"/>
      <c r="P551" s="1817" t="e">
        <f>INDEX(#REF!,MATCH(F551,#REF!,0),2)</f>
        <v>#REF!</v>
      </c>
      <c r="Q551" s="43"/>
      <c r="R551" s="43"/>
      <c r="S551" s="43"/>
      <c r="T551" s="43"/>
      <c r="U551" s="43"/>
      <c r="V551" s="43"/>
      <c r="W551" s="43"/>
      <c r="X551" s="43"/>
      <c r="Y551" s="43"/>
      <c r="Z551" s="43"/>
      <c r="AA551" s="43"/>
      <c r="AB551" s="43"/>
      <c r="AC551" s="43"/>
      <c r="AD551" s="43"/>
      <c r="AE551" s="43"/>
      <c r="AF551" s="43"/>
      <c r="AG551" s="43"/>
      <c r="AH551" s="1774"/>
      <c r="AI551" s="1030"/>
      <c r="AJ551" s="1030"/>
      <c r="AK551" s="43"/>
      <c r="AL551" s="43"/>
      <c r="AM551" s="43"/>
      <c r="AN551" s="43"/>
      <c r="AO551" s="43"/>
      <c r="AP551" s="43"/>
      <c r="AQ551" s="43"/>
      <c r="AR551" s="43"/>
      <c r="AS551" s="43"/>
      <c r="AT551" s="43"/>
      <c r="AU551" s="43"/>
      <c r="AV551" s="43"/>
    </row>
    <row r="552" spans="1:48" ht="12" customHeight="1">
      <c r="A552" s="992"/>
      <c r="B552" s="762" t="s">
        <v>1248</v>
      </c>
      <c r="C552" s="762" t="s">
        <v>507</v>
      </c>
      <c r="D552" s="1599"/>
      <c r="E552" s="2245" t="s">
        <v>1938</v>
      </c>
      <c r="F552" s="763">
        <v>2239</v>
      </c>
      <c r="G552" s="1884" t="s">
        <v>3252</v>
      </c>
      <c r="H552" s="1248"/>
      <c r="I552" s="1249">
        <v>-125</v>
      </c>
      <c r="J552" s="1250"/>
      <c r="K552" s="1251"/>
      <c r="L552" s="2778"/>
      <c r="M552" s="3405"/>
      <c r="N552" s="73"/>
      <c r="O552" s="86"/>
      <c r="P552" s="1817" t="e">
        <f>INDEX(#REF!,MATCH(F552,#REF!,0),2)</f>
        <v>#REF!</v>
      </c>
      <c r="Q552" s="43"/>
      <c r="R552" s="43"/>
      <c r="S552" s="43"/>
      <c r="T552" s="43"/>
      <c r="U552" s="43"/>
      <c r="V552" s="43"/>
      <c r="W552" s="43"/>
      <c r="X552" s="43"/>
      <c r="Y552" s="43"/>
      <c r="Z552" s="43"/>
      <c r="AA552" s="43"/>
      <c r="AB552" s="43"/>
      <c r="AC552" s="43"/>
      <c r="AD552" s="43"/>
      <c r="AE552" s="43"/>
      <c r="AF552" s="43"/>
      <c r="AG552" s="43"/>
      <c r="AH552" s="1774"/>
      <c r="AI552" s="1030"/>
      <c r="AJ552" s="1030"/>
      <c r="AK552" s="43"/>
      <c r="AL552" s="43"/>
      <c r="AM552" s="43"/>
      <c r="AN552" s="43"/>
      <c r="AO552" s="43"/>
      <c r="AP552" s="43"/>
      <c r="AQ552" s="43"/>
      <c r="AR552" s="43"/>
      <c r="AS552" s="43"/>
      <c r="AT552" s="43"/>
      <c r="AU552" s="43"/>
      <c r="AV552" s="43"/>
    </row>
    <row r="553" spans="1:48" ht="20.45" customHeight="1">
      <c r="A553" s="992"/>
      <c r="B553" s="762" t="s">
        <v>1248</v>
      </c>
      <c r="C553" s="762" t="s">
        <v>507</v>
      </c>
      <c r="D553" s="1599"/>
      <c r="E553" s="2245" t="s">
        <v>1938</v>
      </c>
      <c r="F553" s="763">
        <v>2239</v>
      </c>
      <c r="G553" s="1884" t="s">
        <v>3253</v>
      </c>
      <c r="H553" s="1248"/>
      <c r="I553" s="1249">
        <v>-2000</v>
      </c>
      <c r="J553" s="1250"/>
      <c r="K553" s="1251"/>
      <c r="L553" s="2778"/>
      <c r="M553" s="2778"/>
      <c r="N553" s="73"/>
      <c r="O553" s="86"/>
      <c r="P553" s="1817" t="e">
        <f>INDEX(#REF!,MATCH(F553,#REF!,0),2)</f>
        <v>#REF!</v>
      </c>
      <c r="Q553" s="43"/>
      <c r="R553" s="43"/>
      <c r="S553" s="43"/>
      <c r="T553" s="43"/>
      <c r="U553" s="43"/>
      <c r="V553" s="43"/>
      <c r="W553" s="43"/>
      <c r="X553" s="43"/>
      <c r="Y553" s="43"/>
      <c r="Z553" s="43"/>
      <c r="AA553" s="43"/>
      <c r="AB553" s="43"/>
      <c r="AC553" s="43"/>
      <c r="AD553" s="43"/>
      <c r="AE553" s="43"/>
      <c r="AF553" s="43"/>
      <c r="AG553" s="43"/>
      <c r="AH553" s="1774"/>
      <c r="AI553" s="1030"/>
      <c r="AJ553" s="1030"/>
      <c r="AK553" s="43"/>
      <c r="AL553" s="43"/>
      <c r="AM553" s="43"/>
      <c r="AN553" s="43"/>
      <c r="AO553" s="43"/>
      <c r="AP553" s="43"/>
      <c r="AQ553" s="43"/>
      <c r="AR553" s="43"/>
      <c r="AS553" s="43"/>
      <c r="AT553" s="43"/>
      <c r="AU553" s="43"/>
      <c r="AV553" s="43"/>
    </row>
    <row r="554" spans="1:48" ht="26.45" customHeight="1">
      <c r="A554" s="755"/>
      <c r="B554" s="755" t="s">
        <v>1249</v>
      </c>
      <c r="C554" s="755"/>
      <c r="D554" s="1600">
        <v>490</v>
      </c>
      <c r="E554" s="2247" t="s">
        <v>1938</v>
      </c>
      <c r="F554" s="756">
        <v>2239</v>
      </c>
      <c r="G554" s="757" t="s">
        <v>237</v>
      </c>
      <c r="H554" s="759">
        <v>0</v>
      </c>
      <c r="I554" s="767"/>
      <c r="J554" s="760"/>
      <c r="K554" s="761"/>
      <c r="L554" s="759">
        <v>16698</v>
      </c>
      <c r="M554" s="767"/>
      <c r="N554" s="73"/>
      <c r="O554" s="86"/>
      <c r="P554" s="1817" t="e">
        <f>INDEX(#REF!,MATCH(F554,#REF!,0),2)</f>
        <v>#REF!</v>
      </c>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row>
    <row r="555" spans="1:48" ht="70.150000000000006" customHeight="1">
      <c r="A555" s="762" t="s">
        <v>856</v>
      </c>
      <c r="B555" s="762" t="s">
        <v>1249</v>
      </c>
      <c r="C555" s="762"/>
      <c r="D555" s="1599"/>
      <c r="E555" s="2245" t="s">
        <v>1938</v>
      </c>
      <c r="F555" s="763">
        <v>2239</v>
      </c>
      <c r="G555" s="2774" t="s">
        <v>4735</v>
      </c>
      <c r="H555" s="2380"/>
      <c r="I555" s="2381"/>
      <c r="J555" s="2382"/>
      <c r="K555" s="2383"/>
      <c r="L555" s="2380"/>
      <c r="M555" s="3815">
        <v>16698</v>
      </c>
      <c r="N555" s="1021" t="s">
        <v>4736</v>
      </c>
      <c r="O555" s="86"/>
      <c r="P555" s="1817" t="e">
        <f>INDEX(#REF!,MATCH(F555,#REF!,0),2)</f>
        <v>#REF!</v>
      </c>
      <c r="Q555" s="43"/>
      <c r="R555" s="43"/>
      <c r="S555" s="43"/>
      <c r="T555" s="43"/>
      <c r="U555" s="43"/>
      <c r="V555" s="43"/>
      <c r="W555" s="43"/>
      <c r="X555" s="43"/>
      <c r="Y555" s="43"/>
      <c r="Z555" s="43"/>
      <c r="AA555" s="43"/>
      <c r="AB555" s="43"/>
      <c r="AC555" s="43"/>
      <c r="AD555" s="43"/>
      <c r="AE555" s="43"/>
      <c r="AF555" s="43"/>
      <c r="AG555" s="43"/>
      <c r="AH555" s="43"/>
      <c r="AI555" s="43"/>
      <c r="AJ555" s="43"/>
      <c r="AK555" s="43"/>
      <c r="AL555" s="43"/>
      <c r="AM555" s="43"/>
      <c r="AN555" s="43"/>
      <c r="AO555" s="43"/>
      <c r="AP555" s="43"/>
      <c r="AQ555" s="43"/>
      <c r="AR555" s="43"/>
      <c r="AS555" s="43"/>
      <c r="AT555" s="43"/>
      <c r="AU555" s="43"/>
    </row>
    <row r="556" spans="1:48" ht="22.9" customHeight="1">
      <c r="A556" s="755"/>
      <c r="B556" s="755" t="s">
        <v>1248</v>
      </c>
      <c r="C556" s="755" t="s">
        <v>505</v>
      </c>
      <c r="D556" s="1600">
        <v>490</v>
      </c>
      <c r="E556" s="2247" t="s">
        <v>1938</v>
      </c>
      <c r="F556" s="756">
        <v>2243</v>
      </c>
      <c r="G556" s="757" t="s">
        <v>329</v>
      </c>
      <c r="H556" s="759">
        <v>0</v>
      </c>
      <c r="I556" s="759"/>
      <c r="J556" s="760"/>
      <c r="K556" s="761"/>
      <c r="L556" s="2839">
        <v>0</v>
      </c>
      <c r="M556" s="2839"/>
      <c r="N556" s="73"/>
      <c r="O556" s="86"/>
      <c r="P556" s="1817" t="e">
        <f>INDEX(#REF!,MATCH(F556,#REF!,0),2)</f>
        <v>#REF!</v>
      </c>
      <c r="Q556" s="43"/>
      <c r="R556" s="43"/>
      <c r="S556" s="43"/>
      <c r="T556" s="43"/>
      <c r="U556" s="43"/>
      <c r="V556" s="43"/>
      <c r="W556" s="43"/>
      <c r="X556" s="43"/>
      <c r="Y556" s="43"/>
      <c r="Z556" s="43"/>
      <c r="AA556" s="43"/>
      <c r="AB556" s="43"/>
      <c r="AC556" s="43"/>
      <c r="AD556" s="43"/>
      <c r="AE556" s="43"/>
      <c r="AF556" s="43"/>
      <c r="AG556" s="43"/>
      <c r="AH556" s="1774"/>
      <c r="AI556" s="1030"/>
      <c r="AJ556" s="1030"/>
      <c r="AK556" s="43"/>
      <c r="AL556" s="43"/>
      <c r="AM556" s="43"/>
      <c r="AN556" s="43"/>
      <c r="AO556" s="43"/>
      <c r="AP556" s="43"/>
      <c r="AQ556" s="43"/>
      <c r="AR556" s="43"/>
      <c r="AS556" s="43"/>
      <c r="AT556" s="43"/>
      <c r="AU556" s="43"/>
      <c r="AV556" s="43"/>
    </row>
    <row r="557" spans="1:48" ht="21" customHeight="1">
      <c r="A557" s="774"/>
      <c r="B557" s="762" t="s">
        <v>1248</v>
      </c>
      <c r="C557" s="762" t="s">
        <v>505</v>
      </c>
      <c r="D557" s="1599"/>
      <c r="E557" s="2245" t="s">
        <v>1938</v>
      </c>
      <c r="F557" s="763">
        <v>2243</v>
      </c>
      <c r="G557" s="772" t="s">
        <v>863</v>
      </c>
      <c r="H557" s="769"/>
      <c r="I557" s="752"/>
      <c r="J557" s="753"/>
      <c r="K557" s="754"/>
      <c r="L557" s="2778"/>
      <c r="M557" s="2778"/>
      <c r="N557" s="73"/>
      <c r="O557" s="86"/>
      <c r="P557" s="1817" t="e">
        <f>INDEX(#REF!,MATCH(F557,#REF!,0),2)</f>
        <v>#REF!</v>
      </c>
      <c r="Q557" s="43"/>
      <c r="R557" s="43"/>
      <c r="S557" s="43"/>
      <c r="T557" s="43"/>
      <c r="U557" s="43"/>
      <c r="V557" s="43"/>
      <c r="W557" s="43"/>
      <c r="X557" s="43"/>
      <c r="Y557" s="43"/>
      <c r="Z557" s="43"/>
      <c r="AA557" s="43"/>
      <c r="AB557" s="43"/>
      <c r="AC557" s="43"/>
      <c r="AD557" s="43"/>
      <c r="AE557" s="43"/>
      <c r="AF557" s="43"/>
      <c r="AG557" s="43"/>
      <c r="AH557" s="1774"/>
      <c r="AI557" s="1030"/>
      <c r="AJ557" s="1030"/>
      <c r="AK557" s="43"/>
      <c r="AL557" s="43"/>
      <c r="AM557" s="43"/>
      <c r="AN557" s="43"/>
      <c r="AO557" s="43"/>
      <c r="AP557" s="43"/>
      <c r="AQ557" s="43"/>
      <c r="AR557" s="43"/>
      <c r="AS557" s="43"/>
      <c r="AT557" s="43"/>
      <c r="AU557" s="43"/>
      <c r="AV557" s="43"/>
    </row>
    <row r="558" spans="1:48" ht="22.9" customHeight="1">
      <c r="A558" s="755"/>
      <c r="B558" s="755" t="s">
        <v>1248</v>
      </c>
      <c r="C558" s="755" t="s">
        <v>505</v>
      </c>
      <c r="D558" s="1600">
        <v>490</v>
      </c>
      <c r="E558" s="2247" t="s">
        <v>1938</v>
      </c>
      <c r="F558" s="756">
        <v>2247</v>
      </c>
      <c r="G558" s="757" t="s">
        <v>281</v>
      </c>
      <c r="H558" s="759">
        <v>500</v>
      </c>
      <c r="I558" s="759"/>
      <c r="J558" s="760"/>
      <c r="K558" s="761"/>
      <c r="L558" s="2842">
        <v>800</v>
      </c>
      <c r="M558" s="2842"/>
      <c r="N558" s="73"/>
      <c r="O558" s="86"/>
      <c r="P558" s="1817" t="e">
        <f>INDEX(#REF!,MATCH(F558,#REF!,0),2)</f>
        <v>#REF!</v>
      </c>
      <c r="Q558" s="43"/>
      <c r="R558" s="43"/>
      <c r="S558" s="43"/>
      <c r="T558" s="43"/>
      <c r="U558" s="43"/>
      <c r="V558" s="43"/>
      <c r="W558" s="43"/>
      <c r="X558" s="43"/>
      <c r="Y558" s="43"/>
      <c r="Z558" s="43"/>
      <c r="AA558" s="43"/>
      <c r="AB558" s="43"/>
      <c r="AC558" s="43"/>
      <c r="AD558" s="43"/>
      <c r="AE558" s="43"/>
      <c r="AF558" s="43"/>
      <c r="AG558" s="43"/>
      <c r="AH558" s="1774"/>
      <c r="AI558" s="1030"/>
      <c r="AJ558" s="1030"/>
      <c r="AK558" s="43"/>
      <c r="AL558" s="43"/>
      <c r="AM558" s="43"/>
      <c r="AN558" s="43"/>
      <c r="AO558" s="43"/>
      <c r="AP558" s="43"/>
      <c r="AQ558" s="43"/>
      <c r="AR558" s="43"/>
      <c r="AS558" s="43"/>
      <c r="AT558" s="43"/>
      <c r="AU558" s="43"/>
      <c r="AV558" s="43"/>
    </row>
    <row r="559" spans="1:48" ht="21" customHeight="1">
      <c r="A559" s="774"/>
      <c r="B559" s="762" t="s">
        <v>1248</v>
      </c>
      <c r="C559" s="762" t="s">
        <v>505</v>
      </c>
      <c r="D559" s="1599"/>
      <c r="E559" s="2245" t="s">
        <v>1938</v>
      </c>
      <c r="F559" s="763">
        <v>2247</v>
      </c>
      <c r="G559" s="772" t="s">
        <v>4730</v>
      </c>
      <c r="H559" s="769"/>
      <c r="I559" s="752">
        <v>500</v>
      </c>
      <c r="J559" s="753"/>
      <c r="K559" s="754"/>
      <c r="L559" s="2779"/>
      <c r="M559" s="2779">
        <v>800</v>
      </c>
      <c r="N559" s="73" t="s">
        <v>5286</v>
      </c>
      <c r="O559" s="86"/>
      <c r="P559" s="1817" t="e">
        <f>INDEX(#REF!,MATCH(F559,#REF!,0),2)</f>
        <v>#REF!</v>
      </c>
      <c r="Q559" s="43"/>
      <c r="R559" s="43"/>
      <c r="S559" s="43"/>
      <c r="T559" s="43"/>
      <c r="U559" s="43"/>
      <c r="V559" s="43"/>
      <c r="W559" s="43"/>
      <c r="X559" s="43"/>
      <c r="Y559" s="43"/>
      <c r="Z559" s="43"/>
      <c r="AA559" s="43"/>
      <c r="AB559" s="43"/>
      <c r="AC559" s="43"/>
      <c r="AD559" s="43"/>
      <c r="AE559" s="43"/>
      <c r="AF559" s="43"/>
      <c r="AG559" s="43"/>
      <c r="AH559" s="1774"/>
      <c r="AI559" s="1030"/>
      <c r="AJ559" s="1030"/>
      <c r="AK559" s="43"/>
      <c r="AL559" s="43"/>
      <c r="AM559" s="43"/>
      <c r="AN559" s="43"/>
      <c r="AO559" s="43"/>
      <c r="AP559" s="43"/>
      <c r="AQ559" s="43"/>
      <c r="AR559" s="43"/>
      <c r="AS559" s="43"/>
      <c r="AT559" s="43"/>
      <c r="AU559" s="43"/>
      <c r="AV559" s="43"/>
    </row>
    <row r="560" spans="1:48" ht="22.9" customHeight="1">
      <c r="A560" s="755"/>
      <c r="B560" s="755" t="s">
        <v>1248</v>
      </c>
      <c r="C560" s="755" t="s">
        <v>505</v>
      </c>
      <c r="D560" s="1600">
        <v>490</v>
      </c>
      <c r="E560" s="2247" t="s">
        <v>1938</v>
      </c>
      <c r="F560" s="756">
        <v>2250</v>
      </c>
      <c r="G560" s="172" t="s">
        <v>1254</v>
      </c>
      <c r="H560" s="759">
        <v>1799</v>
      </c>
      <c r="I560" s="759"/>
      <c r="J560" s="760"/>
      <c r="K560" s="761"/>
      <c r="L560" s="759">
        <v>3054</v>
      </c>
      <c r="M560" s="2839"/>
      <c r="N560" s="73"/>
      <c r="O560" s="86"/>
      <c r="P560" s="1817" t="e">
        <f>INDEX(#REF!,MATCH(F560,#REF!,0),2)</f>
        <v>#REF!</v>
      </c>
      <c r="Q560" s="43"/>
      <c r="R560" s="43"/>
      <c r="S560" s="43"/>
      <c r="T560" s="43"/>
      <c r="U560" s="43"/>
      <c r="V560" s="43"/>
      <c r="W560" s="43"/>
      <c r="X560" s="43"/>
      <c r="Y560" s="43"/>
      <c r="Z560" s="43"/>
      <c r="AA560" s="43"/>
      <c r="AB560" s="43"/>
      <c r="AC560" s="43"/>
      <c r="AD560" s="43"/>
      <c r="AE560" s="43"/>
      <c r="AF560" s="43"/>
      <c r="AG560" s="43"/>
      <c r="AH560" s="1774"/>
      <c r="AI560" s="1030"/>
      <c r="AJ560" s="1030"/>
      <c r="AK560" s="43"/>
      <c r="AL560" s="43"/>
      <c r="AM560" s="43"/>
      <c r="AN560" s="43"/>
      <c r="AO560" s="43"/>
      <c r="AP560" s="43"/>
      <c r="AQ560" s="43"/>
      <c r="AR560" s="43"/>
      <c r="AS560" s="43"/>
      <c r="AT560" s="43"/>
      <c r="AU560" s="43"/>
      <c r="AV560" s="43"/>
    </row>
    <row r="561" spans="1:48" ht="70.900000000000006" customHeight="1">
      <c r="A561" s="774"/>
      <c r="B561" s="762" t="s">
        <v>1248</v>
      </c>
      <c r="C561" s="762" t="s">
        <v>507</v>
      </c>
      <c r="D561" s="1599"/>
      <c r="E561" s="2245" t="s">
        <v>1938</v>
      </c>
      <c r="F561" s="763">
        <v>2250</v>
      </c>
      <c r="G561" s="772" t="s">
        <v>1308</v>
      </c>
      <c r="H561" s="770"/>
      <c r="I561" s="764">
        <v>804</v>
      </c>
      <c r="J561" s="765"/>
      <c r="K561" s="766"/>
      <c r="L561" s="770"/>
      <c r="M561" s="3406">
        <v>804</v>
      </c>
      <c r="N561" s="73"/>
      <c r="O561" s="86"/>
      <c r="P561" s="1817" t="e">
        <f>INDEX(#REF!,MATCH(F561,#REF!,0),2)</f>
        <v>#REF!</v>
      </c>
      <c r="Q561" s="43"/>
      <c r="R561" s="43"/>
      <c r="S561" s="43"/>
      <c r="T561" s="43"/>
      <c r="U561" s="43"/>
      <c r="V561" s="43"/>
      <c r="W561" s="43"/>
      <c r="X561" s="43"/>
      <c r="Y561" s="43"/>
      <c r="Z561" s="43"/>
      <c r="AA561" s="43"/>
      <c r="AB561" s="43"/>
      <c r="AC561" s="43"/>
      <c r="AD561" s="43"/>
      <c r="AE561" s="43"/>
      <c r="AF561" s="43"/>
      <c r="AG561" s="43"/>
      <c r="AH561" s="43"/>
      <c r="AI561" s="43"/>
      <c r="AK561" s="43"/>
      <c r="AL561" s="43"/>
      <c r="AM561" s="43"/>
      <c r="AN561" s="43"/>
      <c r="AO561" s="43"/>
      <c r="AP561" s="43"/>
      <c r="AQ561" s="43"/>
      <c r="AR561" s="43"/>
      <c r="AS561" s="43"/>
      <c r="AT561" s="43"/>
      <c r="AU561" s="43"/>
    </row>
    <row r="562" spans="1:48" ht="21" customHeight="1">
      <c r="A562" s="774"/>
      <c r="B562" s="762" t="s">
        <v>1248</v>
      </c>
      <c r="C562" s="762" t="s">
        <v>507</v>
      </c>
      <c r="D562" s="1599"/>
      <c r="E562" s="2245" t="s">
        <v>1938</v>
      </c>
      <c r="F562" s="763">
        <v>2250</v>
      </c>
      <c r="G562" s="772" t="s">
        <v>1309</v>
      </c>
      <c r="H562" s="770"/>
      <c r="I562" s="764">
        <v>500</v>
      </c>
      <c r="J562" s="765"/>
      <c r="K562" s="766"/>
      <c r="L562" s="770"/>
      <c r="M562" s="3406">
        <v>500</v>
      </c>
      <c r="N562" s="73"/>
      <c r="O562" s="86"/>
      <c r="P562" s="1817" t="e">
        <f>INDEX(#REF!,MATCH(F562,#REF!,0),2)</f>
        <v>#REF!</v>
      </c>
      <c r="Q562" s="43"/>
      <c r="R562" s="43"/>
      <c r="S562" s="43"/>
      <c r="T562" s="43"/>
      <c r="U562" s="43"/>
      <c r="V562" s="43"/>
      <c r="W562" s="43"/>
      <c r="X562" s="43"/>
      <c r="Y562" s="43"/>
      <c r="Z562" s="43"/>
      <c r="AA562" s="43"/>
      <c r="AB562" s="43"/>
      <c r="AC562" s="43"/>
      <c r="AD562" s="43"/>
      <c r="AE562" s="43"/>
      <c r="AF562" s="43"/>
      <c r="AG562" s="1776"/>
      <c r="AH562" s="1777"/>
      <c r="AI562" s="1784"/>
      <c r="AJ562" s="1784"/>
      <c r="AK562" s="1785"/>
      <c r="AL562" s="43"/>
      <c r="AM562" s="43"/>
      <c r="AN562" s="43"/>
      <c r="AO562" s="43"/>
      <c r="AP562" s="43"/>
      <c r="AQ562" s="43"/>
      <c r="AR562" s="43"/>
      <c r="AS562" s="43"/>
      <c r="AT562" s="43"/>
      <c r="AU562" s="43"/>
      <c r="AV562" s="43"/>
    </row>
    <row r="563" spans="1:48" ht="20.45" customHeight="1">
      <c r="A563" s="1882"/>
      <c r="B563" s="762" t="s">
        <v>1248</v>
      </c>
      <c r="C563" s="762" t="s">
        <v>507</v>
      </c>
      <c r="D563" s="1599"/>
      <c r="E563" s="2245" t="s">
        <v>1938</v>
      </c>
      <c r="F563" s="763">
        <v>2250</v>
      </c>
      <c r="G563" s="2774" t="s">
        <v>4737</v>
      </c>
      <c r="H563" s="2380"/>
      <c r="I563" s="2381">
        <v>-1505</v>
      </c>
      <c r="J563" s="2382"/>
      <c r="K563" s="2383"/>
      <c r="L563" s="2380"/>
      <c r="M563" s="2779">
        <v>1750</v>
      </c>
      <c r="N563" s="73"/>
      <c r="O563" s="86"/>
      <c r="P563" s="1817" t="e">
        <f>INDEX(#REF!,MATCH(F563,#REF!,0),2)</f>
        <v>#REF!</v>
      </c>
      <c r="Q563" s="43"/>
      <c r="R563" s="43"/>
      <c r="S563" s="43"/>
      <c r="T563" s="43"/>
      <c r="U563" s="43"/>
      <c r="V563" s="43"/>
      <c r="W563" s="43"/>
      <c r="X563" s="43"/>
      <c r="Y563" s="43"/>
      <c r="Z563" s="43"/>
      <c r="AA563" s="43"/>
      <c r="AB563" s="43"/>
      <c r="AC563" s="43"/>
      <c r="AD563" s="43"/>
      <c r="AE563" s="43"/>
      <c r="AF563" s="43"/>
      <c r="AG563" s="43"/>
      <c r="AH563" s="1774"/>
      <c r="AI563" s="1030"/>
      <c r="AJ563" s="1030"/>
      <c r="AK563" s="43"/>
      <c r="AL563" s="43"/>
      <c r="AM563" s="43"/>
      <c r="AN563" s="43"/>
      <c r="AO563" s="43"/>
      <c r="AP563" s="43"/>
      <c r="AQ563" s="43"/>
      <c r="AR563" s="43"/>
      <c r="AS563" s="43"/>
      <c r="AT563" s="43"/>
      <c r="AU563" s="43"/>
      <c r="AV563" s="43"/>
    </row>
    <row r="564" spans="1:48" ht="20.45" customHeight="1">
      <c r="A564" s="992"/>
      <c r="B564" s="762" t="s">
        <v>1248</v>
      </c>
      <c r="C564" s="762" t="s">
        <v>507</v>
      </c>
      <c r="D564" s="1599"/>
      <c r="E564" s="2245" t="s">
        <v>1938</v>
      </c>
      <c r="F564" s="763">
        <v>2250</v>
      </c>
      <c r="G564" s="2774" t="s">
        <v>1675</v>
      </c>
      <c r="H564" s="1248"/>
      <c r="I564" s="1249">
        <v>2000</v>
      </c>
      <c r="J564" s="1250"/>
      <c r="K564" s="1251"/>
      <c r="L564" s="1248"/>
      <c r="M564" s="2778"/>
      <c r="N564" s="73"/>
      <c r="O564" s="86"/>
      <c r="P564" s="1817" t="e">
        <f>INDEX(#REF!,MATCH(F564,#REF!,0),2)</f>
        <v>#REF!</v>
      </c>
      <c r="Q564" s="43"/>
      <c r="R564" s="43"/>
      <c r="S564" s="43"/>
      <c r="T564" s="43"/>
      <c r="U564" s="43"/>
      <c r="V564" s="43"/>
      <c r="W564" s="43"/>
      <c r="X564" s="43"/>
      <c r="Y564" s="43"/>
      <c r="Z564" s="43"/>
      <c r="AA564" s="43"/>
      <c r="AB564" s="43"/>
      <c r="AC564" s="43"/>
      <c r="AD564" s="43"/>
      <c r="AE564" s="43"/>
      <c r="AF564" s="43"/>
      <c r="AG564" s="43"/>
      <c r="AH564" s="1774"/>
      <c r="AI564" s="1030"/>
      <c r="AJ564" s="1030"/>
      <c r="AK564" s="43"/>
      <c r="AL564" s="43"/>
      <c r="AM564" s="43"/>
      <c r="AN564" s="43"/>
      <c r="AO564" s="43"/>
      <c r="AP564" s="43"/>
      <c r="AQ564" s="43"/>
      <c r="AR564" s="43"/>
      <c r="AS564" s="43"/>
      <c r="AT564" s="43"/>
      <c r="AU564" s="43"/>
      <c r="AV564" s="43"/>
    </row>
    <row r="565" spans="1:48" ht="20.45" customHeight="1">
      <c r="A565" s="755"/>
      <c r="B565" s="755" t="s">
        <v>1248</v>
      </c>
      <c r="C565" s="755" t="s">
        <v>507</v>
      </c>
      <c r="D565" s="1600">
        <v>490</v>
      </c>
      <c r="E565" s="2247" t="s">
        <v>1938</v>
      </c>
      <c r="F565" s="756">
        <v>2311</v>
      </c>
      <c r="G565" s="757" t="s">
        <v>245</v>
      </c>
      <c r="H565" s="759">
        <v>101.8</v>
      </c>
      <c r="I565" s="759"/>
      <c r="J565" s="760"/>
      <c r="K565" s="761"/>
      <c r="L565" s="759">
        <v>101.8</v>
      </c>
      <c r="M565" s="2842"/>
      <c r="N565" s="73"/>
      <c r="O565" s="86"/>
      <c r="P565" s="1817" t="e">
        <f>INDEX(#REF!,MATCH(F565,#REF!,0),2)</f>
        <v>#REF!</v>
      </c>
      <c r="Q565" s="43"/>
      <c r="R565" s="43"/>
      <c r="S565" s="43"/>
      <c r="T565" s="43"/>
      <c r="U565" s="43"/>
      <c r="V565" s="43"/>
      <c r="W565" s="43"/>
      <c r="X565" s="43"/>
      <c r="Y565" s="43"/>
      <c r="Z565" s="43"/>
      <c r="AA565" s="43"/>
      <c r="AB565" s="43"/>
      <c r="AC565" s="43"/>
      <c r="AD565" s="43"/>
      <c r="AE565" s="43"/>
      <c r="AF565" s="43"/>
      <c r="AG565" s="43"/>
      <c r="AH565" s="1774"/>
      <c r="AI565" s="1030"/>
      <c r="AJ565" s="1030"/>
      <c r="AK565" s="43"/>
      <c r="AL565" s="43"/>
      <c r="AM565" s="43"/>
      <c r="AN565" s="43"/>
      <c r="AO565" s="43"/>
      <c r="AP565" s="43"/>
      <c r="AQ565" s="43"/>
      <c r="AR565" s="43"/>
      <c r="AS565" s="43"/>
      <c r="AT565" s="43"/>
      <c r="AU565" s="43"/>
      <c r="AV565" s="43"/>
    </row>
    <row r="566" spans="1:48" ht="20.45" customHeight="1">
      <c r="A566" s="768"/>
      <c r="B566" s="762" t="s">
        <v>1248</v>
      </c>
      <c r="C566" s="762" t="s">
        <v>507</v>
      </c>
      <c r="D566" s="1599"/>
      <c r="E566" s="2245" t="s">
        <v>1938</v>
      </c>
      <c r="F566" s="763">
        <v>2311</v>
      </c>
      <c r="G566" s="772" t="s">
        <v>748</v>
      </c>
      <c r="H566" s="769"/>
      <c r="I566" s="752">
        <v>54</v>
      </c>
      <c r="J566" s="753"/>
      <c r="K566" s="754"/>
      <c r="L566" s="752"/>
      <c r="M566" s="3406">
        <v>54</v>
      </c>
      <c r="N566" s="73"/>
      <c r="O566" s="86"/>
      <c r="P566" s="1817" t="e">
        <f>INDEX(#REF!,MATCH(F566,#REF!,0),2)</f>
        <v>#REF!</v>
      </c>
      <c r="Q566" s="43"/>
      <c r="R566" s="43"/>
      <c r="S566" s="43"/>
      <c r="T566" s="43"/>
      <c r="U566" s="43"/>
      <c r="V566" s="43"/>
      <c r="W566" s="43"/>
      <c r="X566" s="43"/>
      <c r="Y566" s="43"/>
      <c r="Z566" s="43"/>
      <c r="AA566" s="43"/>
      <c r="AB566" s="43"/>
      <c r="AC566" s="43"/>
      <c r="AD566" s="43"/>
      <c r="AE566" s="43"/>
      <c r="AF566" s="43"/>
      <c r="AG566" s="1776"/>
      <c r="AH566" s="1777"/>
      <c r="AI566" s="1784"/>
      <c r="AJ566" s="1784"/>
      <c r="AK566" s="1785"/>
      <c r="AL566" s="43"/>
      <c r="AM566" s="43"/>
      <c r="AN566" s="43"/>
      <c r="AO566" s="43"/>
      <c r="AP566" s="43"/>
      <c r="AQ566" s="43"/>
      <c r="AR566" s="43"/>
      <c r="AS566" s="43"/>
      <c r="AT566" s="43"/>
      <c r="AU566" s="43"/>
      <c r="AV566" s="43"/>
    </row>
    <row r="567" spans="1:48" ht="20.45" customHeight="1">
      <c r="A567" s="768"/>
      <c r="B567" s="762" t="s">
        <v>1248</v>
      </c>
      <c r="C567" s="762" t="s">
        <v>507</v>
      </c>
      <c r="D567" s="1599"/>
      <c r="E567" s="2245" t="s">
        <v>1938</v>
      </c>
      <c r="F567" s="763">
        <v>2311</v>
      </c>
      <c r="G567" s="817" t="s">
        <v>1311</v>
      </c>
      <c r="H567" s="770"/>
      <c r="I567" s="764">
        <v>47.8</v>
      </c>
      <c r="J567" s="765"/>
      <c r="K567" s="766"/>
      <c r="L567" s="764"/>
      <c r="M567" s="3406">
        <v>47.8</v>
      </c>
      <c r="N567" s="73"/>
      <c r="O567" s="86"/>
      <c r="P567" s="1817" t="e">
        <f>INDEX(#REF!,MATCH(F567,#REF!,0),2)</f>
        <v>#REF!</v>
      </c>
      <c r="Q567" s="43"/>
      <c r="R567" s="43"/>
      <c r="S567" s="43"/>
      <c r="T567" s="43"/>
      <c r="U567" s="43"/>
      <c r="V567" s="43"/>
      <c r="W567" s="43"/>
      <c r="X567" s="43"/>
      <c r="Y567" s="43"/>
      <c r="Z567" s="43"/>
      <c r="AA567" s="43"/>
      <c r="AB567" s="43"/>
      <c r="AC567" s="43"/>
      <c r="AD567" s="43"/>
      <c r="AE567" s="43"/>
      <c r="AF567" s="43"/>
      <c r="AG567" s="1776"/>
      <c r="AH567" s="1777"/>
      <c r="AI567" s="1784"/>
      <c r="AJ567" s="1784"/>
      <c r="AK567" s="1785"/>
      <c r="AL567" s="43"/>
      <c r="AM567" s="43"/>
      <c r="AN567" s="43"/>
      <c r="AO567" s="43"/>
      <c r="AP567" s="43"/>
      <c r="AQ567" s="43"/>
      <c r="AR567" s="43"/>
      <c r="AS567" s="43"/>
      <c r="AT567" s="43"/>
      <c r="AU567" s="43"/>
      <c r="AV567" s="43"/>
    </row>
    <row r="568" spans="1:48" ht="15" customHeight="1">
      <c r="A568" s="755">
        <v>171</v>
      </c>
      <c r="B568" s="755" t="s">
        <v>1248</v>
      </c>
      <c r="C568" s="755" t="s">
        <v>505</v>
      </c>
      <c r="D568" s="1600">
        <v>490</v>
      </c>
      <c r="E568" s="2247" t="s">
        <v>1938</v>
      </c>
      <c r="F568" s="756">
        <v>2312</v>
      </c>
      <c r="G568" s="757" t="s">
        <v>249</v>
      </c>
      <c r="H568" s="759">
        <v>1739</v>
      </c>
      <c r="I568" s="759"/>
      <c r="J568" s="760"/>
      <c r="K568" s="761"/>
      <c r="L568" s="759">
        <v>0</v>
      </c>
      <c r="M568" s="2842"/>
      <c r="N568" s="13" t="s">
        <v>4738</v>
      </c>
      <c r="O568" s="86"/>
      <c r="P568" s="1817" t="e">
        <f>INDEX(#REF!,MATCH(F568,#REF!,0),2)</f>
        <v>#REF!</v>
      </c>
      <c r="Q568" s="43"/>
      <c r="R568" s="43"/>
      <c r="S568" s="43"/>
      <c r="T568" s="43"/>
      <c r="U568" s="43"/>
      <c r="V568" s="43"/>
      <c r="W568" s="43"/>
      <c r="X568" s="43"/>
      <c r="Y568" s="43"/>
      <c r="Z568" s="43"/>
      <c r="AA568" s="43"/>
      <c r="AB568" s="43"/>
      <c r="AC568" s="43"/>
      <c r="AD568" s="43"/>
      <c r="AE568" s="43"/>
      <c r="AF568" s="43"/>
      <c r="AG568" s="43"/>
      <c r="AH568" s="1774"/>
      <c r="AI568" s="1030"/>
      <c r="AJ568" s="1030"/>
      <c r="AK568" s="43"/>
      <c r="AL568" s="43"/>
      <c r="AM568" s="43"/>
      <c r="AN568" s="43"/>
      <c r="AO568" s="43"/>
      <c r="AP568" s="43"/>
      <c r="AQ568" s="43"/>
      <c r="AR568" s="43"/>
      <c r="AS568" s="43"/>
      <c r="AT568" s="43"/>
      <c r="AU568" s="43"/>
      <c r="AV568" s="43"/>
    </row>
    <row r="569" spans="1:48" ht="17.25" customHeight="1">
      <c r="A569" s="768"/>
      <c r="B569" s="762" t="s">
        <v>1248</v>
      </c>
      <c r="C569" s="762" t="s">
        <v>505</v>
      </c>
      <c r="D569" s="1599"/>
      <c r="E569" s="2245" t="s">
        <v>1938</v>
      </c>
      <c r="F569" s="763">
        <v>2312</v>
      </c>
      <c r="G569" s="772" t="s">
        <v>1090</v>
      </c>
      <c r="H569" s="769"/>
      <c r="I569" s="752">
        <v>80</v>
      </c>
      <c r="J569" s="753"/>
      <c r="K569" s="754"/>
      <c r="L569" s="769"/>
      <c r="M569" s="2803"/>
      <c r="N569" s="73"/>
      <c r="O569" s="86"/>
      <c r="P569" s="1817" t="e">
        <f>INDEX(#REF!,MATCH(F569,#REF!,0),2)</f>
        <v>#REF!</v>
      </c>
      <c r="Q569" s="43"/>
      <c r="R569" s="43"/>
      <c r="S569" s="43"/>
      <c r="T569" s="43"/>
      <c r="U569" s="43"/>
      <c r="V569" s="43"/>
      <c r="W569" s="43"/>
      <c r="X569" s="43"/>
      <c r="Y569" s="43"/>
      <c r="Z569" s="43"/>
      <c r="AA569" s="43"/>
      <c r="AB569" s="43"/>
      <c r="AC569" s="43"/>
      <c r="AD569" s="43"/>
      <c r="AE569" s="43"/>
      <c r="AF569" s="43"/>
      <c r="AG569" s="43"/>
      <c r="AH569" s="1774"/>
      <c r="AI569" s="1030"/>
      <c r="AJ569" s="1030"/>
      <c r="AK569" s="43"/>
      <c r="AL569" s="43"/>
      <c r="AM569" s="43"/>
      <c r="AN569" s="43"/>
      <c r="AO569" s="43"/>
      <c r="AP569" s="43"/>
      <c r="AQ569" s="43"/>
      <c r="AR569" s="43"/>
      <c r="AS569" s="43"/>
      <c r="AT569" s="43"/>
      <c r="AU569" s="43"/>
      <c r="AV569" s="43"/>
    </row>
    <row r="570" spans="1:48" ht="61.9" customHeight="1">
      <c r="A570" s="762" t="s">
        <v>861</v>
      </c>
      <c r="B570" s="762" t="s">
        <v>1248</v>
      </c>
      <c r="C570" s="762" t="s">
        <v>505</v>
      </c>
      <c r="D570" s="1599"/>
      <c r="E570" s="2245" t="s">
        <v>1938</v>
      </c>
      <c r="F570" s="763">
        <v>2312</v>
      </c>
      <c r="G570" s="817" t="s">
        <v>1313</v>
      </c>
      <c r="H570" s="764"/>
      <c r="I570" s="764">
        <v>315.45</v>
      </c>
      <c r="J570" s="765"/>
      <c r="K570" s="766"/>
      <c r="L570" s="770"/>
      <c r="M570" s="2803"/>
      <c r="N570" s="13"/>
      <c r="O570" s="86"/>
      <c r="P570" s="1817" t="e">
        <f>INDEX(#REF!,MATCH(F570,#REF!,0),2)</f>
        <v>#REF!</v>
      </c>
    </row>
    <row r="571" spans="1:48" ht="11.45" customHeight="1">
      <c r="A571" s="762" t="s">
        <v>861</v>
      </c>
      <c r="B571" s="762" t="s">
        <v>1248</v>
      </c>
      <c r="C571" s="762" t="s">
        <v>505</v>
      </c>
      <c r="D571" s="1599"/>
      <c r="E571" s="2245" t="s">
        <v>1938</v>
      </c>
      <c r="F571" s="763">
        <v>2312</v>
      </c>
      <c r="G571" s="817" t="s">
        <v>3246</v>
      </c>
      <c r="H571" s="764"/>
      <c r="I571" s="764">
        <v>-254</v>
      </c>
      <c r="J571" s="765"/>
      <c r="K571" s="766"/>
      <c r="L571" s="770"/>
      <c r="M571" s="2803"/>
      <c r="N571" s="13"/>
      <c r="O571" s="86"/>
      <c r="P571" s="1817" t="e">
        <f>INDEX(#REF!,MATCH(F571,#REF!,0),2)</f>
        <v>#REF!</v>
      </c>
    </row>
    <row r="572" spans="1:48" ht="35.450000000000003" customHeight="1">
      <c r="A572" s="762" t="s">
        <v>861</v>
      </c>
      <c r="B572" s="762" t="s">
        <v>1248</v>
      </c>
      <c r="C572" s="762" t="s">
        <v>505</v>
      </c>
      <c r="D572" s="1599"/>
      <c r="E572" s="2245" t="s">
        <v>1938</v>
      </c>
      <c r="F572" s="763">
        <v>2312</v>
      </c>
      <c r="G572" s="772" t="s">
        <v>3293</v>
      </c>
      <c r="H572" s="764"/>
      <c r="I572" s="764">
        <v>1505</v>
      </c>
      <c r="J572" s="765"/>
      <c r="K572" s="766"/>
      <c r="L572" s="770"/>
      <c r="M572" s="2803"/>
      <c r="N572" s="13"/>
      <c r="O572" s="86"/>
      <c r="P572" s="1817" t="e">
        <f>INDEX(#REF!,MATCH(F572,#REF!,0),2)</f>
        <v>#REF!</v>
      </c>
    </row>
    <row r="573" spans="1:48" ht="13.15" customHeight="1">
      <c r="A573" s="2790"/>
      <c r="B573" s="762" t="s">
        <v>1248</v>
      </c>
      <c r="C573" s="762" t="s">
        <v>505</v>
      </c>
      <c r="D573" s="1599"/>
      <c r="E573" s="2245" t="s">
        <v>1938</v>
      </c>
      <c r="F573" s="763">
        <v>2312</v>
      </c>
      <c r="G573" s="2774" t="s">
        <v>5285</v>
      </c>
      <c r="H573" s="1650"/>
      <c r="I573" s="1650">
        <v>93</v>
      </c>
      <c r="J573" s="1651"/>
      <c r="K573" s="1652"/>
      <c r="L573" s="1657"/>
      <c r="M573" s="2803"/>
      <c r="N573" s="13"/>
      <c r="O573" s="86"/>
      <c r="P573" s="1817"/>
    </row>
    <row r="574" spans="1:48" ht="33.6" customHeight="1">
      <c r="A574" s="755"/>
      <c r="B574" s="755" t="s">
        <v>1248</v>
      </c>
      <c r="C574" s="755" t="s">
        <v>507</v>
      </c>
      <c r="D574" s="1600">
        <v>490</v>
      </c>
      <c r="E574" s="2247" t="s">
        <v>1938</v>
      </c>
      <c r="F574" s="756">
        <v>2314</v>
      </c>
      <c r="G574" s="757" t="s">
        <v>2436</v>
      </c>
      <c r="H574" s="759">
        <v>16668</v>
      </c>
      <c r="I574" s="759"/>
      <c r="J574" s="760"/>
      <c r="K574" s="761"/>
      <c r="L574" s="759">
        <v>17180</v>
      </c>
      <c r="M574" s="2839"/>
      <c r="N574" s="13"/>
      <c r="O574" s="86"/>
      <c r="P574" s="1817" t="e">
        <f>INDEX(#REF!,MATCH(F574,#REF!,0),2)</f>
        <v>#REF!</v>
      </c>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4"/>
      <c r="AR574" s="4"/>
      <c r="AS574" s="4"/>
      <c r="AT574" s="4"/>
      <c r="AU574" s="4"/>
      <c r="AV574" s="4"/>
    </row>
    <row r="575" spans="1:48" ht="11.45" customHeight="1">
      <c r="A575" s="762" t="s">
        <v>861</v>
      </c>
      <c r="B575" s="762" t="s">
        <v>1248</v>
      </c>
      <c r="C575" s="762" t="s">
        <v>507</v>
      </c>
      <c r="D575" s="1599"/>
      <c r="E575" s="2245" t="s">
        <v>1938</v>
      </c>
      <c r="F575" s="763">
        <v>2314</v>
      </c>
      <c r="G575" s="772" t="s">
        <v>553</v>
      </c>
      <c r="H575" s="814"/>
      <c r="I575" s="2036">
        <v>8990</v>
      </c>
      <c r="J575" s="819"/>
      <c r="K575" s="816"/>
      <c r="L575" s="814"/>
      <c r="M575" s="3408">
        <v>8990</v>
      </c>
      <c r="N575" s="13"/>
      <c r="O575" s="86"/>
      <c r="P575" s="1817" t="e">
        <f>INDEX(#REF!,MATCH(F575,#REF!,0),2)</f>
        <v>#REF!</v>
      </c>
      <c r="Q575" s="43"/>
      <c r="R575" s="43"/>
      <c r="S575" s="43"/>
      <c r="T575" s="43"/>
      <c r="U575" s="43"/>
      <c r="V575" s="43"/>
      <c r="W575" s="43"/>
      <c r="X575" s="43"/>
      <c r="Y575" s="43"/>
      <c r="Z575" s="43"/>
      <c r="AA575" s="43"/>
      <c r="AB575" s="43"/>
      <c r="AC575" s="43"/>
      <c r="AD575" s="43"/>
      <c r="AE575" s="43"/>
      <c r="AF575" s="43"/>
      <c r="AG575" s="43"/>
      <c r="AH575" s="1774"/>
      <c r="AI575" s="1030"/>
      <c r="AJ575" s="1030"/>
      <c r="AK575" s="43"/>
      <c r="AL575" s="43"/>
      <c r="AM575" s="43"/>
      <c r="AN575" s="43"/>
      <c r="AO575" s="43"/>
      <c r="AP575" s="43"/>
      <c r="AQ575" s="43"/>
      <c r="AR575" s="43"/>
      <c r="AS575" s="43"/>
      <c r="AT575" s="43"/>
      <c r="AU575" s="43"/>
      <c r="AV575" s="43"/>
    </row>
    <row r="576" spans="1:48" ht="55.15" customHeight="1">
      <c r="A576" s="762" t="s">
        <v>862</v>
      </c>
      <c r="B576" s="762" t="s">
        <v>1248</v>
      </c>
      <c r="C576" s="762" t="s">
        <v>507</v>
      </c>
      <c r="D576" s="1599"/>
      <c r="E576" s="2245" t="s">
        <v>1938</v>
      </c>
      <c r="F576" s="763">
        <v>2314</v>
      </c>
      <c r="G576" s="779" t="s">
        <v>554</v>
      </c>
      <c r="H576" s="814"/>
      <c r="I576" s="2036">
        <v>3000</v>
      </c>
      <c r="J576" s="819"/>
      <c r="K576" s="816"/>
      <c r="L576" s="814"/>
      <c r="M576" s="4409">
        <v>7500</v>
      </c>
      <c r="N576" s="154" t="s">
        <v>6100</v>
      </c>
      <c r="O576" s="86"/>
      <c r="P576" s="1817" t="e">
        <f>INDEX(#REF!,MATCH(F576,#REF!,0),2)</f>
        <v>#REF!</v>
      </c>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4"/>
      <c r="AR576" s="4"/>
      <c r="AS576" s="4"/>
      <c r="AT576" s="4"/>
      <c r="AU576" s="4"/>
      <c r="AV576" s="4"/>
    </row>
    <row r="577" spans="1:48" ht="55.15" customHeight="1">
      <c r="A577" s="2790"/>
      <c r="B577" s="762" t="s">
        <v>1248</v>
      </c>
      <c r="C577" s="762" t="s">
        <v>507</v>
      </c>
      <c r="D577" s="1599"/>
      <c r="E577" s="2245" t="s">
        <v>1938</v>
      </c>
      <c r="F577" s="763">
        <v>2314</v>
      </c>
      <c r="G577" s="2782" t="s">
        <v>5283</v>
      </c>
      <c r="H577" s="3402"/>
      <c r="I577" s="3813">
        <v>999</v>
      </c>
      <c r="J577" s="3814"/>
      <c r="K577" s="3401"/>
      <c r="L577" s="3402"/>
      <c r="M577" s="3408"/>
      <c r="N577" s="154"/>
      <c r="O577" s="86"/>
      <c r="P577" s="1817"/>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4"/>
      <c r="AR577" s="4"/>
      <c r="AS577" s="4"/>
      <c r="AT577" s="4"/>
      <c r="AU577" s="4"/>
      <c r="AV577" s="4"/>
    </row>
    <row r="578" spans="1:48" ht="34.9" customHeight="1">
      <c r="A578" s="2790"/>
      <c r="B578" s="762" t="s">
        <v>1248</v>
      </c>
      <c r="C578" s="762" t="s">
        <v>507</v>
      </c>
      <c r="D578" s="1599"/>
      <c r="E578" s="2245" t="s">
        <v>1938</v>
      </c>
      <c r="F578" s="763">
        <v>2314</v>
      </c>
      <c r="G578" s="2782" t="s">
        <v>5284</v>
      </c>
      <c r="H578" s="3402"/>
      <c r="I578" s="3813">
        <v>2999</v>
      </c>
      <c r="J578" s="3814"/>
      <c r="K578" s="3401"/>
      <c r="L578" s="3402"/>
      <c r="M578" s="3408"/>
      <c r="N578" s="154"/>
      <c r="O578" s="86"/>
      <c r="P578" s="1817"/>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4"/>
      <c r="AR578" s="4"/>
      <c r="AS578" s="4"/>
      <c r="AT578" s="4"/>
      <c r="AU578" s="4"/>
      <c r="AV578" s="4"/>
    </row>
    <row r="579" spans="1:48" ht="19.149999999999999" customHeight="1">
      <c r="A579" s="762" t="s">
        <v>862</v>
      </c>
      <c r="B579" s="762" t="s">
        <v>1248</v>
      </c>
      <c r="C579" s="762" t="s">
        <v>507</v>
      </c>
      <c r="D579" s="1599"/>
      <c r="E579" s="2245" t="s">
        <v>1938</v>
      </c>
      <c r="F579" s="763">
        <v>2314</v>
      </c>
      <c r="G579" s="779" t="s">
        <v>671</v>
      </c>
      <c r="H579" s="814"/>
      <c r="I579" s="2036">
        <v>330</v>
      </c>
      <c r="J579" s="819"/>
      <c r="K579" s="816"/>
      <c r="L579" s="814"/>
      <c r="M579" s="3408">
        <v>330</v>
      </c>
      <c r="N579" s="13"/>
      <c r="O579" s="86"/>
      <c r="P579" s="1817" t="e">
        <f>INDEX(#REF!,MATCH(F579,#REF!,0),2)</f>
        <v>#REF!</v>
      </c>
      <c r="Q579" s="11"/>
      <c r="R579" s="11"/>
      <c r="S579" s="11"/>
      <c r="T579" s="11"/>
      <c r="U579" s="11"/>
      <c r="V579" s="11"/>
      <c r="W579" s="4"/>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row>
    <row r="580" spans="1:48" ht="22.15" customHeight="1">
      <c r="A580" s="762" t="s">
        <v>857</v>
      </c>
      <c r="B580" s="762" t="s">
        <v>1248</v>
      </c>
      <c r="C580" s="762" t="s">
        <v>507</v>
      </c>
      <c r="D580" s="1599"/>
      <c r="E580" s="2245" t="s">
        <v>1938</v>
      </c>
      <c r="F580" s="763">
        <v>2314</v>
      </c>
      <c r="G580" s="2782" t="s">
        <v>4745</v>
      </c>
      <c r="H580" s="826"/>
      <c r="I580" s="2037">
        <v>350</v>
      </c>
      <c r="J580" s="827"/>
      <c r="K580" s="828"/>
      <c r="L580" s="826"/>
      <c r="M580" s="3408">
        <v>360</v>
      </c>
      <c r="N580" s="13"/>
      <c r="O580" s="86"/>
      <c r="P580" s="1817" t="e">
        <f>INDEX(#REF!,MATCH(F580,#REF!,0),2)</f>
        <v>#REF!</v>
      </c>
      <c r="Q580" s="43"/>
      <c r="R580" s="43"/>
      <c r="S580" s="43"/>
      <c r="T580" s="43"/>
      <c r="U580" s="43"/>
      <c r="V580" s="43"/>
      <c r="W580" s="43"/>
      <c r="X580" s="43"/>
      <c r="Y580" s="43"/>
      <c r="Z580" s="43"/>
      <c r="AA580" s="43"/>
      <c r="AB580" s="43"/>
      <c r="AC580" s="43"/>
      <c r="AD580" s="43"/>
      <c r="AE580" s="43"/>
      <c r="AF580" s="43"/>
      <c r="AG580" s="43"/>
      <c r="AH580" s="43"/>
      <c r="AI580" s="43"/>
      <c r="AJ580" s="43"/>
      <c r="AK580" s="43"/>
      <c r="AL580" s="43"/>
      <c r="AM580" s="43"/>
      <c r="AN580" s="43"/>
      <c r="AO580" s="43"/>
      <c r="AP580" s="43"/>
      <c r="AQ580" s="43"/>
      <c r="AR580" s="43"/>
      <c r="AS580" s="43"/>
      <c r="AT580" s="43"/>
      <c r="AU580" s="43"/>
    </row>
    <row r="581" spans="1:48" ht="11.45" customHeight="1">
      <c r="A581" s="755"/>
      <c r="B581" s="755" t="s">
        <v>1248</v>
      </c>
      <c r="C581" s="755" t="s">
        <v>507</v>
      </c>
      <c r="D581" s="1600">
        <v>490</v>
      </c>
      <c r="E581" s="2247" t="s">
        <v>1938</v>
      </c>
      <c r="F581" s="756">
        <v>2322</v>
      </c>
      <c r="G581" s="757" t="s">
        <v>2437</v>
      </c>
      <c r="H581" s="759"/>
      <c r="I581" s="759"/>
      <c r="J581" s="760"/>
      <c r="K581" s="761"/>
      <c r="L581" s="759">
        <v>175</v>
      </c>
      <c r="M581" s="2839"/>
      <c r="N581" s="13"/>
      <c r="O581" s="86"/>
      <c r="P581" s="1817" t="e">
        <f>INDEX(#REF!,MATCH(F581,#REF!,0),2)</f>
        <v>#REF!</v>
      </c>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4"/>
      <c r="AR581" s="4"/>
      <c r="AS581" s="4"/>
      <c r="AT581" s="4"/>
      <c r="AU581" s="4"/>
      <c r="AV581" s="4"/>
    </row>
    <row r="582" spans="1:48" ht="36" customHeight="1">
      <c r="A582" s="762" t="s">
        <v>861</v>
      </c>
      <c r="B582" s="762" t="s">
        <v>1248</v>
      </c>
      <c r="C582" s="762" t="s">
        <v>507</v>
      </c>
      <c r="D582" s="1599"/>
      <c r="E582" s="2245" t="s">
        <v>1938</v>
      </c>
      <c r="F582" s="763">
        <v>2322</v>
      </c>
      <c r="G582" s="2810" t="s">
        <v>4744</v>
      </c>
      <c r="H582" s="814"/>
      <c r="I582" s="2036"/>
      <c r="J582" s="819"/>
      <c r="K582" s="816"/>
      <c r="L582" s="814"/>
      <c r="M582" s="3408">
        <v>175</v>
      </c>
      <c r="N582" s="13"/>
      <c r="O582" s="86"/>
      <c r="P582" s="1817" t="e">
        <f>INDEX(#REF!,MATCH(F582,#REF!,0),2)</f>
        <v>#REF!</v>
      </c>
      <c r="Q582" s="43"/>
      <c r="R582" s="43"/>
      <c r="S582" s="43"/>
      <c r="T582" s="43"/>
      <c r="U582" s="43"/>
      <c r="V582" s="43"/>
      <c r="W582" s="43"/>
      <c r="X582" s="43"/>
      <c r="Y582" s="43"/>
      <c r="Z582" s="43"/>
      <c r="AA582" s="43"/>
      <c r="AB582" s="43"/>
      <c r="AC582" s="43"/>
      <c r="AD582" s="43"/>
      <c r="AE582" s="43"/>
      <c r="AF582" s="43"/>
      <c r="AG582" s="43"/>
      <c r="AH582" s="1774"/>
      <c r="AI582" s="1030"/>
      <c r="AJ582" s="1030"/>
      <c r="AK582" s="43"/>
      <c r="AL582" s="43"/>
      <c r="AM582" s="43"/>
      <c r="AN582" s="43"/>
      <c r="AO582" s="43"/>
      <c r="AP582" s="43"/>
      <c r="AQ582" s="43"/>
      <c r="AR582" s="43"/>
      <c r="AS582" s="43"/>
      <c r="AT582" s="43"/>
      <c r="AU582" s="43"/>
      <c r="AV582" s="43"/>
    </row>
    <row r="583" spans="1:48" ht="11.45" customHeight="1">
      <c r="A583" s="755"/>
      <c r="B583" s="755" t="s">
        <v>1248</v>
      </c>
      <c r="C583" s="755" t="s">
        <v>507</v>
      </c>
      <c r="D583" s="1600">
        <v>490</v>
      </c>
      <c r="E583" s="2247" t="s">
        <v>1938</v>
      </c>
      <c r="F583" s="756">
        <v>2390</v>
      </c>
      <c r="G583" s="757" t="s">
        <v>2438</v>
      </c>
      <c r="H583" s="759">
        <v>2000</v>
      </c>
      <c r="I583" s="759"/>
      <c r="J583" s="760"/>
      <c r="K583" s="761"/>
      <c r="L583" s="759">
        <v>126.35000000000001</v>
      </c>
      <c r="M583" s="2839"/>
      <c r="N583" s="13"/>
      <c r="O583" s="86"/>
      <c r="P583" s="1817" t="e">
        <f>INDEX(#REF!,MATCH(F583,#REF!,0),2)</f>
        <v>#REF!</v>
      </c>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4"/>
      <c r="AR583" s="4"/>
      <c r="AS583" s="4"/>
      <c r="AT583" s="4"/>
      <c r="AU583" s="4"/>
      <c r="AV583" s="4"/>
    </row>
    <row r="584" spans="1:48" ht="95.45" customHeight="1">
      <c r="A584" s="762" t="s">
        <v>861</v>
      </c>
      <c r="B584" s="762" t="s">
        <v>1248</v>
      </c>
      <c r="C584" s="762" t="s">
        <v>507</v>
      </c>
      <c r="D584" s="1599"/>
      <c r="E584" s="2245" t="s">
        <v>1938</v>
      </c>
      <c r="F584" s="763">
        <v>2390</v>
      </c>
      <c r="G584" s="2810" t="s">
        <v>4740</v>
      </c>
      <c r="H584" s="814"/>
      <c r="I584" s="2036"/>
      <c r="J584" s="819"/>
      <c r="K584" s="816"/>
      <c r="L584" s="814"/>
      <c r="M584" s="3408">
        <v>79.45</v>
      </c>
      <c r="N584" s="73" t="s">
        <v>4746</v>
      </c>
      <c r="O584" s="86"/>
      <c r="P584" s="1817"/>
      <c r="Q584" s="43"/>
      <c r="R584" s="43"/>
      <c r="S584" s="43"/>
      <c r="T584" s="43"/>
      <c r="U584" s="43"/>
      <c r="V584" s="43"/>
      <c r="W584" s="43"/>
      <c r="X584" s="43"/>
      <c r="Y584" s="43"/>
      <c r="Z584" s="43"/>
      <c r="AA584" s="43"/>
      <c r="AB584" s="43"/>
      <c r="AC584" s="43"/>
      <c r="AD584" s="43"/>
      <c r="AE584" s="43"/>
      <c r="AF584" s="43"/>
      <c r="AG584" s="43"/>
      <c r="AH584" s="1774"/>
      <c r="AI584" s="1030"/>
      <c r="AJ584" s="1030"/>
      <c r="AK584" s="43"/>
      <c r="AL584" s="43"/>
      <c r="AM584" s="43"/>
      <c r="AN584" s="43"/>
      <c r="AO584" s="43"/>
      <c r="AP584" s="43"/>
      <c r="AQ584" s="43"/>
      <c r="AR584" s="43"/>
      <c r="AS584" s="43"/>
      <c r="AT584" s="43"/>
      <c r="AU584" s="43"/>
      <c r="AV584" s="43"/>
    </row>
    <row r="585" spans="1:48" ht="64.900000000000006" customHeight="1">
      <c r="A585" s="762" t="s">
        <v>861</v>
      </c>
      <c r="B585" s="762" t="s">
        <v>1248</v>
      </c>
      <c r="C585" s="762" t="s">
        <v>507</v>
      </c>
      <c r="D585" s="1599"/>
      <c r="E585" s="2245" t="s">
        <v>1938</v>
      </c>
      <c r="F585" s="763">
        <v>2390</v>
      </c>
      <c r="G585" s="2810" t="s">
        <v>4741</v>
      </c>
      <c r="H585" s="814"/>
      <c r="I585" s="2036"/>
      <c r="J585" s="819"/>
      <c r="K585" s="816"/>
      <c r="L585" s="814"/>
      <c r="M585" s="3408">
        <v>24.45</v>
      </c>
      <c r="N585" s="73" t="s">
        <v>4746</v>
      </c>
      <c r="O585" s="86"/>
      <c r="P585" s="1817"/>
      <c r="Q585" s="43"/>
      <c r="R585" s="43"/>
      <c r="S585" s="43"/>
      <c r="T585" s="43"/>
      <c r="U585" s="43"/>
      <c r="V585" s="43"/>
      <c r="W585" s="43"/>
      <c r="X585" s="43"/>
      <c r="Y585" s="43"/>
      <c r="Z585" s="43"/>
      <c r="AA585" s="43"/>
      <c r="AB585" s="43"/>
      <c r="AC585" s="43"/>
      <c r="AD585" s="43"/>
      <c r="AE585" s="43"/>
      <c r="AF585" s="43"/>
      <c r="AG585" s="43"/>
      <c r="AH585" s="1774"/>
      <c r="AI585" s="1030"/>
      <c r="AJ585" s="1030"/>
      <c r="AK585" s="43"/>
      <c r="AL585" s="43"/>
      <c r="AM585" s="43"/>
      <c r="AN585" s="43"/>
      <c r="AO585" s="43"/>
      <c r="AP585" s="43"/>
      <c r="AQ585" s="43"/>
      <c r="AR585" s="43"/>
      <c r="AS585" s="43"/>
      <c r="AT585" s="43"/>
      <c r="AU585" s="43"/>
      <c r="AV585" s="43"/>
    </row>
    <row r="586" spans="1:48" ht="67.150000000000006" customHeight="1">
      <c r="A586" s="762" t="s">
        <v>861</v>
      </c>
      <c r="B586" s="762" t="s">
        <v>1248</v>
      </c>
      <c r="C586" s="762" t="s">
        <v>507</v>
      </c>
      <c r="D586" s="1599"/>
      <c r="E586" s="2245" t="s">
        <v>1938</v>
      </c>
      <c r="F586" s="763">
        <v>2390</v>
      </c>
      <c r="G586" s="2810" t="s">
        <v>4742</v>
      </c>
      <c r="H586" s="814"/>
      <c r="I586" s="2036"/>
      <c r="J586" s="819"/>
      <c r="K586" s="816"/>
      <c r="L586" s="814"/>
      <c r="M586" s="3408">
        <v>22.45</v>
      </c>
      <c r="N586" s="73" t="s">
        <v>4746</v>
      </c>
      <c r="O586" s="86"/>
      <c r="P586" s="1817"/>
      <c r="Q586" s="43"/>
      <c r="R586" s="43"/>
      <c r="S586" s="43"/>
      <c r="T586" s="43"/>
      <c r="U586" s="43"/>
      <c r="V586" s="43"/>
      <c r="W586" s="43"/>
      <c r="X586" s="43"/>
      <c r="Y586" s="43"/>
      <c r="Z586" s="43"/>
      <c r="AA586" s="43"/>
      <c r="AB586" s="43"/>
      <c r="AC586" s="43"/>
      <c r="AD586" s="43"/>
      <c r="AE586" s="43"/>
      <c r="AF586" s="43"/>
      <c r="AG586" s="43"/>
      <c r="AH586" s="1774"/>
      <c r="AI586" s="1030"/>
      <c r="AJ586" s="1030"/>
      <c r="AK586" s="43"/>
      <c r="AL586" s="43"/>
      <c r="AM586" s="43"/>
      <c r="AN586" s="43"/>
      <c r="AO586" s="43"/>
      <c r="AP586" s="43"/>
      <c r="AQ586" s="43"/>
      <c r="AR586" s="43"/>
      <c r="AS586" s="43"/>
      <c r="AT586" s="43"/>
      <c r="AU586" s="43"/>
      <c r="AV586" s="43"/>
    </row>
    <row r="587" spans="1:48" ht="20.45" customHeight="1">
      <c r="A587" s="762" t="s">
        <v>857</v>
      </c>
      <c r="B587" s="762" t="s">
        <v>1248</v>
      </c>
      <c r="C587" s="762" t="s">
        <v>507</v>
      </c>
      <c r="D587" s="1599"/>
      <c r="E587" s="2245" t="s">
        <v>1938</v>
      </c>
      <c r="F587" s="763">
        <v>2390</v>
      </c>
      <c r="G587" s="1885" t="s">
        <v>3253</v>
      </c>
      <c r="H587" s="2371"/>
      <c r="I587" s="2372">
        <v>2000</v>
      </c>
      <c r="J587" s="2373"/>
      <c r="K587" s="2374"/>
      <c r="L587" s="2371"/>
      <c r="M587" s="3407"/>
      <c r="N587" s="13"/>
      <c r="O587" s="86"/>
      <c r="P587" s="1817" t="e">
        <f>INDEX(#REF!,MATCH(F587,#REF!,0),2)</f>
        <v>#REF!</v>
      </c>
      <c r="Q587" s="43"/>
      <c r="R587" s="43"/>
      <c r="S587" s="43"/>
      <c r="T587" s="43"/>
      <c r="U587" s="43"/>
      <c r="V587" s="43"/>
      <c r="W587" s="43"/>
      <c r="X587" s="43"/>
      <c r="Y587" s="43"/>
      <c r="Z587" s="43"/>
      <c r="AA587" s="43"/>
      <c r="AB587" s="43"/>
      <c r="AC587" s="43"/>
      <c r="AD587" s="43"/>
      <c r="AE587" s="43"/>
      <c r="AF587" s="43"/>
      <c r="AG587" s="43"/>
      <c r="AH587" s="43"/>
      <c r="AI587" s="43"/>
      <c r="AJ587" s="43"/>
      <c r="AK587" s="43"/>
      <c r="AL587" s="43"/>
      <c r="AM587" s="43"/>
      <c r="AN587" s="43"/>
      <c r="AO587" s="43"/>
      <c r="AP587" s="43"/>
      <c r="AQ587" s="43"/>
      <c r="AR587" s="43"/>
      <c r="AS587" s="43"/>
      <c r="AT587" s="43"/>
      <c r="AU587" s="43"/>
    </row>
    <row r="588" spans="1:48" ht="20.45" customHeight="1">
      <c r="A588" s="755"/>
      <c r="B588" s="755" t="s">
        <v>1250</v>
      </c>
      <c r="C588" s="755" t="s">
        <v>534</v>
      </c>
      <c r="D588" s="1600">
        <v>490</v>
      </c>
      <c r="E588" s="2247" t="s">
        <v>1938</v>
      </c>
      <c r="F588" s="756">
        <v>5238</v>
      </c>
      <c r="G588" s="757" t="s">
        <v>1091</v>
      </c>
      <c r="H588" s="759">
        <v>3793.75</v>
      </c>
      <c r="I588" s="759"/>
      <c r="J588" s="760"/>
      <c r="K588" s="761"/>
      <c r="L588" s="759">
        <v>1849.45</v>
      </c>
      <c r="M588" s="2842"/>
      <c r="N588" s="13"/>
      <c r="O588" s="86"/>
      <c r="P588" s="1817" t="e">
        <f>INDEX(#REF!,MATCH(F588,#REF!,0),2)</f>
        <v>#REF!</v>
      </c>
      <c r="Q588" s="43"/>
      <c r="R588" s="43"/>
      <c r="S588" s="43"/>
      <c r="T588" s="43"/>
      <c r="U588" s="43"/>
      <c r="V588" s="43"/>
      <c r="W588" s="43"/>
      <c r="X588" s="43"/>
      <c r="Y588" s="43"/>
      <c r="Z588" s="43"/>
      <c r="AA588" s="43"/>
      <c r="AB588" s="43"/>
      <c r="AC588" s="43"/>
      <c r="AD588" s="43"/>
      <c r="AE588" s="43"/>
      <c r="AF588" s="43"/>
      <c r="AG588" s="43"/>
      <c r="AH588" s="43"/>
      <c r="AI588" s="43"/>
      <c r="AJ588" s="43"/>
      <c r="AK588" s="43"/>
      <c r="AL588" s="43"/>
      <c r="AM588" s="43"/>
      <c r="AN588" s="43"/>
      <c r="AO588" s="43"/>
      <c r="AP588" s="43"/>
      <c r="AQ588" s="43"/>
      <c r="AR588" s="43"/>
      <c r="AS588" s="43"/>
      <c r="AT588" s="43"/>
      <c r="AU588" s="43"/>
    </row>
    <row r="589" spans="1:48" ht="30.6" customHeight="1">
      <c r="A589" s="762" t="s">
        <v>861</v>
      </c>
      <c r="B589" s="762" t="s">
        <v>1250</v>
      </c>
      <c r="C589" s="762" t="s">
        <v>534</v>
      </c>
      <c r="D589" s="1602"/>
      <c r="E589" s="2245" t="s">
        <v>1938</v>
      </c>
      <c r="F589" s="763">
        <v>5238</v>
      </c>
      <c r="G589" s="2810" t="s">
        <v>4739</v>
      </c>
      <c r="H589" s="1377"/>
      <c r="I589" s="1375"/>
      <c r="J589" s="1379"/>
      <c r="K589" s="1380"/>
      <c r="L589" s="1375"/>
      <c r="M589" s="3408">
        <v>1849.45</v>
      </c>
      <c r="N589" s="13"/>
      <c r="O589" s="86"/>
      <c r="P589" s="1817"/>
      <c r="Q589" s="43"/>
      <c r="R589" s="43"/>
      <c r="S589" s="43"/>
      <c r="T589" s="43"/>
      <c r="U589" s="43"/>
      <c r="V589" s="43"/>
      <c r="W589" s="43"/>
      <c r="X589" s="43"/>
      <c r="Y589" s="43"/>
      <c r="Z589" s="43"/>
      <c r="AA589" s="43"/>
      <c r="AB589" s="43"/>
      <c r="AC589" s="43"/>
      <c r="AD589" s="43"/>
      <c r="AE589" s="43"/>
      <c r="AF589" s="43"/>
      <c r="AG589" s="43"/>
      <c r="AH589" s="43"/>
      <c r="AI589" s="43"/>
      <c r="AJ589" s="43"/>
      <c r="AK589" s="43"/>
      <c r="AL589" s="43"/>
      <c r="AM589" s="43"/>
      <c r="AN589" s="43"/>
      <c r="AO589" s="43"/>
      <c r="AP589" s="43"/>
      <c r="AQ589" s="43"/>
      <c r="AR589" s="43"/>
      <c r="AS589" s="43"/>
      <c r="AT589" s="43"/>
      <c r="AU589" s="43"/>
    </row>
    <row r="590" spans="1:48" ht="30.6" customHeight="1">
      <c r="A590" s="762" t="s">
        <v>861</v>
      </c>
      <c r="B590" s="762" t="s">
        <v>1250</v>
      </c>
      <c r="C590" s="762" t="s">
        <v>534</v>
      </c>
      <c r="D590" s="1602"/>
      <c r="E590" s="2245" t="s">
        <v>1938</v>
      </c>
      <c r="F590" s="763">
        <v>5238</v>
      </c>
      <c r="G590" s="1529" t="s">
        <v>1314</v>
      </c>
      <c r="H590" s="1377"/>
      <c r="I590" s="1375">
        <v>1269.3</v>
      </c>
      <c r="J590" s="1379"/>
      <c r="K590" s="1380"/>
      <c r="L590" s="1375"/>
      <c r="M590" s="3408"/>
      <c r="N590" s="13"/>
      <c r="O590" s="86"/>
      <c r="P590" s="1817" t="e">
        <f>INDEX(#REF!,MATCH(F590,#REF!,0),2)</f>
        <v>#REF!</v>
      </c>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row>
    <row r="591" spans="1:48" ht="30.6" customHeight="1">
      <c r="A591" s="762" t="s">
        <v>861</v>
      </c>
      <c r="B591" s="762" t="s">
        <v>1250</v>
      </c>
      <c r="C591" s="762" t="s">
        <v>534</v>
      </c>
      <c r="D591" s="1602"/>
      <c r="E591" s="2245" t="s">
        <v>1938</v>
      </c>
      <c r="F591" s="763">
        <v>5238</v>
      </c>
      <c r="G591" s="1529" t="s">
        <v>2137</v>
      </c>
      <c r="H591" s="1377"/>
      <c r="I591" s="1375">
        <v>2145.4499999999998</v>
      </c>
      <c r="J591" s="1379"/>
      <c r="K591" s="1380"/>
      <c r="L591" s="1377"/>
      <c r="M591" s="3407"/>
      <c r="N591" s="13"/>
      <c r="O591" s="86"/>
      <c r="P591" s="1817" t="e">
        <f>INDEX(#REF!,MATCH(F591,#REF!,0),2)</f>
        <v>#REF!</v>
      </c>
      <c r="Q591" s="43"/>
      <c r="R591" s="43"/>
      <c r="S591" s="43"/>
      <c r="T591" s="43"/>
      <c r="U591" s="43"/>
      <c r="V591" s="43"/>
      <c r="W591" s="43"/>
      <c r="X591" s="43"/>
      <c r="Y591" s="43"/>
      <c r="Z591" s="43"/>
      <c r="AA591" s="43"/>
      <c r="AB591" s="43"/>
      <c r="AC591" s="43"/>
      <c r="AD591" s="43"/>
      <c r="AE591" s="43"/>
      <c r="AF591" s="43"/>
      <c r="AG591" s="43"/>
      <c r="AH591" s="43"/>
      <c r="AI591" s="43"/>
      <c r="AJ591" s="43"/>
      <c r="AK591" s="43"/>
      <c r="AL591" s="43"/>
      <c r="AM591" s="43"/>
      <c r="AN591" s="43"/>
      <c r="AO591" s="43"/>
      <c r="AP591" s="43"/>
      <c r="AQ591" s="43"/>
      <c r="AR591" s="43"/>
      <c r="AS591" s="43"/>
      <c r="AT591" s="43"/>
      <c r="AU591" s="43"/>
    </row>
    <row r="592" spans="1:48" ht="12.6" customHeight="1">
      <c r="A592" s="762" t="s">
        <v>861</v>
      </c>
      <c r="B592" s="762" t="s">
        <v>1250</v>
      </c>
      <c r="C592" s="762" t="s">
        <v>534</v>
      </c>
      <c r="D592" s="1602"/>
      <c r="E592" s="2245" t="s">
        <v>1938</v>
      </c>
      <c r="F592" s="763">
        <v>5238</v>
      </c>
      <c r="G592" s="1529" t="s">
        <v>3246</v>
      </c>
      <c r="H592" s="1377"/>
      <c r="I592" s="1375">
        <v>254</v>
      </c>
      <c r="J592" s="1379"/>
      <c r="K592" s="1380"/>
      <c r="L592" s="1377"/>
      <c r="M592" s="3407"/>
      <c r="N592" s="13"/>
      <c r="O592" s="86"/>
      <c r="P592" s="1817" t="e">
        <f>INDEX(#REF!,MATCH(F592,#REF!,0),2)</f>
        <v>#REF!</v>
      </c>
      <c r="Q592" s="43"/>
      <c r="R592" s="43"/>
      <c r="S592" s="43"/>
      <c r="T592" s="43"/>
      <c r="U592" s="43"/>
      <c r="V592" s="43"/>
      <c r="W592" s="43"/>
      <c r="X592" s="43"/>
      <c r="Y592" s="43"/>
      <c r="Z592" s="43"/>
      <c r="AA592" s="43"/>
      <c r="AB592" s="43"/>
      <c r="AC592" s="43"/>
      <c r="AD592" s="43"/>
      <c r="AE592" s="43"/>
      <c r="AF592" s="43"/>
      <c r="AG592" s="43"/>
      <c r="AH592" s="43"/>
      <c r="AI592" s="43"/>
      <c r="AJ592" s="43"/>
      <c r="AK592" s="43"/>
      <c r="AL592" s="43"/>
      <c r="AM592" s="43"/>
      <c r="AN592" s="43"/>
      <c r="AO592" s="43"/>
      <c r="AP592" s="43"/>
      <c r="AQ592" s="43"/>
      <c r="AR592" s="43"/>
      <c r="AS592" s="43"/>
      <c r="AT592" s="43"/>
      <c r="AU592" s="43"/>
    </row>
    <row r="593" spans="1:48" ht="12.6" customHeight="1">
      <c r="A593" s="762" t="s">
        <v>861</v>
      </c>
      <c r="B593" s="762" t="s">
        <v>1250</v>
      </c>
      <c r="C593" s="762" t="s">
        <v>534</v>
      </c>
      <c r="D593" s="1602"/>
      <c r="E593" s="2245" t="s">
        <v>1938</v>
      </c>
      <c r="F593" s="763">
        <v>5238</v>
      </c>
      <c r="G593" s="1884" t="s">
        <v>3252</v>
      </c>
      <c r="H593" s="1657"/>
      <c r="I593" s="1650">
        <v>125</v>
      </c>
      <c r="J593" s="1651"/>
      <c r="K593" s="1652"/>
      <c r="L593" s="1657"/>
      <c r="M593" s="3407"/>
      <c r="N593" s="13"/>
      <c r="O593" s="86"/>
      <c r="P593" s="1817" t="e">
        <f>INDEX(#REF!,MATCH(F593,#REF!,0),2)</f>
        <v>#REF!</v>
      </c>
      <c r="Q593" s="43"/>
      <c r="R593" s="43"/>
      <c r="S593" s="43"/>
      <c r="T593" s="43"/>
      <c r="U593" s="43"/>
      <c r="V593" s="43"/>
      <c r="W593" s="43"/>
      <c r="X593" s="43"/>
      <c r="Y593" s="43"/>
      <c r="Z593" s="43"/>
      <c r="AA593" s="43"/>
      <c r="AB593" s="43"/>
      <c r="AC593" s="43"/>
      <c r="AD593" s="43"/>
      <c r="AE593" s="43"/>
      <c r="AF593" s="43"/>
      <c r="AG593" s="43"/>
      <c r="AH593" s="43"/>
      <c r="AI593" s="43"/>
      <c r="AJ593" s="43"/>
      <c r="AK593" s="43"/>
      <c r="AL593" s="43"/>
      <c r="AM593" s="43"/>
      <c r="AN593" s="43"/>
      <c r="AO593" s="43"/>
      <c r="AP593" s="43"/>
      <c r="AQ593" s="43"/>
      <c r="AR593" s="43"/>
      <c r="AS593" s="43"/>
      <c r="AT593" s="43"/>
      <c r="AU593" s="43"/>
    </row>
    <row r="594" spans="1:48" ht="11.45" customHeight="1">
      <c r="A594" s="755"/>
      <c r="B594" s="755" t="s">
        <v>1249</v>
      </c>
      <c r="C594" s="755" t="s">
        <v>509</v>
      </c>
      <c r="D594" s="1600">
        <v>490</v>
      </c>
      <c r="E594" s="2247" t="s">
        <v>1938</v>
      </c>
      <c r="F594" s="756">
        <v>5239</v>
      </c>
      <c r="G594" s="757" t="s">
        <v>256</v>
      </c>
      <c r="H594" s="759">
        <v>0</v>
      </c>
      <c r="I594" s="759"/>
      <c r="J594" s="760"/>
      <c r="K594" s="761"/>
      <c r="L594" s="759">
        <v>0</v>
      </c>
      <c r="M594" s="2842"/>
      <c r="N594" s="13"/>
      <c r="O594" s="86"/>
      <c r="P594" s="1817" t="e">
        <f>INDEX(#REF!,MATCH(F594,#REF!,0),2)</f>
        <v>#REF!</v>
      </c>
      <c r="Q594" s="43"/>
      <c r="R594" s="43"/>
      <c r="S594" s="43"/>
      <c r="T594" s="43"/>
      <c r="U594" s="43"/>
      <c r="V594" s="43"/>
      <c r="W594" s="43"/>
      <c r="X594" s="43"/>
      <c r="Y594" s="43"/>
      <c r="Z594" s="43"/>
      <c r="AA594" s="43"/>
      <c r="AB594" s="43"/>
      <c r="AC594" s="43"/>
      <c r="AD594" s="43"/>
      <c r="AE594" s="43"/>
      <c r="AF594" s="43"/>
      <c r="AG594" s="43"/>
      <c r="AH594" s="43"/>
      <c r="AI594" s="43"/>
      <c r="AJ594" s="43"/>
      <c r="AK594" s="43"/>
      <c r="AL594" s="43"/>
      <c r="AM594" s="43"/>
      <c r="AN594" s="43"/>
      <c r="AO594" s="43"/>
      <c r="AP594" s="43"/>
      <c r="AQ594" s="43"/>
      <c r="AR594" s="43"/>
      <c r="AS594" s="43"/>
      <c r="AT594" s="43"/>
      <c r="AU594" s="43"/>
    </row>
    <row r="595" spans="1:48" ht="90.6" customHeight="1">
      <c r="A595" s="762" t="s">
        <v>861</v>
      </c>
      <c r="B595" s="762" t="s">
        <v>1249</v>
      </c>
      <c r="C595" s="762" t="s">
        <v>509</v>
      </c>
      <c r="D595" s="1599"/>
      <c r="E595" s="2245" t="s">
        <v>1938</v>
      </c>
      <c r="F595" s="763">
        <v>5239</v>
      </c>
      <c r="G595" s="3409" t="s">
        <v>4743</v>
      </c>
      <c r="H595" s="764"/>
      <c r="I595" s="764"/>
      <c r="J595" s="765"/>
      <c r="K595" s="766"/>
      <c r="L595" s="764"/>
      <c r="M595" s="2779">
        <v>0</v>
      </c>
      <c r="N595" s="154" t="s">
        <v>5738</v>
      </c>
      <c r="O595" s="86"/>
      <c r="P595" s="1817" t="e">
        <f>INDEX(#REF!,MATCH(F595,#REF!,0),2)</f>
        <v>#REF!</v>
      </c>
    </row>
    <row r="596" spans="1:48" ht="26.45" customHeight="1">
      <c r="A596" s="755"/>
      <c r="B596" s="755" t="s">
        <v>1248</v>
      </c>
      <c r="C596" s="755" t="s">
        <v>507</v>
      </c>
      <c r="D596" s="1600">
        <v>490</v>
      </c>
      <c r="E596" s="2247" t="s">
        <v>1939</v>
      </c>
      <c r="F596" s="756">
        <v>2239</v>
      </c>
      <c r="G596" s="757" t="s">
        <v>237</v>
      </c>
      <c r="H596" s="759">
        <v>45166.33</v>
      </c>
      <c r="I596" s="759"/>
      <c r="J596" s="760"/>
      <c r="K596" s="761"/>
      <c r="L596" s="759">
        <v>29227</v>
      </c>
      <c r="M596" s="759"/>
      <c r="N596" s="43"/>
      <c r="O596" s="86"/>
      <c r="P596" s="1817" t="e">
        <f>INDEX(#REF!,MATCH(F596,#REF!,0),2)</f>
        <v>#REF!</v>
      </c>
      <c r="Q596" s="43"/>
      <c r="R596" s="43"/>
      <c r="S596" s="43"/>
      <c r="T596" s="43"/>
      <c r="U596" s="43"/>
      <c r="V596" s="43"/>
      <c r="W596" s="43"/>
      <c r="X596" s="43"/>
      <c r="Y596" s="43"/>
      <c r="Z596" s="43"/>
      <c r="AA596" s="43"/>
      <c r="AB596" s="43"/>
      <c r="AC596" s="43"/>
      <c r="AD596" s="43"/>
      <c r="AE596" s="43"/>
      <c r="AF596" s="43"/>
      <c r="AG596" s="43"/>
      <c r="AH596" s="43"/>
      <c r="AI596" s="43"/>
      <c r="AJ596" s="43"/>
      <c r="AK596" s="43"/>
      <c r="AL596" s="43"/>
      <c r="AM596" s="43"/>
      <c r="AN596" s="43"/>
      <c r="AO596" s="43"/>
      <c r="AP596" s="43"/>
      <c r="AQ596" s="43"/>
      <c r="AR596" s="43"/>
      <c r="AS596" s="43"/>
      <c r="AT596" s="43"/>
      <c r="AU596" s="43"/>
      <c r="AV596" s="43"/>
    </row>
    <row r="597" spans="1:48" ht="52.15" customHeight="1">
      <c r="A597" s="762" t="s">
        <v>855</v>
      </c>
      <c r="B597" s="762" t="s">
        <v>1248</v>
      </c>
      <c r="C597" s="762" t="s">
        <v>507</v>
      </c>
      <c r="D597" s="1599"/>
      <c r="E597" s="2245" t="s">
        <v>1939</v>
      </c>
      <c r="F597" s="763">
        <v>2239</v>
      </c>
      <c r="G597" s="3398" t="s">
        <v>4727</v>
      </c>
      <c r="H597" s="818"/>
      <c r="I597" s="1397">
        <v>39171.33</v>
      </c>
      <c r="J597" s="1550"/>
      <c r="K597" s="816"/>
      <c r="L597" s="818"/>
      <c r="M597" s="1397">
        <v>23232</v>
      </c>
      <c r="N597" s="43" t="s">
        <v>4728</v>
      </c>
      <c r="O597" s="86"/>
      <c r="P597" s="1817" t="e">
        <f>INDEX(#REF!,MATCH(F597,#REF!,0),2)</f>
        <v>#REF!</v>
      </c>
      <c r="Q597" s="43"/>
      <c r="R597" s="43"/>
      <c r="S597" s="43"/>
      <c r="T597" s="43"/>
      <c r="U597" s="43"/>
      <c r="V597" s="43"/>
      <c r="W597" s="43"/>
      <c r="X597" s="43"/>
      <c r="Y597" s="43"/>
      <c r="Z597" s="43"/>
      <c r="AA597" s="43"/>
      <c r="AB597" s="43"/>
      <c r="AC597" s="43"/>
      <c r="AD597" s="43"/>
      <c r="AE597" s="43"/>
      <c r="AF597" s="43"/>
      <c r="AG597" s="43"/>
      <c r="AH597" s="43"/>
      <c r="AI597" s="43"/>
      <c r="AJ597" s="43"/>
      <c r="AK597" s="43"/>
      <c r="AL597" s="43"/>
      <c r="AM597" s="43"/>
      <c r="AN597" s="43"/>
      <c r="AO597" s="43"/>
      <c r="AP597" s="43"/>
      <c r="AQ597" s="43"/>
      <c r="AR597" s="43"/>
      <c r="AS597" s="43"/>
      <c r="AT597" s="43"/>
      <c r="AU597" s="43"/>
      <c r="AV597" s="43"/>
    </row>
    <row r="598" spans="1:48" ht="22.9" customHeight="1">
      <c r="A598" s="762" t="s">
        <v>857</v>
      </c>
      <c r="B598" s="762" t="s">
        <v>1248</v>
      </c>
      <c r="C598" s="762" t="s">
        <v>507</v>
      </c>
      <c r="D598" s="1599"/>
      <c r="E598" s="2245" t="s">
        <v>1939</v>
      </c>
      <c r="F598" s="763">
        <v>2239</v>
      </c>
      <c r="G598" s="1529" t="s">
        <v>3074</v>
      </c>
      <c r="H598" s="818"/>
      <c r="I598" s="1397">
        <v>5995</v>
      </c>
      <c r="J598" s="819"/>
      <c r="K598" s="816"/>
      <c r="L598" s="818"/>
      <c r="M598" s="1397">
        <v>5995</v>
      </c>
      <c r="N598" s="43"/>
      <c r="O598" s="86"/>
      <c r="P598" s="1817" t="e">
        <f>INDEX(#REF!,MATCH(F598,#REF!,0),2)</f>
        <v>#REF!</v>
      </c>
      <c r="Q598" s="43"/>
      <c r="R598" s="43"/>
      <c r="S598" s="43"/>
      <c r="T598" s="43"/>
      <c r="U598" s="43"/>
      <c r="V598" s="43"/>
      <c r="W598" s="43"/>
      <c r="X598" s="43"/>
      <c r="Y598" s="43"/>
      <c r="Z598" s="43"/>
      <c r="AA598" s="43"/>
      <c r="AB598" s="43"/>
      <c r="AC598" s="43"/>
      <c r="AD598" s="43"/>
      <c r="AE598" s="43"/>
      <c r="AF598" s="43"/>
      <c r="AG598" s="43"/>
      <c r="AH598" s="43"/>
      <c r="AI598" s="43"/>
      <c r="AJ598" s="43"/>
      <c r="AK598" s="43"/>
      <c r="AL598" s="43"/>
      <c r="AM598" s="43"/>
      <c r="AN598" s="43"/>
      <c r="AO598" s="43"/>
      <c r="AP598" s="43"/>
      <c r="AQ598" s="43"/>
      <c r="AR598" s="43"/>
      <c r="AS598" s="43"/>
      <c r="AT598" s="43"/>
      <c r="AU598" s="43"/>
    </row>
    <row r="599" spans="1:48" ht="11.45" customHeight="1">
      <c r="A599" s="176"/>
      <c r="B599" s="170" t="s">
        <v>1248</v>
      </c>
      <c r="C599" s="170" t="s">
        <v>505</v>
      </c>
      <c r="D599" s="1603">
        <v>610</v>
      </c>
      <c r="E599" s="2250" t="s">
        <v>1933</v>
      </c>
      <c r="F599" s="171">
        <v>2239</v>
      </c>
      <c r="G599" s="172" t="s">
        <v>1801</v>
      </c>
      <c r="H599" s="192">
        <v>0</v>
      </c>
      <c r="I599" s="192"/>
      <c r="J599" s="192"/>
      <c r="K599" s="194"/>
      <c r="L599" s="192">
        <v>0</v>
      </c>
      <c r="M599" s="192"/>
      <c r="N599" s="73"/>
      <c r="O599" s="86"/>
      <c r="P599" s="1817" t="e">
        <f>INDEX(#REF!,MATCH(F599,#REF!,0),2)</f>
        <v>#REF!</v>
      </c>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4"/>
      <c r="AR599" s="4"/>
      <c r="AS599" s="4"/>
      <c r="AT599" s="4"/>
      <c r="AU599" s="4"/>
      <c r="AV599" s="4"/>
    </row>
    <row r="600" spans="1:48" ht="20.45" customHeight="1">
      <c r="A600" s="175"/>
      <c r="B600" s="173" t="s">
        <v>1248</v>
      </c>
      <c r="C600" s="173" t="s">
        <v>505</v>
      </c>
      <c r="D600" s="1604"/>
      <c r="E600" s="2251" t="s">
        <v>1933</v>
      </c>
      <c r="F600" s="370">
        <v>2239</v>
      </c>
      <c r="G600" s="174" t="s">
        <v>1803</v>
      </c>
      <c r="H600" s="201"/>
      <c r="I600" s="201">
        <v>0</v>
      </c>
      <c r="J600" s="201"/>
      <c r="K600" s="194"/>
      <c r="L600" s="201"/>
      <c r="M600" s="201"/>
      <c r="N600" s="73"/>
      <c r="O600" s="86"/>
      <c r="P600" s="1817" t="e">
        <f>INDEX(#REF!,MATCH(F600,#REF!,0),2)</f>
        <v>#REF!</v>
      </c>
      <c r="Q600" s="43"/>
      <c r="R600" s="43"/>
      <c r="S600" s="43"/>
      <c r="T600" s="43"/>
      <c r="U600" s="43"/>
      <c r="V600" s="43"/>
      <c r="W600" s="43"/>
      <c r="X600" s="43"/>
      <c r="Y600" s="43"/>
      <c r="Z600" s="43"/>
      <c r="AA600" s="43"/>
      <c r="AB600" s="43"/>
      <c r="AC600" s="43"/>
      <c r="AD600" s="43"/>
      <c r="AE600" s="43"/>
      <c r="AF600" s="43"/>
      <c r="AG600" s="43"/>
      <c r="AH600" s="4"/>
      <c r="AI600" s="4"/>
      <c r="AJ600" s="4"/>
      <c r="AK600" s="4"/>
      <c r="AL600" s="4"/>
      <c r="AM600" s="4"/>
      <c r="AN600" s="4"/>
      <c r="AO600" s="4"/>
      <c r="AP600" s="4"/>
      <c r="AQ600" s="4"/>
      <c r="AR600" s="4"/>
      <c r="AS600" s="4"/>
      <c r="AT600" s="4"/>
      <c r="AU600" s="4"/>
      <c r="AV600" s="4"/>
    </row>
    <row r="601" spans="1:48" ht="11.45" customHeight="1">
      <c r="A601" s="1346"/>
      <c r="B601" s="170" t="s">
        <v>1248</v>
      </c>
      <c r="C601" s="170" t="s">
        <v>505</v>
      </c>
      <c r="D601" s="1603">
        <v>610</v>
      </c>
      <c r="E601" s="2252" t="s">
        <v>1933</v>
      </c>
      <c r="F601" s="171">
        <v>2275</v>
      </c>
      <c r="G601" s="172" t="s">
        <v>785</v>
      </c>
      <c r="H601" s="192">
        <v>70000</v>
      </c>
      <c r="I601" s="1244"/>
      <c r="J601" s="1244"/>
      <c r="K601" s="1187"/>
      <c r="L601" s="192">
        <v>70000</v>
      </c>
      <c r="M601" s="1244"/>
      <c r="N601" s="73"/>
      <c r="O601" s="86"/>
      <c r="P601" s="1817" t="e">
        <f>INDEX(#REF!,MATCH(F601,#REF!,0),2)</f>
        <v>#REF!</v>
      </c>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4"/>
      <c r="AR601" s="4"/>
      <c r="AS601" s="4"/>
      <c r="AT601" s="4"/>
      <c r="AU601" s="4"/>
      <c r="AV601" s="4"/>
    </row>
    <row r="602" spans="1:48" ht="18.600000000000001" customHeight="1">
      <c r="A602" s="175"/>
      <c r="B602" s="173" t="s">
        <v>1248</v>
      </c>
      <c r="C602" s="173" t="s">
        <v>505</v>
      </c>
      <c r="D602" s="1604"/>
      <c r="E602" s="2251" t="s">
        <v>1933</v>
      </c>
      <c r="F602" s="370">
        <v>2275</v>
      </c>
      <c r="G602" s="174" t="s">
        <v>785</v>
      </c>
      <c r="H602" s="201"/>
      <c r="I602" s="201">
        <v>70000</v>
      </c>
      <c r="J602" s="201"/>
      <c r="K602" s="194"/>
      <c r="L602" s="201"/>
      <c r="M602" s="201">
        <v>70000</v>
      </c>
      <c r="N602" s="73"/>
      <c r="O602" s="86"/>
      <c r="P602" s="1817" t="e">
        <f>INDEX(#REF!,MATCH(F602,#REF!,0),2)</f>
        <v>#REF!</v>
      </c>
      <c r="Q602" s="43"/>
      <c r="R602" s="43"/>
      <c r="S602" s="43"/>
      <c r="T602" s="43"/>
      <c r="U602" s="43"/>
      <c r="V602" s="43"/>
      <c r="W602" s="43"/>
      <c r="X602" s="43"/>
      <c r="Y602" s="43"/>
      <c r="Z602" s="43"/>
      <c r="AA602" s="43"/>
      <c r="AB602" s="43"/>
      <c r="AC602" s="43"/>
      <c r="AD602" s="43"/>
      <c r="AE602" s="43"/>
      <c r="AF602" s="43"/>
      <c r="AG602" s="43"/>
      <c r="AH602" s="4"/>
      <c r="AI602" s="4"/>
      <c r="AJ602" s="4"/>
      <c r="AK602" s="4"/>
      <c r="AL602" s="4"/>
      <c r="AM602" s="4"/>
      <c r="AN602" s="4"/>
      <c r="AO602" s="4"/>
      <c r="AP602" s="4"/>
      <c r="AQ602" s="4"/>
      <c r="AR602" s="4"/>
      <c r="AS602" s="4"/>
      <c r="AT602" s="4"/>
      <c r="AU602" s="4"/>
      <c r="AV602" s="4"/>
    </row>
    <row r="603" spans="1:48" ht="11.45" customHeight="1">
      <c r="A603" s="1346"/>
      <c r="B603" s="170" t="s">
        <v>1248</v>
      </c>
      <c r="C603" s="170" t="s">
        <v>505</v>
      </c>
      <c r="D603" s="1603">
        <v>610</v>
      </c>
      <c r="E603" s="2252" t="s">
        <v>1933</v>
      </c>
      <c r="F603" s="171">
        <v>6254</v>
      </c>
      <c r="G603" s="172" t="s">
        <v>1802</v>
      </c>
      <c r="H603" s="1244">
        <v>0</v>
      </c>
      <c r="I603" s="1244"/>
      <c r="J603" s="1244"/>
      <c r="K603" s="1187"/>
      <c r="L603" s="1244">
        <v>0</v>
      </c>
      <c r="M603" s="1244"/>
      <c r="N603" s="73"/>
      <c r="O603" s="86"/>
      <c r="P603" s="1817" t="e">
        <f>INDEX(#REF!,MATCH(F603,#REF!,0),2)</f>
        <v>#REF!</v>
      </c>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4"/>
      <c r="AR603" s="4"/>
      <c r="AS603" s="4"/>
      <c r="AT603" s="4"/>
      <c r="AU603" s="4"/>
      <c r="AV603" s="4"/>
    </row>
    <row r="604" spans="1:48" ht="20.45" customHeight="1">
      <c r="A604" s="175"/>
      <c r="B604" s="173" t="s">
        <v>1248</v>
      </c>
      <c r="C604" s="173" t="s">
        <v>505</v>
      </c>
      <c r="D604" s="1604"/>
      <c r="E604" s="2251" t="s">
        <v>1933</v>
      </c>
      <c r="F604" s="370">
        <v>6254</v>
      </c>
      <c r="G604" s="174"/>
      <c r="H604" s="201"/>
      <c r="I604" s="201">
        <v>0</v>
      </c>
      <c r="J604" s="201"/>
      <c r="K604" s="194"/>
      <c r="L604" s="201"/>
      <c r="M604" s="201"/>
      <c r="N604" s="73"/>
      <c r="O604" s="86"/>
      <c r="P604" s="1817" t="e">
        <f>INDEX(#REF!,MATCH(F604,#REF!,0),2)</f>
        <v>#REF!</v>
      </c>
      <c r="Q604" s="43"/>
      <c r="R604" s="43"/>
      <c r="S604" s="43"/>
      <c r="T604" s="43"/>
      <c r="U604" s="43"/>
      <c r="V604" s="43"/>
      <c r="W604" s="43"/>
      <c r="X604" s="43"/>
      <c r="Y604" s="43"/>
      <c r="Z604" s="43"/>
      <c r="AA604" s="43"/>
      <c r="AB604" s="43"/>
      <c r="AC604" s="43"/>
      <c r="AD604" s="43"/>
      <c r="AE604" s="43"/>
      <c r="AF604" s="43"/>
      <c r="AG604" s="43"/>
      <c r="AH604" s="4"/>
      <c r="AI604" s="4"/>
      <c r="AJ604" s="4"/>
      <c r="AK604" s="4"/>
      <c r="AL604" s="4"/>
      <c r="AM604" s="4"/>
      <c r="AN604" s="4"/>
      <c r="AO604" s="4"/>
      <c r="AP604" s="4"/>
      <c r="AQ604" s="4"/>
      <c r="AR604" s="4"/>
      <c r="AS604" s="4"/>
      <c r="AT604" s="4"/>
      <c r="AU604" s="4"/>
      <c r="AV604" s="4"/>
    </row>
    <row r="605" spans="1:48">
      <c r="A605" s="176"/>
      <c r="B605" s="170" t="s">
        <v>663</v>
      </c>
      <c r="C605" s="170" t="s">
        <v>652</v>
      </c>
      <c r="D605" s="2519">
        <v>620</v>
      </c>
      <c r="E605" s="2250" t="s">
        <v>1922</v>
      </c>
      <c r="F605" s="171">
        <v>1119</v>
      </c>
      <c r="G605" s="172" t="s">
        <v>628</v>
      </c>
      <c r="H605" s="2535">
        <v>185601.6</v>
      </c>
      <c r="I605" s="2535"/>
      <c r="J605" s="2520">
        <v>127706.76</v>
      </c>
      <c r="K605" s="194"/>
      <c r="L605" s="192">
        <v>198673.296</v>
      </c>
      <c r="M605" s="1580"/>
      <c r="N605" s="73"/>
      <c r="O605" s="86"/>
      <c r="P605" s="1817" t="e">
        <f>INDEX(#REF!,MATCH(F605,#REF!,0),2)</f>
        <v>#REF!</v>
      </c>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4"/>
      <c r="AR605" s="4"/>
      <c r="AS605" s="4"/>
      <c r="AT605" s="4"/>
      <c r="AU605" s="4"/>
      <c r="AV605" s="4"/>
    </row>
    <row r="606" spans="1:48">
      <c r="A606" s="175"/>
      <c r="B606" s="173" t="s">
        <v>663</v>
      </c>
      <c r="C606" s="173" t="s">
        <v>652</v>
      </c>
      <c r="D606" s="1604"/>
      <c r="E606" s="2251" t="s">
        <v>1922</v>
      </c>
      <c r="F606" s="370">
        <v>1119</v>
      </c>
      <c r="G606" s="179" t="s">
        <v>663</v>
      </c>
      <c r="H606" s="2536"/>
      <c r="I606" s="2536">
        <v>185601.6</v>
      </c>
      <c r="J606" s="2521"/>
      <c r="K606" s="194"/>
      <c r="L606" s="201"/>
      <c r="M606" s="1576">
        <v>198673.296</v>
      </c>
      <c r="N606" s="73"/>
      <c r="O606" s="86"/>
      <c r="P606" s="1817" t="e">
        <f>INDEX(#REF!,MATCH(F606,#REF!,0),2)</f>
        <v>#REF!</v>
      </c>
      <c r="Q606" s="43"/>
      <c r="R606" s="43"/>
      <c r="S606" s="43"/>
      <c r="T606" s="43"/>
      <c r="U606" s="43"/>
      <c r="V606" s="43"/>
      <c r="W606" s="43"/>
      <c r="X606" s="43"/>
      <c r="Y606" s="43"/>
      <c r="Z606" s="43"/>
      <c r="AA606" s="43"/>
      <c r="AB606" s="43"/>
      <c r="AC606" s="43"/>
      <c r="AD606" s="43"/>
      <c r="AE606" s="43"/>
      <c r="AF606" s="43"/>
      <c r="AG606" s="43"/>
      <c r="AH606" s="4"/>
      <c r="AI606" s="4"/>
      <c r="AJ606" s="4"/>
      <c r="AK606" s="4"/>
      <c r="AL606" s="4"/>
      <c r="AM606" s="4"/>
      <c r="AN606" s="4"/>
      <c r="AO606" s="4"/>
      <c r="AP606" s="4"/>
      <c r="AQ606" s="4"/>
      <c r="AR606" s="4"/>
      <c r="AS606" s="4"/>
      <c r="AT606" s="4"/>
      <c r="AU606" s="4"/>
      <c r="AV606" s="4"/>
    </row>
    <row r="607" spans="1:48">
      <c r="A607" s="175"/>
      <c r="B607" s="173" t="s">
        <v>663</v>
      </c>
      <c r="C607" s="173" t="s">
        <v>652</v>
      </c>
      <c r="D607" s="1604"/>
      <c r="E607" s="2251" t="s">
        <v>1922</v>
      </c>
      <c r="F607" s="370">
        <v>1119</v>
      </c>
      <c r="G607" s="179" t="s">
        <v>1180</v>
      </c>
      <c r="H607" s="2536"/>
      <c r="I607" s="2536"/>
      <c r="J607" s="2521"/>
      <c r="K607" s="194"/>
      <c r="L607" s="189"/>
      <c r="M607" s="1575"/>
      <c r="N607" s="73"/>
      <c r="O607" s="86"/>
      <c r="P607" s="1817" t="e">
        <f>INDEX(#REF!,MATCH(F607,#REF!,0),2)</f>
        <v>#REF!</v>
      </c>
      <c r="Q607" s="43"/>
      <c r="R607" s="43"/>
      <c r="S607" s="43"/>
      <c r="T607" s="43"/>
      <c r="U607" s="43"/>
      <c r="V607" s="43"/>
      <c r="W607" s="43"/>
      <c r="X607" s="43"/>
      <c r="Y607" s="43"/>
      <c r="Z607" s="43"/>
      <c r="AA607" s="43"/>
      <c r="AB607" s="43"/>
      <c r="AC607" s="43"/>
      <c r="AD607" s="43"/>
      <c r="AE607" s="43"/>
      <c r="AF607" s="43"/>
      <c r="AG607" s="43"/>
      <c r="AH607" s="4"/>
      <c r="AI607" s="4"/>
      <c r="AJ607" s="4"/>
      <c r="AK607" s="4"/>
      <c r="AL607" s="4"/>
      <c r="AM607" s="4"/>
      <c r="AN607" s="4"/>
      <c r="AO607" s="4"/>
      <c r="AP607" s="4"/>
      <c r="AQ607" s="4"/>
      <c r="AR607" s="4"/>
      <c r="AS607" s="4"/>
      <c r="AT607" s="4"/>
      <c r="AU607" s="4"/>
      <c r="AV607" s="4"/>
    </row>
    <row r="608" spans="1:48" ht="22.5">
      <c r="A608" s="176"/>
      <c r="B608" s="170" t="s">
        <v>663</v>
      </c>
      <c r="C608" s="170" t="s">
        <v>652</v>
      </c>
      <c r="D608" s="1603">
        <v>620</v>
      </c>
      <c r="E608" s="2252" t="s">
        <v>1922</v>
      </c>
      <c r="F608" s="171">
        <v>1142</v>
      </c>
      <c r="G608" s="172" t="s">
        <v>225</v>
      </c>
      <c r="H608" s="2535">
        <v>1000</v>
      </c>
      <c r="I608" s="2535"/>
      <c r="J608" s="2520">
        <v>584.38</v>
      </c>
      <c r="K608" s="194"/>
      <c r="L608" s="192">
        <v>3000</v>
      </c>
      <c r="M608" s="1580"/>
      <c r="N608" s="73"/>
      <c r="O608" s="86"/>
      <c r="P608" s="1817" t="e">
        <f>INDEX(#REF!,MATCH(F608,#REF!,0),2)</f>
        <v>#REF!</v>
      </c>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3"/>
      <c r="AT608" s="43"/>
      <c r="AU608" s="43"/>
      <c r="AV608" s="43"/>
    </row>
    <row r="609" spans="1:48">
      <c r="A609" s="504"/>
      <c r="B609" s="173" t="s">
        <v>663</v>
      </c>
      <c r="C609" s="173" t="s">
        <v>652</v>
      </c>
      <c r="D609" s="1604">
        <v>620</v>
      </c>
      <c r="E609" s="2251" t="s">
        <v>1922</v>
      </c>
      <c r="F609" s="370">
        <v>1142</v>
      </c>
      <c r="G609" s="179" t="s">
        <v>663</v>
      </c>
      <c r="H609" s="2537"/>
      <c r="I609" s="2537">
        <v>1000</v>
      </c>
      <c r="J609" s="2522"/>
      <c r="K609" s="458"/>
      <c r="L609" s="433"/>
      <c r="M609" s="1576">
        <v>3000</v>
      </c>
      <c r="N609" s="13" t="s">
        <v>3417</v>
      </c>
      <c r="O609" s="86"/>
      <c r="P609" s="1817" t="e">
        <f>INDEX(#REF!,MATCH(F609,#REF!,0),2)</f>
        <v>#REF!</v>
      </c>
      <c r="Q609" s="43"/>
      <c r="R609" s="43"/>
      <c r="S609" s="43"/>
      <c r="T609" s="43"/>
      <c r="U609" s="43"/>
      <c r="V609" s="43"/>
      <c r="W609" s="43"/>
      <c r="X609" s="43"/>
      <c r="Y609" s="43"/>
      <c r="Z609" s="43"/>
      <c r="AA609" s="43"/>
      <c r="AB609" s="43"/>
      <c r="AC609" s="43"/>
      <c r="AD609" s="43"/>
      <c r="AE609" s="43"/>
      <c r="AF609" s="43"/>
      <c r="AG609" s="43"/>
      <c r="AH609" s="4"/>
      <c r="AI609" s="4"/>
      <c r="AJ609" s="4"/>
      <c r="AK609" s="4"/>
      <c r="AL609" s="4"/>
      <c r="AM609" s="4"/>
      <c r="AN609" s="4"/>
      <c r="AO609" s="4"/>
      <c r="AP609" s="4"/>
      <c r="AQ609" s="4"/>
      <c r="AR609" s="4"/>
      <c r="AS609" s="4"/>
      <c r="AT609" s="4"/>
      <c r="AU609" s="4"/>
      <c r="AV609" s="4"/>
    </row>
    <row r="610" spans="1:48" ht="22.5">
      <c r="A610" s="16"/>
      <c r="B610" s="170" t="s">
        <v>663</v>
      </c>
      <c r="C610" s="170" t="s">
        <v>652</v>
      </c>
      <c r="D610" s="1603">
        <v>620</v>
      </c>
      <c r="E610" s="2252" t="s">
        <v>1922</v>
      </c>
      <c r="F610" s="171">
        <v>1146</v>
      </c>
      <c r="G610" s="7" t="s">
        <v>889</v>
      </c>
      <c r="H610" s="2538">
        <v>500</v>
      </c>
      <c r="I610" s="2538"/>
      <c r="J610" s="2520">
        <v>0</v>
      </c>
      <c r="K610" s="349"/>
      <c r="L610" s="1168">
        <v>500</v>
      </c>
      <c r="M610" s="1580"/>
      <c r="N610" s="13"/>
      <c r="O610" s="86"/>
      <c r="P610" s="1817" t="e">
        <f>INDEX(#REF!,MATCH(F610,#REF!,0),2)</f>
        <v>#REF!</v>
      </c>
      <c r="Q610" s="43"/>
      <c r="R610" s="43"/>
      <c r="S610" s="43"/>
      <c r="T610" s="43"/>
      <c r="U610" s="43"/>
      <c r="V610" s="43"/>
      <c r="W610" s="43"/>
      <c r="X610" s="43"/>
      <c r="Y610" s="43"/>
      <c r="Z610" s="43"/>
      <c r="AA610" s="43"/>
      <c r="AB610" s="43"/>
      <c r="AC610" s="43"/>
      <c r="AD610" s="43"/>
      <c r="AE610" s="43"/>
      <c r="AF610" s="43"/>
      <c r="AG610" s="43"/>
      <c r="AH610" s="43"/>
      <c r="AI610" s="43"/>
      <c r="AJ610" s="43"/>
      <c r="AK610" s="43"/>
      <c r="AL610" s="43"/>
      <c r="AM610" s="43"/>
      <c r="AN610" s="43"/>
      <c r="AO610" s="43"/>
      <c r="AP610" s="43"/>
      <c r="AQ610" s="43"/>
      <c r="AR610" s="43"/>
      <c r="AS610" s="43"/>
      <c r="AT610" s="43"/>
      <c r="AU610" s="43"/>
      <c r="AV610" s="43"/>
    </row>
    <row r="611" spans="1:48">
      <c r="A611" s="175"/>
      <c r="B611" s="173" t="s">
        <v>663</v>
      </c>
      <c r="C611" s="173" t="s">
        <v>652</v>
      </c>
      <c r="D611" s="1604"/>
      <c r="E611" s="2251" t="s">
        <v>1922</v>
      </c>
      <c r="F611" s="370">
        <v>1146</v>
      </c>
      <c r="G611" s="179" t="s">
        <v>663</v>
      </c>
      <c r="H611" s="2536"/>
      <c r="I611" s="2536">
        <v>500</v>
      </c>
      <c r="J611" s="2521"/>
      <c r="K611" s="194"/>
      <c r="L611" s="201"/>
      <c r="M611" s="1576">
        <v>500</v>
      </c>
      <c r="N611" s="13"/>
      <c r="O611" s="86"/>
      <c r="P611" s="1817" t="e">
        <f>INDEX(#REF!,MATCH(F611,#REF!,0),2)</f>
        <v>#REF!</v>
      </c>
      <c r="Q611" s="43"/>
      <c r="R611" s="43"/>
      <c r="S611" s="43"/>
      <c r="T611" s="43"/>
      <c r="U611" s="43"/>
      <c r="V611" s="43"/>
      <c r="W611" s="43"/>
      <c r="X611" s="43"/>
      <c r="Y611" s="43"/>
      <c r="Z611" s="43"/>
      <c r="AA611" s="43"/>
      <c r="AB611" s="43"/>
      <c r="AC611" s="43"/>
      <c r="AD611" s="43"/>
      <c r="AE611" s="43"/>
      <c r="AF611" s="43"/>
      <c r="AG611" s="43"/>
      <c r="AH611" s="4"/>
      <c r="AI611" s="4"/>
      <c r="AJ611" s="4"/>
      <c r="AK611" s="4"/>
      <c r="AL611" s="4"/>
      <c r="AM611" s="4"/>
      <c r="AN611" s="4"/>
      <c r="AO611" s="4"/>
      <c r="AP611" s="4"/>
      <c r="AQ611" s="4"/>
      <c r="AR611" s="4"/>
      <c r="AS611" s="4"/>
      <c r="AT611" s="4"/>
      <c r="AU611" s="4"/>
    </row>
    <row r="612" spans="1:48">
      <c r="A612" s="176"/>
      <c r="B612" s="170" t="s">
        <v>663</v>
      </c>
      <c r="C612" s="170" t="s">
        <v>652</v>
      </c>
      <c r="D612" s="1603">
        <v>620</v>
      </c>
      <c r="E612" s="2252" t="s">
        <v>1922</v>
      </c>
      <c r="F612" s="171">
        <v>1147</v>
      </c>
      <c r="G612" s="172" t="s">
        <v>653</v>
      </c>
      <c r="H612" s="2535">
        <v>12966.800000000001</v>
      </c>
      <c r="I612" s="2535"/>
      <c r="J612" s="2520">
        <v>8333.3799999999992</v>
      </c>
      <c r="K612" s="194"/>
      <c r="L612" s="192">
        <v>15056.108</v>
      </c>
      <c r="M612" s="1580"/>
      <c r="N612" s="154"/>
      <c r="O612" s="86"/>
      <c r="P612" s="1817" t="e">
        <f>INDEX(#REF!,MATCH(F612,#REF!,0),2)</f>
        <v>#REF!</v>
      </c>
      <c r="Q612" s="43"/>
      <c r="R612" s="43"/>
      <c r="S612" s="43"/>
      <c r="T612" s="43"/>
      <c r="U612" s="43"/>
      <c r="V612" s="43"/>
      <c r="W612" s="43"/>
      <c r="X612" s="43"/>
      <c r="Y612" s="43"/>
      <c r="Z612" s="43"/>
      <c r="AA612" s="43"/>
      <c r="AB612" s="43"/>
      <c r="AC612" s="43"/>
      <c r="AD612" s="43"/>
      <c r="AE612" s="43"/>
      <c r="AF612" s="43"/>
      <c r="AG612" s="43"/>
      <c r="AH612" s="43"/>
      <c r="AI612" s="43"/>
      <c r="AJ612" s="43"/>
      <c r="AK612" s="43"/>
      <c r="AL612" s="43"/>
      <c r="AM612" s="43"/>
      <c r="AN612" s="43"/>
      <c r="AO612" s="43"/>
      <c r="AP612" s="43"/>
      <c r="AQ612" s="43"/>
      <c r="AR612" s="43"/>
      <c r="AS612" s="43"/>
      <c r="AT612" s="43"/>
      <c r="AU612" s="43"/>
      <c r="AV612" s="43"/>
    </row>
    <row r="613" spans="1:48">
      <c r="A613" s="175"/>
      <c r="B613" s="173" t="s">
        <v>663</v>
      </c>
      <c r="C613" s="173" t="s">
        <v>652</v>
      </c>
      <c r="D613" s="1604"/>
      <c r="E613" s="2251" t="s">
        <v>1922</v>
      </c>
      <c r="F613" s="370">
        <v>1147</v>
      </c>
      <c r="G613" s="179" t="s">
        <v>663</v>
      </c>
      <c r="H613" s="2536"/>
      <c r="I613" s="2536">
        <v>12966.800000000001</v>
      </c>
      <c r="J613" s="2521"/>
      <c r="K613" s="194"/>
      <c r="L613" s="201"/>
      <c r="M613" s="1576">
        <v>15056.108</v>
      </c>
      <c r="N613" s="13" t="s">
        <v>3418</v>
      </c>
      <c r="O613" s="86"/>
      <c r="P613" s="1817" t="e">
        <f>INDEX(#REF!,MATCH(F613,#REF!,0),2)</f>
        <v>#REF!</v>
      </c>
      <c r="Q613" s="43"/>
      <c r="R613" s="43"/>
      <c r="S613" s="43"/>
      <c r="T613" s="43"/>
      <c r="U613" s="43"/>
      <c r="V613" s="43"/>
      <c r="W613" s="43"/>
      <c r="X613" s="43"/>
      <c r="Y613" s="43"/>
      <c r="Z613" s="43"/>
      <c r="AA613" s="43"/>
      <c r="AB613" s="43"/>
      <c r="AC613" s="43"/>
      <c r="AD613" s="43"/>
      <c r="AE613" s="43"/>
      <c r="AF613" s="43"/>
      <c r="AG613" s="43"/>
      <c r="AH613" s="4"/>
      <c r="AI613" s="4"/>
      <c r="AJ613" s="4"/>
      <c r="AK613" s="4"/>
      <c r="AL613" s="4"/>
      <c r="AM613" s="4"/>
      <c r="AN613" s="4"/>
      <c r="AO613" s="4"/>
      <c r="AP613" s="4"/>
      <c r="AQ613" s="4"/>
      <c r="AR613" s="4"/>
      <c r="AS613" s="4"/>
      <c r="AT613" s="4"/>
      <c r="AU613" s="4"/>
      <c r="AV613" s="4"/>
    </row>
    <row r="614" spans="1:48">
      <c r="A614" s="176"/>
      <c r="B614" s="170" t="s">
        <v>663</v>
      </c>
      <c r="C614" s="170" t="s">
        <v>652</v>
      </c>
      <c r="D614" s="1603">
        <v>620</v>
      </c>
      <c r="E614" s="2252" t="s">
        <v>1922</v>
      </c>
      <c r="F614" s="171">
        <v>1148</v>
      </c>
      <c r="G614" s="172" t="s">
        <v>613</v>
      </c>
      <c r="H614" s="2535">
        <v>1000</v>
      </c>
      <c r="I614" s="2535"/>
      <c r="J614" s="2520">
        <v>300</v>
      </c>
      <c r="K614" s="194"/>
      <c r="L614" s="192">
        <v>1600</v>
      </c>
      <c r="M614" s="1580"/>
      <c r="N614" s="149"/>
      <c r="O614" s="86"/>
      <c r="P614" s="1817" t="e">
        <f>INDEX(#REF!,MATCH(F614,#REF!,0),2)</f>
        <v>#REF!</v>
      </c>
      <c r="Q614" s="43"/>
      <c r="R614" s="43"/>
      <c r="S614" s="43"/>
      <c r="T614" s="43"/>
      <c r="U614" s="43"/>
      <c r="V614" s="43"/>
      <c r="W614" s="43"/>
      <c r="X614" s="43"/>
      <c r="Y614" s="43"/>
      <c r="Z614" s="43"/>
      <c r="AA614" s="43"/>
      <c r="AB614" s="43"/>
      <c r="AC614" s="43"/>
      <c r="AD614" s="43"/>
      <c r="AE614" s="43"/>
      <c r="AF614" s="43"/>
      <c r="AG614" s="43"/>
      <c r="AH614" s="43"/>
      <c r="AI614" s="43"/>
      <c r="AJ614" s="43"/>
      <c r="AK614" s="43"/>
      <c r="AL614" s="43"/>
      <c r="AM614" s="43"/>
      <c r="AN614" s="43"/>
      <c r="AO614" s="43"/>
      <c r="AP614" s="43"/>
      <c r="AQ614" s="43"/>
      <c r="AR614" s="43"/>
      <c r="AS614" s="43"/>
      <c r="AT614" s="43"/>
      <c r="AU614" s="43"/>
      <c r="AV614" s="43"/>
    </row>
    <row r="615" spans="1:48">
      <c r="A615" s="175"/>
      <c r="B615" s="173" t="s">
        <v>663</v>
      </c>
      <c r="C615" s="173" t="s">
        <v>652</v>
      </c>
      <c r="D615" s="1604"/>
      <c r="E615" s="2251" t="s">
        <v>1922</v>
      </c>
      <c r="F615" s="370">
        <v>1148</v>
      </c>
      <c r="G615" s="179" t="s">
        <v>1033</v>
      </c>
      <c r="H615" s="2536"/>
      <c r="I615" s="2536">
        <v>1000</v>
      </c>
      <c r="J615" s="2521"/>
      <c r="K615" s="194"/>
      <c r="L615" s="201"/>
      <c r="M615" s="1576">
        <v>1000</v>
      </c>
      <c r="N615" s="73"/>
      <c r="O615" s="86"/>
      <c r="P615" s="1817" t="e">
        <f>INDEX(#REF!,MATCH(F615,#REF!,0),2)</f>
        <v>#REF!</v>
      </c>
      <c r="Q615" s="43"/>
      <c r="R615" s="43"/>
      <c r="S615" s="43"/>
      <c r="T615" s="43"/>
      <c r="U615" s="43"/>
      <c r="V615" s="43"/>
      <c r="W615" s="43"/>
      <c r="X615" s="43"/>
      <c r="Y615" s="43"/>
      <c r="Z615" s="43"/>
      <c r="AA615" s="43"/>
      <c r="AB615" s="43"/>
      <c r="AC615" s="43"/>
      <c r="AD615" s="43"/>
      <c r="AE615" s="43"/>
      <c r="AF615" s="43"/>
      <c r="AG615" s="43"/>
      <c r="AH615" s="4"/>
      <c r="AI615" s="4"/>
      <c r="AJ615" s="4"/>
      <c r="AK615" s="4"/>
      <c r="AL615" s="4"/>
      <c r="AM615" s="4"/>
      <c r="AN615" s="4"/>
      <c r="AO615" s="4"/>
      <c r="AP615" s="4"/>
      <c r="AQ615" s="4"/>
      <c r="AR615" s="4"/>
      <c r="AS615" s="4"/>
      <c r="AT615" s="4"/>
      <c r="AU615" s="4"/>
      <c r="AV615" s="4"/>
    </row>
    <row r="616" spans="1:48" ht="13.9" customHeight="1">
      <c r="A616" s="412"/>
      <c r="B616" s="412" t="s">
        <v>663</v>
      </c>
      <c r="C616" s="412" t="s">
        <v>652</v>
      </c>
      <c r="D616" s="1590"/>
      <c r="E616" s="2251" t="s">
        <v>1922</v>
      </c>
      <c r="F616" s="505">
        <v>1148</v>
      </c>
      <c r="G616" s="1567" t="s">
        <v>5330</v>
      </c>
      <c r="H616" s="946"/>
      <c r="I616" s="407"/>
      <c r="J616" s="408"/>
      <c r="K616" s="409"/>
      <c r="L616" s="2422"/>
      <c r="M616" s="3850">
        <v>600</v>
      </c>
      <c r="N616" s="73"/>
      <c r="O616" s="86"/>
      <c r="P616" s="1817" t="e">
        <f>INDEX(#REF!,MATCH(F616,#REF!,0),2)</f>
        <v>#REF!</v>
      </c>
    </row>
    <row r="617" spans="1:48">
      <c r="A617" s="5"/>
      <c r="B617" s="5" t="s">
        <v>663</v>
      </c>
      <c r="C617" s="5" t="s">
        <v>652</v>
      </c>
      <c r="D617" s="1592">
        <v>620</v>
      </c>
      <c r="E617" s="2220" t="s">
        <v>1922</v>
      </c>
      <c r="F617" s="6">
        <v>1170</v>
      </c>
      <c r="G617" s="7" t="s">
        <v>724</v>
      </c>
      <c r="H617" s="2539">
        <v>135</v>
      </c>
      <c r="I617" s="2539"/>
      <c r="J617" s="2520">
        <v>135</v>
      </c>
      <c r="K617" s="10"/>
      <c r="L617" s="8">
        <v>135</v>
      </c>
      <c r="M617" s="1647"/>
      <c r="N617" s="73"/>
      <c r="O617" s="86"/>
      <c r="P617" s="1817" t="e">
        <f>INDEX(#REF!,MATCH(F617,#REF!,0),2)</f>
        <v>#REF!</v>
      </c>
      <c r="Q617" s="1779"/>
      <c r="R617" s="1779"/>
      <c r="S617" s="1779"/>
      <c r="T617" s="1779"/>
      <c r="U617" s="1779"/>
      <c r="V617" s="1779"/>
      <c r="W617" s="43"/>
      <c r="X617" s="1779"/>
      <c r="Y617" s="1779"/>
      <c r="Z617" s="1779"/>
      <c r="AA617" s="1779"/>
      <c r="AB617" s="1779"/>
      <c r="AC617" s="1779"/>
      <c r="AD617" s="1779"/>
      <c r="AE617" s="1779"/>
      <c r="AF617" s="1779"/>
      <c r="AG617" s="1779"/>
      <c r="AH617" s="1779"/>
      <c r="AI617" s="1779"/>
      <c r="AJ617" s="1779"/>
      <c r="AK617" s="1779"/>
      <c r="AL617" s="1779"/>
      <c r="AM617" s="1779"/>
      <c r="AN617" s="1779"/>
      <c r="AO617" s="1779"/>
      <c r="AP617" s="1779"/>
      <c r="AQ617" s="1779"/>
      <c r="AR617" s="1779"/>
      <c r="AS617" s="1779"/>
      <c r="AT617" s="1779"/>
      <c r="AU617" s="1779"/>
      <c r="AV617" s="1779"/>
    </row>
    <row r="618" spans="1:48" ht="22.5">
      <c r="A618" s="246"/>
      <c r="B618" s="12" t="s">
        <v>663</v>
      </c>
      <c r="C618" s="12" t="s">
        <v>652</v>
      </c>
      <c r="D618" s="1593"/>
      <c r="E618" s="2222" t="s">
        <v>1922</v>
      </c>
      <c r="F618" s="23">
        <v>1170</v>
      </c>
      <c r="G618" s="180" t="s">
        <v>1183</v>
      </c>
      <c r="H618" s="2540"/>
      <c r="I618" s="2540">
        <v>135</v>
      </c>
      <c r="J618" s="2523"/>
      <c r="K618" s="260"/>
      <c r="L618" s="263"/>
      <c r="M618" s="1646">
        <v>135</v>
      </c>
      <c r="N618" s="73"/>
      <c r="O618" s="86"/>
      <c r="P618" s="1817" t="e">
        <f>INDEX(#REF!,MATCH(F618,#REF!,0),2)</f>
        <v>#REF!</v>
      </c>
      <c r="Q618" s="1779"/>
      <c r="R618" s="1779"/>
      <c r="S618" s="1779"/>
      <c r="T618" s="1779"/>
      <c r="U618" s="1779"/>
      <c r="V618" s="1779"/>
      <c r="W618" s="43"/>
      <c r="X618" s="1779"/>
      <c r="Y618" s="1779"/>
      <c r="Z618" s="1779"/>
      <c r="AA618" s="1779"/>
      <c r="AB618" s="1779"/>
      <c r="AC618" s="1779"/>
      <c r="AD618" s="1779"/>
      <c r="AE618" s="1779"/>
      <c r="AF618" s="1779"/>
      <c r="AG618" s="1779"/>
      <c r="AH618" s="1779"/>
      <c r="AI618" s="1779"/>
      <c r="AJ618" s="1779"/>
      <c r="AK618" s="1779"/>
      <c r="AL618" s="1779"/>
      <c r="AM618" s="1779"/>
      <c r="AN618" s="1779"/>
      <c r="AO618" s="1779"/>
      <c r="AP618" s="1779"/>
      <c r="AQ618" s="1779"/>
      <c r="AR618" s="1779"/>
      <c r="AS618" s="1779"/>
      <c r="AT618" s="1779"/>
      <c r="AU618" s="1779"/>
      <c r="AV618" s="1779"/>
    </row>
    <row r="619" spans="1:48">
      <c r="A619" s="176"/>
      <c r="B619" s="170" t="s">
        <v>663</v>
      </c>
      <c r="C619" s="170" t="s">
        <v>652</v>
      </c>
      <c r="D619" s="1603">
        <v>620</v>
      </c>
      <c r="E619" s="2252" t="s">
        <v>1922</v>
      </c>
      <c r="F619" s="171">
        <v>1210</v>
      </c>
      <c r="G619" s="172" t="s">
        <v>228</v>
      </c>
      <c r="H619" s="2535">
        <v>42793.527389000003</v>
      </c>
      <c r="I619" s="2535"/>
      <c r="J619" s="2520">
        <v>32527.73</v>
      </c>
      <c r="K619" s="194"/>
      <c r="L619" s="192">
        <v>50089.138875090008</v>
      </c>
      <c r="M619" s="1580"/>
      <c r="N619" s="149"/>
      <c r="O619" s="86"/>
      <c r="P619" s="1817" t="e">
        <f>INDEX(#REF!,MATCH(F619,#REF!,0),2)</f>
        <v>#REF!</v>
      </c>
      <c r="Q619" s="43"/>
      <c r="R619" s="43"/>
      <c r="S619" s="43"/>
      <c r="T619" s="43"/>
      <c r="U619" s="43"/>
      <c r="V619" s="43"/>
      <c r="W619" s="43"/>
      <c r="X619" s="43"/>
      <c r="Y619" s="43"/>
      <c r="Z619" s="43"/>
      <c r="AA619" s="43"/>
      <c r="AB619" s="43"/>
      <c r="AC619" s="43"/>
      <c r="AD619" s="43"/>
      <c r="AE619" s="43"/>
      <c r="AF619" s="43"/>
      <c r="AG619" s="43"/>
      <c r="AH619" s="43"/>
      <c r="AI619" s="43"/>
      <c r="AJ619" s="43"/>
      <c r="AK619" s="43"/>
      <c r="AL619" s="43"/>
      <c r="AM619" s="43"/>
      <c r="AN619" s="43"/>
      <c r="AO619" s="43"/>
      <c r="AP619" s="43"/>
      <c r="AQ619" s="43"/>
      <c r="AR619" s="43"/>
      <c r="AS619" s="43"/>
      <c r="AT619" s="43"/>
      <c r="AU619" s="43"/>
      <c r="AV619" s="43"/>
    </row>
    <row r="620" spans="1:48">
      <c r="A620" s="175"/>
      <c r="B620" s="173" t="s">
        <v>663</v>
      </c>
      <c r="C620" s="173" t="s">
        <v>652</v>
      </c>
      <c r="D620" s="1604"/>
      <c r="E620" s="2251" t="s">
        <v>1922</v>
      </c>
      <c r="F620" s="370">
        <v>1210</v>
      </c>
      <c r="G620" s="179" t="s">
        <v>663</v>
      </c>
      <c r="H620" s="2536"/>
      <c r="I620" s="2536">
        <v>46793.527389000003</v>
      </c>
      <c r="J620" s="2521"/>
      <c r="K620" s="194"/>
      <c r="L620" s="201"/>
      <c r="M620" s="1576">
        <v>50089.138875090008</v>
      </c>
      <c r="N620" s="73"/>
      <c r="O620" s="86"/>
      <c r="P620" s="1817" t="e">
        <f>INDEX(#REF!,MATCH(F620,#REF!,0),2)</f>
        <v>#REF!</v>
      </c>
      <c r="Q620" s="43"/>
      <c r="R620" s="43"/>
      <c r="S620" s="43"/>
      <c r="T620" s="43"/>
      <c r="U620" s="43"/>
      <c r="V620" s="43"/>
      <c r="W620" s="43"/>
      <c r="X620" s="43"/>
      <c r="Y620" s="43"/>
      <c r="Z620" s="43"/>
      <c r="AA620" s="43"/>
      <c r="AB620" s="43"/>
      <c r="AC620" s="43"/>
      <c r="AD620" s="43"/>
      <c r="AE620" s="43"/>
      <c r="AF620" s="43"/>
      <c r="AG620" s="43"/>
      <c r="AH620" s="4"/>
      <c r="AI620" s="4"/>
      <c r="AJ620" s="4"/>
      <c r="AK620" s="4"/>
      <c r="AL620" s="4"/>
      <c r="AM620" s="4"/>
      <c r="AN620" s="4"/>
      <c r="AO620" s="4"/>
      <c r="AP620" s="4"/>
      <c r="AQ620" s="4"/>
      <c r="AR620" s="4"/>
      <c r="AS620" s="4"/>
      <c r="AT620" s="4"/>
      <c r="AU620" s="4"/>
      <c r="AV620" s="4"/>
    </row>
    <row r="621" spans="1:48">
      <c r="A621" s="175"/>
      <c r="B621" s="173" t="s">
        <v>663</v>
      </c>
      <c r="C621" s="173" t="s">
        <v>652</v>
      </c>
      <c r="D621" s="1604"/>
      <c r="E621" s="2251" t="s">
        <v>1922</v>
      </c>
      <c r="F621" s="370">
        <v>1210</v>
      </c>
      <c r="G621" s="179" t="s">
        <v>1180</v>
      </c>
      <c r="H621" s="2536"/>
      <c r="I621" s="2536">
        <v>-4000</v>
      </c>
      <c r="J621" s="2521"/>
      <c r="K621" s="194"/>
      <c r="L621" s="201"/>
      <c r="M621" s="1576"/>
      <c r="N621" s="73"/>
      <c r="O621" s="86"/>
      <c r="P621" s="1817" t="e">
        <f>INDEX(#REF!,MATCH(F621,#REF!,0),2)</f>
        <v>#REF!</v>
      </c>
      <c r="Q621" s="43"/>
      <c r="R621" s="43"/>
      <c r="S621" s="43"/>
      <c r="T621" s="43"/>
      <c r="U621" s="43"/>
      <c r="V621" s="43"/>
      <c r="W621" s="43"/>
      <c r="X621" s="43"/>
      <c r="Y621" s="43"/>
      <c r="Z621" s="43"/>
      <c r="AA621" s="43"/>
      <c r="AB621" s="43"/>
      <c r="AC621" s="43"/>
      <c r="AD621" s="43"/>
      <c r="AE621" s="43"/>
      <c r="AF621" s="43"/>
      <c r="AG621" s="43"/>
      <c r="AH621" s="4"/>
      <c r="AI621" s="4"/>
      <c r="AJ621" s="4"/>
      <c r="AK621" s="4"/>
      <c r="AL621" s="4"/>
      <c r="AM621" s="4"/>
      <c r="AN621" s="4"/>
      <c r="AO621" s="4"/>
      <c r="AP621" s="4"/>
      <c r="AQ621" s="4"/>
      <c r="AR621" s="4"/>
      <c r="AS621" s="4"/>
      <c r="AT621" s="4"/>
      <c r="AU621" s="4"/>
      <c r="AV621" s="4"/>
    </row>
    <row r="622" spans="1:48" ht="22.5">
      <c r="A622" s="176"/>
      <c r="B622" s="170" t="s">
        <v>663</v>
      </c>
      <c r="C622" s="170" t="s">
        <v>652</v>
      </c>
      <c r="D622" s="1603">
        <v>620</v>
      </c>
      <c r="E622" s="2252" t="s">
        <v>1922</v>
      </c>
      <c r="F622" s="171">
        <v>1221</v>
      </c>
      <c r="G622" s="172" t="s">
        <v>2698</v>
      </c>
      <c r="H622" s="2535">
        <v>14196</v>
      </c>
      <c r="I622" s="2535"/>
      <c r="J622" s="2520">
        <v>13691.18</v>
      </c>
      <c r="K622" s="194"/>
      <c r="L622" s="192">
        <v>10914.32446711</v>
      </c>
      <c r="M622" s="1580"/>
      <c r="N622" s="73"/>
      <c r="O622" s="86"/>
      <c r="P622" s="1817" t="e">
        <f>INDEX(#REF!,MATCH(F622,#REF!,0),2)</f>
        <v>#REF!</v>
      </c>
      <c r="Q622" s="43"/>
      <c r="R622" s="43"/>
      <c r="S622" s="43"/>
      <c r="T622" s="43"/>
      <c r="U622" s="43"/>
      <c r="V622" s="43"/>
      <c r="W622" s="43"/>
      <c r="X622" s="43"/>
      <c r="Y622" s="43"/>
      <c r="Z622" s="43"/>
      <c r="AA622" s="43"/>
      <c r="AB622" s="43"/>
      <c r="AC622" s="43"/>
      <c r="AD622" s="43"/>
      <c r="AE622" s="43"/>
      <c r="AF622" s="43"/>
      <c r="AG622" s="43"/>
      <c r="AH622" s="43"/>
      <c r="AI622" s="43"/>
      <c r="AJ622" s="43"/>
      <c r="AK622" s="43"/>
      <c r="AL622" s="43"/>
      <c r="AM622" s="43"/>
      <c r="AN622" s="43"/>
      <c r="AO622" s="43"/>
      <c r="AP622" s="43"/>
      <c r="AQ622" s="43"/>
      <c r="AR622" s="43"/>
      <c r="AS622" s="43"/>
      <c r="AT622" s="43"/>
      <c r="AU622" s="43"/>
      <c r="AV622" s="43"/>
    </row>
    <row r="623" spans="1:48">
      <c r="A623" s="175"/>
      <c r="B623" s="173" t="s">
        <v>663</v>
      </c>
      <c r="C623" s="173" t="s">
        <v>652</v>
      </c>
      <c r="D623" s="1604"/>
      <c r="E623" s="2251" t="s">
        <v>1922</v>
      </c>
      <c r="F623" s="370">
        <v>1221</v>
      </c>
      <c r="G623" s="179" t="s">
        <v>663</v>
      </c>
      <c r="H623" s="2541"/>
      <c r="I623" s="2541">
        <v>10196.217231000001</v>
      </c>
      <c r="J623" s="2524"/>
      <c r="K623" s="194"/>
      <c r="L623" s="195"/>
      <c r="M623" s="1576">
        <v>10914.32446711</v>
      </c>
      <c r="N623" s="73"/>
      <c r="O623" s="86"/>
      <c r="P623" s="1817" t="e">
        <f>INDEX(#REF!,MATCH(F623,#REF!,0),2)</f>
        <v>#REF!</v>
      </c>
      <c r="Q623" s="43"/>
      <c r="R623" s="43"/>
      <c r="S623" s="43"/>
      <c r="T623" s="43"/>
      <c r="U623" s="43"/>
      <c r="V623" s="43"/>
      <c r="W623" s="43"/>
      <c r="X623" s="43"/>
      <c r="Y623" s="43"/>
      <c r="Z623" s="43"/>
      <c r="AA623" s="43"/>
      <c r="AB623" s="43"/>
      <c r="AC623" s="43"/>
      <c r="AD623" s="43"/>
      <c r="AE623" s="43"/>
      <c r="AF623" s="43"/>
      <c r="AG623" s="43"/>
      <c r="AH623" s="43"/>
      <c r="AI623" s="43"/>
      <c r="AJ623" s="43"/>
      <c r="AK623" s="43"/>
      <c r="AL623" s="43"/>
      <c r="AM623" s="43"/>
      <c r="AN623" s="43"/>
      <c r="AO623" s="43"/>
      <c r="AP623" s="43"/>
      <c r="AQ623" s="43"/>
      <c r="AR623" s="43"/>
      <c r="AS623" s="43"/>
      <c r="AT623" s="43"/>
      <c r="AU623" s="43"/>
      <c r="AV623" s="43"/>
    </row>
    <row r="624" spans="1:48">
      <c r="A624" s="3753"/>
      <c r="B624" s="173" t="s">
        <v>663</v>
      </c>
      <c r="C624" s="173" t="s">
        <v>652</v>
      </c>
      <c r="D624" s="1604"/>
      <c r="E624" s="2251" t="s">
        <v>1922</v>
      </c>
      <c r="F624" s="370">
        <v>1221</v>
      </c>
      <c r="G624" s="3381"/>
      <c r="H624" s="2549"/>
      <c r="I624" s="2549">
        <v>4000</v>
      </c>
      <c r="J624" s="2530"/>
      <c r="K624" s="1724"/>
      <c r="L624" s="1650"/>
      <c r="M624" s="2779"/>
      <c r="N624" s="73"/>
      <c r="O624" s="86"/>
      <c r="P624" s="1817"/>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3"/>
      <c r="AT624" s="43"/>
      <c r="AU624" s="43"/>
      <c r="AV624" s="43"/>
    </row>
    <row r="625" spans="1:48">
      <c r="A625" s="1330"/>
      <c r="B625" s="755" t="s">
        <v>1248</v>
      </c>
      <c r="C625" s="755" t="s">
        <v>652</v>
      </c>
      <c r="D625" s="1605">
        <v>620</v>
      </c>
      <c r="E625" s="2254" t="s">
        <v>1922</v>
      </c>
      <c r="F625" s="1331">
        <v>1228</v>
      </c>
      <c r="G625" s="1332" t="s">
        <v>230</v>
      </c>
      <c r="H625" s="2542">
        <v>4318</v>
      </c>
      <c r="I625" s="2542"/>
      <c r="J625" s="2520">
        <v>2141.46</v>
      </c>
      <c r="K625" s="1187"/>
      <c r="L625" s="1244">
        <v>4768</v>
      </c>
      <c r="M625" s="1580"/>
      <c r="N625" s="73"/>
      <c r="O625" s="86"/>
      <c r="P625" s="1817" t="e">
        <f>INDEX(#REF!,MATCH(F625,#REF!,0),2)</f>
        <v>#REF!</v>
      </c>
      <c r="Q625" s="43"/>
      <c r="R625" s="43"/>
      <c r="S625" s="43"/>
      <c r="T625" s="43"/>
      <c r="U625" s="43"/>
      <c r="V625" s="43"/>
      <c r="W625" s="43"/>
      <c r="X625" s="43"/>
      <c r="Y625" s="43"/>
      <c r="Z625" s="43"/>
      <c r="AA625" s="43"/>
      <c r="AB625" s="43"/>
      <c r="AC625" s="43"/>
      <c r="AD625" s="43"/>
      <c r="AE625" s="43"/>
      <c r="AF625" s="43"/>
      <c r="AG625" s="43"/>
      <c r="AH625" s="43"/>
      <c r="AI625" s="43"/>
      <c r="AJ625" s="43"/>
      <c r="AK625" s="43"/>
      <c r="AL625" s="43"/>
      <c r="AM625" s="43"/>
      <c r="AN625" s="43"/>
      <c r="AO625" s="43"/>
      <c r="AP625" s="43"/>
      <c r="AQ625" s="43"/>
      <c r="AR625" s="43"/>
      <c r="AS625" s="43"/>
      <c r="AT625" s="43"/>
      <c r="AU625" s="43"/>
      <c r="AV625" s="43"/>
    </row>
    <row r="626" spans="1:48" ht="11.45" customHeight="1">
      <c r="A626" s="1268"/>
      <c r="B626" s="762" t="s">
        <v>1248</v>
      </c>
      <c r="C626" s="762" t="s">
        <v>652</v>
      </c>
      <c r="D626" s="1606"/>
      <c r="E626" s="2255" t="s">
        <v>1922</v>
      </c>
      <c r="F626" s="1329">
        <v>1228</v>
      </c>
      <c r="G626" s="1273" t="s">
        <v>646</v>
      </c>
      <c r="H626" s="2543"/>
      <c r="I626" s="2543"/>
      <c r="J626" s="2525"/>
      <c r="K626" s="1333"/>
      <c r="L626" s="1270"/>
      <c r="M626" s="1576"/>
      <c r="N626" s="73"/>
      <c r="O626" s="86"/>
      <c r="P626" s="1817" t="e">
        <f>INDEX(#REF!,MATCH(F626,#REF!,0),2)</f>
        <v>#REF!</v>
      </c>
      <c r="Q626" s="43"/>
      <c r="R626" s="43"/>
      <c r="S626" s="43"/>
      <c r="T626" s="43"/>
      <c r="U626" s="43"/>
      <c r="V626" s="43"/>
      <c r="W626" s="43"/>
      <c r="X626" s="43"/>
      <c r="Y626" s="43"/>
      <c r="Z626" s="43"/>
      <c r="AA626" s="43"/>
      <c r="AB626" s="43"/>
      <c r="AC626" s="43"/>
      <c r="AD626" s="43"/>
      <c r="AE626" s="43"/>
      <c r="AF626" s="43"/>
      <c r="AG626" s="43"/>
      <c r="AH626" s="43"/>
      <c r="AI626" s="43"/>
      <c r="AJ626" s="43"/>
      <c r="AK626" s="43"/>
      <c r="AL626" s="43"/>
      <c r="AM626" s="43"/>
      <c r="AN626" s="43"/>
      <c r="AO626" s="43"/>
      <c r="AP626" s="43"/>
      <c r="AQ626" s="43"/>
      <c r="AR626" s="43"/>
      <c r="AS626" s="43"/>
      <c r="AT626" s="43"/>
      <c r="AU626" s="43"/>
      <c r="AV626" s="43"/>
    </row>
    <row r="627" spans="1:48" ht="19.899999999999999" customHeight="1">
      <c r="A627" s="1268"/>
      <c r="B627" s="762" t="s">
        <v>1248</v>
      </c>
      <c r="C627" s="762" t="s">
        <v>652</v>
      </c>
      <c r="D627" s="1606"/>
      <c r="E627" s="2255" t="s">
        <v>1922</v>
      </c>
      <c r="F627" s="1329">
        <v>1228</v>
      </c>
      <c r="G627" s="1334" t="s">
        <v>1599</v>
      </c>
      <c r="H627" s="2544"/>
      <c r="I627" s="2544">
        <v>684</v>
      </c>
      <c r="J627" s="2526"/>
      <c r="K627" s="1175"/>
      <c r="L627" s="1173"/>
      <c r="M627" s="1576">
        <v>684</v>
      </c>
      <c r="N627" s="149"/>
      <c r="O627" s="86"/>
      <c r="P627" s="1817" t="e">
        <f>INDEX(#REF!,MATCH(F627,#REF!,0),2)</f>
        <v>#REF!</v>
      </c>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row>
    <row r="628" spans="1:48" ht="19.899999999999999" customHeight="1">
      <c r="A628" s="1268"/>
      <c r="B628" s="762" t="s">
        <v>1248</v>
      </c>
      <c r="C628" s="762" t="s">
        <v>652</v>
      </c>
      <c r="D628" s="1606"/>
      <c r="E628" s="2255" t="s">
        <v>1922</v>
      </c>
      <c r="F628" s="1329">
        <v>1228</v>
      </c>
      <c r="G628" s="1334" t="s">
        <v>1600</v>
      </c>
      <c r="H628" s="2544"/>
      <c r="I628" s="2544">
        <v>384</v>
      </c>
      <c r="J628" s="2526"/>
      <c r="K628" s="1175"/>
      <c r="L628" s="1173"/>
      <c r="M628" s="1576">
        <v>384</v>
      </c>
      <c r="N628" s="149"/>
      <c r="O628" s="86"/>
      <c r="P628" s="1817" t="e">
        <f>INDEX(#REF!,MATCH(F628,#REF!,0),2)</f>
        <v>#REF!</v>
      </c>
      <c r="Q628" s="43"/>
      <c r="R628" s="43"/>
      <c r="S628" s="43"/>
      <c r="T628" s="43"/>
      <c r="U628" s="43"/>
      <c r="V628" s="43"/>
      <c r="W628" s="43"/>
      <c r="X628" s="43"/>
      <c r="Y628" s="43"/>
      <c r="Z628" s="43"/>
      <c r="AA628" s="43"/>
      <c r="AB628" s="43"/>
      <c r="AC628" s="43"/>
      <c r="AD628" s="43"/>
      <c r="AE628" s="43"/>
      <c r="AF628" s="43"/>
      <c r="AG628" s="43"/>
      <c r="AH628" s="43"/>
      <c r="AI628" s="43"/>
      <c r="AJ628" s="43"/>
      <c r="AK628" s="43"/>
      <c r="AL628" s="43"/>
      <c r="AM628" s="43"/>
      <c r="AN628" s="43"/>
      <c r="AO628" s="43"/>
      <c r="AP628" s="43"/>
      <c r="AQ628" s="43"/>
      <c r="AR628" s="43"/>
      <c r="AS628" s="43"/>
      <c r="AT628" s="43"/>
      <c r="AU628" s="43"/>
      <c r="AV628" s="43"/>
    </row>
    <row r="629" spans="1:48" ht="11.45" customHeight="1">
      <c r="A629" s="1268"/>
      <c r="B629" s="762" t="s">
        <v>1248</v>
      </c>
      <c r="C629" s="762" t="s">
        <v>652</v>
      </c>
      <c r="D629" s="1606"/>
      <c r="E629" s="2255" t="s">
        <v>1922</v>
      </c>
      <c r="F629" s="1329">
        <v>1228</v>
      </c>
      <c r="G629" s="1334" t="s">
        <v>1601</v>
      </c>
      <c r="H629" s="2544"/>
      <c r="I629" s="2544">
        <v>252</v>
      </c>
      <c r="J629" s="2526"/>
      <c r="K629" s="1175"/>
      <c r="L629" s="1173"/>
      <c r="M629" s="1576">
        <v>252</v>
      </c>
      <c r="N629" s="73"/>
      <c r="O629" s="86"/>
      <c r="P629" s="1817" t="e">
        <f>INDEX(#REF!,MATCH(F629,#REF!,0),2)</f>
        <v>#REF!</v>
      </c>
      <c r="Q629" s="43"/>
      <c r="R629" s="43"/>
      <c r="S629" s="43"/>
      <c r="T629" s="43"/>
      <c r="U629" s="43"/>
      <c r="V629" s="43"/>
      <c r="W629" s="43"/>
      <c r="X629" s="43"/>
      <c r="Y629" s="43"/>
      <c r="Z629" s="43"/>
      <c r="AA629" s="43"/>
      <c r="AB629" s="43"/>
      <c r="AC629" s="43"/>
      <c r="AD629" s="43"/>
      <c r="AE629" s="43"/>
      <c r="AF629" s="43"/>
      <c r="AG629" s="43"/>
      <c r="AH629" s="43"/>
      <c r="AI629" s="43"/>
      <c r="AJ629" s="43"/>
      <c r="AK629" s="43"/>
      <c r="AL629" s="43"/>
      <c r="AM629" s="43"/>
      <c r="AN629" s="43"/>
      <c r="AO629" s="43"/>
      <c r="AP629" s="43"/>
      <c r="AQ629" s="43"/>
      <c r="AR629" s="43"/>
      <c r="AS629" s="43"/>
      <c r="AT629" s="43"/>
      <c r="AU629" s="43"/>
      <c r="AV629" s="43"/>
    </row>
    <row r="630" spans="1:48" ht="11.45" customHeight="1">
      <c r="A630" s="1268"/>
      <c r="B630" s="762" t="s">
        <v>1248</v>
      </c>
      <c r="C630" s="762" t="s">
        <v>652</v>
      </c>
      <c r="D630" s="1606"/>
      <c r="E630" s="2255" t="s">
        <v>1922</v>
      </c>
      <c r="F630" s="1329">
        <v>1228</v>
      </c>
      <c r="G630" s="1334" t="s">
        <v>1602</v>
      </c>
      <c r="H630" s="2544"/>
      <c r="I630" s="2544">
        <v>660</v>
      </c>
      <c r="J630" s="2526"/>
      <c r="K630" s="1175"/>
      <c r="L630" s="1173"/>
      <c r="M630" s="1576">
        <v>660</v>
      </c>
      <c r="N630" s="149"/>
      <c r="O630" s="86"/>
      <c r="P630" s="1817" t="e">
        <f>INDEX(#REF!,MATCH(F630,#REF!,0),2)</f>
        <v>#REF!</v>
      </c>
      <c r="Q630" s="43"/>
      <c r="R630" s="43"/>
      <c r="S630" s="43"/>
      <c r="T630" s="43"/>
      <c r="U630" s="43"/>
      <c r="V630" s="43"/>
      <c r="W630" s="43"/>
      <c r="X630" s="43"/>
      <c r="Y630" s="43"/>
      <c r="Z630" s="43"/>
      <c r="AA630" s="43"/>
      <c r="AB630" s="43"/>
      <c r="AC630" s="43"/>
      <c r="AD630" s="43"/>
      <c r="AE630" s="43"/>
      <c r="AF630" s="43"/>
      <c r="AG630" s="43"/>
      <c r="AH630" s="43"/>
      <c r="AI630" s="43"/>
      <c r="AJ630" s="43"/>
      <c r="AK630" s="43"/>
      <c r="AL630" s="43"/>
      <c r="AM630" s="43"/>
      <c r="AN630" s="43"/>
      <c r="AO630" s="43"/>
      <c r="AP630" s="43"/>
      <c r="AQ630" s="43"/>
      <c r="AR630" s="43"/>
      <c r="AS630" s="43"/>
      <c r="AT630" s="43"/>
      <c r="AU630" s="43"/>
      <c r="AV630" s="43"/>
    </row>
    <row r="631" spans="1:48" ht="19.149999999999999" customHeight="1">
      <c r="A631" s="1268"/>
      <c r="B631" s="762" t="s">
        <v>1248</v>
      </c>
      <c r="C631" s="762" t="s">
        <v>652</v>
      </c>
      <c r="D631" s="1606"/>
      <c r="E631" s="2255" t="s">
        <v>1922</v>
      </c>
      <c r="F631" s="1329">
        <v>1228</v>
      </c>
      <c r="G631" s="1334" t="s">
        <v>1603</v>
      </c>
      <c r="H631" s="2544"/>
      <c r="I631" s="2544">
        <v>684</v>
      </c>
      <c r="J631" s="2526"/>
      <c r="K631" s="1175"/>
      <c r="L631" s="1173"/>
      <c r="M631" s="1576">
        <v>684</v>
      </c>
      <c r="N631" s="149"/>
      <c r="O631" s="86"/>
      <c r="P631" s="1817" t="e">
        <f>INDEX(#REF!,MATCH(F631,#REF!,0),2)</f>
        <v>#REF!</v>
      </c>
      <c r="Q631" s="43"/>
      <c r="R631" s="43"/>
      <c r="S631" s="43"/>
      <c r="T631" s="43"/>
      <c r="U631" s="43"/>
      <c r="V631" s="43"/>
      <c r="W631" s="43"/>
      <c r="X631" s="43"/>
      <c r="Y631" s="43"/>
      <c r="Z631" s="43"/>
      <c r="AA631" s="43"/>
      <c r="AB631" s="43"/>
      <c r="AC631" s="43"/>
      <c r="AD631" s="43"/>
      <c r="AE631" s="43"/>
      <c r="AF631" s="43"/>
      <c r="AG631" s="43"/>
      <c r="AH631" s="43"/>
      <c r="AI631" s="43"/>
      <c r="AJ631" s="43"/>
      <c r="AK631" s="43"/>
      <c r="AL631" s="43"/>
      <c r="AM631" s="43"/>
      <c r="AN631" s="43"/>
      <c r="AO631" s="43"/>
      <c r="AP631" s="43"/>
      <c r="AQ631" s="43"/>
      <c r="AR631" s="43"/>
      <c r="AS631" s="43"/>
      <c r="AT631" s="43"/>
      <c r="AU631" s="43"/>
      <c r="AV631" s="43"/>
    </row>
    <row r="632" spans="1:48" ht="11.45" customHeight="1">
      <c r="A632" s="1268"/>
      <c r="B632" s="762" t="s">
        <v>1248</v>
      </c>
      <c r="C632" s="762" t="s">
        <v>652</v>
      </c>
      <c r="D632" s="1606"/>
      <c r="E632" s="2255" t="s">
        <v>1922</v>
      </c>
      <c r="F632" s="1329">
        <v>1228</v>
      </c>
      <c r="G632" s="1334" t="s">
        <v>1604</v>
      </c>
      <c r="H632" s="2544"/>
      <c r="I632" s="2544">
        <v>660</v>
      </c>
      <c r="J632" s="2526"/>
      <c r="K632" s="1175"/>
      <c r="L632" s="1173"/>
      <c r="M632" s="1576">
        <v>660</v>
      </c>
      <c r="N632" s="149"/>
      <c r="O632" s="86"/>
      <c r="P632" s="1817" t="e">
        <f>INDEX(#REF!,MATCH(F632,#REF!,0),2)</f>
        <v>#REF!</v>
      </c>
      <c r="Q632" s="43"/>
      <c r="R632" s="43"/>
      <c r="S632" s="43"/>
      <c r="T632" s="43"/>
      <c r="U632" s="43"/>
      <c r="V632" s="43"/>
      <c r="W632" s="43"/>
      <c r="X632" s="43"/>
      <c r="Y632" s="43"/>
      <c r="Z632" s="43"/>
      <c r="AA632" s="43"/>
      <c r="AB632" s="43"/>
      <c r="AC632" s="43"/>
      <c r="AD632" s="43"/>
      <c r="AE632" s="43"/>
      <c r="AF632" s="43"/>
      <c r="AG632" s="43"/>
      <c r="AH632" s="43"/>
      <c r="AI632" s="43"/>
      <c r="AJ632" s="43"/>
      <c r="AK632" s="43"/>
      <c r="AL632" s="43"/>
      <c r="AM632" s="43"/>
      <c r="AN632" s="43"/>
      <c r="AO632" s="43"/>
      <c r="AP632" s="43"/>
      <c r="AQ632" s="43"/>
      <c r="AR632" s="43"/>
      <c r="AS632" s="43"/>
      <c r="AT632" s="43"/>
      <c r="AU632" s="43"/>
      <c r="AV632" s="43"/>
    </row>
    <row r="633" spans="1:48" ht="11.45" customHeight="1">
      <c r="A633" s="1268"/>
      <c r="B633" s="762" t="s">
        <v>1248</v>
      </c>
      <c r="C633" s="762" t="s">
        <v>652</v>
      </c>
      <c r="D633" s="1606"/>
      <c r="E633" s="2255" t="s">
        <v>1922</v>
      </c>
      <c r="F633" s="1329">
        <v>1228</v>
      </c>
      <c r="G633" s="1334" t="s">
        <v>1605</v>
      </c>
      <c r="H633" s="2544"/>
      <c r="I633" s="2544">
        <v>384</v>
      </c>
      <c r="J633" s="2526"/>
      <c r="K633" s="1175"/>
      <c r="L633" s="1173"/>
      <c r="M633" s="1576">
        <v>384</v>
      </c>
      <c r="N633" s="149"/>
      <c r="O633" s="86"/>
      <c r="P633" s="1817" t="e">
        <f>INDEX(#REF!,MATCH(F633,#REF!,0),2)</f>
        <v>#REF!</v>
      </c>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row>
    <row r="634" spans="1:48" ht="24.75" customHeight="1">
      <c r="A634" s="1268"/>
      <c r="B634" s="762" t="s">
        <v>1248</v>
      </c>
      <c r="C634" s="762" t="s">
        <v>652</v>
      </c>
      <c r="D634" s="1606"/>
      <c r="E634" s="2255" t="s">
        <v>1922</v>
      </c>
      <c r="F634" s="1329">
        <v>1228</v>
      </c>
      <c r="G634" s="1273" t="s">
        <v>3419</v>
      </c>
      <c r="H634" s="2545"/>
      <c r="I634" s="2545">
        <v>610</v>
      </c>
      <c r="J634" s="2527"/>
      <c r="K634" s="1337"/>
      <c r="L634" s="1336"/>
      <c r="M634" s="1646">
        <v>1060</v>
      </c>
      <c r="N634" s="149"/>
      <c r="O634" s="86"/>
      <c r="P634" s="1817" t="e">
        <f>INDEX(#REF!,MATCH(F634,#REF!,0),2)</f>
        <v>#REF!</v>
      </c>
      <c r="Q634" s="43"/>
      <c r="R634" s="43"/>
      <c r="S634" s="43"/>
      <c r="T634" s="43"/>
      <c r="U634" s="43"/>
      <c r="V634" s="43"/>
      <c r="W634" s="43"/>
      <c r="X634" s="43"/>
      <c r="Y634" s="43"/>
      <c r="Z634" s="43"/>
      <c r="AA634" s="43"/>
      <c r="AB634" s="43"/>
      <c r="AC634" s="43"/>
      <c r="AD634" s="43"/>
      <c r="AE634" s="43"/>
      <c r="AF634" s="43"/>
      <c r="AG634" s="43"/>
      <c r="AH634" s="43"/>
      <c r="AI634" s="43"/>
      <c r="AJ634" s="43"/>
      <c r="AL634" s="43"/>
      <c r="AM634" s="43"/>
      <c r="AN634" s="43"/>
      <c r="AO634" s="43"/>
      <c r="AP634" s="43"/>
      <c r="AQ634" s="43"/>
      <c r="AR634" s="43"/>
      <c r="AS634" s="43"/>
      <c r="AT634" s="43"/>
      <c r="AU634" s="43"/>
      <c r="AV634" s="43"/>
    </row>
    <row r="635" spans="1:48" ht="14.25" customHeight="1">
      <c r="A635" s="176"/>
      <c r="B635" s="170" t="s">
        <v>1248</v>
      </c>
      <c r="C635" s="170" t="s">
        <v>507</v>
      </c>
      <c r="D635" s="1603">
        <v>620</v>
      </c>
      <c r="E635" s="2252" t="s">
        <v>1922</v>
      </c>
      <c r="F635" s="171">
        <v>2121</v>
      </c>
      <c r="G635" s="172" t="s">
        <v>1011</v>
      </c>
      <c r="H635" s="2535">
        <v>0</v>
      </c>
      <c r="I635" s="2535"/>
      <c r="J635" s="2520" t="s">
        <v>2426</v>
      </c>
      <c r="K635" s="194"/>
      <c r="L635" s="192">
        <v>0</v>
      </c>
      <c r="M635" s="1580"/>
      <c r="N635" s="149"/>
      <c r="O635" s="86"/>
      <c r="P635" s="1817" t="e">
        <f>INDEX(#REF!,MATCH(F635,#REF!,0),2)</f>
        <v>#REF!</v>
      </c>
      <c r="Q635" s="43"/>
      <c r="R635" s="43"/>
      <c r="S635" s="43"/>
      <c r="T635" s="43"/>
      <c r="U635" s="43"/>
      <c r="V635" s="43"/>
      <c r="W635" s="43"/>
      <c r="X635" s="43"/>
      <c r="Y635" s="43"/>
      <c r="Z635" s="43"/>
      <c r="AA635" s="43"/>
      <c r="AB635" s="43"/>
      <c r="AC635" s="43"/>
      <c r="AD635" s="43"/>
      <c r="AE635" s="43"/>
      <c r="AF635" s="43"/>
      <c r="AG635" s="43"/>
      <c r="AH635" s="43"/>
      <c r="AI635" s="43"/>
      <c r="AJ635" s="43"/>
      <c r="AK635" s="43"/>
      <c r="AL635" s="43"/>
      <c r="AM635" s="43"/>
      <c r="AN635" s="43"/>
      <c r="AO635" s="43"/>
      <c r="AP635" s="43"/>
      <c r="AQ635" s="43"/>
      <c r="AR635" s="43"/>
      <c r="AS635" s="43"/>
      <c r="AT635" s="43"/>
      <c r="AU635" s="43"/>
      <c r="AV635" s="43"/>
    </row>
    <row r="636" spans="1:48" ht="13.15" customHeight="1">
      <c r="A636" s="175"/>
      <c r="B636" s="173" t="s">
        <v>1248</v>
      </c>
      <c r="C636" s="173" t="s">
        <v>507</v>
      </c>
      <c r="D636" s="1604"/>
      <c r="E636" s="2251" t="s">
        <v>1922</v>
      </c>
      <c r="F636" s="370">
        <v>2121</v>
      </c>
      <c r="G636" s="174" t="s">
        <v>271</v>
      </c>
      <c r="H636" s="2541"/>
      <c r="I636" s="2541"/>
      <c r="J636" s="2524"/>
      <c r="K636" s="187"/>
      <c r="L636" s="195"/>
      <c r="M636" s="1576"/>
      <c r="N636" s="149"/>
      <c r="O636" s="86"/>
      <c r="P636" s="1817" t="e">
        <f>INDEX(#REF!,MATCH(F636,#REF!,0),2)</f>
        <v>#REF!</v>
      </c>
      <c r="Q636" s="43"/>
      <c r="R636" s="43"/>
      <c r="S636" s="43"/>
      <c r="T636" s="43"/>
      <c r="U636" s="43"/>
      <c r="V636" s="43"/>
      <c r="W636" s="43"/>
      <c r="X636" s="43"/>
      <c r="Y636" s="43"/>
      <c r="Z636" s="43"/>
      <c r="AA636" s="43"/>
      <c r="AB636" s="43"/>
      <c r="AC636" s="43"/>
      <c r="AD636" s="43"/>
      <c r="AE636" s="43"/>
      <c r="AF636" s="43"/>
      <c r="AG636" s="43"/>
      <c r="AH636" s="43"/>
      <c r="AI636" s="43"/>
      <c r="AJ636" s="43"/>
      <c r="AK636" s="43"/>
      <c r="AL636" s="43"/>
      <c r="AM636" s="43"/>
      <c r="AN636" s="43"/>
      <c r="AO636" s="43"/>
      <c r="AP636" s="43"/>
      <c r="AQ636" s="43"/>
      <c r="AR636" s="43"/>
      <c r="AS636" s="43"/>
      <c r="AT636" s="43"/>
      <c r="AU636" s="43"/>
      <c r="AV636" s="43"/>
    </row>
    <row r="637" spans="1:48" ht="14.25" customHeight="1">
      <c r="A637" s="176"/>
      <c r="B637" s="170" t="s">
        <v>1248</v>
      </c>
      <c r="C637" s="170" t="s">
        <v>507</v>
      </c>
      <c r="D637" s="1603">
        <v>620</v>
      </c>
      <c r="E637" s="2252" t="s">
        <v>1922</v>
      </c>
      <c r="F637" s="171">
        <v>2210</v>
      </c>
      <c r="G637" s="172" t="s">
        <v>879</v>
      </c>
      <c r="H637" s="2535">
        <v>1418</v>
      </c>
      <c r="I637" s="2535"/>
      <c r="J637" s="2520">
        <v>644.19000000000005</v>
      </c>
      <c r="K637" s="194"/>
      <c r="L637" s="192">
        <v>1418</v>
      </c>
      <c r="M637" s="1580"/>
      <c r="N637" s="154"/>
      <c r="O637" s="86"/>
      <c r="P637" s="1817" t="e">
        <f>INDEX(#REF!,MATCH(F637,#REF!,0),2)</f>
        <v>#REF!</v>
      </c>
      <c r="Q637" s="43"/>
      <c r="R637" s="43"/>
      <c r="S637" s="43"/>
      <c r="T637" s="43"/>
      <c r="U637" s="43"/>
      <c r="V637" s="43"/>
      <c r="W637" s="43"/>
      <c r="X637" s="43"/>
      <c r="Y637" s="43"/>
      <c r="Z637" s="43"/>
      <c r="AA637" s="43"/>
      <c r="AB637" s="43"/>
      <c r="AC637" s="43"/>
      <c r="AD637" s="43"/>
      <c r="AE637" s="43"/>
      <c r="AF637" s="43"/>
      <c r="AG637" s="43"/>
      <c r="AH637" s="43"/>
      <c r="AI637" s="43"/>
      <c r="AJ637" s="43"/>
      <c r="AK637" s="43"/>
      <c r="AL637" s="43"/>
      <c r="AM637" s="43"/>
      <c r="AN637" s="43"/>
      <c r="AO637" s="43"/>
      <c r="AP637" s="43"/>
      <c r="AQ637" s="43"/>
      <c r="AR637" s="43"/>
      <c r="AS637" s="43"/>
      <c r="AT637" s="43"/>
      <c r="AU637" s="43"/>
      <c r="AV637" s="43"/>
    </row>
    <row r="638" spans="1:48">
      <c r="A638" s="175"/>
      <c r="B638" s="173" t="s">
        <v>1248</v>
      </c>
      <c r="C638" s="173" t="s">
        <v>507</v>
      </c>
      <c r="D638" s="1604"/>
      <c r="E638" s="2251" t="s">
        <v>1922</v>
      </c>
      <c r="F638" s="370">
        <v>2210</v>
      </c>
      <c r="G638" s="1567" t="s">
        <v>2277</v>
      </c>
      <c r="H638" s="2541"/>
      <c r="I638" s="2541">
        <v>500</v>
      </c>
      <c r="J638" s="2524"/>
      <c r="K638" s="187"/>
      <c r="L638" s="195"/>
      <c r="M638" s="1576">
        <v>500</v>
      </c>
      <c r="N638" s="154"/>
      <c r="O638" s="86"/>
      <c r="P638" s="1817" t="e">
        <f>INDEX(#REF!,MATCH(F638,#REF!,0),2)</f>
        <v>#REF!</v>
      </c>
      <c r="Q638" s="43"/>
      <c r="R638" s="43"/>
      <c r="S638" s="43"/>
      <c r="T638" s="43"/>
      <c r="U638" s="43"/>
      <c r="V638" s="43"/>
      <c r="W638" s="43"/>
      <c r="X638" s="43"/>
      <c r="Y638" s="43"/>
      <c r="Z638" s="43"/>
      <c r="AA638" s="43"/>
      <c r="AB638" s="43"/>
      <c r="AC638" s="43"/>
      <c r="AD638" s="43"/>
      <c r="AE638" s="43"/>
      <c r="AF638" s="43"/>
      <c r="AG638" s="43"/>
      <c r="AH638" s="43"/>
      <c r="AI638" s="43"/>
      <c r="AJ638" s="43"/>
      <c r="AK638" s="43"/>
      <c r="AL638" s="43"/>
      <c r="AM638" s="43"/>
      <c r="AN638" s="43"/>
      <c r="AO638" s="43"/>
      <c r="AP638" s="43"/>
      <c r="AQ638" s="43"/>
      <c r="AR638" s="43"/>
      <c r="AS638" s="43"/>
      <c r="AT638" s="43"/>
      <c r="AU638" s="43"/>
      <c r="AV638" s="43"/>
    </row>
    <row r="639" spans="1:48">
      <c r="A639" s="1000"/>
      <c r="B639" s="173" t="s">
        <v>1248</v>
      </c>
      <c r="C639" s="173" t="s">
        <v>507</v>
      </c>
      <c r="D639" s="1604"/>
      <c r="E639" s="2251" t="s">
        <v>1922</v>
      </c>
      <c r="F639" s="370">
        <v>2210</v>
      </c>
      <c r="G639" s="1567" t="s">
        <v>3421</v>
      </c>
      <c r="H639" s="2546"/>
      <c r="I639" s="2546">
        <v>918</v>
      </c>
      <c r="J639" s="2528"/>
      <c r="K639" s="967"/>
      <c r="L639" s="968"/>
      <c r="M639" s="1576">
        <v>918</v>
      </c>
      <c r="N639" s="154" t="s">
        <v>3420</v>
      </c>
      <c r="O639" s="86"/>
      <c r="P639" s="1817" t="e">
        <f>INDEX(#REF!,MATCH(F639,#REF!,0),2)</f>
        <v>#REF!</v>
      </c>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row>
    <row r="640" spans="1:48" ht="14.25" customHeight="1">
      <c r="A640" s="176"/>
      <c r="B640" s="170" t="s">
        <v>1248</v>
      </c>
      <c r="C640" s="170" t="s">
        <v>507</v>
      </c>
      <c r="D640" s="1603">
        <v>620</v>
      </c>
      <c r="E640" s="2252" t="s">
        <v>1922</v>
      </c>
      <c r="F640" s="171">
        <v>2222</v>
      </c>
      <c r="G640" s="172" t="s">
        <v>272</v>
      </c>
      <c r="H640" s="2535">
        <v>720</v>
      </c>
      <c r="I640" s="2535"/>
      <c r="J640" s="2520">
        <v>0</v>
      </c>
      <c r="K640" s="194"/>
      <c r="L640" s="193">
        <v>0</v>
      </c>
      <c r="M640" s="1578"/>
      <c r="N640" s="149"/>
      <c r="O640" s="86"/>
      <c r="P640" s="1817" t="e">
        <f>INDEX(#REF!,MATCH(F640,#REF!,0),2)</f>
        <v>#REF!</v>
      </c>
      <c r="Q640" s="43"/>
      <c r="R640" s="43"/>
      <c r="S640" s="43"/>
      <c r="T640" s="43"/>
      <c r="U640" s="43"/>
      <c r="V640" s="43"/>
      <c r="W640" s="43"/>
      <c r="X640" s="43"/>
      <c r="Y640" s="43"/>
      <c r="Z640" s="43"/>
      <c r="AA640" s="43"/>
      <c r="AB640" s="43"/>
      <c r="AC640" s="43"/>
      <c r="AD640" s="43"/>
      <c r="AE640" s="43"/>
      <c r="AF640" s="43"/>
      <c r="AG640" s="43"/>
      <c r="AH640" s="43"/>
      <c r="AI640" s="43"/>
      <c r="AJ640" s="43"/>
      <c r="AK640" s="43"/>
      <c r="AL640" s="43"/>
      <c r="AM640" s="43"/>
      <c r="AN640" s="43"/>
      <c r="AO640" s="43"/>
      <c r="AP640" s="43"/>
      <c r="AQ640" s="43"/>
      <c r="AR640" s="43"/>
      <c r="AS640" s="43"/>
      <c r="AT640" s="43"/>
      <c r="AU640" s="43"/>
      <c r="AV640" s="43"/>
    </row>
    <row r="641" spans="1:48" ht="13.15" customHeight="1">
      <c r="A641" s="175"/>
      <c r="B641" s="173" t="s">
        <v>1248</v>
      </c>
      <c r="C641" s="173" t="s">
        <v>507</v>
      </c>
      <c r="D641" s="1604"/>
      <c r="E641" s="2251" t="s">
        <v>1922</v>
      </c>
      <c r="F641" s="370">
        <v>2222</v>
      </c>
      <c r="G641" s="562" t="s">
        <v>1195</v>
      </c>
      <c r="H641" s="2541"/>
      <c r="I641" s="2541">
        <v>720</v>
      </c>
      <c r="J641" s="2524"/>
      <c r="K641" s="187"/>
      <c r="L641" s="185"/>
      <c r="M641" s="1575">
        <v>0</v>
      </c>
      <c r="N641" s="149" t="s">
        <v>5746</v>
      </c>
      <c r="O641" s="86"/>
      <c r="P641" s="1817" t="e">
        <f>INDEX(#REF!,MATCH(F641,#REF!,0),2)</f>
        <v>#REF!</v>
      </c>
      <c r="Q641" s="43"/>
      <c r="R641" s="43"/>
      <c r="S641" s="43"/>
      <c r="T641" s="43"/>
      <c r="U641" s="43"/>
      <c r="V641" s="43"/>
      <c r="W641" s="43"/>
      <c r="X641" s="43"/>
      <c r="Y641" s="43"/>
      <c r="Z641" s="43"/>
      <c r="AA641" s="43"/>
      <c r="AB641" s="43"/>
      <c r="AC641" s="43"/>
      <c r="AD641" s="43"/>
      <c r="AE641" s="43"/>
      <c r="AF641" s="43"/>
      <c r="AG641" s="43"/>
      <c r="AH641" s="43"/>
      <c r="AI641" s="43"/>
      <c r="AJ641" s="43"/>
      <c r="AK641" s="43"/>
      <c r="AL641" s="43"/>
      <c r="AM641" s="43"/>
      <c r="AN641" s="43"/>
      <c r="AO641" s="43"/>
      <c r="AP641" s="43"/>
      <c r="AQ641" s="43"/>
      <c r="AR641" s="43"/>
      <c r="AS641" s="43"/>
      <c r="AT641" s="43"/>
      <c r="AU641" s="43"/>
      <c r="AV641" s="43"/>
    </row>
    <row r="642" spans="1:48" ht="14.25" customHeight="1">
      <c r="A642" s="176"/>
      <c r="B642" s="170" t="s">
        <v>1248</v>
      </c>
      <c r="C642" s="170" t="s">
        <v>507</v>
      </c>
      <c r="D642" s="1603">
        <v>620</v>
      </c>
      <c r="E642" s="2252" t="s">
        <v>1922</v>
      </c>
      <c r="F642" s="171">
        <v>2223</v>
      </c>
      <c r="G642" s="172" t="s">
        <v>273</v>
      </c>
      <c r="H642" s="2535">
        <v>16000</v>
      </c>
      <c r="I642" s="2535"/>
      <c r="J642" s="2520">
        <v>0</v>
      </c>
      <c r="K642" s="194"/>
      <c r="L642" s="193">
        <v>0</v>
      </c>
      <c r="M642" s="1578"/>
      <c r="N642" s="149"/>
      <c r="O642" s="86"/>
      <c r="P642" s="1817" t="e">
        <f>INDEX(#REF!,MATCH(F642,#REF!,0),2)</f>
        <v>#REF!</v>
      </c>
      <c r="Q642" s="43"/>
      <c r="R642" s="43"/>
      <c r="S642" s="43"/>
      <c r="T642" s="43"/>
      <c r="U642" s="43"/>
      <c r="V642" s="43"/>
      <c r="W642" s="43"/>
      <c r="X642" s="43"/>
      <c r="Y642" s="43"/>
      <c r="Z642" s="43"/>
      <c r="AA642" s="43"/>
      <c r="AB642" s="43"/>
      <c r="AC642" s="43"/>
      <c r="AD642" s="43"/>
      <c r="AE642" s="43"/>
      <c r="AF642" s="43"/>
      <c r="AG642" s="43"/>
      <c r="AH642" s="43"/>
      <c r="AI642" s="43"/>
      <c r="AJ642" s="43"/>
      <c r="AK642" s="43"/>
      <c r="AL642" s="43"/>
      <c r="AM642" s="43"/>
      <c r="AN642" s="43"/>
      <c r="AO642" s="43"/>
      <c r="AP642" s="43"/>
      <c r="AQ642" s="43"/>
      <c r="AR642" s="43"/>
      <c r="AS642" s="43"/>
      <c r="AT642" s="43"/>
      <c r="AU642" s="43"/>
      <c r="AV642" s="43"/>
    </row>
    <row r="643" spans="1:48" ht="13.15" customHeight="1">
      <c r="A643" s="175"/>
      <c r="B643" s="173" t="s">
        <v>1248</v>
      </c>
      <c r="C643" s="173" t="s">
        <v>507</v>
      </c>
      <c r="D643" s="1604"/>
      <c r="E643" s="2251" t="s">
        <v>1922</v>
      </c>
      <c r="F643" s="370">
        <v>2223</v>
      </c>
      <c r="G643" s="562" t="s">
        <v>1195</v>
      </c>
      <c r="H643" s="2541"/>
      <c r="I643" s="2541">
        <v>16000</v>
      </c>
      <c r="J643" s="2524"/>
      <c r="K643" s="187"/>
      <c r="L643" s="185"/>
      <c r="M643" s="1575">
        <v>0</v>
      </c>
      <c r="N643" s="149" t="s">
        <v>5746</v>
      </c>
      <c r="O643" s="86"/>
      <c r="P643" s="1817" t="e">
        <f>INDEX(#REF!,MATCH(F643,#REF!,0),2)</f>
        <v>#REF!</v>
      </c>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3"/>
      <c r="AT643" s="43"/>
      <c r="AU643" s="43"/>
      <c r="AV643" s="43"/>
    </row>
    <row r="644" spans="1:48" ht="11.45" customHeight="1">
      <c r="A644" s="170"/>
      <c r="B644" s="170" t="s">
        <v>1248</v>
      </c>
      <c r="C644" s="170" t="s">
        <v>505</v>
      </c>
      <c r="D644" s="1603">
        <v>620</v>
      </c>
      <c r="E644" s="2252" t="s">
        <v>1922</v>
      </c>
      <c r="F644" s="171">
        <v>2234</v>
      </c>
      <c r="G644" s="172" t="s">
        <v>235</v>
      </c>
      <c r="H644" s="2535">
        <v>200</v>
      </c>
      <c r="I644" s="2535"/>
      <c r="J644" s="2520">
        <v>39.4</v>
      </c>
      <c r="K644" s="194"/>
      <c r="L644" s="192">
        <v>360</v>
      </c>
      <c r="M644" s="1580"/>
      <c r="N644" s="73"/>
      <c r="O644" s="86"/>
      <c r="P644" s="1817" t="e">
        <f>INDEX(#REF!,MATCH(F644,#REF!,0),2)</f>
        <v>#REF!</v>
      </c>
      <c r="Q644" s="43"/>
      <c r="R644" s="43"/>
      <c r="S644" s="43"/>
      <c r="T644" s="43"/>
      <c r="U644" s="43"/>
      <c r="V644" s="43"/>
      <c r="W644" s="43"/>
      <c r="X644" s="43"/>
      <c r="Y644" s="43"/>
      <c r="Z644" s="43"/>
      <c r="AA644" s="43"/>
      <c r="AB644" s="43"/>
      <c r="AC644" s="43"/>
      <c r="AD644" s="43"/>
      <c r="AE644" s="43"/>
      <c r="AF644" s="43"/>
      <c r="AG644" s="43"/>
      <c r="AH644" s="43"/>
      <c r="AI644" s="43"/>
      <c r="AJ644" s="43"/>
      <c r="AL644" s="43"/>
      <c r="AM644" s="43"/>
      <c r="AN644" s="43"/>
      <c r="AO644" s="43"/>
      <c r="AP644" s="43"/>
      <c r="AQ644" s="43"/>
      <c r="AR644" s="43"/>
      <c r="AS644" s="43"/>
      <c r="AT644" s="43"/>
      <c r="AU644" s="43"/>
      <c r="AV644" s="43"/>
    </row>
    <row r="645" spans="1:48" ht="11.45" customHeight="1">
      <c r="A645" s="173"/>
      <c r="B645" s="173" t="s">
        <v>1248</v>
      </c>
      <c r="C645" s="173" t="s">
        <v>505</v>
      </c>
      <c r="D645" s="1604"/>
      <c r="E645" s="2251" t="s">
        <v>1922</v>
      </c>
      <c r="F645" s="370">
        <v>2234</v>
      </c>
      <c r="G645" s="323" t="s">
        <v>3422</v>
      </c>
      <c r="H645" s="2541"/>
      <c r="I645" s="2547">
        <v>200</v>
      </c>
      <c r="J645" s="2524"/>
      <c r="K645" s="187"/>
      <c r="L645" s="195"/>
      <c r="M645" s="1646">
        <v>360</v>
      </c>
      <c r="N645" s="73"/>
      <c r="O645" s="86"/>
      <c r="P645" s="1817" t="e">
        <f>INDEX(#REF!,MATCH(F645,#REF!,0),2)</f>
        <v>#REF!</v>
      </c>
      <c r="Q645" s="43"/>
      <c r="R645" s="43"/>
      <c r="S645" s="43"/>
      <c r="T645" s="43"/>
      <c r="U645" s="43"/>
      <c r="V645" s="43"/>
      <c r="W645" s="43"/>
      <c r="X645" s="43"/>
      <c r="Y645" s="43"/>
      <c r="Z645" s="43"/>
      <c r="AA645" s="43"/>
      <c r="AB645" s="43"/>
      <c r="AC645" s="43"/>
      <c r="AD645" s="43"/>
      <c r="AE645" s="43"/>
      <c r="AF645" s="43"/>
      <c r="AG645" s="43"/>
      <c r="AH645" s="43"/>
      <c r="AI645" s="43"/>
      <c r="AJ645" s="43"/>
      <c r="AL645" s="43"/>
      <c r="AM645" s="43"/>
      <c r="AN645" s="43"/>
      <c r="AO645" s="43"/>
      <c r="AP645" s="43"/>
      <c r="AQ645" s="43"/>
      <c r="AR645" s="43"/>
      <c r="AS645" s="43"/>
      <c r="AT645" s="43"/>
      <c r="AU645" s="43"/>
      <c r="AV645" s="43"/>
    </row>
    <row r="646" spans="1:48" ht="11.45" customHeight="1">
      <c r="A646" s="170"/>
      <c r="B646" s="170" t="s">
        <v>1248</v>
      </c>
      <c r="C646" s="170" t="s">
        <v>505</v>
      </c>
      <c r="D646" s="1603">
        <v>620</v>
      </c>
      <c r="E646" s="2252" t="s">
        <v>1922</v>
      </c>
      <c r="F646" s="171">
        <v>2235</v>
      </c>
      <c r="G646" s="172" t="s">
        <v>1570</v>
      </c>
      <c r="H646" s="2535">
        <v>2350</v>
      </c>
      <c r="I646" s="2535"/>
      <c r="J646" s="2520" t="s">
        <v>2426</v>
      </c>
      <c r="K646" s="194"/>
      <c r="L646" s="192">
        <v>2350</v>
      </c>
      <c r="M646" s="1580"/>
      <c r="N646" s="73"/>
      <c r="O646" s="86"/>
      <c r="P646" s="1817" t="e">
        <f>INDEX(#REF!,MATCH(F646,#REF!,0),2)</f>
        <v>#REF!</v>
      </c>
      <c r="Q646" s="43"/>
      <c r="R646" s="43"/>
      <c r="S646" s="43"/>
      <c r="T646" s="43"/>
      <c r="U646" s="43"/>
      <c r="V646" s="43"/>
      <c r="W646" s="43"/>
      <c r="X646" s="43"/>
      <c r="Y646" s="43"/>
      <c r="Z646" s="43"/>
      <c r="AA646" s="43"/>
      <c r="AB646" s="43"/>
      <c r="AC646" s="43"/>
      <c r="AD646" s="43"/>
      <c r="AE646" s="43"/>
      <c r="AF646" s="43"/>
      <c r="AG646" s="43"/>
      <c r="AH646" s="43"/>
      <c r="AI646" s="43"/>
      <c r="AJ646" s="43"/>
      <c r="AL646" s="43"/>
      <c r="AM646" s="43"/>
      <c r="AN646" s="43"/>
      <c r="AO646" s="43"/>
      <c r="AP646" s="43"/>
      <c r="AQ646" s="43"/>
      <c r="AR646" s="43"/>
      <c r="AS646" s="43"/>
      <c r="AT646" s="43"/>
      <c r="AU646" s="43"/>
      <c r="AV646" s="43"/>
    </row>
    <row r="647" spans="1:48" ht="22.9" customHeight="1">
      <c r="A647" s="173"/>
      <c r="B647" s="173" t="s">
        <v>1248</v>
      </c>
      <c r="C647" s="173" t="s">
        <v>505</v>
      </c>
      <c r="D647" s="1604"/>
      <c r="E647" s="2251" t="s">
        <v>1922</v>
      </c>
      <c r="F647" s="370">
        <v>2235</v>
      </c>
      <c r="G647" s="2518" t="s">
        <v>913</v>
      </c>
      <c r="H647" s="2541"/>
      <c r="I647" s="2541">
        <v>2350</v>
      </c>
      <c r="J647" s="2524">
        <v>475</v>
      </c>
      <c r="K647" s="187"/>
      <c r="L647" s="195"/>
      <c r="M647" s="1646">
        <v>2350</v>
      </c>
      <c r="N647" s="73" t="s">
        <v>3426</v>
      </c>
      <c r="O647" s="86"/>
      <c r="P647" s="1817" t="e">
        <f>INDEX(#REF!,MATCH(F647,#REF!,0),2)</f>
        <v>#REF!</v>
      </c>
      <c r="Q647" s="43"/>
      <c r="R647" s="43"/>
      <c r="S647" s="43"/>
      <c r="T647" s="43"/>
      <c r="U647" s="43"/>
      <c r="V647" s="43"/>
      <c r="W647" s="43"/>
      <c r="X647" s="43"/>
      <c r="Y647" s="43"/>
      <c r="Z647" s="43"/>
      <c r="AA647" s="43"/>
      <c r="AB647" s="43"/>
      <c r="AC647" s="43"/>
      <c r="AD647" s="43"/>
      <c r="AE647" s="43"/>
      <c r="AF647" s="43"/>
      <c r="AG647" s="43"/>
      <c r="AH647" s="43"/>
      <c r="AI647" s="43"/>
      <c r="AJ647" s="43"/>
      <c r="AL647" s="43"/>
      <c r="AM647" s="43"/>
      <c r="AN647" s="43"/>
      <c r="AO647" s="43"/>
      <c r="AP647" s="43"/>
      <c r="AQ647" s="43"/>
      <c r="AR647" s="43"/>
      <c r="AS647" s="43"/>
      <c r="AT647" s="43"/>
      <c r="AU647" s="43"/>
      <c r="AV647" s="43"/>
    </row>
    <row r="648" spans="1:48" ht="33" customHeight="1">
      <c r="A648" s="176"/>
      <c r="B648" s="170" t="s">
        <v>1248</v>
      </c>
      <c r="C648" s="170" t="s">
        <v>507</v>
      </c>
      <c r="D648" s="1603">
        <v>620</v>
      </c>
      <c r="E648" s="2252" t="s">
        <v>1922</v>
      </c>
      <c r="F648" s="171">
        <v>2239</v>
      </c>
      <c r="G648" s="172" t="s">
        <v>237</v>
      </c>
      <c r="H648" s="2535">
        <v>3013.8</v>
      </c>
      <c r="I648" s="2535"/>
      <c r="J648" s="2520">
        <v>1663.15</v>
      </c>
      <c r="K648" s="194"/>
      <c r="L648" s="192">
        <v>3119.8</v>
      </c>
      <c r="M648" s="1580"/>
      <c r="N648" s="73"/>
      <c r="O648" s="86"/>
      <c r="P648" s="1817" t="e">
        <f>INDEX(#REF!,MATCH(F648,#REF!,0),2)</f>
        <v>#REF!</v>
      </c>
      <c r="Q648" s="43"/>
      <c r="R648" s="43"/>
      <c r="S648" s="43"/>
      <c r="T648" s="43"/>
      <c r="U648" s="43"/>
      <c r="V648" s="43"/>
      <c r="W648" s="43"/>
      <c r="X648" s="43"/>
      <c r="Y648" s="43"/>
      <c r="Z648" s="43"/>
      <c r="AA648" s="43"/>
      <c r="AB648" s="43"/>
      <c r="AC648" s="43"/>
      <c r="AD648" s="43"/>
      <c r="AE648" s="43"/>
      <c r="AF648" s="43"/>
      <c r="AG648" s="43"/>
      <c r="AH648" s="43"/>
      <c r="AI648" s="43"/>
      <c r="AJ648" s="43"/>
      <c r="AL648" s="43"/>
      <c r="AM648" s="43"/>
      <c r="AN648" s="43"/>
      <c r="AO648" s="43"/>
      <c r="AP648" s="43"/>
      <c r="AQ648" s="43"/>
      <c r="AR648" s="43"/>
      <c r="AS648" s="43"/>
      <c r="AT648" s="43"/>
      <c r="AU648" s="43"/>
      <c r="AV648" s="43"/>
    </row>
    <row r="649" spans="1:48" ht="20.45" customHeight="1">
      <c r="A649" s="175"/>
      <c r="B649" s="173" t="s">
        <v>1248</v>
      </c>
      <c r="C649" s="173" t="s">
        <v>507</v>
      </c>
      <c r="D649" s="1604"/>
      <c r="E649" s="2251" t="s">
        <v>1922</v>
      </c>
      <c r="F649" s="370">
        <v>2239</v>
      </c>
      <c r="G649" s="298" t="s">
        <v>1542</v>
      </c>
      <c r="H649" s="2541"/>
      <c r="I649" s="2541">
        <v>150</v>
      </c>
      <c r="J649" s="2524"/>
      <c r="K649" s="187"/>
      <c r="L649" s="195"/>
      <c r="M649" s="1576">
        <v>150</v>
      </c>
      <c r="N649" s="149"/>
      <c r="O649" s="86"/>
      <c r="P649" s="1817" t="e">
        <f>INDEX(#REF!,MATCH(F649,#REF!,0),2)</f>
        <v>#REF!</v>
      </c>
      <c r="Q649" s="43"/>
      <c r="R649" s="43"/>
      <c r="S649" s="43"/>
      <c r="T649" s="43"/>
      <c r="U649" s="43"/>
      <c r="V649" s="43"/>
      <c r="W649" s="43"/>
      <c r="X649" s="43"/>
      <c r="Y649" s="43"/>
      <c r="Z649" s="43"/>
      <c r="AA649" s="43"/>
      <c r="AB649" s="43"/>
      <c r="AC649" s="43"/>
      <c r="AD649" s="43"/>
      <c r="AE649" s="43"/>
      <c r="AF649" s="43"/>
      <c r="AG649" s="43"/>
      <c r="AH649" s="43"/>
      <c r="AI649" s="43"/>
      <c r="AJ649" s="43"/>
      <c r="AK649" s="43"/>
      <c r="AL649" s="43"/>
      <c r="AM649" s="43"/>
      <c r="AN649" s="43"/>
      <c r="AO649" s="43"/>
      <c r="AP649" s="43"/>
      <c r="AQ649" s="43"/>
      <c r="AR649" s="43"/>
      <c r="AS649" s="43"/>
      <c r="AT649" s="43"/>
      <c r="AU649" s="43"/>
      <c r="AV649" s="43"/>
    </row>
    <row r="650" spans="1:48" ht="11.45" customHeight="1">
      <c r="A650" s="175"/>
      <c r="B650" s="173" t="s">
        <v>1248</v>
      </c>
      <c r="C650" s="173" t="s">
        <v>507</v>
      </c>
      <c r="D650" s="1604"/>
      <c r="E650" s="2251" t="s">
        <v>1922</v>
      </c>
      <c r="F650" s="370">
        <v>2239</v>
      </c>
      <c r="G650" s="174" t="s">
        <v>3423</v>
      </c>
      <c r="H650" s="2541"/>
      <c r="I650" s="2541">
        <v>189.6</v>
      </c>
      <c r="J650" s="2524"/>
      <c r="K650" s="187"/>
      <c r="L650" s="195"/>
      <c r="M650" s="1576">
        <v>190</v>
      </c>
      <c r="N650" s="149"/>
      <c r="O650" s="86"/>
      <c r="P650" s="1817" t="e">
        <f>INDEX(#REF!,MATCH(F650,#REF!,0),2)</f>
        <v>#REF!</v>
      </c>
      <c r="Q650" s="43"/>
      <c r="R650" s="43"/>
      <c r="S650" s="43"/>
      <c r="T650" s="43"/>
      <c r="U650" s="43"/>
      <c r="V650" s="43"/>
      <c r="W650" s="43"/>
      <c r="X650" s="43"/>
      <c r="Y650" s="43"/>
      <c r="Z650" s="43"/>
      <c r="AA650" s="43"/>
      <c r="AB650" s="43"/>
      <c r="AC650" s="43"/>
      <c r="AD650" s="43"/>
      <c r="AE650" s="43"/>
      <c r="AF650" s="43"/>
      <c r="AG650" s="43"/>
      <c r="AH650" s="43"/>
      <c r="AI650" s="43"/>
      <c r="AJ650" s="43"/>
      <c r="AL650" s="43"/>
      <c r="AM650" s="43"/>
      <c r="AN650" s="43"/>
      <c r="AO650" s="43"/>
      <c r="AP650" s="43"/>
      <c r="AQ650" s="43"/>
      <c r="AR650" s="43"/>
      <c r="AS650" s="43"/>
      <c r="AT650" s="43"/>
      <c r="AU650" s="43"/>
      <c r="AV650" s="43"/>
    </row>
    <row r="651" spans="1:48" ht="22.5">
      <c r="A651" s="175"/>
      <c r="B651" s="173" t="s">
        <v>1248</v>
      </c>
      <c r="C651" s="173" t="s">
        <v>507</v>
      </c>
      <c r="D651" s="1604"/>
      <c r="E651" s="2251" t="s">
        <v>1922</v>
      </c>
      <c r="F651" s="370">
        <v>2239</v>
      </c>
      <c r="G651" s="174" t="s">
        <v>3424</v>
      </c>
      <c r="H651" s="2536"/>
      <c r="I651" s="2536">
        <v>1500</v>
      </c>
      <c r="J651" s="2521">
        <v>928</v>
      </c>
      <c r="K651" s="190"/>
      <c r="L651" s="201"/>
      <c r="M651" s="1576">
        <v>1500</v>
      </c>
      <c r="N651" s="149"/>
      <c r="O651" s="86"/>
      <c r="P651" s="1817" t="e">
        <f>INDEX(#REF!,MATCH(F651,#REF!,0),2)</f>
        <v>#REF!</v>
      </c>
      <c r="Q651" s="43"/>
      <c r="R651" s="43"/>
      <c r="S651" s="43"/>
      <c r="T651" s="43"/>
      <c r="U651" s="43"/>
      <c r="V651" s="43"/>
      <c r="W651" s="43"/>
      <c r="X651" s="43"/>
      <c r="Y651" s="43"/>
      <c r="Z651" s="43"/>
      <c r="AA651" s="43"/>
      <c r="AB651" s="43"/>
      <c r="AC651" s="43"/>
      <c r="AD651" s="43"/>
      <c r="AE651" s="43"/>
      <c r="AF651" s="43"/>
      <c r="AG651" s="43"/>
      <c r="AH651" s="43"/>
      <c r="AI651" s="43"/>
      <c r="AJ651" s="43"/>
      <c r="AL651" s="43"/>
      <c r="AM651" s="43"/>
      <c r="AN651" s="43"/>
      <c r="AO651" s="43"/>
      <c r="AP651" s="43"/>
      <c r="AQ651" s="43"/>
      <c r="AR651" s="43"/>
      <c r="AS651" s="43"/>
      <c r="AT651" s="43"/>
      <c r="AU651" s="43"/>
      <c r="AV651" s="43"/>
    </row>
    <row r="652" spans="1:48" ht="21.6" customHeight="1">
      <c r="A652" s="334"/>
      <c r="B652" s="173" t="s">
        <v>1248</v>
      </c>
      <c r="C652" s="173" t="s">
        <v>507</v>
      </c>
      <c r="D652" s="1604"/>
      <c r="E652" s="2251" t="s">
        <v>1922</v>
      </c>
      <c r="F652" s="370">
        <v>2239</v>
      </c>
      <c r="G652" s="323" t="s">
        <v>3425</v>
      </c>
      <c r="H652" s="2548"/>
      <c r="I652" s="2548">
        <v>1279.8</v>
      </c>
      <c r="J652" s="2529"/>
      <c r="K652" s="322"/>
      <c r="L652" s="324"/>
      <c r="M652" s="1576">
        <v>1279.8</v>
      </c>
      <c r="N652" s="149"/>
      <c r="O652" s="86"/>
      <c r="P652" s="1817" t="e">
        <f>INDEX(#REF!,MATCH(F652,#REF!,0),2)</f>
        <v>#REF!</v>
      </c>
      <c r="Q652" s="43"/>
      <c r="R652" s="43"/>
      <c r="S652" s="43"/>
      <c r="T652" s="43"/>
      <c r="U652" s="43"/>
      <c r="V652" s="43"/>
      <c r="W652" s="43"/>
      <c r="X652" s="43"/>
      <c r="Y652" s="43"/>
      <c r="Z652" s="43"/>
      <c r="AA652" s="43"/>
      <c r="AB652" s="43"/>
      <c r="AC652" s="43"/>
      <c r="AD652" s="43"/>
      <c r="AE652" s="43"/>
      <c r="AF652" s="43"/>
      <c r="AG652" s="43"/>
      <c r="AH652" s="43"/>
      <c r="AI652" s="43"/>
      <c r="AJ652" s="43"/>
      <c r="AK652" s="43"/>
      <c r="AL652" s="43"/>
      <c r="AM652" s="43"/>
      <c r="AN652" s="43"/>
      <c r="AO652" s="43"/>
      <c r="AP652" s="43"/>
      <c r="AQ652" s="43"/>
      <c r="AR652" s="43"/>
      <c r="AS652" s="43"/>
      <c r="AT652" s="43"/>
      <c r="AU652" s="43"/>
      <c r="AV652" s="43"/>
    </row>
    <row r="653" spans="1:48" ht="21.6" customHeight="1">
      <c r="A653" s="3753"/>
      <c r="B653" s="173" t="s">
        <v>1248</v>
      </c>
      <c r="C653" s="173" t="s">
        <v>507</v>
      </c>
      <c r="D653" s="1604"/>
      <c r="E653" s="2251" t="s">
        <v>1922</v>
      </c>
      <c r="F653" s="370">
        <v>2239</v>
      </c>
      <c r="G653" s="323"/>
      <c r="H653" s="2549"/>
      <c r="I653" s="2549">
        <v>-106</v>
      </c>
      <c r="J653" s="2530"/>
      <c r="K653" s="1652"/>
      <c r="L653" s="1650"/>
      <c r="M653" s="2779"/>
      <c r="N653" s="149"/>
      <c r="O653" s="86"/>
      <c r="P653" s="1817"/>
      <c r="Q653" s="43"/>
      <c r="R653" s="43"/>
      <c r="S653" s="43"/>
      <c r="T653" s="43"/>
      <c r="U653" s="43"/>
      <c r="V653" s="43"/>
      <c r="W653" s="43"/>
      <c r="X653" s="43"/>
      <c r="Y653" s="43"/>
      <c r="Z653" s="43"/>
      <c r="AA653" s="43"/>
      <c r="AB653" s="43"/>
      <c r="AC653" s="43"/>
      <c r="AD653" s="43"/>
      <c r="AE653" s="43"/>
      <c r="AF653" s="43"/>
      <c r="AG653" s="43"/>
      <c r="AH653" s="43"/>
      <c r="AI653" s="43"/>
      <c r="AJ653" s="43"/>
      <c r="AK653" s="43"/>
      <c r="AL653" s="43"/>
      <c r="AM653" s="43"/>
      <c r="AN653" s="43"/>
      <c r="AO653" s="43"/>
      <c r="AP653" s="43"/>
      <c r="AQ653" s="43"/>
      <c r="AR653" s="43"/>
      <c r="AS653" s="43"/>
      <c r="AT653" s="43"/>
      <c r="AU653" s="43"/>
      <c r="AV653" s="43"/>
    </row>
    <row r="654" spans="1:48" ht="30.6" customHeight="1">
      <c r="A654" s="176"/>
      <c r="B654" s="170" t="s">
        <v>1249</v>
      </c>
      <c r="C654" s="170" t="s">
        <v>510</v>
      </c>
      <c r="D654" s="1603">
        <v>620</v>
      </c>
      <c r="E654" s="2252" t="s">
        <v>1922</v>
      </c>
      <c r="F654" s="171">
        <v>2239</v>
      </c>
      <c r="G654" s="172" t="s">
        <v>237</v>
      </c>
      <c r="H654" s="2535">
        <v>15000</v>
      </c>
      <c r="I654" s="2535"/>
      <c r="J654" s="2520"/>
      <c r="K654" s="194"/>
      <c r="L654" s="192">
        <v>15000</v>
      </c>
      <c r="M654" s="1580"/>
      <c r="N654" s="149"/>
      <c r="O654" s="1817"/>
      <c r="P654" s="1817" t="e">
        <f>INDEX(#REF!,MATCH(F654,#REF!,0),2)</f>
        <v>#REF!</v>
      </c>
      <c r="Q654" s="43"/>
      <c r="R654" s="43"/>
      <c r="S654" s="43"/>
      <c r="T654" s="43"/>
      <c r="U654" s="43"/>
      <c r="V654" s="43"/>
      <c r="W654" s="43"/>
      <c r="X654" s="43"/>
      <c r="Y654" s="43"/>
      <c r="Z654" s="43"/>
      <c r="AA654" s="43"/>
      <c r="AB654" s="43"/>
      <c r="AC654" s="43"/>
      <c r="AD654" s="43"/>
      <c r="AE654" s="43"/>
      <c r="AF654" s="43"/>
      <c r="AG654" s="43"/>
      <c r="AH654" s="43"/>
      <c r="AI654" s="43"/>
      <c r="AK654" s="43"/>
      <c r="AL654" s="43"/>
      <c r="AM654" s="43"/>
      <c r="AN654" s="43"/>
      <c r="AO654" s="43"/>
      <c r="AP654" s="43"/>
      <c r="AQ654" s="43"/>
      <c r="AR654" s="43"/>
      <c r="AS654" s="43"/>
      <c r="AT654" s="43"/>
      <c r="AU654" s="43"/>
    </row>
    <row r="655" spans="1:48" ht="15" customHeight="1">
      <c r="A655" s="175"/>
      <c r="B655" s="173" t="s">
        <v>1249</v>
      </c>
      <c r="C655" s="173" t="s">
        <v>510</v>
      </c>
      <c r="D655" s="1604"/>
      <c r="E655" s="2251" t="s">
        <v>1922</v>
      </c>
      <c r="F655" s="370">
        <v>2239</v>
      </c>
      <c r="G655" s="298" t="s">
        <v>3202</v>
      </c>
      <c r="H655" s="2541"/>
      <c r="I655" s="2541">
        <v>15000</v>
      </c>
      <c r="J655" s="2524"/>
      <c r="K655" s="187"/>
      <c r="L655" s="195"/>
      <c r="M655" s="1576">
        <v>15000</v>
      </c>
      <c r="N655" s="149"/>
      <c r="O655" s="1817"/>
      <c r="P655" s="1817" t="e">
        <f>INDEX(#REF!,MATCH(F655,#REF!,0),2)</f>
        <v>#REF!</v>
      </c>
      <c r="Q655" s="43"/>
      <c r="R655" s="43"/>
      <c r="S655" s="43"/>
      <c r="T655" s="43"/>
      <c r="U655" s="43"/>
      <c r="V655" s="43"/>
      <c r="W655" s="43"/>
      <c r="X655" s="43"/>
      <c r="Y655" s="43"/>
      <c r="Z655" s="43"/>
      <c r="AA655" s="43"/>
      <c r="AB655" s="43"/>
      <c r="AC655" s="43"/>
      <c r="AD655" s="43"/>
      <c r="AE655" s="43"/>
      <c r="AF655" s="43"/>
      <c r="AG655" s="43"/>
      <c r="AH655" s="43"/>
      <c r="AI655" s="43"/>
      <c r="AJ655" s="43"/>
      <c r="AK655" s="43"/>
      <c r="AL655" s="43"/>
      <c r="AM655" s="43"/>
      <c r="AN655" s="43"/>
      <c r="AO655" s="43"/>
      <c r="AP655" s="43"/>
      <c r="AQ655" s="43"/>
      <c r="AR655" s="43"/>
      <c r="AS655" s="43"/>
      <c r="AT655" s="43"/>
      <c r="AU655" s="43"/>
    </row>
    <row r="656" spans="1:48" ht="20.45" customHeight="1">
      <c r="A656" s="176"/>
      <c r="B656" s="170" t="s">
        <v>1248</v>
      </c>
      <c r="C656" s="170" t="s">
        <v>505</v>
      </c>
      <c r="D656" s="1603">
        <v>620</v>
      </c>
      <c r="E656" s="2252" t="s">
        <v>1922</v>
      </c>
      <c r="F656" s="171">
        <v>2243</v>
      </c>
      <c r="G656" s="172" t="s">
        <v>279</v>
      </c>
      <c r="H656" s="2535">
        <v>250</v>
      </c>
      <c r="I656" s="2535"/>
      <c r="J656" s="2520">
        <v>0</v>
      </c>
      <c r="K656" s="209"/>
      <c r="L656" s="192">
        <v>250</v>
      </c>
      <c r="M656" s="1580"/>
      <c r="N656" s="149"/>
      <c r="O656" s="86"/>
      <c r="P656" s="1817" t="e">
        <f>INDEX(#REF!,MATCH(F656,#REF!,0),2)</f>
        <v>#REF!</v>
      </c>
      <c r="Q656" s="43"/>
      <c r="R656" s="43"/>
      <c r="S656" s="43"/>
      <c r="T656" s="43"/>
      <c r="U656" s="43"/>
      <c r="V656" s="43"/>
      <c r="W656" s="43"/>
      <c r="X656" s="43"/>
      <c r="Y656" s="43"/>
      <c r="Z656" s="43"/>
      <c r="AA656" s="43"/>
      <c r="AB656" s="43"/>
      <c r="AC656" s="43"/>
      <c r="AD656" s="43"/>
      <c r="AE656" s="43"/>
      <c r="AF656" s="43"/>
      <c r="AG656" s="43"/>
      <c r="AH656" s="43"/>
      <c r="AI656" s="43"/>
      <c r="AJ656" s="43"/>
      <c r="AL656" s="43"/>
      <c r="AM656" s="43"/>
      <c r="AN656" s="43"/>
      <c r="AO656" s="43"/>
      <c r="AP656" s="43"/>
      <c r="AQ656" s="43"/>
      <c r="AR656" s="43"/>
      <c r="AS656" s="43"/>
      <c r="AT656" s="43"/>
      <c r="AU656" s="43"/>
      <c r="AV656" s="43"/>
    </row>
    <row r="657" spans="1:48" ht="11.45" customHeight="1">
      <c r="A657" s="175"/>
      <c r="B657" s="173" t="s">
        <v>1248</v>
      </c>
      <c r="C657" s="173" t="s">
        <v>505</v>
      </c>
      <c r="D657" s="1604"/>
      <c r="E657" s="2251" t="s">
        <v>1922</v>
      </c>
      <c r="F657" s="370">
        <v>2243</v>
      </c>
      <c r="G657" s="174" t="s">
        <v>1116</v>
      </c>
      <c r="H657" s="2541"/>
      <c r="I657" s="2541">
        <v>250</v>
      </c>
      <c r="J657" s="2524"/>
      <c r="K657" s="210"/>
      <c r="L657" s="195"/>
      <c r="M657" s="1576">
        <v>250</v>
      </c>
      <c r="N657" s="73"/>
      <c r="O657" s="86"/>
      <c r="P657" s="1817" t="e">
        <f>INDEX(#REF!,MATCH(F657,#REF!,0),2)</f>
        <v>#REF!</v>
      </c>
      <c r="Q657" s="43"/>
      <c r="R657" s="43"/>
      <c r="S657" s="43"/>
      <c r="T657" s="43"/>
      <c r="U657" s="43"/>
      <c r="V657" s="43"/>
      <c r="W657" s="43"/>
      <c r="X657" s="43"/>
      <c r="Y657" s="43"/>
      <c r="Z657" s="43"/>
      <c r="AA657" s="43"/>
      <c r="AB657" s="43"/>
      <c r="AC657" s="43"/>
      <c r="AD657" s="43"/>
      <c r="AE657" s="43"/>
      <c r="AF657" s="43"/>
      <c r="AG657" s="43"/>
      <c r="AH657" s="43"/>
      <c r="AI657" s="43"/>
      <c r="AJ657" s="43"/>
      <c r="AL657" s="43"/>
      <c r="AM657" s="43"/>
      <c r="AN657" s="43"/>
      <c r="AO657" s="43"/>
      <c r="AP657" s="43"/>
      <c r="AQ657" s="43"/>
      <c r="AR657" s="43"/>
      <c r="AS657" s="43"/>
      <c r="AT657" s="43"/>
      <c r="AU657" s="43"/>
      <c r="AV657" s="43"/>
    </row>
    <row r="658" spans="1:48" ht="20.45" customHeight="1">
      <c r="A658" s="176"/>
      <c r="B658" s="170" t="s">
        <v>1248</v>
      </c>
      <c r="C658" s="170" t="s">
        <v>505</v>
      </c>
      <c r="D658" s="1603">
        <v>620</v>
      </c>
      <c r="E658" s="2252" t="s">
        <v>1922</v>
      </c>
      <c r="F658" s="171">
        <v>2247</v>
      </c>
      <c r="G658" s="172" t="s">
        <v>281</v>
      </c>
      <c r="H658" s="2535">
        <v>740</v>
      </c>
      <c r="I658" s="2535"/>
      <c r="J658" s="2520">
        <v>49.33</v>
      </c>
      <c r="K658" s="209"/>
      <c r="L658" s="192">
        <v>740</v>
      </c>
      <c r="M658" s="1580"/>
      <c r="N658" s="73"/>
      <c r="O658" s="86"/>
      <c r="P658" s="1817" t="e">
        <f>INDEX(#REF!,MATCH(F658,#REF!,0),2)</f>
        <v>#REF!</v>
      </c>
      <c r="Q658" s="43"/>
      <c r="R658" s="43"/>
      <c r="S658" s="43"/>
      <c r="T658" s="43"/>
      <c r="U658" s="43"/>
      <c r="V658" s="43"/>
      <c r="W658" s="43"/>
      <c r="X658" s="43"/>
      <c r="Y658" s="43"/>
      <c r="Z658" s="43"/>
      <c r="AA658" s="43"/>
      <c r="AB658" s="43"/>
      <c r="AC658" s="43"/>
      <c r="AD658" s="43"/>
      <c r="AE658" s="43"/>
      <c r="AF658" s="43"/>
      <c r="AG658" s="43"/>
      <c r="AH658" s="43"/>
      <c r="AI658" s="43"/>
      <c r="AJ658" s="43"/>
      <c r="AL658" s="43"/>
      <c r="AM658" s="43"/>
      <c r="AN658" s="43"/>
      <c r="AO658" s="43"/>
      <c r="AP658" s="43"/>
      <c r="AQ658" s="43"/>
      <c r="AR658" s="43"/>
      <c r="AS658" s="43"/>
      <c r="AT658" s="43"/>
      <c r="AU658" s="43"/>
      <c r="AV658" s="43"/>
    </row>
    <row r="659" spans="1:48" ht="11.45" customHeight="1">
      <c r="A659" s="175"/>
      <c r="B659" s="173" t="s">
        <v>1248</v>
      </c>
      <c r="C659" s="173" t="s">
        <v>505</v>
      </c>
      <c r="D659" s="1604"/>
      <c r="E659" s="2251" t="s">
        <v>1922</v>
      </c>
      <c r="F659" s="370">
        <v>2247</v>
      </c>
      <c r="G659" s="174" t="s">
        <v>2492</v>
      </c>
      <c r="H659" s="2541"/>
      <c r="I659" s="2541">
        <v>740</v>
      </c>
      <c r="J659" s="2524"/>
      <c r="K659" s="210"/>
      <c r="L659" s="195"/>
      <c r="M659" s="1576">
        <v>740</v>
      </c>
      <c r="N659" s="73" t="s">
        <v>5293</v>
      </c>
      <c r="O659" s="86"/>
      <c r="P659" s="1817" t="e">
        <f>INDEX(#REF!,MATCH(F659,#REF!,0),2)</f>
        <v>#REF!</v>
      </c>
      <c r="Q659" s="43"/>
      <c r="R659" s="43"/>
      <c r="S659" s="43"/>
      <c r="T659" s="43"/>
      <c r="U659" s="43"/>
      <c r="V659" s="43"/>
      <c r="W659" s="43"/>
      <c r="X659" s="43"/>
      <c r="Y659" s="43"/>
      <c r="Z659" s="43"/>
      <c r="AA659" s="43"/>
      <c r="AB659" s="43"/>
      <c r="AC659" s="43"/>
      <c r="AD659" s="43"/>
      <c r="AE659" s="43"/>
      <c r="AF659" s="43"/>
      <c r="AG659" s="43"/>
      <c r="AH659" s="43"/>
      <c r="AI659" s="43"/>
      <c r="AJ659" s="43"/>
      <c r="AL659" s="43"/>
      <c r="AM659" s="43"/>
      <c r="AN659" s="43"/>
      <c r="AO659" s="43"/>
      <c r="AP659" s="43"/>
      <c r="AQ659" s="43"/>
      <c r="AR659" s="43"/>
      <c r="AS659" s="43"/>
      <c r="AT659" s="43"/>
      <c r="AU659" s="43"/>
      <c r="AV659" s="43"/>
    </row>
    <row r="660" spans="1:48" ht="20.45" customHeight="1">
      <c r="A660" s="176"/>
      <c r="B660" s="170" t="s">
        <v>1248</v>
      </c>
      <c r="C660" s="170" t="s">
        <v>507</v>
      </c>
      <c r="D660" s="1603">
        <v>620</v>
      </c>
      <c r="E660" s="2252" t="s">
        <v>1922</v>
      </c>
      <c r="F660" s="171">
        <v>2250</v>
      </c>
      <c r="G660" s="172" t="s">
        <v>1254</v>
      </c>
      <c r="H660" s="2535">
        <v>956</v>
      </c>
      <c r="I660" s="2535"/>
      <c r="J660" s="2520">
        <v>955.41</v>
      </c>
      <c r="K660" s="194"/>
      <c r="L660" s="192">
        <v>1000</v>
      </c>
      <c r="M660" s="1580"/>
      <c r="N660" s="73"/>
      <c r="O660" s="86"/>
      <c r="P660" s="1817" t="e">
        <f>INDEX(#REF!,MATCH(F660,#REF!,0),2)</f>
        <v>#REF!</v>
      </c>
      <c r="Q660" s="43"/>
      <c r="R660" s="43"/>
      <c r="S660" s="43"/>
      <c r="T660" s="43"/>
      <c r="U660" s="43"/>
      <c r="V660" s="43"/>
      <c r="W660" s="43"/>
      <c r="X660" s="43"/>
      <c r="Y660" s="43"/>
      <c r="Z660" s="43"/>
      <c r="AA660" s="43"/>
      <c r="AB660" s="43"/>
      <c r="AC660" s="43"/>
      <c r="AD660" s="43"/>
      <c r="AE660" s="43"/>
      <c r="AF660" s="43"/>
      <c r="AG660" s="43"/>
      <c r="AH660" s="43"/>
      <c r="AI660" s="43"/>
      <c r="AJ660" s="43"/>
      <c r="AK660" s="43"/>
      <c r="AL660" s="43"/>
      <c r="AM660" s="43"/>
      <c r="AN660" s="43"/>
      <c r="AO660" s="43"/>
      <c r="AP660" s="43"/>
      <c r="AQ660" s="43"/>
      <c r="AR660" s="43"/>
      <c r="AS660" s="43"/>
      <c r="AT660" s="43"/>
      <c r="AU660" s="43"/>
      <c r="AV660" s="43"/>
    </row>
    <row r="661" spans="1:48" ht="11.45" customHeight="1">
      <c r="A661" s="175"/>
      <c r="B661" s="173" t="s">
        <v>1248</v>
      </c>
      <c r="C661" s="173" t="s">
        <v>507</v>
      </c>
      <c r="D661" s="1604"/>
      <c r="E661" s="2251" t="s">
        <v>1922</v>
      </c>
      <c r="F661" s="370">
        <v>2250</v>
      </c>
      <c r="G661" s="174" t="s">
        <v>921</v>
      </c>
      <c r="H661" s="2541"/>
      <c r="I661" s="2541">
        <v>450</v>
      </c>
      <c r="J661" s="2524"/>
      <c r="K661" s="187"/>
      <c r="L661" s="195"/>
      <c r="M661" s="1576"/>
      <c r="N661" s="149"/>
      <c r="O661" s="86"/>
      <c r="P661" s="1817" t="e">
        <f>INDEX(#REF!,MATCH(F661,#REF!,0),2)</f>
        <v>#REF!</v>
      </c>
      <c r="Q661" s="43"/>
      <c r="R661" s="43"/>
      <c r="S661" s="43"/>
      <c r="T661" s="43"/>
      <c r="U661" s="43"/>
      <c r="V661" s="43"/>
      <c r="W661" s="43"/>
      <c r="X661" s="43"/>
      <c r="Y661" s="43"/>
      <c r="Z661" s="43"/>
      <c r="AA661" s="43"/>
      <c r="AB661" s="43"/>
      <c r="AC661" s="43"/>
      <c r="AD661" s="43"/>
      <c r="AE661" s="43"/>
      <c r="AF661" s="43"/>
      <c r="AG661" s="43"/>
      <c r="AH661" s="43"/>
      <c r="AI661" s="43"/>
      <c r="AJ661" s="43"/>
      <c r="AK661" s="43"/>
      <c r="AL661" s="43"/>
      <c r="AM661" s="43"/>
      <c r="AN661" s="43"/>
      <c r="AO661" s="43"/>
      <c r="AP661" s="43"/>
      <c r="AQ661" s="43"/>
      <c r="AR661" s="43"/>
      <c r="AS661" s="43"/>
      <c r="AT661" s="43"/>
      <c r="AU661" s="43"/>
      <c r="AV661" s="43"/>
    </row>
    <row r="662" spans="1:48" ht="11.45" customHeight="1">
      <c r="A662" s="334"/>
      <c r="B662" s="173" t="s">
        <v>1248</v>
      </c>
      <c r="C662" s="173" t="s">
        <v>507</v>
      </c>
      <c r="D662" s="1604"/>
      <c r="E662" s="2251" t="s">
        <v>1922</v>
      </c>
      <c r="F662" s="370">
        <v>2250</v>
      </c>
      <c r="G662" s="323" t="s">
        <v>3427</v>
      </c>
      <c r="H662" s="2548"/>
      <c r="I662" s="2548">
        <v>400</v>
      </c>
      <c r="J662" s="2529"/>
      <c r="K662" s="322"/>
      <c r="L662" s="324"/>
      <c r="M662" s="1576">
        <v>1000</v>
      </c>
      <c r="N662" s="73"/>
      <c r="O662" s="86"/>
      <c r="P662" s="1817" t="e">
        <f>INDEX(#REF!,MATCH(F662,#REF!,0),2)</f>
        <v>#REF!</v>
      </c>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3"/>
      <c r="AT662" s="43"/>
      <c r="AU662" s="43"/>
      <c r="AV662" s="43"/>
    </row>
    <row r="663" spans="1:48" ht="11.45" customHeight="1">
      <c r="A663" s="3753"/>
      <c r="B663" s="173" t="s">
        <v>1248</v>
      </c>
      <c r="C663" s="173" t="s">
        <v>507</v>
      </c>
      <c r="D663" s="1604"/>
      <c r="E663" s="2251" t="s">
        <v>1922</v>
      </c>
      <c r="F663" s="370">
        <v>2250</v>
      </c>
      <c r="G663" s="2774"/>
      <c r="H663" s="2549"/>
      <c r="I663" s="2549">
        <v>106</v>
      </c>
      <c r="J663" s="2530"/>
      <c r="K663" s="1652"/>
      <c r="L663" s="1650"/>
      <c r="M663" s="2779"/>
      <c r="N663" s="73"/>
      <c r="O663" s="86"/>
      <c r="P663" s="1817"/>
      <c r="Q663" s="43"/>
      <c r="R663" s="43"/>
      <c r="S663" s="43"/>
      <c r="T663" s="43"/>
      <c r="U663" s="43"/>
      <c r="V663" s="43"/>
      <c r="W663" s="43"/>
      <c r="X663" s="43"/>
      <c r="Y663" s="43"/>
      <c r="Z663" s="43"/>
      <c r="AA663" s="43"/>
      <c r="AB663" s="43"/>
      <c r="AC663" s="43"/>
      <c r="AD663" s="43"/>
      <c r="AE663" s="43"/>
      <c r="AF663" s="43"/>
      <c r="AG663" s="43"/>
      <c r="AH663" s="43"/>
      <c r="AI663" s="43"/>
      <c r="AJ663" s="43"/>
      <c r="AK663" s="43"/>
      <c r="AL663" s="43"/>
      <c r="AM663" s="43"/>
      <c r="AN663" s="43"/>
      <c r="AO663" s="43"/>
      <c r="AP663" s="43"/>
      <c r="AQ663" s="43"/>
      <c r="AR663" s="43"/>
      <c r="AS663" s="43"/>
      <c r="AT663" s="43"/>
      <c r="AU663" s="43"/>
      <c r="AV663" s="43"/>
    </row>
    <row r="664" spans="1:48" ht="11.45" customHeight="1">
      <c r="A664" s="176"/>
      <c r="B664" s="170" t="s">
        <v>1248</v>
      </c>
      <c r="C664" s="170" t="s">
        <v>505</v>
      </c>
      <c r="D664" s="1603">
        <v>620</v>
      </c>
      <c r="E664" s="2252" t="s">
        <v>1922</v>
      </c>
      <c r="F664" s="171">
        <v>2264</v>
      </c>
      <c r="G664" s="172" t="s">
        <v>240</v>
      </c>
      <c r="H664" s="2535">
        <v>357.96</v>
      </c>
      <c r="I664" s="2535"/>
      <c r="J664" s="2520">
        <v>237.05</v>
      </c>
      <c r="K664" s="194"/>
      <c r="L664" s="192">
        <v>357.96</v>
      </c>
      <c r="M664" s="1580"/>
      <c r="N664" s="73"/>
      <c r="O664" s="86"/>
      <c r="P664" s="1817" t="e">
        <f>INDEX(#REF!,MATCH(F664,#REF!,0),2)</f>
        <v>#REF!</v>
      </c>
      <c r="Q664" s="43"/>
      <c r="R664" s="43"/>
      <c r="S664" s="43"/>
      <c r="T664" s="43"/>
      <c r="U664" s="43"/>
      <c r="V664" s="43"/>
      <c r="W664" s="43"/>
      <c r="X664" s="43"/>
      <c r="Y664" s="43"/>
      <c r="Z664" s="43"/>
      <c r="AA664" s="43"/>
      <c r="AB664" s="43"/>
      <c r="AC664" s="43"/>
      <c r="AD664" s="43"/>
      <c r="AE664" s="43"/>
      <c r="AF664" s="43"/>
      <c r="AG664" s="43"/>
      <c r="AH664" s="43"/>
      <c r="AI664" s="43"/>
      <c r="AJ664" s="43"/>
      <c r="AK664" s="43"/>
      <c r="AL664" s="43"/>
      <c r="AM664" s="43"/>
      <c r="AN664" s="43"/>
      <c r="AO664" s="43"/>
      <c r="AP664" s="43"/>
      <c r="AQ664" s="43"/>
      <c r="AR664" s="43"/>
      <c r="AS664" s="43"/>
      <c r="AT664" s="43"/>
      <c r="AU664" s="43"/>
      <c r="AV664" s="43"/>
    </row>
    <row r="665" spans="1:48" ht="11.45" customHeight="1">
      <c r="A665" s="175"/>
      <c r="B665" s="173" t="s">
        <v>1248</v>
      </c>
      <c r="C665" s="173" t="s">
        <v>505</v>
      </c>
      <c r="D665" s="1604"/>
      <c r="E665" s="2251" t="s">
        <v>1922</v>
      </c>
      <c r="F665" s="370">
        <v>2264</v>
      </c>
      <c r="G665" s="1567" t="s">
        <v>2279</v>
      </c>
      <c r="H665" s="2541"/>
      <c r="I665" s="2541">
        <v>357.96</v>
      </c>
      <c r="J665" s="2524"/>
      <c r="K665" s="187"/>
      <c r="L665" s="195"/>
      <c r="M665" s="1576">
        <v>357.96</v>
      </c>
      <c r="N665" s="149"/>
      <c r="O665" s="86"/>
      <c r="P665" s="1817" t="e">
        <f>INDEX(#REF!,MATCH(F665,#REF!,0),2)</f>
        <v>#REF!</v>
      </c>
      <c r="Q665" s="43"/>
      <c r="R665" s="43"/>
      <c r="S665" s="43"/>
      <c r="T665" s="43"/>
      <c r="U665" s="43"/>
      <c r="V665" s="43"/>
      <c r="W665" s="43"/>
      <c r="X665" s="43"/>
      <c r="Y665" s="43"/>
      <c r="Z665" s="43"/>
      <c r="AA665" s="43"/>
      <c r="AB665" s="43"/>
      <c r="AC665" s="43"/>
      <c r="AD665" s="43"/>
      <c r="AE665" s="43"/>
      <c r="AF665" s="43"/>
      <c r="AG665" s="43"/>
      <c r="AH665" s="43"/>
      <c r="AI665" s="43"/>
      <c r="AJ665" s="43"/>
      <c r="AK665" s="43"/>
      <c r="AL665" s="43"/>
      <c r="AM665" s="43"/>
      <c r="AN665" s="43"/>
      <c r="AO665" s="43"/>
      <c r="AP665" s="43"/>
      <c r="AQ665" s="43"/>
      <c r="AR665" s="43"/>
      <c r="AS665" s="43"/>
      <c r="AT665" s="43"/>
      <c r="AU665" s="43"/>
      <c r="AV665" s="43"/>
    </row>
    <row r="666" spans="1:48" ht="13.15" customHeight="1">
      <c r="A666" s="176"/>
      <c r="B666" s="170" t="s">
        <v>1248</v>
      </c>
      <c r="C666" s="170" t="s">
        <v>507</v>
      </c>
      <c r="D666" s="1603">
        <v>620</v>
      </c>
      <c r="E666" s="2252" t="s">
        <v>1922</v>
      </c>
      <c r="F666" s="171">
        <v>2311</v>
      </c>
      <c r="G666" s="172" t="s">
        <v>245</v>
      </c>
      <c r="H666" s="2535">
        <v>1360</v>
      </c>
      <c r="I666" s="2535"/>
      <c r="J666" s="2520">
        <v>276</v>
      </c>
      <c r="K666" s="194"/>
      <c r="L666" s="192">
        <v>1350</v>
      </c>
      <c r="M666" s="1580"/>
      <c r="N666" s="73"/>
      <c r="O666" s="86"/>
      <c r="P666" s="1817" t="e">
        <f>INDEX(#REF!,MATCH(F666,#REF!,0),2)</f>
        <v>#REF!</v>
      </c>
      <c r="Q666" s="43"/>
      <c r="R666" s="43"/>
      <c r="S666" s="43"/>
      <c r="T666" s="43"/>
      <c r="U666" s="43"/>
      <c r="V666" s="43"/>
      <c r="W666" s="43"/>
      <c r="X666" s="43"/>
      <c r="Y666" s="43"/>
      <c r="Z666" s="43"/>
      <c r="AA666" s="43"/>
      <c r="AB666" s="43"/>
      <c r="AC666" s="43"/>
      <c r="AD666" s="43"/>
      <c r="AE666" s="43"/>
      <c r="AF666" s="43"/>
      <c r="AG666" s="43"/>
      <c r="AH666" s="43"/>
      <c r="AI666" s="43"/>
      <c r="AJ666" s="43"/>
      <c r="AK666" s="43"/>
      <c r="AL666" s="43"/>
      <c r="AM666" s="43"/>
      <c r="AN666" s="43"/>
      <c r="AO666" s="43"/>
      <c r="AP666" s="43"/>
      <c r="AQ666" s="43"/>
      <c r="AR666" s="43"/>
      <c r="AS666" s="43"/>
      <c r="AT666" s="43"/>
      <c r="AU666" s="43"/>
      <c r="AV666" s="43"/>
    </row>
    <row r="667" spans="1:48" ht="30.6" customHeight="1">
      <c r="A667" s="175"/>
      <c r="B667" s="173" t="s">
        <v>1248</v>
      </c>
      <c r="C667" s="173" t="s">
        <v>507</v>
      </c>
      <c r="D667" s="1604"/>
      <c r="E667" s="2251" t="s">
        <v>1922</v>
      </c>
      <c r="F667" s="370">
        <v>2311</v>
      </c>
      <c r="G667" s="298" t="s">
        <v>296</v>
      </c>
      <c r="H667" s="2541"/>
      <c r="I667" s="2541">
        <v>550</v>
      </c>
      <c r="J667" s="2524">
        <v>106</v>
      </c>
      <c r="K667" s="187"/>
      <c r="L667" s="195"/>
      <c r="M667" s="1659">
        <v>550</v>
      </c>
      <c r="N667" s="149"/>
      <c r="O667" s="86"/>
      <c r="P667" s="1817" t="e">
        <f>INDEX(#REF!,MATCH(F667,#REF!,0),2)</f>
        <v>#REF!</v>
      </c>
      <c r="Q667" s="43"/>
      <c r="R667" s="43"/>
      <c r="S667" s="43"/>
      <c r="T667" s="43"/>
      <c r="U667" s="43"/>
      <c r="V667" s="43"/>
      <c r="W667" s="43"/>
      <c r="X667" s="43"/>
      <c r="Y667" s="43"/>
      <c r="Z667" s="43"/>
      <c r="AA667" s="43"/>
      <c r="AB667" s="43"/>
      <c r="AC667" s="43"/>
      <c r="AD667" s="43"/>
      <c r="AE667" s="43"/>
      <c r="AF667" s="43"/>
      <c r="AG667" s="43"/>
      <c r="AH667" s="43"/>
      <c r="AI667" s="43"/>
      <c r="AJ667" s="43"/>
      <c r="AK667" s="43"/>
      <c r="AL667" s="43"/>
      <c r="AM667" s="43"/>
      <c r="AN667" s="43"/>
      <c r="AO667" s="43"/>
      <c r="AP667" s="43"/>
      <c r="AQ667" s="43"/>
      <c r="AR667" s="43"/>
      <c r="AS667" s="43"/>
      <c r="AT667" s="43"/>
      <c r="AU667" s="43"/>
      <c r="AV667" s="43"/>
    </row>
    <row r="668" spans="1:48" ht="11.45" customHeight="1">
      <c r="A668" s="175"/>
      <c r="B668" s="173" t="s">
        <v>1248</v>
      </c>
      <c r="C668" s="173" t="s">
        <v>507</v>
      </c>
      <c r="D668" s="1604"/>
      <c r="E668" s="2251" t="s">
        <v>1922</v>
      </c>
      <c r="F668" s="370">
        <v>2311</v>
      </c>
      <c r="G668" s="298" t="s">
        <v>530</v>
      </c>
      <c r="H668" s="2541"/>
      <c r="I668" s="2541">
        <v>400</v>
      </c>
      <c r="J668" s="2524">
        <v>70</v>
      </c>
      <c r="K668" s="187"/>
      <c r="L668" s="195"/>
      <c r="M668" s="1659">
        <v>400</v>
      </c>
      <c r="N668" s="73"/>
      <c r="O668" s="86"/>
      <c r="P668" s="1817" t="e">
        <f>INDEX(#REF!,MATCH(F668,#REF!,0),2)</f>
        <v>#REF!</v>
      </c>
      <c r="Q668" s="43"/>
      <c r="R668" s="43"/>
      <c r="S668" s="43"/>
      <c r="T668" s="43"/>
      <c r="U668" s="43"/>
      <c r="V668" s="43"/>
      <c r="W668" s="43"/>
      <c r="X668" s="43"/>
      <c r="Y668" s="43"/>
      <c r="Z668" s="43"/>
      <c r="AA668" s="43"/>
      <c r="AB668" s="43"/>
      <c r="AC668" s="43"/>
      <c r="AD668" s="43"/>
      <c r="AE668" s="43"/>
      <c r="AF668" s="43"/>
      <c r="AG668" s="43"/>
      <c r="AH668" s="43"/>
      <c r="AI668" s="43"/>
      <c r="AJ668" s="43"/>
      <c r="AK668" s="43"/>
      <c r="AL668" s="43"/>
      <c r="AM668" s="43"/>
      <c r="AN668" s="43"/>
      <c r="AO668" s="43"/>
      <c r="AP668" s="43"/>
      <c r="AQ668" s="43"/>
      <c r="AR668" s="43"/>
      <c r="AS668" s="43"/>
      <c r="AT668" s="43"/>
      <c r="AU668" s="43"/>
      <c r="AV668" s="43"/>
    </row>
    <row r="669" spans="1:48" ht="20.45" customHeight="1">
      <c r="A669" s="175"/>
      <c r="B669" s="173" t="s">
        <v>1248</v>
      </c>
      <c r="C669" s="173" t="s">
        <v>507</v>
      </c>
      <c r="D669" s="1604"/>
      <c r="E669" s="2251" t="s">
        <v>1922</v>
      </c>
      <c r="F669" s="370">
        <v>2311</v>
      </c>
      <c r="G669" s="298" t="s">
        <v>1542</v>
      </c>
      <c r="H669" s="2541"/>
      <c r="I669" s="2541">
        <v>850</v>
      </c>
      <c r="J669" s="2524">
        <v>21</v>
      </c>
      <c r="K669" s="187"/>
      <c r="L669" s="195"/>
      <c r="M669" s="4410">
        <v>350</v>
      </c>
      <c r="N669" s="73" t="s">
        <v>5290</v>
      </c>
      <c r="O669" s="86"/>
      <c r="P669" s="1817" t="e">
        <f>INDEX(#REF!,MATCH(F669,#REF!,0),2)</f>
        <v>#REF!</v>
      </c>
      <c r="Q669" s="43"/>
      <c r="R669" s="43"/>
      <c r="S669" s="43"/>
      <c r="T669" s="43"/>
      <c r="U669" s="43"/>
      <c r="V669" s="43"/>
      <c r="W669" s="43"/>
      <c r="X669" s="43"/>
      <c r="Y669" s="43"/>
      <c r="Z669" s="43"/>
      <c r="AA669" s="43"/>
      <c r="AB669" s="43"/>
      <c r="AC669" s="43"/>
      <c r="AD669" s="43"/>
      <c r="AE669" s="43"/>
      <c r="AF669" s="43"/>
      <c r="AG669" s="43"/>
      <c r="AH669" s="43"/>
      <c r="AI669" s="43"/>
      <c r="AJ669" s="43"/>
      <c r="AK669" s="43"/>
      <c r="AL669" s="43"/>
      <c r="AM669" s="43"/>
      <c r="AN669" s="43"/>
      <c r="AO669" s="43"/>
      <c r="AP669" s="43"/>
      <c r="AQ669" s="43"/>
      <c r="AR669" s="43"/>
      <c r="AS669" s="43"/>
      <c r="AT669" s="43"/>
      <c r="AU669" s="43"/>
      <c r="AV669" s="43"/>
    </row>
    <row r="670" spans="1:48" ht="11.45" customHeight="1">
      <c r="A670" s="175"/>
      <c r="B670" s="173" t="s">
        <v>1248</v>
      </c>
      <c r="C670" s="173" t="s">
        <v>507</v>
      </c>
      <c r="D670" s="1604"/>
      <c r="E670" s="2251" t="s">
        <v>1922</v>
      </c>
      <c r="F670" s="370">
        <v>2311</v>
      </c>
      <c r="G670" s="174" t="s">
        <v>614</v>
      </c>
      <c r="H670" s="2541"/>
      <c r="I670" s="2541">
        <v>50</v>
      </c>
      <c r="J670" s="2524"/>
      <c r="K670" s="187"/>
      <c r="L670" s="195"/>
      <c r="M670" s="195">
        <v>50</v>
      </c>
      <c r="N670" s="73"/>
      <c r="O670" s="86"/>
      <c r="P670" s="1817" t="e">
        <f>INDEX(#REF!,MATCH(F670,#REF!,0),2)</f>
        <v>#REF!</v>
      </c>
      <c r="Q670" s="43"/>
      <c r="R670" s="43"/>
      <c r="S670" s="43"/>
      <c r="T670" s="43"/>
      <c r="U670" s="43"/>
      <c r="V670" s="43"/>
      <c r="W670" s="43"/>
      <c r="X670" s="43"/>
      <c r="Y670" s="43"/>
      <c r="Z670" s="43"/>
      <c r="AA670" s="43"/>
      <c r="AB670" s="43"/>
      <c r="AC670" s="43"/>
      <c r="AD670" s="43"/>
      <c r="AE670" s="43"/>
      <c r="AF670" s="43"/>
      <c r="AG670" s="43"/>
      <c r="AH670" s="43"/>
      <c r="AI670" s="43"/>
      <c r="AJ670" s="43"/>
      <c r="AK670" s="43"/>
      <c r="AL670" s="43"/>
      <c r="AM670" s="43"/>
      <c r="AN670" s="43"/>
      <c r="AO670" s="43"/>
      <c r="AP670" s="43"/>
      <c r="AQ670" s="43"/>
      <c r="AR670" s="43"/>
      <c r="AS670" s="43"/>
      <c r="AT670" s="43"/>
      <c r="AU670" s="43"/>
      <c r="AV670" s="43"/>
    </row>
    <row r="671" spans="1:48" ht="28.9" customHeight="1">
      <c r="A671" s="1914"/>
      <c r="B671" s="173" t="s">
        <v>1248</v>
      </c>
      <c r="C671" s="173" t="s">
        <v>507</v>
      </c>
      <c r="D671" s="1604"/>
      <c r="E671" s="2251" t="s">
        <v>1922</v>
      </c>
      <c r="F671" s="370">
        <v>2311</v>
      </c>
      <c r="G671" s="1884" t="s">
        <v>3289</v>
      </c>
      <c r="H671" s="2549"/>
      <c r="I671" s="2549">
        <v>-200</v>
      </c>
      <c r="J671" s="2530"/>
      <c r="K671" s="1652"/>
      <c r="L671" s="1650"/>
      <c r="M671" s="1659"/>
      <c r="N671" s="73"/>
      <c r="O671" s="86"/>
      <c r="P671" s="1817" t="e">
        <f>INDEX(#REF!,MATCH(F671,#REF!,0),2)</f>
        <v>#REF!</v>
      </c>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N671" s="43"/>
      <c r="AO671" s="43"/>
      <c r="AP671" s="43"/>
      <c r="AQ671" s="43"/>
      <c r="AR671" s="43"/>
      <c r="AS671" s="43"/>
      <c r="AT671" s="43"/>
      <c r="AU671" s="43"/>
      <c r="AV671" s="43"/>
    </row>
    <row r="672" spans="1:48" ht="28.9" customHeight="1">
      <c r="A672" s="3753"/>
      <c r="B672" s="173" t="s">
        <v>1248</v>
      </c>
      <c r="C672" s="173" t="s">
        <v>507</v>
      </c>
      <c r="D672" s="1604"/>
      <c r="E672" s="2251" t="s">
        <v>1922</v>
      </c>
      <c r="F672" s="370">
        <v>2311</v>
      </c>
      <c r="G672" s="1884" t="s">
        <v>5289</v>
      </c>
      <c r="H672" s="2549"/>
      <c r="I672" s="2549">
        <v>-290</v>
      </c>
      <c r="J672" s="2530"/>
      <c r="K672" s="1652"/>
      <c r="L672" s="1650"/>
      <c r="M672" s="1659"/>
      <c r="N672" s="73"/>
      <c r="O672" s="86"/>
      <c r="P672" s="1817"/>
      <c r="Q672" s="43"/>
      <c r="R672" s="43"/>
      <c r="S672" s="43"/>
      <c r="T672" s="43"/>
      <c r="U672" s="43"/>
      <c r="V672" s="43"/>
      <c r="W672" s="43"/>
      <c r="X672" s="43"/>
      <c r="Y672" s="43"/>
      <c r="Z672" s="43"/>
      <c r="AA672" s="43"/>
      <c r="AB672" s="43"/>
      <c r="AC672" s="43"/>
      <c r="AD672" s="43"/>
      <c r="AE672" s="43"/>
      <c r="AF672" s="43"/>
      <c r="AG672" s="43"/>
      <c r="AH672" s="43"/>
      <c r="AI672" s="43"/>
      <c r="AJ672" s="43"/>
      <c r="AK672" s="43"/>
      <c r="AL672" s="43"/>
      <c r="AM672" s="43"/>
      <c r="AN672" s="43"/>
      <c r="AO672" s="43"/>
      <c r="AP672" s="43"/>
      <c r="AQ672" s="43"/>
      <c r="AR672" s="43"/>
      <c r="AS672" s="43"/>
      <c r="AT672" s="43"/>
      <c r="AU672" s="43"/>
      <c r="AV672" s="43"/>
    </row>
    <row r="673" spans="1:48" ht="22.9" customHeight="1">
      <c r="A673" s="176"/>
      <c r="B673" s="170" t="s">
        <v>1248</v>
      </c>
      <c r="C673" s="170" t="s">
        <v>505</v>
      </c>
      <c r="D673" s="1603">
        <v>620</v>
      </c>
      <c r="E673" s="2252" t="s">
        <v>1922</v>
      </c>
      <c r="F673" s="171">
        <v>2312</v>
      </c>
      <c r="G673" s="172" t="s">
        <v>297</v>
      </c>
      <c r="H673" s="2535">
        <v>4040</v>
      </c>
      <c r="I673" s="2535"/>
      <c r="J673" s="2520">
        <v>4536.9399999999996</v>
      </c>
      <c r="K673" s="194"/>
      <c r="L673" s="192">
        <v>800</v>
      </c>
      <c r="M673" s="1580"/>
      <c r="N673" s="73"/>
      <c r="O673" s="86"/>
      <c r="P673" s="1817" t="e">
        <f>INDEX(#REF!,MATCH(F673,#REF!,0),2)</f>
        <v>#REF!</v>
      </c>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row>
    <row r="674" spans="1:48" ht="11.45" customHeight="1">
      <c r="A674" s="175"/>
      <c r="B674" s="173" t="s">
        <v>1248</v>
      </c>
      <c r="C674" s="173" t="s">
        <v>505</v>
      </c>
      <c r="D674" s="1604"/>
      <c r="E674" s="2251" t="s">
        <v>1922</v>
      </c>
      <c r="F674" s="370">
        <v>2312</v>
      </c>
      <c r="G674" s="184" t="s">
        <v>914</v>
      </c>
      <c r="H674" s="2541"/>
      <c r="I674" s="2541">
        <v>300</v>
      </c>
      <c r="J674" s="2524"/>
      <c r="K674" s="187"/>
      <c r="L674" s="195"/>
      <c r="M674" s="1576">
        <v>300</v>
      </c>
      <c r="N674" s="73"/>
      <c r="O674" s="86"/>
      <c r="P674" s="1817" t="e">
        <f>INDEX(#REF!,MATCH(F674,#REF!,0),2)</f>
        <v>#REF!</v>
      </c>
      <c r="Q674" s="43"/>
      <c r="R674" s="43"/>
      <c r="S674" s="43"/>
      <c r="T674" s="43"/>
      <c r="U674" s="43"/>
      <c r="V674" s="43"/>
      <c r="W674" s="43"/>
      <c r="X674" s="43"/>
      <c r="Y674" s="43"/>
      <c r="Z674" s="43"/>
      <c r="AA674" s="43"/>
      <c r="AB674" s="43"/>
      <c r="AC674" s="43"/>
      <c r="AD674" s="43"/>
      <c r="AE674" s="43"/>
      <c r="AF674" s="43"/>
      <c r="AG674" s="43"/>
      <c r="AH674" s="43"/>
      <c r="AI674" s="43"/>
      <c r="AJ674" s="43"/>
      <c r="AK674" s="43"/>
      <c r="AL674" s="43"/>
      <c r="AM674" s="43"/>
      <c r="AN674" s="43"/>
      <c r="AO674" s="43"/>
      <c r="AP674" s="43"/>
      <c r="AQ674" s="43"/>
      <c r="AR674" s="43"/>
      <c r="AS674" s="43"/>
      <c r="AT674" s="43"/>
      <c r="AU674" s="43"/>
      <c r="AV674" s="43"/>
    </row>
    <row r="675" spans="1:48" ht="11.45" customHeight="1">
      <c r="A675" s="334"/>
      <c r="B675" s="325" t="s">
        <v>1248</v>
      </c>
      <c r="C675" s="173" t="s">
        <v>505</v>
      </c>
      <c r="D675" s="1607"/>
      <c r="E675" s="2256" t="s">
        <v>1922</v>
      </c>
      <c r="F675" s="371">
        <v>2312</v>
      </c>
      <c r="G675" s="323" t="s">
        <v>827</v>
      </c>
      <c r="H675" s="2548"/>
      <c r="I675" s="2548">
        <v>300</v>
      </c>
      <c r="J675" s="2529"/>
      <c r="K675" s="322"/>
      <c r="L675" s="324"/>
      <c r="M675" s="1576">
        <v>300</v>
      </c>
      <c r="N675" s="154" t="s">
        <v>5747</v>
      </c>
      <c r="O675" s="86"/>
      <c r="P675" s="1817" t="e">
        <f>INDEX(#REF!,MATCH(F675,#REF!,0),2)</f>
        <v>#REF!</v>
      </c>
    </row>
    <row r="676" spans="1:48">
      <c r="A676" s="1658"/>
      <c r="B676" s="173" t="s">
        <v>1248</v>
      </c>
      <c r="C676" s="173" t="s">
        <v>507</v>
      </c>
      <c r="D676" s="1604"/>
      <c r="E676" s="2251" t="s">
        <v>1922</v>
      </c>
      <c r="F676" s="370">
        <v>2312</v>
      </c>
      <c r="G676" s="323" t="s">
        <v>2278</v>
      </c>
      <c r="H676" s="2549"/>
      <c r="I676" s="2549">
        <v>1750</v>
      </c>
      <c r="J676" s="2530"/>
      <c r="K676" s="1652"/>
      <c r="L676" s="1650"/>
      <c r="M676" s="1650"/>
      <c r="N676" s="149"/>
      <c r="O676" s="86"/>
      <c r="P676" s="1817" t="e">
        <f>INDEX(#REF!,MATCH(F676,#REF!,0),2)</f>
        <v>#REF!</v>
      </c>
      <c r="Q676" s="43"/>
      <c r="R676" s="43"/>
      <c r="S676" s="43"/>
      <c r="T676" s="43"/>
      <c r="U676" s="43"/>
      <c r="V676" s="43"/>
      <c r="W676" s="43"/>
      <c r="X676" s="43"/>
      <c r="Y676" s="43"/>
      <c r="Z676" s="43"/>
      <c r="AA676" s="43"/>
      <c r="AB676" s="43"/>
      <c r="AC676" s="43"/>
      <c r="AD676" s="43"/>
      <c r="AE676" s="43"/>
      <c r="AF676" s="43"/>
      <c r="AG676" s="43"/>
      <c r="AH676" s="43"/>
      <c r="AI676" s="43"/>
      <c r="AJ676" s="43"/>
      <c r="AK676" s="43"/>
      <c r="AL676" s="43"/>
      <c r="AM676" s="43"/>
      <c r="AN676" s="43"/>
      <c r="AO676" s="43"/>
      <c r="AP676" s="43"/>
      <c r="AQ676" s="43"/>
      <c r="AR676" s="43"/>
      <c r="AS676" s="43"/>
      <c r="AT676" s="43"/>
      <c r="AU676" s="43"/>
      <c r="AV676" s="43"/>
    </row>
    <row r="677" spans="1:48">
      <c r="A677" s="1658"/>
      <c r="B677" s="173" t="s">
        <v>1248</v>
      </c>
      <c r="C677" s="173" t="s">
        <v>507</v>
      </c>
      <c r="D677" s="1604"/>
      <c r="E677" s="2251" t="s">
        <v>1922</v>
      </c>
      <c r="F677" s="370">
        <v>2312</v>
      </c>
      <c r="G677" s="1567" t="s">
        <v>2284</v>
      </c>
      <c r="H677" s="2549"/>
      <c r="I677" s="2549">
        <v>1200</v>
      </c>
      <c r="J677" s="2530"/>
      <c r="K677" s="1652"/>
      <c r="L677" s="1650"/>
      <c r="M677" s="1576"/>
      <c r="N677" s="149"/>
      <c r="O677" s="86"/>
      <c r="P677" s="1817" t="e">
        <f>INDEX(#REF!,MATCH(F677,#REF!,0),2)</f>
        <v>#REF!</v>
      </c>
      <c r="Q677" s="43"/>
      <c r="R677" s="43"/>
      <c r="S677" s="43"/>
      <c r="T677" s="43"/>
      <c r="U677" s="43"/>
      <c r="V677" s="43"/>
      <c r="W677" s="43"/>
      <c r="X677" s="43"/>
      <c r="Y677" s="43"/>
      <c r="Z677" s="43"/>
      <c r="AA677" s="43"/>
      <c r="AB677" s="43"/>
      <c r="AC677" s="43"/>
      <c r="AD677" s="43"/>
      <c r="AE677" s="43"/>
      <c r="AF677" s="43"/>
      <c r="AG677" s="43"/>
      <c r="AH677" s="43"/>
      <c r="AI677" s="43"/>
      <c r="AJ677" s="43"/>
      <c r="AK677" s="43"/>
      <c r="AL677" s="43"/>
      <c r="AM677" s="43"/>
      <c r="AN677" s="43"/>
      <c r="AO677" s="43"/>
      <c r="AP677" s="43"/>
      <c r="AQ677" s="43"/>
      <c r="AR677" s="43"/>
      <c r="AS677" s="43"/>
      <c r="AT677" s="43"/>
      <c r="AU677" s="43"/>
      <c r="AV677" s="43"/>
    </row>
    <row r="678" spans="1:48" ht="19.149999999999999" customHeight="1">
      <c r="A678" s="1914"/>
      <c r="B678" s="173" t="s">
        <v>1248</v>
      </c>
      <c r="C678" s="173" t="s">
        <v>507</v>
      </c>
      <c r="D678" s="1604"/>
      <c r="E678" s="2251" t="s">
        <v>1922</v>
      </c>
      <c r="F678" s="370">
        <v>2312</v>
      </c>
      <c r="G678" s="1884" t="s">
        <v>3289</v>
      </c>
      <c r="H678" s="2549"/>
      <c r="I678" s="2549">
        <v>200</v>
      </c>
      <c r="J678" s="2530"/>
      <c r="K678" s="1652"/>
      <c r="L678" s="1650"/>
      <c r="M678" s="4280">
        <v>200</v>
      </c>
      <c r="N678" s="149" t="s">
        <v>6101</v>
      </c>
      <c r="O678" s="86"/>
      <c r="P678" s="1817" t="e">
        <f>INDEX(#REF!,MATCH(F678,#REF!,0),2)</f>
        <v>#REF!</v>
      </c>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4"/>
      <c r="AR678" s="4"/>
      <c r="AS678" s="4"/>
      <c r="AT678" s="4"/>
      <c r="AU678" s="4"/>
      <c r="AV678" s="4"/>
    </row>
    <row r="679" spans="1:48" ht="19.149999999999999" customHeight="1">
      <c r="A679" s="3753"/>
      <c r="B679" s="173" t="s">
        <v>1248</v>
      </c>
      <c r="C679" s="173" t="s">
        <v>507</v>
      </c>
      <c r="D679" s="1604"/>
      <c r="E679" s="2251" t="s">
        <v>1922</v>
      </c>
      <c r="F679" s="370">
        <v>2312</v>
      </c>
      <c r="G679" s="1884" t="s">
        <v>5289</v>
      </c>
      <c r="H679" s="2549"/>
      <c r="I679" s="2549">
        <v>290</v>
      </c>
      <c r="J679" s="2530"/>
      <c r="K679" s="1652"/>
      <c r="L679" s="1650"/>
      <c r="M679" s="1650"/>
      <c r="N679" s="149"/>
      <c r="O679" s="86"/>
      <c r="P679" s="1817"/>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4"/>
      <c r="AR679" s="4"/>
      <c r="AS679" s="4"/>
      <c r="AT679" s="4"/>
      <c r="AU679" s="4"/>
      <c r="AV679" s="4"/>
    </row>
    <row r="680" spans="1:48" ht="11.45" customHeight="1">
      <c r="A680" s="198"/>
      <c r="B680" s="1072" t="s">
        <v>1248</v>
      </c>
      <c r="C680" s="1072" t="s">
        <v>507</v>
      </c>
      <c r="D680" s="1603">
        <v>620</v>
      </c>
      <c r="E680" s="2252" t="s">
        <v>1922</v>
      </c>
      <c r="F680" s="372">
        <v>2322</v>
      </c>
      <c r="G680" s="199" t="s">
        <v>289</v>
      </c>
      <c r="H680" s="2535">
        <v>15275</v>
      </c>
      <c r="I680" s="2535"/>
      <c r="J680" s="2520">
        <v>7390.47</v>
      </c>
      <c r="K680" s="194"/>
      <c r="L680" s="192">
        <v>14820</v>
      </c>
      <c r="M680" s="1580"/>
      <c r="N680" s="73"/>
      <c r="O680" s="86"/>
      <c r="P680" s="1817" t="e">
        <f>INDEX(#REF!,MATCH(F680,#REF!,0),2)</f>
        <v>#REF!</v>
      </c>
      <c r="Q680" s="43"/>
      <c r="R680" s="43"/>
      <c r="S680" s="43"/>
      <c r="T680" s="43"/>
      <c r="U680" s="43"/>
      <c r="V680" s="43"/>
      <c r="W680" s="43"/>
      <c r="X680" s="43"/>
      <c r="Y680" s="43"/>
      <c r="Z680" s="43"/>
      <c r="AA680" s="43"/>
      <c r="AB680" s="43"/>
      <c r="AC680" s="43"/>
      <c r="AD680" s="43"/>
      <c r="AE680" s="43"/>
      <c r="AF680" s="43"/>
      <c r="AG680" s="43"/>
      <c r="AH680" s="43"/>
      <c r="AI680" s="43"/>
      <c r="AJ680" s="43"/>
      <c r="AL680" s="43"/>
      <c r="AM680" s="43"/>
      <c r="AN680" s="43"/>
      <c r="AO680" s="43"/>
      <c r="AP680" s="43"/>
      <c r="AQ680" s="43"/>
      <c r="AR680" s="43"/>
      <c r="AS680" s="43"/>
      <c r="AT680" s="43"/>
      <c r="AU680" s="43"/>
      <c r="AV680" s="43"/>
    </row>
    <row r="681" spans="1:48" ht="13.9" customHeight="1">
      <c r="A681" s="175"/>
      <c r="B681" s="173" t="s">
        <v>1248</v>
      </c>
      <c r="C681" s="173" t="s">
        <v>507</v>
      </c>
      <c r="D681" s="1604"/>
      <c r="E681" s="2251" t="s">
        <v>1922</v>
      </c>
      <c r="F681" s="370">
        <v>2322</v>
      </c>
      <c r="G681" s="200" t="s">
        <v>2280</v>
      </c>
      <c r="H681" s="2541"/>
      <c r="I681" s="2541">
        <v>3420</v>
      </c>
      <c r="J681" s="2524"/>
      <c r="K681" s="187"/>
      <c r="L681" s="195"/>
      <c r="M681" s="1576">
        <v>3420</v>
      </c>
      <c r="N681" s="149"/>
      <c r="O681" s="86"/>
      <c r="P681" s="1817" t="e">
        <f>INDEX(#REF!,MATCH(F681,#REF!,0),2)</f>
        <v>#REF!</v>
      </c>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4"/>
      <c r="AR681" s="4"/>
      <c r="AS681" s="4"/>
      <c r="AT681" s="4"/>
      <c r="AU681" s="4"/>
      <c r="AV681" s="4"/>
    </row>
    <row r="682" spans="1:48" ht="11.45" customHeight="1">
      <c r="A682" s="175"/>
      <c r="B682" s="173" t="s">
        <v>1248</v>
      </c>
      <c r="C682" s="173" t="s">
        <v>507</v>
      </c>
      <c r="D682" s="1604"/>
      <c r="E682" s="2251" t="s">
        <v>1922</v>
      </c>
      <c r="F682" s="370">
        <v>2322</v>
      </c>
      <c r="G682" s="200" t="s">
        <v>2281</v>
      </c>
      <c r="H682" s="2541"/>
      <c r="I682" s="2541">
        <v>2736</v>
      </c>
      <c r="J682" s="2524"/>
      <c r="K682" s="187"/>
      <c r="L682" s="195"/>
      <c r="M682" s="1576">
        <v>2736</v>
      </c>
      <c r="N682" s="149"/>
      <c r="O682" s="86"/>
      <c r="P682" s="1817" t="e">
        <f>INDEX(#REF!,MATCH(F682,#REF!,0),2)</f>
        <v>#REF!</v>
      </c>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row>
    <row r="683" spans="1:48" ht="11.45" customHeight="1">
      <c r="A683" s="1658"/>
      <c r="B683" s="173" t="s">
        <v>1248</v>
      </c>
      <c r="C683" s="173" t="s">
        <v>507</v>
      </c>
      <c r="D683" s="1604"/>
      <c r="E683" s="2251" t="s">
        <v>1922</v>
      </c>
      <c r="F683" s="370">
        <v>2322</v>
      </c>
      <c r="G683" s="1656" t="s">
        <v>2282</v>
      </c>
      <c r="H683" s="2550"/>
      <c r="I683" s="2550">
        <v>2280</v>
      </c>
      <c r="J683" s="2531"/>
      <c r="K683" s="1588"/>
      <c r="L683" s="1576"/>
      <c r="M683" s="1576">
        <v>2280</v>
      </c>
      <c r="N683" s="149"/>
      <c r="O683" s="86"/>
      <c r="P683" s="1817" t="e">
        <f>INDEX(#REF!,MATCH(F683,#REF!,0),2)</f>
        <v>#REF!</v>
      </c>
      <c r="Q683" s="43"/>
      <c r="R683" s="43"/>
      <c r="S683" s="43"/>
      <c r="T683" s="43"/>
      <c r="U683" s="43"/>
      <c r="V683" s="43"/>
      <c r="W683" s="43"/>
      <c r="X683" s="43"/>
      <c r="Y683" s="43"/>
      <c r="Z683" s="43"/>
      <c r="AA683" s="43"/>
      <c r="AB683" s="43"/>
      <c r="AC683" s="43"/>
      <c r="AD683" s="43"/>
      <c r="AE683" s="43"/>
      <c r="AF683" s="43"/>
      <c r="AG683" s="43"/>
      <c r="AH683" s="43"/>
      <c r="AI683" s="43"/>
      <c r="AJ683" s="43"/>
      <c r="AK683" s="43"/>
      <c r="AL683" s="43"/>
      <c r="AM683" s="43"/>
      <c r="AN683" s="43"/>
      <c r="AO683" s="43"/>
      <c r="AP683" s="43"/>
      <c r="AQ683" s="43"/>
      <c r="AR683" s="43"/>
      <c r="AS683" s="43"/>
      <c r="AT683" s="43"/>
      <c r="AU683" s="43"/>
      <c r="AV683" s="43"/>
    </row>
    <row r="684" spans="1:48" ht="9.6" customHeight="1">
      <c r="A684" s="175"/>
      <c r="B684" s="173" t="s">
        <v>1248</v>
      </c>
      <c r="C684" s="173" t="s">
        <v>507</v>
      </c>
      <c r="D684" s="1604"/>
      <c r="E684" s="2251" t="s">
        <v>1922</v>
      </c>
      <c r="F684" s="370">
        <v>2322</v>
      </c>
      <c r="G684" s="200" t="s">
        <v>2283</v>
      </c>
      <c r="H684" s="2541"/>
      <c r="I684" s="2541">
        <v>6384</v>
      </c>
      <c r="J684" s="2524"/>
      <c r="K684" s="187"/>
      <c r="L684" s="195"/>
      <c r="M684" s="1576">
        <v>6384</v>
      </c>
      <c r="N684" s="149"/>
      <c r="O684" s="86"/>
      <c r="P684" s="1817" t="e">
        <f>INDEX(#REF!,MATCH(F684,#REF!,0),2)</f>
        <v>#REF!</v>
      </c>
      <c r="Q684" s="43"/>
      <c r="R684" s="43"/>
      <c r="S684" s="43"/>
      <c r="T684" s="43"/>
      <c r="U684" s="43"/>
      <c r="V684" s="43"/>
      <c r="W684" s="43"/>
      <c r="X684" s="43"/>
      <c r="Y684" s="43"/>
      <c r="Z684" s="43"/>
      <c r="AA684" s="43"/>
      <c r="AB684" s="43"/>
      <c r="AC684" s="43"/>
      <c r="AD684" s="43"/>
      <c r="AE684" s="43"/>
      <c r="AF684" s="43"/>
      <c r="AG684" s="43"/>
      <c r="AH684" s="43"/>
      <c r="AI684" s="43"/>
      <c r="AJ684" s="43"/>
      <c r="AK684" s="43"/>
      <c r="AL684" s="43"/>
      <c r="AM684" s="43"/>
      <c r="AN684" s="43"/>
      <c r="AO684" s="43"/>
      <c r="AP684" s="43"/>
      <c r="AQ684" s="43"/>
      <c r="AR684" s="43"/>
      <c r="AS684" s="43"/>
      <c r="AT684" s="43"/>
      <c r="AU684" s="43"/>
      <c r="AV684" s="43"/>
    </row>
    <row r="685" spans="1:48" ht="9.6" customHeight="1">
      <c r="A685" s="3753"/>
      <c r="B685" s="173" t="s">
        <v>1248</v>
      </c>
      <c r="C685" s="173" t="s">
        <v>507</v>
      </c>
      <c r="D685" s="1604"/>
      <c r="E685" s="2251" t="s">
        <v>1922</v>
      </c>
      <c r="F685" s="370">
        <v>2322</v>
      </c>
      <c r="G685" s="3666" t="s">
        <v>5291</v>
      </c>
      <c r="H685" s="2549"/>
      <c r="I685" s="2549">
        <v>455</v>
      </c>
      <c r="J685" s="2530"/>
      <c r="K685" s="1652"/>
      <c r="L685" s="1650"/>
      <c r="M685" s="2779"/>
      <c r="N685" s="149"/>
      <c r="O685" s="86"/>
      <c r="P685" s="1817"/>
      <c r="Q685" s="43"/>
      <c r="R685" s="43"/>
      <c r="S685" s="43"/>
      <c r="T685" s="43"/>
      <c r="U685" s="43"/>
      <c r="V685" s="43"/>
      <c r="W685" s="43"/>
      <c r="X685" s="43"/>
      <c r="Y685" s="43"/>
      <c r="Z685" s="43"/>
      <c r="AA685" s="43"/>
      <c r="AB685" s="43"/>
      <c r="AC685" s="43"/>
      <c r="AD685" s="43"/>
      <c r="AE685" s="43"/>
      <c r="AF685" s="43"/>
      <c r="AG685" s="43"/>
      <c r="AH685" s="43"/>
      <c r="AI685" s="43"/>
      <c r="AJ685" s="43"/>
      <c r="AK685" s="43"/>
      <c r="AL685" s="43"/>
      <c r="AM685" s="43"/>
      <c r="AN685" s="43"/>
      <c r="AO685" s="43"/>
      <c r="AP685" s="43"/>
      <c r="AQ685" s="43"/>
      <c r="AR685" s="43"/>
      <c r="AS685" s="43"/>
      <c r="AT685" s="43"/>
      <c r="AU685" s="43"/>
      <c r="AV685" s="43"/>
    </row>
    <row r="686" spans="1:48" ht="16.5" customHeight="1">
      <c r="A686" s="176"/>
      <c r="B686" s="170" t="s">
        <v>1248</v>
      </c>
      <c r="C686" s="170" t="s">
        <v>505</v>
      </c>
      <c r="D686" s="1603">
        <v>620</v>
      </c>
      <c r="E686" s="2252" t="s">
        <v>1922</v>
      </c>
      <c r="F686" s="171">
        <v>2350</v>
      </c>
      <c r="G686" s="172" t="s">
        <v>251</v>
      </c>
      <c r="H686" s="2535">
        <v>100</v>
      </c>
      <c r="I686" s="2535"/>
      <c r="J686" s="2520">
        <v>0</v>
      </c>
      <c r="K686" s="194"/>
      <c r="L686" s="192">
        <v>100</v>
      </c>
      <c r="M686" s="1580"/>
      <c r="N686" s="73"/>
      <c r="O686" s="86"/>
      <c r="P686" s="1817" t="e">
        <f>INDEX(#REF!,MATCH(F686,#REF!,0),2)</f>
        <v>#REF!</v>
      </c>
      <c r="Q686" s="43"/>
      <c r="R686" s="43"/>
      <c r="S686" s="43"/>
      <c r="T686" s="43"/>
      <c r="U686" s="43"/>
      <c r="V686" s="43"/>
      <c r="W686" s="43"/>
      <c r="X686" s="43"/>
      <c r="Y686" s="43"/>
      <c r="Z686" s="43"/>
      <c r="AA686" s="43"/>
      <c r="AB686" s="43"/>
      <c r="AC686" s="43"/>
      <c r="AD686" s="43"/>
      <c r="AE686" s="43"/>
      <c r="AF686" s="43"/>
      <c r="AG686" s="43"/>
      <c r="AH686" s="1786"/>
      <c r="AI686" s="1030"/>
      <c r="AJ686" s="1030"/>
      <c r="AK686" s="43"/>
      <c r="AL686" s="43"/>
      <c r="AM686" s="43"/>
      <c r="AN686" s="43"/>
      <c r="AO686" s="43"/>
      <c r="AP686" s="43"/>
      <c r="AQ686" s="43"/>
      <c r="AR686" s="43"/>
      <c r="AS686" s="43"/>
      <c r="AT686" s="43"/>
      <c r="AU686" s="43"/>
      <c r="AV686" s="43"/>
    </row>
    <row r="687" spans="1:48" ht="11.45" customHeight="1">
      <c r="A687" s="175"/>
      <c r="B687" s="173" t="s">
        <v>1248</v>
      </c>
      <c r="C687" s="173" t="s">
        <v>505</v>
      </c>
      <c r="D687" s="1604"/>
      <c r="E687" s="2251" t="s">
        <v>1922</v>
      </c>
      <c r="F687" s="370">
        <v>2350</v>
      </c>
      <c r="G687" s="174" t="s">
        <v>271</v>
      </c>
      <c r="H687" s="2541"/>
      <c r="I687" s="2541">
        <v>100</v>
      </c>
      <c r="J687" s="2524"/>
      <c r="K687" s="187"/>
      <c r="L687" s="195"/>
      <c r="M687" s="1576">
        <v>100</v>
      </c>
      <c r="N687" s="73"/>
      <c r="O687" s="86"/>
      <c r="P687" s="1817" t="e">
        <f>INDEX(#REF!,MATCH(F687,#REF!,0),2)</f>
        <v>#REF!</v>
      </c>
      <c r="Q687" s="43"/>
      <c r="R687" s="43"/>
      <c r="S687" s="43"/>
      <c r="T687" s="43"/>
      <c r="U687" s="43"/>
      <c r="V687" s="43"/>
      <c r="W687" s="43"/>
      <c r="X687" s="43"/>
      <c r="Y687" s="43"/>
      <c r="Z687" s="43"/>
      <c r="AA687" s="43"/>
      <c r="AB687" s="43"/>
      <c r="AC687" s="43"/>
      <c r="AD687" s="43"/>
      <c r="AE687" s="43"/>
      <c r="AF687" s="43"/>
      <c r="AG687" s="43"/>
      <c r="AH687" s="1786"/>
      <c r="AI687" s="1030"/>
      <c r="AJ687" s="1030"/>
      <c r="AK687" s="43"/>
      <c r="AL687" s="43"/>
      <c r="AM687" s="43"/>
      <c r="AN687" s="43"/>
      <c r="AO687" s="43"/>
      <c r="AP687" s="43"/>
      <c r="AQ687" s="43"/>
      <c r="AR687" s="43"/>
      <c r="AS687" s="43"/>
      <c r="AT687" s="43"/>
      <c r="AU687" s="43"/>
      <c r="AV687" s="43"/>
    </row>
    <row r="688" spans="1:48" ht="16.5" customHeight="1">
      <c r="A688" s="176"/>
      <c r="B688" s="170" t="s">
        <v>1248</v>
      </c>
      <c r="C688" s="170" t="s">
        <v>505</v>
      </c>
      <c r="D688" s="1603">
        <v>620</v>
      </c>
      <c r="E688" s="2252" t="s">
        <v>1922</v>
      </c>
      <c r="F688" s="171">
        <v>2361</v>
      </c>
      <c r="G688" s="172" t="s">
        <v>3759</v>
      </c>
      <c r="H688" s="2535">
        <v>680</v>
      </c>
      <c r="I688" s="2535"/>
      <c r="J688" s="2520" t="s">
        <v>2426</v>
      </c>
      <c r="K688" s="194"/>
      <c r="L688" s="192">
        <v>700</v>
      </c>
      <c r="M688" s="1580"/>
      <c r="N688" s="73"/>
      <c r="O688" s="86"/>
      <c r="P688" s="1817" t="e">
        <f>INDEX(#REF!,MATCH(F688,#REF!,0),2)</f>
        <v>#REF!</v>
      </c>
      <c r="Q688" s="43"/>
      <c r="R688" s="43"/>
      <c r="S688" s="43"/>
      <c r="T688" s="43"/>
      <c r="U688" s="43"/>
      <c r="V688" s="43"/>
      <c r="W688" s="43"/>
      <c r="X688" s="43"/>
      <c r="Y688" s="43"/>
      <c r="Z688" s="43"/>
      <c r="AA688" s="43"/>
      <c r="AB688" s="43"/>
      <c r="AC688" s="43"/>
      <c r="AD688" s="43"/>
      <c r="AE688" s="43"/>
      <c r="AF688" s="43"/>
      <c r="AG688" s="43"/>
      <c r="AH688" s="1786"/>
      <c r="AI688" s="1030"/>
      <c r="AJ688" s="1030"/>
      <c r="AK688" s="43"/>
      <c r="AL688" s="43"/>
      <c r="AM688" s="43"/>
      <c r="AN688" s="43"/>
      <c r="AO688" s="43"/>
      <c r="AP688" s="43"/>
      <c r="AQ688" s="43"/>
      <c r="AR688" s="43"/>
      <c r="AS688" s="43"/>
      <c r="AT688" s="43"/>
      <c r="AU688" s="43"/>
      <c r="AV688" s="43"/>
    </row>
    <row r="689" spans="1:48" ht="11.45" customHeight="1">
      <c r="A689" s="175"/>
      <c r="B689" s="173" t="s">
        <v>1248</v>
      </c>
      <c r="C689" s="173" t="s">
        <v>505</v>
      </c>
      <c r="D689" s="1604"/>
      <c r="E689" s="2251" t="s">
        <v>1922</v>
      </c>
      <c r="F689" s="370">
        <v>2361</v>
      </c>
      <c r="G689" s="1567" t="s">
        <v>3428</v>
      </c>
      <c r="H689" s="2549"/>
      <c r="I689" s="2549">
        <v>680</v>
      </c>
      <c r="J689" s="2530"/>
      <c r="K689" s="1652"/>
      <c r="L689" s="1650"/>
      <c r="M689" s="1576">
        <v>700</v>
      </c>
      <c r="N689" s="73"/>
      <c r="O689" s="86"/>
      <c r="P689" s="1817" t="e">
        <f>INDEX(#REF!,MATCH(F689,#REF!,0),2)</f>
        <v>#REF!</v>
      </c>
      <c r="Q689" s="43"/>
      <c r="R689" s="43"/>
      <c r="S689" s="43"/>
      <c r="T689" s="43"/>
      <c r="U689" s="43"/>
      <c r="V689" s="43"/>
      <c r="W689" s="43"/>
      <c r="X689" s="43"/>
      <c r="Y689" s="43"/>
      <c r="Z689" s="43"/>
      <c r="AA689" s="43"/>
      <c r="AB689" s="43"/>
      <c r="AC689" s="43"/>
      <c r="AD689" s="43"/>
      <c r="AE689" s="43"/>
      <c r="AF689" s="43"/>
      <c r="AG689" s="43"/>
      <c r="AH689" s="1786"/>
      <c r="AI689" s="1030"/>
      <c r="AJ689" s="1030"/>
      <c r="AK689" s="43"/>
      <c r="AL689" s="43"/>
      <c r="AM689" s="43"/>
      <c r="AN689" s="43"/>
      <c r="AO689" s="43"/>
      <c r="AP689" s="43"/>
      <c r="AQ689" s="43"/>
      <c r="AR689" s="43"/>
      <c r="AS689" s="43"/>
      <c r="AT689" s="43"/>
      <c r="AU689" s="43"/>
      <c r="AV689" s="43"/>
    </row>
    <row r="690" spans="1:48" ht="11.45" customHeight="1">
      <c r="A690" s="176"/>
      <c r="B690" s="170" t="s">
        <v>1248</v>
      </c>
      <c r="C690" s="170" t="s">
        <v>505</v>
      </c>
      <c r="D690" s="1603">
        <v>620</v>
      </c>
      <c r="E690" s="2252" t="s">
        <v>1922</v>
      </c>
      <c r="F690" s="171">
        <v>2390</v>
      </c>
      <c r="G690" s="172" t="s">
        <v>298</v>
      </c>
      <c r="H690" s="2535">
        <v>450</v>
      </c>
      <c r="I690" s="2535"/>
      <c r="J690" s="2520">
        <v>200</v>
      </c>
      <c r="K690" s="194"/>
      <c r="L690" s="192">
        <v>450</v>
      </c>
      <c r="M690" s="1580"/>
      <c r="N690" s="73"/>
      <c r="O690" s="86"/>
      <c r="P690" s="1817" t="e">
        <f>INDEX(#REF!,MATCH(F690,#REF!,0),2)</f>
        <v>#REF!</v>
      </c>
      <c r="Q690" s="43"/>
      <c r="R690" s="43"/>
      <c r="S690" s="43"/>
      <c r="T690" s="43"/>
      <c r="U690" s="43"/>
      <c r="V690" s="43"/>
      <c r="W690" s="43"/>
      <c r="X690" s="43"/>
      <c r="Y690" s="43"/>
      <c r="Z690" s="43"/>
      <c r="AA690" s="43"/>
      <c r="AB690" s="43"/>
      <c r="AC690" s="43"/>
      <c r="AD690" s="43"/>
      <c r="AE690" s="43"/>
      <c r="AF690" s="43"/>
      <c r="AG690" s="43"/>
      <c r="AH690" s="43"/>
      <c r="AI690" s="43"/>
      <c r="AJ690" s="43"/>
      <c r="AK690" s="43"/>
      <c r="AL690" s="43"/>
      <c r="AM690" s="43"/>
      <c r="AN690" s="43"/>
      <c r="AO690" s="43"/>
      <c r="AP690" s="43"/>
      <c r="AQ690" s="43"/>
      <c r="AR690" s="43"/>
      <c r="AS690" s="43"/>
      <c r="AT690" s="43"/>
      <c r="AU690" s="43"/>
      <c r="AV690" s="43"/>
    </row>
    <row r="691" spans="1:48" ht="38.450000000000003" customHeight="1">
      <c r="A691" s="175"/>
      <c r="B691" s="173" t="s">
        <v>1248</v>
      </c>
      <c r="C691" s="173" t="s">
        <v>505</v>
      </c>
      <c r="D691" s="1604"/>
      <c r="E691" s="2251" t="s">
        <v>1922</v>
      </c>
      <c r="F691" s="370">
        <v>2390</v>
      </c>
      <c r="G691" s="174" t="s">
        <v>294</v>
      </c>
      <c r="H691" s="2541"/>
      <c r="I691" s="2536">
        <v>450</v>
      </c>
      <c r="J691" s="2524"/>
      <c r="K691" s="187"/>
      <c r="L691" s="195"/>
      <c r="M691" s="4221">
        <v>450</v>
      </c>
      <c r="N691" s="154" t="s">
        <v>6094</v>
      </c>
      <c r="O691" s="86"/>
      <c r="P691" s="1817" t="e">
        <f>INDEX(#REF!,MATCH(F691,#REF!,0),2)</f>
        <v>#REF!</v>
      </c>
      <c r="Q691" s="43"/>
      <c r="R691" s="43"/>
      <c r="S691" s="43"/>
      <c r="T691" s="43"/>
      <c r="U691" s="43"/>
      <c r="V691" s="43"/>
      <c r="W691" s="43"/>
      <c r="X691" s="43"/>
      <c r="Y691" s="43"/>
      <c r="Z691" s="43"/>
      <c r="AA691" s="43"/>
      <c r="AB691" s="43"/>
      <c r="AC691" s="43"/>
      <c r="AD691" s="43"/>
      <c r="AE691" s="43"/>
      <c r="AF691" s="43"/>
      <c r="AG691" s="43"/>
      <c r="AH691" s="43"/>
      <c r="AI691" s="43"/>
      <c r="AJ691" s="43"/>
      <c r="AK691" s="43"/>
      <c r="AL691" s="43"/>
      <c r="AM691" s="43"/>
      <c r="AN691" s="43"/>
      <c r="AO691" s="43"/>
      <c r="AP691" s="43"/>
      <c r="AQ691" s="43"/>
      <c r="AR691" s="43"/>
      <c r="AS691" s="43"/>
      <c r="AT691" s="43"/>
      <c r="AU691" s="43"/>
      <c r="AV691" s="43"/>
    </row>
    <row r="692" spans="1:48" ht="18.600000000000001" customHeight="1">
      <c r="A692" s="176"/>
      <c r="B692" s="170" t="s">
        <v>1248</v>
      </c>
      <c r="C692" s="170" t="s">
        <v>507</v>
      </c>
      <c r="D692" s="1603">
        <v>620</v>
      </c>
      <c r="E692" s="2252" t="s">
        <v>1922</v>
      </c>
      <c r="F692" s="171">
        <v>5120</v>
      </c>
      <c r="G692" s="172" t="s">
        <v>899</v>
      </c>
      <c r="H692" s="2535">
        <v>201</v>
      </c>
      <c r="I692" s="2535"/>
      <c r="J692" s="2520">
        <v>0</v>
      </c>
      <c r="K692" s="194"/>
      <c r="L692" s="192">
        <v>0</v>
      </c>
      <c r="M692" s="1580"/>
      <c r="N692" s="73"/>
      <c r="O692" s="86"/>
      <c r="P692" s="1817" t="e">
        <f>INDEX(#REF!,MATCH(F692,#REF!,0),2)</f>
        <v>#REF!</v>
      </c>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row>
    <row r="693" spans="1:48" ht="15" customHeight="1">
      <c r="A693" s="173"/>
      <c r="B693" s="325" t="s">
        <v>1248</v>
      </c>
      <c r="C693" s="325" t="s">
        <v>507</v>
      </c>
      <c r="D693" s="1604"/>
      <c r="E693" s="2251" t="s">
        <v>1922</v>
      </c>
      <c r="F693" s="370">
        <v>5120</v>
      </c>
      <c r="G693" s="298" t="s">
        <v>1035</v>
      </c>
      <c r="H693" s="2536"/>
      <c r="I693" s="2541">
        <v>201</v>
      </c>
      <c r="J693" s="2521"/>
      <c r="K693" s="190"/>
      <c r="L693" s="201"/>
      <c r="M693" s="1576">
        <v>0</v>
      </c>
      <c r="N693" s="73" t="s">
        <v>5734</v>
      </c>
      <c r="O693" s="86"/>
      <c r="P693" s="1817" t="e">
        <f>INDEX(#REF!,MATCH(F693,#REF!,0),2)</f>
        <v>#REF!</v>
      </c>
      <c r="Q693" s="43"/>
      <c r="R693" s="43"/>
      <c r="S693" s="43"/>
      <c r="T693" s="43"/>
      <c r="U693" s="43"/>
      <c r="V693" s="43"/>
      <c r="W693" s="43"/>
      <c r="X693" s="43"/>
      <c r="Y693" s="43"/>
      <c r="Z693" s="43"/>
      <c r="AA693" s="43"/>
      <c r="AB693" s="43"/>
      <c r="AC693" s="43"/>
      <c r="AD693" s="43"/>
      <c r="AE693" s="43"/>
      <c r="AF693" s="43"/>
      <c r="AG693" s="43"/>
      <c r="AH693" s="43"/>
      <c r="AI693" s="43"/>
      <c r="AJ693" s="43"/>
      <c r="AK693" s="43"/>
      <c r="AL693" s="43"/>
      <c r="AM693" s="43"/>
      <c r="AN693" s="43"/>
      <c r="AO693" s="43"/>
      <c r="AP693" s="43"/>
      <c r="AQ693" s="43"/>
      <c r="AR693" s="43"/>
      <c r="AS693" s="43"/>
      <c r="AT693" s="43"/>
      <c r="AU693" s="43"/>
      <c r="AV693" s="43"/>
    </row>
    <row r="694" spans="1:48" ht="11.45" customHeight="1">
      <c r="A694" s="176"/>
      <c r="B694" s="170" t="s">
        <v>1250</v>
      </c>
      <c r="C694" s="170" t="s">
        <v>509</v>
      </c>
      <c r="D694" s="1603">
        <v>620</v>
      </c>
      <c r="E694" s="2252" t="s">
        <v>1922</v>
      </c>
      <c r="F694" s="171">
        <v>5238</v>
      </c>
      <c r="G694" s="172" t="s">
        <v>257</v>
      </c>
      <c r="H694" s="2535">
        <v>1200</v>
      </c>
      <c r="I694" s="2535"/>
      <c r="J694" s="2520">
        <v>800</v>
      </c>
      <c r="K694" s="194"/>
      <c r="L694" s="192">
        <v>1200</v>
      </c>
      <c r="M694" s="1580"/>
      <c r="N694" s="73"/>
      <c r="O694" s="86"/>
      <c r="P694" s="1817" t="e">
        <f>INDEX(#REF!,MATCH(F694,#REF!,0),2)</f>
        <v>#REF!</v>
      </c>
      <c r="Q694" s="43"/>
      <c r="R694" s="43"/>
      <c r="S694" s="43"/>
      <c r="T694" s="43"/>
      <c r="U694" s="43"/>
      <c r="V694" s="43"/>
      <c r="W694" s="43"/>
      <c r="X694" s="43"/>
      <c r="Y694" s="43"/>
      <c r="Z694" s="43"/>
      <c r="AA694" s="43"/>
      <c r="AB694" s="43"/>
      <c r="AC694" s="43"/>
      <c r="AD694" s="43"/>
      <c r="AE694" s="43"/>
      <c r="AF694" s="43"/>
      <c r="AG694" s="43"/>
      <c r="AH694" s="43"/>
      <c r="AI694" s="43"/>
      <c r="AJ694" s="43"/>
      <c r="AK694" s="43"/>
      <c r="AL694" s="43"/>
      <c r="AM694" s="43"/>
      <c r="AN694" s="43"/>
      <c r="AO694" s="43"/>
      <c r="AP694" s="43"/>
      <c r="AQ694" s="43"/>
      <c r="AR694" s="43"/>
      <c r="AS694" s="43"/>
      <c r="AT694" s="43"/>
      <c r="AU694" s="43"/>
    </row>
    <row r="695" spans="1:48" ht="13.9" customHeight="1">
      <c r="A695" s="252"/>
      <c r="B695" s="246" t="s">
        <v>1250</v>
      </c>
      <c r="C695" s="246" t="s">
        <v>509</v>
      </c>
      <c r="D695" s="1596"/>
      <c r="E695" s="2226" t="s">
        <v>1922</v>
      </c>
      <c r="F695" s="366">
        <v>5238</v>
      </c>
      <c r="G695" s="248" t="s">
        <v>2583</v>
      </c>
      <c r="H695" s="2551"/>
      <c r="I695" s="2552">
        <v>1200</v>
      </c>
      <c r="J695" s="2532"/>
      <c r="K695" s="269"/>
      <c r="L695" s="1660"/>
      <c r="M695" s="1661">
        <v>1200</v>
      </c>
      <c r="N695" s="149"/>
      <c r="O695" s="86"/>
      <c r="P695" s="1817" t="e">
        <f>INDEX(#REF!,MATCH(F695,#REF!,0),2)</f>
        <v>#REF!</v>
      </c>
    </row>
    <row r="696" spans="1:48" ht="11.45" customHeight="1">
      <c r="A696" s="176"/>
      <c r="B696" s="170" t="s">
        <v>1250</v>
      </c>
      <c r="C696" s="170" t="s">
        <v>509</v>
      </c>
      <c r="D696" s="1603">
        <v>620</v>
      </c>
      <c r="E696" s="2252" t="s">
        <v>1922</v>
      </c>
      <c r="F696" s="171">
        <v>5239</v>
      </c>
      <c r="G696" s="172" t="s">
        <v>256</v>
      </c>
      <c r="H696" s="2535">
        <v>1700</v>
      </c>
      <c r="I696" s="2535"/>
      <c r="J696" s="2520">
        <v>0</v>
      </c>
      <c r="K696" s="194"/>
      <c r="L696" s="192">
        <v>1700</v>
      </c>
      <c r="M696" s="1580"/>
      <c r="N696" s="149"/>
      <c r="O696" s="86"/>
      <c r="P696" s="1817" t="e">
        <f>INDEX(#REF!,MATCH(F696,#REF!,0),2)</f>
        <v>#REF!</v>
      </c>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3"/>
      <c r="AT696" s="43"/>
      <c r="AU696" s="43"/>
      <c r="AV696" s="43"/>
    </row>
    <row r="697" spans="1:48" ht="19.149999999999999" customHeight="1">
      <c r="A697" s="297"/>
      <c r="B697" s="173" t="s">
        <v>1250</v>
      </c>
      <c r="C697" s="173" t="s">
        <v>509</v>
      </c>
      <c r="D697" s="1604"/>
      <c r="E697" s="2251" t="s">
        <v>1922</v>
      </c>
      <c r="F697" s="370">
        <v>5239</v>
      </c>
      <c r="G697" s="206" t="s">
        <v>2584</v>
      </c>
      <c r="H697" s="2553"/>
      <c r="I697" s="2553">
        <v>1700</v>
      </c>
      <c r="J697" s="2533"/>
      <c r="K697" s="307"/>
      <c r="L697" s="303"/>
      <c r="M697" s="1576">
        <v>1700</v>
      </c>
      <c r="N697" s="154" t="s">
        <v>5292</v>
      </c>
      <c r="O697" s="86"/>
      <c r="P697" s="1817" t="e">
        <f>INDEX(#REF!,MATCH(F697,#REF!,0),2)</f>
        <v>#REF!</v>
      </c>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4"/>
      <c r="AR697" s="4"/>
      <c r="AS697" s="4"/>
      <c r="AT697" s="4"/>
      <c r="AU697" s="4"/>
      <c r="AV697" s="4"/>
    </row>
    <row r="698" spans="1:48" ht="22.5">
      <c r="A698" s="755"/>
      <c r="B698" s="755" t="s">
        <v>663</v>
      </c>
      <c r="C698" s="755" t="s">
        <v>652</v>
      </c>
      <c r="D698" s="1600">
        <v>812</v>
      </c>
      <c r="E698" s="2248" t="s">
        <v>1947</v>
      </c>
      <c r="F698" s="756">
        <v>1119</v>
      </c>
      <c r="G698" s="757" t="s">
        <v>300</v>
      </c>
      <c r="H698" s="2604">
        <v>227556</v>
      </c>
      <c r="I698" s="2604"/>
      <c r="J698" s="2635">
        <v>172945</v>
      </c>
      <c r="K698" s="2647"/>
      <c r="L698" s="2604">
        <v>245569.32</v>
      </c>
      <c r="M698" s="2604"/>
      <c r="N698" s="335">
        <f>L698/H698-1</f>
        <v>7.9159943046986259E-2</v>
      </c>
      <c r="O698" s="86"/>
      <c r="P698" s="1817" t="e">
        <f>INDEX(#REF!,MATCH(F698,#REF!,0),2)</f>
        <v>#REF!</v>
      </c>
      <c r="Q698" s="11"/>
      <c r="R698" s="11"/>
      <c r="S698" s="11"/>
      <c r="T698" s="11"/>
      <c r="U698" s="11"/>
      <c r="V698" s="11"/>
      <c r="W698" s="4"/>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row>
    <row r="699" spans="1:48">
      <c r="A699" s="762"/>
      <c r="B699" s="762" t="s">
        <v>663</v>
      </c>
      <c r="C699" s="762" t="s">
        <v>652</v>
      </c>
      <c r="D699" s="1599"/>
      <c r="E699" s="2245" t="s">
        <v>1947</v>
      </c>
      <c r="F699" s="763">
        <v>1119</v>
      </c>
      <c r="G699" s="786" t="s">
        <v>663</v>
      </c>
      <c r="H699" s="2592"/>
      <c r="I699" s="2592">
        <v>228156</v>
      </c>
      <c r="J699" s="2636"/>
      <c r="K699" s="2647"/>
      <c r="L699" s="2592"/>
      <c r="M699" s="2592">
        <v>245569.32</v>
      </c>
      <c r="N699" s="73"/>
      <c r="O699" s="86"/>
      <c r="P699" s="1817" t="e">
        <f>INDEX(#REF!,MATCH(F699,#REF!,0),2)</f>
        <v>#REF!</v>
      </c>
      <c r="Q699" s="11"/>
      <c r="R699" s="11"/>
      <c r="S699" s="11"/>
      <c r="T699" s="11"/>
      <c r="U699" s="11"/>
      <c r="V699" s="11"/>
      <c r="W699" s="4"/>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row>
    <row r="700" spans="1:48" ht="22.5">
      <c r="A700" s="762"/>
      <c r="B700" s="762" t="s">
        <v>663</v>
      </c>
      <c r="C700" s="762" t="s">
        <v>652</v>
      </c>
      <c r="D700" s="1599"/>
      <c r="E700" s="2245" t="s">
        <v>1947</v>
      </c>
      <c r="F700" s="763">
        <v>1119</v>
      </c>
      <c r="G700" s="786" t="s">
        <v>3107</v>
      </c>
      <c r="H700" s="2654"/>
      <c r="I700" s="2655">
        <v>-600</v>
      </c>
      <c r="J700" s="2638"/>
      <c r="K700" s="2656"/>
      <c r="L700" s="2597"/>
      <c r="M700" s="2597"/>
      <c r="N700" s="73"/>
      <c r="O700" s="86"/>
      <c r="P700" s="1817" t="e">
        <f>INDEX(#REF!,MATCH(F700,#REF!,0),2)</f>
        <v>#REF!</v>
      </c>
      <c r="Q700" s="43"/>
      <c r="R700" s="43"/>
      <c r="S700" s="43"/>
      <c r="T700" s="43"/>
      <c r="U700" s="43"/>
      <c r="V700" s="43"/>
      <c r="W700" s="43"/>
      <c r="X700" s="43"/>
      <c r="Y700" s="43"/>
      <c r="Z700" s="43"/>
      <c r="AA700" s="43"/>
      <c r="AB700" s="43"/>
      <c r="AC700" s="43"/>
      <c r="AD700" s="43"/>
      <c r="AE700" s="43"/>
      <c r="AF700" s="43"/>
      <c r="AG700" s="43"/>
      <c r="AH700" s="1775"/>
      <c r="AI700" s="43"/>
      <c r="AJ700" s="11"/>
      <c r="AK700" s="11"/>
      <c r="AL700" s="11"/>
      <c r="AM700" s="11"/>
      <c r="AN700" s="11"/>
      <c r="AO700" s="11"/>
      <c r="AP700" s="11"/>
      <c r="AQ700" s="11"/>
      <c r="AR700" s="11"/>
      <c r="AS700" s="11"/>
      <c r="AT700" s="11"/>
      <c r="AU700" s="11"/>
      <c r="AV700" s="11"/>
    </row>
    <row r="701" spans="1:48" ht="22.5">
      <c r="A701" s="755"/>
      <c r="B701" s="755" t="s">
        <v>663</v>
      </c>
      <c r="C701" s="755" t="s">
        <v>652</v>
      </c>
      <c r="D701" s="1600">
        <v>812</v>
      </c>
      <c r="E701" s="2247" t="s">
        <v>1947</v>
      </c>
      <c r="F701" s="756">
        <v>1142</v>
      </c>
      <c r="G701" s="757" t="s">
        <v>895</v>
      </c>
      <c r="H701" s="2604">
        <v>2900</v>
      </c>
      <c r="I701" s="2604"/>
      <c r="J701" s="2635">
        <v>2566</v>
      </c>
      <c r="K701" s="2647"/>
      <c r="L701" s="2604">
        <v>2900</v>
      </c>
      <c r="M701" s="2604"/>
      <c r="N701" s="335">
        <f>L701/H701-1</f>
        <v>0</v>
      </c>
      <c r="O701" s="86"/>
      <c r="P701" s="1817" t="e">
        <f>INDEX(#REF!,MATCH(F701,#REF!,0),2)</f>
        <v>#REF!</v>
      </c>
      <c r="Q701" s="11"/>
      <c r="R701" s="11"/>
      <c r="S701" s="11"/>
      <c r="T701" s="11"/>
      <c r="U701" s="11"/>
      <c r="V701" s="11"/>
      <c r="W701" s="4"/>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row>
    <row r="702" spans="1:48">
      <c r="A702" s="762"/>
      <c r="B702" s="762" t="s">
        <v>663</v>
      </c>
      <c r="C702" s="762" t="s">
        <v>652</v>
      </c>
      <c r="D702" s="1599"/>
      <c r="E702" s="2245" t="s">
        <v>1947</v>
      </c>
      <c r="F702" s="763">
        <v>1142</v>
      </c>
      <c r="G702" s="786" t="s">
        <v>663</v>
      </c>
      <c r="H702" s="2592"/>
      <c r="I702" s="2592">
        <v>2900</v>
      </c>
      <c r="J702" s="2636"/>
      <c r="K702" s="2647"/>
      <c r="L702" s="2592"/>
      <c r="M702" s="2592">
        <v>2900</v>
      </c>
      <c r="N702" s="73"/>
      <c r="O702" s="86"/>
      <c r="P702" s="1817" t="e">
        <f>INDEX(#REF!,MATCH(F702,#REF!,0),2)</f>
        <v>#REF!</v>
      </c>
      <c r="Q702" s="1779"/>
      <c r="R702" s="1779"/>
      <c r="S702" s="1779"/>
      <c r="T702" s="1779"/>
      <c r="U702" s="1779"/>
      <c r="V702" s="1779"/>
      <c r="W702" s="43"/>
      <c r="X702" s="1779"/>
      <c r="Y702" s="1779"/>
      <c r="Z702" s="1779"/>
      <c r="AA702" s="1779"/>
      <c r="AB702" s="1779"/>
      <c r="AC702" s="1779"/>
      <c r="AD702" s="1779"/>
      <c r="AE702" s="1779"/>
      <c r="AF702" s="1779"/>
      <c r="AG702" s="1779"/>
      <c r="AH702" s="1779"/>
      <c r="AI702" s="1779"/>
      <c r="AJ702" s="1779"/>
      <c r="AK702" s="1779"/>
      <c r="AL702" s="1779"/>
      <c r="AM702" s="1779"/>
      <c r="AN702" s="1779"/>
      <c r="AO702" s="1779"/>
      <c r="AP702" s="1779"/>
      <c r="AQ702" s="1779"/>
      <c r="AR702" s="1779"/>
      <c r="AS702" s="1779"/>
      <c r="AT702" s="1779"/>
      <c r="AU702" s="1779"/>
    </row>
    <row r="703" spans="1:48" ht="22.5">
      <c r="A703" s="755"/>
      <c r="B703" s="755" t="s">
        <v>663</v>
      </c>
      <c r="C703" s="755" t="s">
        <v>652</v>
      </c>
      <c r="D703" s="1600">
        <v>812</v>
      </c>
      <c r="E703" s="2247" t="s">
        <v>1947</v>
      </c>
      <c r="F703" s="756">
        <v>1146</v>
      </c>
      <c r="G703" s="757" t="s">
        <v>922</v>
      </c>
      <c r="H703" s="2604">
        <v>0</v>
      </c>
      <c r="I703" s="2604"/>
      <c r="J703" s="2635"/>
      <c r="K703" s="2647"/>
      <c r="L703" s="2604">
        <v>0</v>
      </c>
      <c r="M703" s="2604"/>
      <c r="N703" s="73"/>
      <c r="O703" s="86"/>
      <c r="P703" s="1817" t="e">
        <f>INDEX(#REF!,MATCH(F703,#REF!,0),2)</f>
        <v>#REF!</v>
      </c>
      <c r="Q703" s="11"/>
      <c r="R703" s="11"/>
      <c r="S703" s="11"/>
      <c r="T703" s="11"/>
      <c r="U703" s="11"/>
      <c r="V703" s="11"/>
      <c r="W703" s="4"/>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row>
    <row r="704" spans="1:48">
      <c r="A704" s="762"/>
      <c r="B704" s="762" t="s">
        <v>663</v>
      </c>
      <c r="C704" s="762" t="s">
        <v>652</v>
      </c>
      <c r="D704" s="1599"/>
      <c r="E704" s="2245" t="s">
        <v>1947</v>
      </c>
      <c r="F704" s="763">
        <v>1146</v>
      </c>
      <c r="G704" s="786" t="s">
        <v>1180</v>
      </c>
      <c r="H704" s="2592"/>
      <c r="I704" s="2592"/>
      <c r="J704" s="2636"/>
      <c r="K704" s="2647"/>
      <c r="L704" s="2592"/>
      <c r="M704" s="2592"/>
      <c r="N704" s="73"/>
      <c r="O704" s="86"/>
      <c r="P704" s="1817" t="e">
        <f>INDEX(#REF!,MATCH(F704,#REF!,0),2)</f>
        <v>#REF!</v>
      </c>
      <c r="Q704" s="11"/>
      <c r="R704" s="11"/>
      <c r="S704" s="11"/>
      <c r="T704" s="11"/>
      <c r="U704" s="11"/>
      <c r="V704" s="11"/>
      <c r="W704" s="4"/>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row>
    <row r="705" spans="1:48">
      <c r="A705" s="762"/>
      <c r="B705" s="762" t="s">
        <v>663</v>
      </c>
      <c r="C705" s="762" t="s">
        <v>652</v>
      </c>
      <c r="D705" s="1599"/>
      <c r="E705" s="2245" t="s">
        <v>1947</v>
      </c>
      <c r="F705" s="763">
        <v>1146</v>
      </c>
      <c r="G705" s="786" t="s">
        <v>663</v>
      </c>
      <c r="H705" s="2592"/>
      <c r="I705" s="2592"/>
      <c r="J705" s="2636"/>
      <c r="K705" s="2647"/>
      <c r="L705" s="2592"/>
      <c r="M705" s="2592"/>
      <c r="N705" s="73"/>
      <c r="O705" s="86"/>
      <c r="P705" s="1817" t="e">
        <f>INDEX(#REF!,MATCH(F705,#REF!,0),2)</f>
        <v>#REF!</v>
      </c>
      <c r="Q705" s="1779"/>
      <c r="R705" s="1779"/>
      <c r="S705" s="1779"/>
      <c r="T705" s="1779"/>
      <c r="U705" s="1779"/>
      <c r="V705" s="1779"/>
      <c r="W705" s="43"/>
      <c r="X705" s="1779"/>
      <c r="Y705" s="1779"/>
      <c r="Z705" s="1779"/>
      <c r="AA705" s="1779"/>
      <c r="AB705" s="1779"/>
      <c r="AC705" s="1779"/>
      <c r="AD705" s="1779"/>
      <c r="AE705" s="1779"/>
      <c r="AF705" s="1779"/>
      <c r="AG705" s="1779"/>
      <c r="AH705" s="1779"/>
      <c r="AI705" s="1779"/>
      <c r="AJ705" s="1779"/>
      <c r="AK705" s="1779"/>
      <c r="AL705" s="1779"/>
      <c r="AM705" s="1779"/>
      <c r="AN705" s="1779"/>
      <c r="AO705" s="1779"/>
      <c r="AP705" s="1779"/>
      <c r="AQ705" s="1779"/>
      <c r="AR705" s="1779"/>
      <c r="AS705" s="1779"/>
      <c r="AT705" s="1779"/>
      <c r="AU705" s="1779"/>
      <c r="AV705" s="1779"/>
    </row>
    <row r="706" spans="1:48">
      <c r="A706" s="755"/>
      <c r="B706" s="755" t="s">
        <v>663</v>
      </c>
      <c r="C706" s="755" t="s">
        <v>652</v>
      </c>
      <c r="D706" s="1600">
        <v>812</v>
      </c>
      <c r="E706" s="2247" t="s">
        <v>1947</v>
      </c>
      <c r="F706" s="756">
        <v>1147</v>
      </c>
      <c r="G706" s="757" t="s">
        <v>568</v>
      </c>
      <c r="H706" s="2604">
        <v>18057</v>
      </c>
      <c r="I706" s="2604"/>
      <c r="J706" s="2635">
        <v>6633.42</v>
      </c>
      <c r="K706" s="2647"/>
      <c r="L706" s="2604">
        <v>21442.120000000003</v>
      </c>
      <c r="M706" s="2604"/>
      <c r="N706" s="335">
        <f>L706/H706-1</f>
        <v>0.18746857174502973</v>
      </c>
      <c r="O706" s="86"/>
      <c r="P706" s="1817" t="e">
        <f>INDEX(#REF!,MATCH(F706,#REF!,0),2)</f>
        <v>#REF!</v>
      </c>
      <c r="Q706" s="11"/>
      <c r="R706" s="11"/>
      <c r="S706" s="11"/>
      <c r="T706" s="11"/>
      <c r="U706" s="11"/>
      <c r="V706" s="11"/>
      <c r="W706" s="4"/>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row>
    <row r="707" spans="1:48">
      <c r="A707" s="762"/>
      <c r="B707" s="762" t="s">
        <v>663</v>
      </c>
      <c r="C707" s="762" t="s">
        <v>652</v>
      </c>
      <c r="D707" s="1599"/>
      <c r="E707" s="2245" t="s">
        <v>1947</v>
      </c>
      <c r="F707" s="763">
        <v>1147</v>
      </c>
      <c r="G707" s="786" t="s">
        <v>663</v>
      </c>
      <c r="H707" s="2592"/>
      <c r="I707" s="2592">
        <v>19771.8</v>
      </c>
      <c r="J707" s="2636"/>
      <c r="K707" s="2647"/>
      <c r="L707" s="2592"/>
      <c r="M707" s="2592">
        <v>21442.120000000003</v>
      </c>
      <c r="N707" s="73"/>
      <c r="O707" s="86"/>
      <c r="P707" s="1817" t="e">
        <f>INDEX(#REF!,MATCH(F707,#REF!,0),2)</f>
        <v>#REF!</v>
      </c>
      <c r="Q707" s="11"/>
      <c r="R707" s="11"/>
      <c r="S707" s="11"/>
      <c r="T707" s="11"/>
      <c r="U707" s="11"/>
      <c r="V707" s="11"/>
      <c r="W707" s="4"/>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row>
    <row r="708" spans="1:48">
      <c r="A708" s="762"/>
      <c r="B708" s="762" t="s">
        <v>663</v>
      </c>
      <c r="C708" s="762" t="s">
        <v>652</v>
      </c>
      <c r="D708" s="1599"/>
      <c r="E708" s="2245" t="s">
        <v>1947</v>
      </c>
      <c r="F708" s="763">
        <v>1147</v>
      </c>
      <c r="G708" s="786" t="s">
        <v>1180</v>
      </c>
      <c r="H708" s="2592"/>
      <c r="I708" s="2592"/>
      <c r="J708" s="2636"/>
      <c r="K708" s="2647"/>
      <c r="L708" s="2592"/>
      <c r="M708" s="2592"/>
      <c r="N708" s="73"/>
      <c r="O708" s="86"/>
      <c r="P708" s="1817" t="e">
        <f>INDEX(#REF!,MATCH(F708,#REF!,0),2)</f>
        <v>#REF!</v>
      </c>
      <c r="Q708" s="1779"/>
      <c r="R708" s="1779"/>
      <c r="S708" s="1779"/>
      <c r="T708" s="1779"/>
      <c r="U708" s="1779"/>
      <c r="V708" s="1779"/>
      <c r="W708" s="43"/>
      <c r="X708" s="1779"/>
      <c r="Y708" s="1779"/>
      <c r="Z708" s="1779"/>
      <c r="AA708" s="1779"/>
      <c r="AB708" s="1779"/>
      <c r="AC708" s="1779"/>
      <c r="AD708" s="1779"/>
      <c r="AE708" s="1779"/>
      <c r="AF708" s="1779"/>
      <c r="AG708" s="1779"/>
      <c r="AH708" s="1779"/>
      <c r="AI708" s="1779"/>
      <c r="AJ708" s="1779"/>
      <c r="AK708" s="1779"/>
      <c r="AL708" s="1779"/>
      <c r="AM708" s="1779"/>
      <c r="AN708" s="1779"/>
      <c r="AO708" s="1779"/>
      <c r="AP708" s="1779"/>
      <c r="AQ708" s="1779"/>
      <c r="AR708" s="1779"/>
      <c r="AS708" s="1779"/>
      <c r="AT708" s="1779"/>
      <c r="AU708" s="1779"/>
      <c r="AV708" s="1779"/>
    </row>
    <row r="709" spans="1:48">
      <c r="A709" s="755"/>
      <c r="B709" s="755" t="s">
        <v>663</v>
      </c>
      <c r="C709" s="755" t="s">
        <v>652</v>
      </c>
      <c r="D709" s="1600">
        <v>812</v>
      </c>
      <c r="E709" s="2247" t="s">
        <v>1947</v>
      </c>
      <c r="F709" s="756">
        <v>1148</v>
      </c>
      <c r="G709" s="757" t="s">
        <v>569</v>
      </c>
      <c r="H709" s="2604">
        <v>1115</v>
      </c>
      <c r="I709" s="2604"/>
      <c r="J709" s="2635">
        <v>1000</v>
      </c>
      <c r="K709" s="2647"/>
      <c r="L709" s="2604">
        <v>0</v>
      </c>
      <c r="M709" s="2604"/>
      <c r="N709" s="335">
        <f>L709/H709-1</f>
        <v>-1</v>
      </c>
      <c r="O709" s="86"/>
      <c r="P709" s="1817" t="e">
        <f>INDEX(#REF!,MATCH(F709,#REF!,0),2)</f>
        <v>#REF!</v>
      </c>
      <c r="Q709" s="11"/>
      <c r="R709" s="11"/>
      <c r="S709" s="11"/>
      <c r="T709" s="11"/>
      <c r="U709" s="11"/>
      <c r="V709" s="11"/>
      <c r="W709" s="4"/>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row>
    <row r="710" spans="1:48" ht="22.5">
      <c r="A710" s="762"/>
      <c r="B710" s="762" t="s">
        <v>663</v>
      </c>
      <c r="C710" s="762" t="s">
        <v>652</v>
      </c>
      <c r="D710" s="1599"/>
      <c r="E710" s="2245" t="s">
        <v>1947</v>
      </c>
      <c r="F710" s="763">
        <v>1148</v>
      </c>
      <c r="G710" s="772" t="s">
        <v>1321</v>
      </c>
      <c r="H710" s="2592"/>
      <c r="I710" s="2592"/>
      <c r="J710" s="2636"/>
      <c r="K710" s="2647"/>
      <c r="L710" s="2592"/>
      <c r="M710" s="2592"/>
      <c r="N710" s="73"/>
      <c r="O710" s="86"/>
      <c r="P710" s="1817" t="e">
        <f>INDEX(#REF!,MATCH(F710,#REF!,0),2)</f>
        <v>#REF!</v>
      </c>
      <c r="Q710" s="11"/>
      <c r="R710" s="11"/>
      <c r="S710" s="11"/>
      <c r="T710" s="11"/>
      <c r="U710" s="11"/>
      <c r="V710" s="11"/>
      <c r="W710" s="4"/>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row>
    <row r="711" spans="1:48" ht="22.5">
      <c r="A711" s="1465"/>
      <c r="B711" s="1465" t="s">
        <v>663</v>
      </c>
      <c r="C711" s="1465" t="s">
        <v>652</v>
      </c>
      <c r="D711" s="1602"/>
      <c r="E711" s="2245" t="s">
        <v>1947</v>
      </c>
      <c r="F711" s="1527">
        <v>1148</v>
      </c>
      <c r="G711" s="1529" t="s">
        <v>2047</v>
      </c>
      <c r="H711" s="2592"/>
      <c r="I711" s="2592"/>
      <c r="J711" s="2636"/>
      <c r="K711" s="2647"/>
      <c r="L711" s="2592"/>
      <c r="M711" s="2592"/>
      <c r="N711" s="73"/>
      <c r="O711" s="86"/>
      <c r="P711" s="1817" t="e">
        <f>INDEX(#REF!,MATCH(F711,#REF!,0),2)</f>
        <v>#REF!</v>
      </c>
      <c r="Q711" s="11"/>
      <c r="R711" s="11"/>
      <c r="S711" s="11"/>
      <c r="T711" s="11"/>
      <c r="U711" s="11"/>
      <c r="V711" s="11"/>
      <c r="W711" s="4"/>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row>
    <row r="712" spans="1:48" ht="22.5">
      <c r="A712" s="755" t="s">
        <v>1085</v>
      </c>
      <c r="B712" s="755" t="s">
        <v>1248</v>
      </c>
      <c r="C712" s="755" t="s">
        <v>505</v>
      </c>
      <c r="D712" s="1600">
        <v>812</v>
      </c>
      <c r="E712" s="2247" t="s">
        <v>1947</v>
      </c>
      <c r="F712" s="756">
        <v>1150</v>
      </c>
      <c r="G712" s="757" t="s">
        <v>625</v>
      </c>
      <c r="H712" s="2604">
        <v>1240</v>
      </c>
      <c r="I712" s="2604"/>
      <c r="J712" s="2635">
        <v>1237.32</v>
      </c>
      <c r="K712" s="2647"/>
      <c r="L712" s="2604">
        <v>0</v>
      </c>
      <c r="M712" s="2604"/>
      <c r="N712" s="335">
        <f>L712/H712-1</f>
        <v>-1</v>
      </c>
      <c r="O712" s="86"/>
      <c r="P712" s="1817" t="e">
        <f>INDEX(#REF!,MATCH(F712,#REF!,0),2)</f>
        <v>#REF!</v>
      </c>
      <c r="Q712" s="1779"/>
      <c r="R712" s="1779"/>
      <c r="S712" s="1779"/>
      <c r="T712" s="1779"/>
      <c r="U712" s="1779"/>
      <c r="V712" s="1779"/>
      <c r="W712" s="43"/>
      <c r="X712" s="1779"/>
      <c r="Y712" s="1779"/>
      <c r="Z712" s="1779"/>
      <c r="AA712" s="1779"/>
      <c r="AB712" s="1779"/>
      <c r="AC712" s="1779"/>
      <c r="AD712" s="1779"/>
      <c r="AE712" s="1779"/>
      <c r="AF712" s="1779"/>
      <c r="AG712" s="1779"/>
      <c r="AH712" s="1779"/>
      <c r="AI712" s="1779"/>
      <c r="AJ712" s="1779"/>
      <c r="AK712" s="1779"/>
      <c r="AL712" s="1779"/>
      <c r="AM712" s="1779"/>
      <c r="AN712" s="1779"/>
      <c r="AO712" s="1779"/>
      <c r="AP712" s="1779"/>
      <c r="AQ712" s="1779"/>
      <c r="AR712" s="1779"/>
      <c r="AS712" s="1779"/>
      <c r="AT712" s="1779"/>
      <c r="AU712" s="1779"/>
      <c r="AV712" s="1779"/>
    </row>
    <row r="713" spans="1:48" ht="22.5">
      <c r="A713" s="762"/>
      <c r="B713" s="762" t="s">
        <v>1248</v>
      </c>
      <c r="C713" s="762" t="s">
        <v>505</v>
      </c>
      <c r="D713" s="1599"/>
      <c r="E713" s="2245" t="s">
        <v>1947</v>
      </c>
      <c r="F713" s="763">
        <v>1150</v>
      </c>
      <c r="G713" s="786" t="s">
        <v>1986</v>
      </c>
      <c r="H713" s="2592"/>
      <c r="I713" s="2592"/>
      <c r="J713" s="2636"/>
      <c r="K713" s="2593"/>
      <c r="L713" s="2592"/>
      <c r="M713" s="2592"/>
      <c r="N713" s="73"/>
      <c r="O713" s="86"/>
      <c r="P713" s="1817" t="e">
        <f>INDEX(#REF!,MATCH(F713,#REF!,0),2)</f>
        <v>#REF!</v>
      </c>
      <c r="Q713" s="1779"/>
      <c r="R713" s="1779"/>
      <c r="S713" s="1779"/>
      <c r="T713" s="1779"/>
      <c r="U713" s="1779"/>
      <c r="V713" s="1779"/>
      <c r="W713" s="43"/>
      <c r="X713" s="1779"/>
      <c r="Y713" s="1779"/>
      <c r="Z713" s="1779"/>
      <c r="AA713" s="1779"/>
      <c r="AB713" s="1779"/>
      <c r="AC713" s="1779"/>
      <c r="AD713" s="1779"/>
      <c r="AE713" s="1779"/>
      <c r="AF713" s="1779"/>
      <c r="AG713" s="1779"/>
      <c r="AH713" s="1779"/>
      <c r="AI713" s="1779"/>
      <c r="AJ713" s="1779"/>
      <c r="AK713" s="1779"/>
      <c r="AL713" s="1779"/>
      <c r="AM713" s="1779"/>
      <c r="AN713" s="1779"/>
      <c r="AO713" s="1779"/>
      <c r="AP713" s="1779"/>
      <c r="AQ713" s="1779"/>
      <c r="AR713" s="1779"/>
      <c r="AS713" s="1779"/>
      <c r="AT713" s="1779"/>
      <c r="AU713" s="1779"/>
      <c r="AV713" s="1779"/>
    </row>
    <row r="714" spans="1:48">
      <c r="A714" s="755"/>
      <c r="B714" s="755" t="s">
        <v>663</v>
      </c>
      <c r="C714" s="755" t="s">
        <v>652</v>
      </c>
      <c r="D714" s="1600">
        <v>812</v>
      </c>
      <c r="E714" s="2247" t="s">
        <v>1947</v>
      </c>
      <c r="F714" s="756">
        <v>1170</v>
      </c>
      <c r="G714" s="757" t="s">
        <v>724</v>
      </c>
      <c r="H714" s="2604">
        <v>315</v>
      </c>
      <c r="I714" s="2604"/>
      <c r="J714" s="2635">
        <v>315</v>
      </c>
      <c r="K714" s="2647"/>
      <c r="L714" s="2604">
        <v>315</v>
      </c>
      <c r="M714" s="2604"/>
      <c r="N714" s="335">
        <f>L714/H714-1</f>
        <v>0</v>
      </c>
      <c r="O714" s="86"/>
      <c r="P714" s="1817" t="e">
        <f>INDEX(#REF!,MATCH(F714,#REF!,0),2)</f>
        <v>#REF!</v>
      </c>
      <c r="Q714" s="1779"/>
      <c r="R714" s="1779"/>
      <c r="S714" s="1779"/>
      <c r="T714" s="1779"/>
      <c r="U714" s="1779"/>
      <c r="V714" s="1779"/>
      <c r="W714" s="43"/>
      <c r="X714" s="1779"/>
      <c r="Y714" s="1779"/>
      <c r="Z714" s="1779"/>
      <c r="AA714" s="1779"/>
      <c r="AB714" s="1779"/>
      <c r="AC714" s="1779"/>
      <c r="AD714" s="1779"/>
      <c r="AE714" s="1779"/>
      <c r="AF714" s="1779"/>
      <c r="AG714" s="1779"/>
      <c r="AH714" s="1779"/>
      <c r="AI714" s="1779"/>
      <c r="AJ714" s="1779"/>
      <c r="AK714" s="1779"/>
      <c r="AL714" s="1779"/>
      <c r="AM714" s="1779"/>
      <c r="AN714" s="1779"/>
      <c r="AO714" s="1779"/>
      <c r="AP714" s="1779"/>
      <c r="AQ714" s="1779"/>
      <c r="AR714" s="1779"/>
      <c r="AS714" s="1779"/>
      <c r="AT714" s="1779"/>
      <c r="AU714" s="1779"/>
      <c r="AV714" s="1779"/>
    </row>
    <row r="715" spans="1:48" ht="22.5">
      <c r="A715" s="762"/>
      <c r="B715" s="762" t="s">
        <v>663</v>
      </c>
      <c r="C715" s="762" t="s">
        <v>652</v>
      </c>
      <c r="D715" s="1599"/>
      <c r="E715" s="2245" t="s">
        <v>1947</v>
      </c>
      <c r="F715" s="763">
        <v>1170</v>
      </c>
      <c r="G715" s="786" t="s">
        <v>1426</v>
      </c>
      <c r="H715" s="2592"/>
      <c r="I715" s="2592">
        <v>315</v>
      </c>
      <c r="J715" s="2636"/>
      <c r="K715" s="2593"/>
      <c r="L715" s="2592"/>
      <c r="M715" s="2592">
        <v>315</v>
      </c>
      <c r="N715" s="73"/>
      <c r="O715" s="86"/>
      <c r="P715" s="1817" t="e">
        <f>INDEX(#REF!,MATCH(F715,#REF!,0),2)</f>
        <v>#REF!</v>
      </c>
      <c r="Q715" s="1779"/>
      <c r="R715" s="1779"/>
      <c r="S715" s="1779"/>
      <c r="T715" s="1779"/>
      <c r="U715" s="1779"/>
      <c r="V715" s="1779"/>
      <c r="W715" s="43"/>
      <c r="X715" s="1779"/>
      <c r="Y715" s="1779"/>
      <c r="Z715" s="1779"/>
      <c r="AA715" s="1779"/>
      <c r="AB715" s="1779"/>
      <c r="AC715" s="1779"/>
      <c r="AD715" s="1779"/>
      <c r="AE715" s="1779"/>
      <c r="AF715" s="1779"/>
      <c r="AG715" s="1779"/>
      <c r="AH715" s="1779"/>
      <c r="AI715" s="1779"/>
      <c r="AJ715" s="1779"/>
      <c r="AK715" s="1779"/>
      <c r="AL715" s="1779"/>
      <c r="AM715" s="1779"/>
      <c r="AN715" s="1779"/>
      <c r="AO715" s="1779"/>
      <c r="AP715" s="1779"/>
      <c r="AQ715" s="1779"/>
      <c r="AR715" s="1779"/>
      <c r="AS715" s="1779"/>
      <c r="AT715" s="1779"/>
      <c r="AU715" s="1779"/>
      <c r="AV715" s="1779"/>
    </row>
    <row r="716" spans="1:48">
      <c r="A716" s="755"/>
      <c r="B716" s="755" t="s">
        <v>663</v>
      </c>
      <c r="C716" s="755" t="s">
        <v>652</v>
      </c>
      <c r="D716" s="1600">
        <v>812</v>
      </c>
      <c r="E716" s="2247" t="s">
        <v>1947</v>
      </c>
      <c r="F716" s="756">
        <v>1210</v>
      </c>
      <c r="G716" s="757" t="s">
        <v>228</v>
      </c>
      <c r="H716" s="2604">
        <v>58342.218301500012</v>
      </c>
      <c r="I716" s="2604"/>
      <c r="J716" s="2635">
        <v>41658.92</v>
      </c>
      <c r="K716" s="2647"/>
      <c r="L716" s="2604">
        <v>62781.557946974979</v>
      </c>
      <c r="M716" s="2604"/>
      <c r="N716" s="335">
        <f>L716/H716-1</f>
        <v>7.6091375589001808E-2</v>
      </c>
      <c r="O716" s="86"/>
      <c r="P716" s="1817" t="e">
        <f>INDEX(#REF!,MATCH(F716,#REF!,0),2)</f>
        <v>#REF!</v>
      </c>
      <c r="Q716" s="1779"/>
      <c r="R716" s="1779"/>
      <c r="S716" s="1779"/>
      <c r="T716" s="1779"/>
      <c r="U716" s="1779"/>
      <c r="V716" s="1779"/>
      <c r="W716" s="43"/>
      <c r="X716" s="1779"/>
      <c r="Y716" s="1779"/>
      <c r="Z716" s="1779"/>
      <c r="AA716" s="1779"/>
      <c r="AB716" s="1779"/>
      <c r="AC716" s="1779"/>
      <c r="AD716" s="1779"/>
      <c r="AE716" s="1779"/>
      <c r="AF716" s="1779"/>
      <c r="AG716" s="1779"/>
      <c r="AH716" s="1779"/>
      <c r="AI716" s="1779"/>
      <c r="AJ716" s="1779"/>
      <c r="AK716" s="1779"/>
      <c r="AL716" s="1779"/>
      <c r="AM716" s="1779"/>
      <c r="AN716" s="1779"/>
      <c r="AO716" s="1779"/>
      <c r="AP716" s="1779"/>
      <c r="AQ716" s="1779"/>
      <c r="AR716" s="1779"/>
      <c r="AS716" s="1779"/>
      <c r="AT716" s="1779"/>
      <c r="AU716" s="1779"/>
      <c r="AV716" s="1779"/>
    </row>
    <row r="717" spans="1:48">
      <c r="A717" s="762"/>
      <c r="B717" s="762" t="s">
        <v>663</v>
      </c>
      <c r="C717" s="762" t="s">
        <v>652</v>
      </c>
      <c r="D717" s="1599"/>
      <c r="E717" s="2245" t="s">
        <v>1947</v>
      </c>
      <c r="F717" s="763">
        <v>1210</v>
      </c>
      <c r="G717" s="786" t="s">
        <v>663</v>
      </c>
      <c r="H717" s="2592"/>
      <c r="I717" s="2592">
        <v>58342.218301500012</v>
      </c>
      <c r="J717" s="2636"/>
      <c r="K717" s="2593"/>
      <c r="L717" s="2592"/>
      <c r="M717" s="2592">
        <v>62781.557946974979</v>
      </c>
      <c r="N717" s="73"/>
      <c r="O717" s="86"/>
      <c r="P717" s="1817" t="e">
        <f>INDEX(#REF!,MATCH(F717,#REF!,0),2)</f>
        <v>#REF!</v>
      </c>
      <c r="Q717" s="1779"/>
      <c r="R717" s="1779"/>
      <c r="S717" s="1779"/>
      <c r="T717" s="1779"/>
      <c r="U717" s="1779"/>
      <c r="V717" s="1779"/>
      <c r="W717" s="43"/>
      <c r="X717" s="1779"/>
      <c r="Y717" s="1779"/>
      <c r="Z717" s="1779"/>
      <c r="AA717" s="1779"/>
      <c r="AB717" s="1779"/>
      <c r="AC717" s="1779"/>
      <c r="AD717" s="1779"/>
      <c r="AE717" s="1779"/>
      <c r="AF717" s="1779"/>
      <c r="AG717" s="1779"/>
      <c r="AH717" s="1779"/>
      <c r="AI717" s="1779"/>
      <c r="AJ717" s="1779"/>
      <c r="AK717" s="1779"/>
      <c r="AL717" s="1779"/>
      <c r="AM717" s="1779"/>
      <c r="AN717" s="1779"/>
      <c r="AO717" s="1779"/>
      <c r="AP717" s="1779"/>
      <c r="AQ717" s="1779"/>
      <c r="AR717" s="1779"/>
      <c r="AS717" s="1779"/>
      <c r="AT717" s="1779"/>
      <c r="AU717" s="1779"/>
      <c r="AV717" s="1779"/>
    </row>
    <row r="718" spans="1:48">
      <c r="A718" s="762"/>
      <c r="B718" s="762" t="s">
        <v>663</v>
      </c>
      <c r="C718" s="762" t="s">
        <v>652</v>
      </c>
      <c r="D718" s="1599"/>
      <c r="E718" s="2245" t="s">
        <v>1947</v>
      </c>
      <c r="F718" s="763">
        <v>1210</v>
      </c>
      <c r="G718" s="969" t="s">
        <v>1653</v>
      </c>
      <c r="H718" s="2654"/>
      <c r="I718" s="2655"/>
      <c r="J718" s="2638"/>
      <c r="K718" s="2656"/>
      <c r="L718" s="2597"/>
      <c r="M718" s="2597"/>
      <c r="N718" s="73"/>
      <c r="O718" s="86"/>
      <c r="P718" s="1817" t="e">
        <f>INDEX(#REF!,MATCH(F718,#REF!,0),2)</f>
        <v>#REF!</v>
      </c>
      <c r="Q718" s="43"/>
      <c r="R718" s="43"/>
      <c r="S718" s="43"/>
      <c r="T718" s="43"/>
      <c r="U718" s="43"/>
      <c r="V718" s="43"/>
      <c r="W718" s="43"/>
      <c r="X718" s="43"/>
      <c r="Y718" s="43"/>
      <c r="Z718" s="43"/>
      <c r="AA718" s="43"/>
      <c r="AB718" s="43"/>
      <c r="AC718" s="43"/>
      <c r="AD718" s="43"/>
      <c r="AE718" s="43"/>
      <c r="AF718" s="43"/>
      <c r="AG718" s="43"/>
      <c r="AH718" s="1775"/>
      <c r="AI718" s="43"/>
      <c r="AJ718" s="11"/>
      <c r="AK718" s="11"/>
      <c r="AL718" s="11"/>
      <c r="AM718" s="11"/>
      <c r="AN718" s="11"/>
      <c r="AO718" s="11"/>
      <c r="AP718" s="11"/>
      <c r="AQ718" s="11"/>
      <c r="AR718" s="11"/>
      <c r="AS718" s="11"/>
      <c r="AT718" s="11"/>
      <c r="AU718" s="11"/>
      <c r="AV718" s="11"/>
    </row>
    <row r="719" spans="1:48">
      <c r="A719" s="755"/>
      <c r="B719" s="755" t="s">
        <v>663</v>
      </c>
      <c r="C719" s="755" t="s">
        <v>652</v>
      </c>
      <c r="D719" s="1600">
        <v>812</v>
      </c>
      <c r="E719" s="2247" t="s">
        <v>1947</v>
      </c>
      <c r="F719" s="756">
        <v>1221</v>
      </c>
      <c r="G719" s="757" t="s">
        <v>229</v>
      </c>
      <c r="H719" s="2604">
        <v>12577.143068500001</v>
      </c>
      <c r="I719" s="2604"/>
      <c r="J719" s="2635">
        <v>9638.08</v>
      </c>
      <c r="K719" s="2647"/>
      <c r="L719" s="2604">
        <v>13536.347523525001</v>
      </c>
      <c r="M719" s="2604"/>
      <c r="N719" s="335">
        <f>L719/H719-1</f>
        <v>7.6265686873465688E-2</v>
      </c>
      <c r="O719" s="86"/>
      <c r="P719" s="1817" t="e">
        <f>INDEX(#REF!,MATCH(F719,#REF!,0),2)</f>
        <v>#REF!</v>
      </c>
      <c r="Q719" s="1779"/>
      <c r="R719" s="1779"/>
      <c r="S719" s="1779"/>
      <c r="T719" s="1779"/>
      <c r="U719" s="1779"/>
      <c r="V719" s="1779"/>
      <c r="W719" s="43"/>
      <c r="X719" s="1779"/>
      <c r="Y719" s="1779"/>
      <c r="Z719" s="1779"/>
      <c r="AA719" s="1779"/>
      <c r="AB719" s="1779"/>
      <c r="AC719" s="1779"/>
      <c r="AD719" s="1779"/>
      <c r="AE719" s="1779"/>
      <c r="AF719" s="1779"/>
      <c r="AG719" s="1779"/>
      <c r="AH719" s="1779"/>
      <c r="AI719" s="1779"/>
      <c r="AJ719" s="1779"/>
      <c r="AK719" s="1779"/>
      <c r="AL719" s="1779"/>
      <c r="AM719" s="1779"/>
      <c r="AN719" s="1779"/>
      <c r="AO719" s="1779"/>
      <c r="AP719" s="1779"/>
      <c r="AQ719" s="1779"/>
      <c r="AR719" s="1779"/>
      <c r="AS719" s="1779"/>
      <c r="AT719" s="1779"/>
      <c r="AU719" s="1779"/>
      <c r="AV719" s="1779"/>
    </row>
    <row r="720" spans="1:48">
      <c r="A720" s="762"/>
      <c r="B720" s="762" t="s">
        <v>663</v>
      </c>
      <c r="C720" s="762" t="s">
        <v>652</v>
      </c>
      <c r="D720" s="1599"/>
      <c r="E720" s="2245" t="s">
        <v>1947</v>
      </c>
      <c r="F720" s="763">
        <v>1221</v>
      </c>
      <c r="G720" s="772"/>
      <c r="H720" s="2592"/>
      <c r="I720" s="2592">
        <v>12577.143068500001</v>
      </c>
      <c r="J720" s="2636"/>
      <c r="K720" s="2593"/>
      <c r="L720" s="2592"/>
      <c r="M720" s="2592">
        <v>13536.347523525001</v>
      </c>
      <c r="N720" s="73"/>
      <c r="O720" s="86"/>
      <c r="P720" s="1817" t="e">
        <f>INDEX(#REF!,MATCH(F720,#REF!,0),2)</f>
        <v>#REF!</v>
      </c>
      <c r="Q720" s="11"/>
      <c r="R720" s="11"/>
      <c r="S720" s="11"/>
      <c r="T720" s="11"/>
      <c r="U720" s="11"/>
      <c r="V720" s="11"/>
      <c r="W720" s="4"/>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row>
    <row r="721" spans="1:48">
      <c r="A721" s="1370"/>
      <c r="B721" s="762" t="s">
        <v>663</v>
      </c>
      <c r="C721" s="762" t="s">
        <v>652</v>
      </c>
      <c r="D721" s="1599"/>
      <c r="E721" s="2245" t="s">
        <v>1947</v>
      </c>
      <c r="F721" s="763">
        <v>1221</v>
      </c>
      <c r="G721" s="1374" t="s">
        <v>1987</v>
      </c>
      <c r="H721" s="2592"/>
      <c r="I721" s="2592"/>
      <c r="J721" s="2636"/>
      <c r="K721" s="2593"/>
      <c r="L721" s="2592"/>
      <c r="M721" s="2592"/>
      <c r="N721" s="73"/>
      <c r="O721" s="86"/>
      <c r="P721" s="1817" t="e">
        <f>INDEX(#REF!,MATCH(F721,#REF!,0),2)</f>
        <v>#REF!</v>
      </c>
      <c r="Q721" s="11"/>
      <c r="R721" s="11"/>
      <c r="S721" s="11"/>
      <c r="T721" s="11"/>
      <c r="U721" s="11"/>
      <c r="V721" s="11"/>
      <c r="W721" s="4"/>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row>
    <row r="722" spans="1:48">
      <c r="A722" s="854"/>
      <c r="B722" s="755" t="s">
        <v>1248</v>
      </c>
      <c r="C722" s="755" t="s">
        <v>652</v>
      </c>
      <c r="D722" s="1600">
        <v>812</v>
      </c>
      <c r="E722" s="2247" t="s">
        <v>1947</v>
      </c>
      <c r="F722" s="756">
        <v>1228</v>
      </c>
      <c r="G722" s="757" t="s">
        <v>230</v>
      </c>
      <c r="H722" s="2604">
        <v>564</v>
      </c>
      <c r="I722" s="2604"/>
      <c r="J722" s="2635">
        <v>537.07000000000005</v>
      </c>
      <c r="K722" s="2647"/>
      <c r="L722" s="2604">
        <v>330</v>
      </c>
      <c r="M722" s="2606"/>
      <c r="N722" s="73"/>
      <c r="O722" s="86"/>
      <c r="P722" s="1817" t="e">
        <f>INDEX(#REF!,MATCH(F722,#REF!,0),2)</f>
        <v>#REF!</v>
      </c>
      <c r="Q722" s="1779"/>
      <c r="R722" s="1779"/>
      <c r="S722" s="1779"/>
      <c r="T722" s="1779"/>
      <c r="U722" s="1779"/>
      <c r="V722" s="1779"/>
      <c r="W722" s="43"/>
      <c r="X722" s="1779"/>
      <c r="Y722" s="1779"/>
      <c r="Z722" s="1779"/>
      <c r="AA722" s="1779"/>
      <c r="AB722" s="1779"/>
      <c r="AC722" s="1779"/>
      <c r="AD722" s="1779"/>
      <c r="AE722" s="1779"/>
      <c r="AF722" s="1779"/>
      <c r="AG722" s="1779"/>
      <c r="AH722" s="1779"/>
      <c r="AI722" s="1779"/>
      <c r="AJ722" s="1779"/>
      <c r="AK722" s="1779"/>
      <c r="AL722" s="1779"/>
      <c r="AM722" s="1779"/>
      <c r="AN722" s="1779"/>
      <c r="AO722" s="1779"/>
      <c r="AP722" s="1779"/>
      <c r="AQ722" s="1779"/>
      <c r="AR722" s="1779"/>
      <c r="AS722" s="1779"/>
      <c r="AT722" s="1779"/>
      <c r="AU722" s="1779"/>
      <c r="AV722" s="1779"/>
    </row>
    <row r="723" spans="1:48" ht="22.5">
      <c r="A723" s="768"/>
      <c r="B723" s="762" t="s">
        <v>1248</v>
      </c>
      <c r="C723" s="762" t="s">
        <v>652</v>
      </c>
      <c r="D723" s="1599"/>
      <c r="E723" s="2245" t="s">
        <v>1947</v>
      </c>
      <c r="F723" s="763">
        <v>1228</v>
      </c>
      <c r="G723" s="772" t="s">
        <v>3539</v>
      </c>
      <c r="H723" s="2592"/>
      <c r="I723" s="2592">
        <v>330</v>
      </c>
      <c r="J723" s="2636"/>
      <c r="K723" s="2593"/>
      <c r="L723" s="2594"/>
      <c r="M723" s="2592">
        <v>220</v>
      </c>
      <c r="N723" s="73"/>
      <c r="O723" s="86"/>
      <c r="P723" s="1817" t="e">
        <f>INDEX(#REF!,MATCH(F723,#REF!,0),2)</f>
        <v>#REF!</v>
      </c>
      <c r="Q723" s="1779"/>
      <c r="R723" s="1779"/>
      <c r="S723" s="1779"/>
      <c r="T723" s="1779"/>
      <c r="U723" s="1779"/>
      <c r="V723" s="1779"/>
      <c r="W723" s="43"/>
      <c r="X723" s="1779"/>
      <c r="Y723" s="1779"/>
      <c r="Z723" s="1779"/>
      <c r="AA723" s="1779"/>
      <c r="AB723" s="1779"/>
      <c r="AC723" s="1779"/>
      <c r="AD723" s="1779"/>
      <c r="AE723" s="1779"/>
      <c r="AF723" s="1779"/>
      <c r="AG723" s="1779"/>
      <c r="AH723" s="1779"/>
      <c r="AI723" s="1779"/>
      <c r="AJ723" s="1779"/>
      <c r="AK723" s="1779"/>
      <c r="AL723" s="1779"/>
      <c r="AM723" s="1779"/>
      <c r="AN723" s="1779"/>
      <c r="AO723" s="1779"/>
      <c r="AP723" s="1779"/>
      <c r="AQ723" s="1779"/>
      <c r="AR723" s="1779"/>
      <c r="AS723" s="1779"/>
      <c r="AT723" s="1779"/>
      <c r="AU723" s="1779"/>
      <c r="AV723" s="1779"/>
    </row>
    <row r="724" spans="1:48" ht="22.5">
      <c r="A724" s="768"/>
      <c r="B724" s="762" t="s">
        <v>1248</v>
      </c>
      <c r="C724" s="762" t="s">
        <v>652</v>
      </c>
      <c r="D724" s="1599"/>
      <c r="E724" s="2245" t="s">
        <v>1947</v>
      </c>
      <c r="F724" s="763">
        <v>1228</v>
      </c>
      <c r="G724" s="772" t="s">
        <v>1425</v>
      </c>
      <c r="H724" s="2657"/>
      <c r="I724" s="2657">
        <v>300</v>
      </c>
      <c r="J724" s="2658"/>
      <c r="K724" s="2659"/>
      <c r="L724" s="2660"/>
      <c r="M724" s="2594"/>
      <c r="N724" s="73"/>
      <c r="O724" s="86"/>
      <c r="P724" s="1817" t="e">
        <f>INDEX(#REF!,MATCH(F724,#REF!,0),2)</f>
        <v>#REF!</v>
      </c>
      <c r="Q724" s="1779"/>
      <c r="R724" s="1779"/>
      <c r="S724" s="1779"/>
      <c r="T724" s="1779"/>
      <c r="U724" s="1779"/>
      <c r="V724" s="1779"/>
      <c r="W724" s="43"/>
      <c r="X724" s="1779"/>
      <c r="Y724" s="1779"/>
      <c r="Z724" s="1779"/>
      <c r="AA724" s="1779"/>
      <c r="AB724" s="1779"/>
      <c r="AC724" s="1779"/>
      <c r="AD724" s="1779"/>
      <c r="AE724" s="1779"/>
      <c r="AF724" s="1779"/>
      <c r="AG724" s="1779"/>
      <c r="AH724" s="1779"/>
      <c r="AI724" s="1779"/>
      <c r="AJ724" s="1779"/>
      <c r="AK724" s="1779"/>
      <c r="AL724" s="1779"/>
      <c r="AM724" s="1779"/>
      <c r="AN724" s="1779"/>
      <c r="AO724" s="1779"/>
      <c r="AP724" s="1779"/>
      <c r="AQ724" s="1779"/>
      <c r="AR724" s="1779"/>
      <c r="AS724" s="1779"/>
      <c r="AT724" s="1779"/>
      <c r="AU724" s="1779"/>
      <c r="AV724" s="1779"/>
    </row>
    <row r="725" spans="1:48" ht="22.5">
      <c r="A725" s="3871" t="s">
        <v>1133</v>
      </c>
      <c r="B725" s="762" t="s">
        <v>1248</v>
      </c>
      <c r="C725" s="762" t="s">
        <v>652</v>
      </c>
      <c r="D725" s="1599"/>
      <c r="E725" s="2245" t="s">
        <v>1947</v>
      </c>
      <c r="F725" s="763">
        <v>1228</v>
      </c>
      <c r="G725" s="4104" t="s">
        <v>3636</v>
      </c>
      <c r="H725" s="4105"/>
      <c r="I725" s="4105"/>
      <c r="J725" s="4106"/>
      <c r="K725" s="4107"/>
      <c r="L725" s="4107"/>
      <c r="M725" s="4108">
        <v>110</v>
      </c>
      <c r="N725" s="73"/>
      <c r="O725" s="86"/>
      <c r="P725" s="1817"/>
      <c r="Q725" s="1779"/>
      <c r="R725" s="1779"/>
      <c r="S725" s="1779"/>
      <c r="T725" s="1779"/>
      <c r="U725" s="1779"/>
      <c r="V725" s="1779"/>
      <c r="W725" s="43"/>
      <c r="X725" s="1779"/>
      <c r="Y725" s="1779"/>
      <c r="Z725" s="1779"/>
      <c r="AA725" s="1779"/>
      <c r="AB725" s="1779"/>
      <c r="AC725" s="1779"/>
      <c r="AD725" s="1779"/>
      <c r="AE725" s="1779"/>
      <c r="AF725" s="1779"/>
      <c r="AG725" s="1779"/>
      <c r="AH725" s="1779"/>
      <c r="AI725" s="1779"/>
      <c r="AJ725" s="1779"/>
      <c r="AK725" s="1779"/>
      <c r="AL725" s="1779"/>
      <c r="AM725" s="1779"/>
      <c r="AN725" s="1779"/>
      <c r="AO725" s="1779"/>
      <c r="AP725" s="1779"/>
      <c r="AQ725" s="1779"/>
      <c r="AR725" s="1779"/>
      <c r="AS725" s="1779"/>
      <c r="AT725" s="1779"/>
      <c r="AU725" s="1779"/>
      <c r="AV725" s="1779"/>
    </row>
    <row r="726" spans="1:48">
      <c r="A726" s="755"/>
      <c r="B726" s="775" t="s">
        <v>1248</v>
      </c>
      <c r="C726" s="755" t="s">
        <v>507</v>
      </c>
      <c r="D726" s="1600">
        <v>812</v>
      </c>
      <c r="E726" s="2247" t="s">
        <v>1947</v>
      </c>
      <c r="F726" s="756">
        <v>2111</v>
      </c>
      <c r="G726" s="757" t="s">
        <v>696</v>
      </c>
      <c r="H726" s="2604"/>
      <c r="I726" s="2604"/>
      <c r="J726" s="2635"/>
      <c r="K726" s="2647"/>
      <c r="L726" s="2606"/>
      <c r="M726" s="2606"/>
      <c r="N726" s="73"/>
      <c r="O726" s="86"/>
      <c r="P726" s="1817" t="e">
        <f>INDEX(#REF!,MATCH(F726,#REF!,0),2)</f>
        <v>#REF!</v>
      </c>
      <c r="Q726" s="1779"/>
      <c r="R726" s="1779"/>
      <c r="S726" s="1779"/>
      <c r="T726" s="1779"/>
      <c r="U726" s="1779"/>
      <c r="V726" s="1779"/>
      <c r="W726" s="43"/>
      <c r="X726" s="1779"/>
      <c r="Y726" s="1779"/>
      <c r="Z726" s="1779"/>
      <c r="AA726" s="1779"/>
      <c r="AB726" s="1779"/>
      <c r="AC726" s="1779"/>
      <c r="AD726" s="1779"/>
      <c r="AE726" s="1779"/>
      <c r="AF726" s="1779"/>
      <c r="AG726" s="1779"/>
      <c r="AH726" s="1779"/>
      <c r="AI726" s="1779"/>
      <c r="AJ726" s="1779"/>
      <c r="AK726" s="1779"/>
      <c r="AL726" s="1779"/>
      <c r="AM726" s="1779"/>
      <c r="AN726" s="1779"/>
      <c r="AO726" s="1779"/>
      <c r="AP726" s="1779"/>
      <c r="AQ726" s="1779"/>
      <c r="AR726" s="1779"/>
      <c r="AS726" s="1779"/>
      <c r="AT726" s="1779"/>
      <c r="AU726" s="1779"/>
      <c r="AV726" s="1779"/>
    </row>
    <row r="727" spans="1:48" ht="22.5">
      <c r="A727" s="755"/>
      <c r="B727" s="775" t="s">
        <v>1248</v>
      </c>
      <c r="C727" s="755" t="s">
        <v>507</v>
      </c>
      <c r="D727" s="1600">
        <v>812</v>
      </c>
      <c r="E727" s="2247" t="s">
        <v>1947</v>
      </c>
      <c r="F727" s="756">
        <v>2112</v>
      </c>
      <c r="G727" s="757" t="s">
        <v>939</v>
      </c>
      <c r="H727" s="2604"/>
      <c r="I727" s="2604"/>
      <c r="J727" s="2635"/>
      <c r="K727" s="2647"/>
      <c r="L727" s="2606"/>
      <c r="M727" s="2606"/>
      <c r="N727" s="73"/>
      <c r="O727" s="86"/>
      <c r="P727" s="1817" t="e">
        <f>INDEX(#REF!,MATCH(F727,#REF!,0),2)</f>
        <v>#REF!</v>
      </c>
      <c r="Q727" s="1779"/>
      <c r="R727" s="1779"/>
      <c r="S727" s="1779"/>
      <c r="T727" s="1779"/>
      <c r="U727" s="1779"/>
      <c r="V727" s="1779"/>
      <c r="W727" s="43"/>
      <c r="X727" s="1779"/>
      <c r="Y727" s="1779"/>
      <c r="Z727" s="1779"/>
      <c r="AA727" s="1779"/>
      <c r="AB727" s="1779"/>
      <c r="AC727" s="1779"/>
      <c r="AD727" s="1779"/>
      <c r="AE727" s="1779"/>
      <c r="AF727" s="1779"/>
      <c r="AG727" s="1779"/>
      <c r="AH727" s="1779"/>
      <c r="AI727" s="1779"/>
      <c r="AJ727" s="1779"/>
      <c r="AK727" s="1779"/>
      <c r="AL727" s="1779"/>
      <c r="AM727" s="1779"/>
      <c r="AN727" s="1779"/>
      <c r="AO727" s="1779"/>
      <c r="AP727" s="1779"/>
      <c r="AQ727" s="1779"/>
      <c r="AR727" s="1779"/>
      <c r="AS727" s="1779"/>
      <c r="AT727" s="1779"/>
      <c r="AU727" s="1779"/>
      <c r="AV727" s="1779"/>
    </row>
    <row r="728" spans="1:48">
      <c r="A728" s="854"/>
      <c r="B728" s="755" t="s">
        <v>1248</v>
      </c>
      <c r="C728" s="755" t="s">
        <v>507</v>
      </c>
      <c r="D728" s="1600">
        <v>812</v>
      </c>
      <c r="E728" s="2247" t="s">
        <v>1947</v>
      </c>
      <c r="F728" s="756">
        <v>2210</v>
      </c>
      <c r="G728" s="757" t="s">
        <v>879</v>
      </c>
      <c r="H728" s="2604">
        <v>2144.16</v>
      </c>
      <c r="I728" s="2604"/>
      <c r="J728" s="2635">
        <v>1878.73</v>
      </c>
      <c r="K728" s="2647"/>
      <c r="L728" s="2604">
        <v>2336.16</v>
      </c>
      <c r="M728" s="2606"/>
      <c r="N728" s="73"/>
      <c r="O728" s="86"/>
      <c r="P728" s="1817" t="e">
        <f>INDEX(#REF!,MATCH(F728,#REF!,0),2)</f>
        <v>#REF!</v>
      </c>
      <c r="Q728" s="1779"/>
      <c r="R728" s="1779"/>
      <c r="S728" s="1779"/>
      <c r="T728" s="1779"/>
      <c r="U728" s="1779"/>
      <c r="V728" s="1779"/>
      <c r="W728" s="43"/>
      <c r="X728" s="1779"/>
      <c r="Y728" s="1779"/>
      <c r="Z728" s="1779"/>
      <c r="AA728" s="1779"/>
      <c r="AB728" s="1779"/>
      <c r="AC728" s="1779"/>
      <c r="AD728" s="1779"/>
      <c r="AE728" s="1779"/>
      <c r="AF728" s="1779"/>
      <c r="AG728" s="1779"/>
      <c r="AH728" s="1779"/>
      <c r="AI728" s="1779"/>
      <c r="AJ728" s="1779"/>
      <c r="AK728" s="1779"/>
      <c r="AL728" s="1779"/>
      <c r="AM728" s="1779"/>
      <c r="AN728" s="1779"/>
      <c r="AO728" s="1779"/>
      <c r="AP728" s="1779"/>
      <c r="AQ728" s="1779"/>
      <c r="AR728" s="1779"/>
      <c r="AS728" s="1779"/>
      <c r="AT728" s="1779"/>
      <c r="AU728" s="1779"/>
      <c r="AV728" s="1779"/>
    </row>
    <row r="729" spans="1:48">
      <c r="A729" s="768"/>
      <c r="B729" s="762" t="s">
        <v>1248</v>
      </c>
      <c r="C729" s="762" t="s">
        <v>507</v>
      </c>
      <c r="D729" s="1599"/>
      <c r="E729" s="2245" t="s">
        <v>1947</v>
      </c>
      <c r="F729" s="763">
        <v>2210</v>
      </c>
      <c r="G729" s="2590" t="s">
        <v>3540</v>
      </c>
      <c r="H729" s="2592"/>
      <c r="I729" s="2592">
        <v>420</v>
      </c>
      <c r="J729" s="2636"/>
      <c r="K729" s="2593"/>
      <c r="L729" s="2594"/>
      <c r="M729" s="2592">
        <v>408</v>
      </c>
      <c r="N729" s="73"/>
      <c r="O729" s="86"/>
      <c r="P729" s="1817" t="e">
        <f>INDEX(#REF!,MATCH(F729,#REF!,0),2)</f>
        <v>#REF!</v>
      </c>
      <c r="Q729" s="1779"/>
      <c r="R729" s="1779"/>
      <c r="S729" s="1779"/>
      <c r="T729" s="1779"/>
      <c r="U729" s="1779"/>
      <c r="V729" s="1779"/>
      <c r="W729" s="43"/>
      <c r="X729" s="1779"/>
      <c r="Y729" s="1779"/>
      <c r="Z729" s="1779"/>
      <c r="AA729" s="1779"/>
      <c r="AB729" s="1779"/>
      <c r="AC729" s="1779"/>
      <c r="AD729" s="1779"/>
      <c r="AE729" s="1779"/>
      <c r="AF729" s="1779"/>
      <c r="AG729" s="1779"/>
      <c r="AH729" s="1779"/>
      <c r="AI729" s="1779"/>
      <c r="AJ729" s="1779"/>
      <c r="AK729" s="1779"/>
      <c r="AL729" s="1779"/>
      <c r="AM729" s="1779"/>
      <c r="AN729" s="1779"/>
      <c r="AO729" s="1779"/>
      <c r="AP729" s="1779"/>
      <c r="AQ729" s="1779"/>
      <c r="AR729" s="1779"/>
      <c r="AS729" s="1779"/>
      <c r="AT729" s="1779"/>
      <c r="AU729" s="1779"/>
      <c r="AV729" s="1779"/>
    </row>
    <row r="730" spans="1:48">
      <c r="A730" s="3871" t="s">
        <v>1133</v>
      </c>
      <c r="B730" s="762" t="s">
        <v>1248</v>
      </c>
      <c r="C730" s="762" t="s">
        <v>507</v>
      </c>
      <c r="D730" s="1599"/>
      <c r="E730" s="2245" t="s">
        <v>1947</v>
      </c>
      <c r="F730" s="763">
        <v>2210</v>
      </c>
      <c r="G730" s="4104" t="s">
        <v>3637</v>
      </c>
      <c r="H730" s="3883"/>
      <c r="I730" s="3883"/>
      <c r="J730" s="4109"/>
      <c r="K730" s="4108"/>
      <c r="L730" s="4108"/>
      <c r="M730" s="3883">
        <v>204</v>
      </c>
      <c r="N730" s="73"/>
      <c r="O730" s="86"/>
      <c r="P730" s="1817"/>
      <c r="Q730" s="1779"/>
      <c r="R730" s="1779"/>
      <c r="S730" s="1779"/>
      <c r="T730" s="1779"/>
      <c r="U730" s="1779"/>
      <c r="V730" s="1779"/>
      <c r="W730" s="43"/>
      <c r="X730" s="1779"/>
      <c r="Y730" s="1779"/>
      <c r="Z730" s="1779"/>
      <c r="AA730" s="1779"/>
      <c r="AB730" s="1779"/>
      <c r="AC730" s="1779"/>
      <c r="AD730" s="1779"/>
      <c r="AE730" s="1779"/>
      <c r="AF730" s="1779"/>
      <c r="AG730" s="1779"/>
      <c r="AH730" s="1779"/>
      <c r="AI730" s="1779"/>
      <c r="AJ730" s="1779"/>
      <c r="AK730" s="1779"/>
      <c r="AL730" s="1779"/>
      <c r="AM730" s="1779"/>
      <c r="AN730" s="1779"/>
      <c r="AO730" s="1779"/>
      <c r="AP730" s="1779"/>
      <c r="AQ730" s="1779"/>
      <c r="AR730" s="1779"/>
      <c r="AS730" s="1779"/>
      <c r="AT730" s="1779"/>
      <c r="AU730" s="1779"/>
      <c r="AV730" s="1779"/>
    </row>
    <row r="731" spans="1:48" ht="22.5">
      <c r="A731" s="768"/>
      <c r="B731" s="762" t="s">
        <v>1248</v>
      </c>
      <c r="C731" s="762" t="s">
        <v>507</v>
      </c>
      <c r="D731" s="1599"/>
      <c r="E731" s="2245" t="s">
        <v>1947</v>
      </c>
      <c r="F731" s="763">
        <v>2210</v>
      </c>
      <c r="G731" s="772" t="s">
        <v>2672</v>
      </c>
      <c r="H731" s="2592"/>
      <c r="I731" s="2592">
        <v>1724.16</v>
      </c>
      <c r="J731" s="2592"/>
      <c r="K731" s="2593"/>
      <c r="L731" s="2594"/>
      <c r="M731" s="2592">
        <v>1724.16</v>
      </c>
      <c r="N731" s="149"/>
      <c r="O731" s="86"/>
      <c r="P731" s="1817" t="e">
        <f>INDEX(#REF!,MATCH(F731,#REF!,0),2)</f>
        <v>#REF!</v>
      </c>
      <c r="Q731" s="1779"/>
      <c r="R731" s="1779"/>
      <c r="S731" s="1779"/>
      <c r="T731" s="1779"/>
      <c r="U731" s="1779"/>
      <c r="V731" s="1779"/>
      <c r="W731" s="43"/>
      <c r="X731" s="1779"/>
      <c r="Y731" s="1779"/>
      <c r="Z731" s="1779"/>
      <c r="AA731" s="1779"/>
      <c r="AB731" s="1779"/>
      <c r="AC731" s="1779"/>
      <c r="AD731" s="1779"/>
      <c r="AE731" s="1779"/>
      <c r="AF731" s="1779"/>
      <c r="AG731" s="1779"/>
      <c r="AH731" s="1779"/>
      <c r="AI731" s="1779"/>
      <c r="AJ731" s="1779"/>
      <c r="AK731" s="1779"/>
      <c r="AL731" s="1779"/>
      <c r="AM731" s="1779"/>
      <c r="AN731" s="1779"/>
      <c r="AO731" s="1779"/>
      <c r="AP731" s="1779"/>
      <c r="AQ731" s="1779"/>
      <c r="AR731" s="1779"/>
      <c r="AS731" s="1779"/>
      <c r="AT731" s="1779"/>
      <c r="AU731" s="1779"/>
      <c r="AV731" s="1779"/>
    </row>
    <row r="732" spans="1:48">
      <c r="A732" s="854"/>
      <c r="B732" s="755" t="s">
        <v>1248</v>
      </c>
      <c r="C732" s="755" t="s">
        <v>507</v>
      </c>
      <c r="D732" s="1600">
        <v>812</v>
      </c>
      <c r="E732" s="2247" t="s">
        <v>1947</v>
      </c>
      <c r="F732" s="756">
        <v>2222</v>
      </c>
      <c r="G732" s="757" t="s">
        <v>272</v>
      </c>
      <c r="H732" s="2604">
        <v>10000</v>
      </c>
      <c r="I732" s="2604"/>
      <c r="J732" s="2635">
        <v>6902.57</v>
      </c>
      <c r="K732" s="2647"/>
      <c r="L732" s="2604">
        <v>11000</v>
      </c>
      <c r="M732" s="2604"/>
      <c r="N732" s="73"/>
      <c r="O732" s="86"/>
      <c r="P732" s="1817" t="e">
        <f>INDEX(#REF!,MATCH(F732,#REF!,0),2)</f>
        <v>#REF!</v>
      </c>
      <c r="Q732" s="1779"/>
      <c r="R732" s="1779"/>
      <c r="S732" s="1779"/>
      <c r="T732" s="1779"/>
      <c r="U732" s="1779"/>
      <c r="V732" s="1779"/>
      <c r="W732" s="43"/>
      <c r="X732" s="1779"/>
      <c r="Y732" s="1779"/>
      <c r="Z732" s="1779"/>
      <c r="AA732" s="1779"/>
      <c r="AB732" s="1779"/>
      <c r="AC732" s="1779"/>
      <c r="AD732" s="1779"/>
      <c r="AE732" s="1779"/>
      <c r="AF732" s="1779"/>
      <c r="AG732" s="1779"/>
      <c r="AH732" s="1779"/>
      <c r="AI732" s="1779"/>
      <c r="AJ732" s="1779"/>
      <c r="AK732" s="1779"/>
      <c r="AL732" s="1779"/>
      <c r="AM732" s="1779"/>
      <c r="AN732" s="1779"/>
      <c r="AO732" s="1779"/>
      <c r="AP732" s="1779"/>
      <c r="AQ732" s="1779"/>
      <c r="AR732" s="1779"/>
      <c r="AS732" s="1779"/>
      <c r="AT732" s="1779"/>
      <c r="AU732" s="1779"/>
      <c r="AV732" s="1779"/>
    </row>
    <row r="733" spans="1:48" ht="22.5">
      <c r="A733" s="855"/>
      <c r="B733" s="778" t="s">
        <v>1248</v>
      </c>
      <c r="C733" s="778" t="s">
        <v>507</v>
      </c>
      <c r="D733" s="1608"/>
      <c r="E733" s="2267" t="s">
        <v>1947</v>
      </c>
      <c r="F733" s="856">
        <v>2222</v>
      </c>
      <c r="G733" s="807" t="s">
        <v>301</v>
      </c>
      <c r="H733" s="2661"/>
      <c r="I733" s="2592">
        <v>10000</v>
      </c>
      <c r="J733" s="2662"/>
      <c r="K733" s="2663"/>
      <c r="L733" s="2672"/>
      <c r="M733" s="2592">
        <v>11000</v>
      </c>
      <c r="N733" s="13" t="s">
        <v>3541</v>
      </c>
      <c r="O733" s="86"/>
      <c r="P733" s="1817" t="e">
        <f>INDEX(#REF!,MATCH(F733,#REF!,0),2)</f>
        <v>#REF!</v>
      </c>
      <c r="Q733" s="1779"/>
      <c r="R733" s="1779"/>
      <c r="S733" s="1779"/>
      <c r="T733" s="1779"/>
      <c r="U733" s="1779"/>
      <c r="V733" s="1779"/>
      <c r="W733" s="43"/>
      <c r="X733" s="1779"/>
      <c r="Y733" s="1779"/>
      <c r="Z733" s="1779"/>
      <c r="AA733" s="1779"/>
      <c r="AB733" s="1779"/>
      <c r="AC733" s="1779"/>
      <c r="AD733" s="1779"/>
      <c r="AE733" s="1779"/>
      <c r="AF733" s="1779"/>
      <c r="AG733" s="1779"/>
      <c r="AH733" s="1779"/>
      <c r="AI733" s="1779"/>
      <c r="AJ733" s="1779"/>
      <c r="AK733" s="1779"/>
      <c r="AL733" s="1779"/>
      <c r="AM733" s="1779"/>
      <c r="AN733" s="1779"/>
      <c r="AO733" s="1779"/>
      <c r="AP733" s="1779"/>
      <c r="AQ733" s="1779"/>
      <c r="AR733" s="1779"/>
      <c r="AS733" s="1779"/>
      <c r="AT733" s="1779"/>
      <c r="AU733" s="1779"/>
      <c r="AV733" s="1779"/>
    </row>
    <row r="734" spans="1:48">
      <c r="A734" s="854"/>
      <c r="B734" s="755" t="s">
        <v>1248</v>
      </c>
      <c r="C734" s="755" t="s">
        <v>505</v>
      </c>
      <c r="D734" s="1600">
        <v>812</v>
      </c>
      <c r="E734" s="2247" t="s">
        <v>1947</v>
      </c>
      <c r="F734" s="756">
        <v>2223</v>
      </c>
      <c r="G734" s="757" t="s">
        <v>273</v>
      </c>
      <c r="H734" s="2604">
        <v>32612</v>
      </c>
      <c r="I734" s="2604"/>
      <c r="J734" s="2635">
        <v>17311.13</v>
      </c>
      <c r="K734" s="2647"/>
      <c r="L734" s="2604">
        <v>30973.200000000001</v>
      </c>
      <c r="M734" s="2606"/>
      <c r="N734" s="73" t="s">
        <v>5772</v>
      </c>
      <c r="O734" s="86"/>
      <c r="P734" s="1817" t="e">
        <f>INDEX(#REF!,MATCH(F734,#REF!,0),2)</f>
        <v>#REF!</v>
      </c>
      <c r="Q734" s="1779"/>
      <c r="R734" s="1779"/>
      <c r="S734" s="1779"/>
      <c r="T734" s="1779"/>
      <c r="U734" s="1779"/>
      <c r="V734" s="1779"/>
      <c r="W734" s="43"/>
      <c r="X734" s="1779"/>
      <c r="Y734" s="1779"/>
      <c r="Z734" s="1779"/>
      <c r="AA734" s="1779"/>
      <c r="AB734" s="1779"/>
      <c r="AC734" s="1779"/>
      <c r="AD734" s="1779"/>
      <c r="AE734" s="1779"/>
      <c r="AF734" s="1779"/>
      <c r="AG734" s="1779"/>
      <c r="AH734" s="1779"/>
      <c r="AI734" s="1779"/>
      <c r="AJ734" s="1779"/>
      <c r="AK734" s="1779"/>
      <c r="AL734" s="1779"/>
      <c r="AM734" s="1779"/>
      <c r="AN734" s="1779"/>
      <c r="AO734" s="1779"/>
      <c r="AP734" s="1779"/>
      <c r="AQ734" s="1779"/>
      <c r="AR734" s="1779"/>
      <c r="AS734" s="1779"/>
      <c r="AT734" s="1779"/>
      <c r="AU734" s="1779"/>
      <c r="AV734" s="1779"/>
    </row>
    <row r="735" spans="1:48">
      <c r="A735" s="768"/>
      <c r="B735" s="762" t="s">
        <v>1248</v>
      </c>
      <c r="C735" s="762" t="s">
        <v>505</v>
      </c>
      <c r="D735" s="1599"/>
      <c r="E735" s="2245" t="s">
        <v>1947</v>
      </c>
      <c r="F735" s="763">
        <v>2223</v>
      </c>
      <c r="G735" s="772" t="s">
        <v>302</v>
      </c>
      <c r="H735" s="2592"/>
      <c r="I735" s="2664">
        <v>29000</v>
      </c>
      <c r="J735" s="2636"/>
      <c r="K735" s="2593"/>
      <c r="L735" s="2594"/>
      <c r="M735" s="2664">
        <v>27000</v>
      </c>
      <c r="N735" s="13" t="s">
        <v>3541</v>
      </c>
      <c r="O735" s="86"/>
      <c r="P735" s="1817" t="e">
        <f>INDEX(#REF!,MATCH(F735,#REF!,0),2)</f>
        <v>#REF!</v>
      </c>
      <c r="Q735" s="1779"/>
      <c r="R735" s="1779"/>
      <c r="S735" s="1779"/>
      <c r="T735" s="1779"/>
      <c r="U735" s="1779"/>
      <c r="V735" s="1779"/>
      <c r="W735" s="43"/>
      <c r="X735" s="1779"/>
      <c r="Y735" s="1779"/>
      <c r="Z735" s="1779"/>
      <c r="AA735" s="1779"/>
      <c r="AB735" s="1779"/>
      <c r="AC735" s="1779"/>
      <c r="AD735" s="1779"/>
      <c r="AE735" s="1779"/>
      <c r="AF735" s="1779"/>
      <c r="AG735" s="1779"/>
      <c r="AH735" s="1779"/>
      <c r="AI735" s="1779"/>
      <c r="AJ735" s="1779"/>
      <c r="AK735" s="1779"/>
      <c r="AL735" s="1779"/>
      <c r="AM735" s="1779"/>
      <c r="AN735" s="1779"/>
      <c r="AO735" s="1779"/>
      <c r="AP735" s="1779"/>
      <c r="AQ735" s="1779"/>
      <c r="AR735" s="1779"/>
      <c r="AS735" s="1779"/>
      <c r="AT735" s="1779"/>
      <c r="AU735" s="1779"/>
      <c r="AV735" s="1779"/>
    </row>
    <row r="736" spans="1:48" ht="22.5">
      <c r="A736" s="768"/>
      <c r="B736" s="762" t="s">
        <v>1248</v>
      </c>
      <c r="C736" s="762" t="s">
        <v>505</v>
      </c>
      <c r="D736" s="1599"/>
      <c r="E736" s="2245" t="s">
        <v>1947</v>
      </c>
      <c r="F736" s="763">
        <v>2223</v>
      </c>
      <c r="G736" s="772" t="s">
        <v>535</v>
      </c>
      <c r="H736" s="2592"/>
      <c r="I736" s="2664">
        <v>300</v>
      </c>
      <c r="J736" s="2636"/>
      <c r="K736" s="2593"/>
      <c r="L736" s="2594"/>
      <c r="M736" s="2664">
        <v>330</v>
      </c>
      <c r="N736" s="13" t="s">
        <v>3541</v>
      </c>
      <c r="O736" s="86"/>
      <c r="P736" s="1817" t="e">
        <f>INDEX(#REF!,MATCH(F736,#REF!,0),2)</f>
        <v>#REF!</v>
      </c>
      <c r="Q736" s="1779"/>
      <c r="R736" s="1779"/>
      <c r="S736" s="1779"/>
      <c r="T736" s="1779"/>
      <c r="U736" s="1779"/>
      <c r="V736" s="1779"/>
      <c r="W736" s="43"/>
      <c r="X736" s="1779"/>
      <c r="Y736" s="1779"/>
      <c r="Z736" s="1779"/>
      <c r="AA736" s="1779"/>
      <c r="AB736" s="1779"/>
      <c r="AC736" s="1779"/>
      <c r="AD736" s="1779"/>
      <c r="AE736" s="1779"/>
      <c r="AF736" s="1779"/>
      <c r="AG736" s="1779"/>
      <c r="AH736" s="1779"/>
      <c r="AI736" s="1779"/>
      <c r="AJ736" s="1779"/>
      <c r="AK736" s="1779"/>
      <c r="AL736" s="1779"/>
      <c r="AM736" s="1779"/>
      <c r="AN736" s="1779"/>
      <c r="AO736" s="1779"/>
      <c r="AP736" s="1779"/>
      <c r="AQ736" s="1779"/>
      <c r="AR736" s="1779"/>
      <c r="AS736" s="1779"/>
      <c r="AT736" s="1779"/>
      <c r="AU736" s="1779"/>
      <c r="AV736" s="1779"/>
    </row>
    <row r="737" spans="1:48">
      <c r="A737" s="768"/>
      <c r="B737" s="762" t="s">
        <v>1248</v>
      </c>
      <c r="C737" s="762" t="s">
        <v>505</v>
      </c>
      <c r="D737" s="1599"/>
      <c r="E737" s="2245" t="s">
        <v>1947</v>
      </c>
      <c r="F737" s="763">
        <v>2223</v>
      </c>
      <c r="G737" s="772" t="s">
        <v>536</v>
      </c>
      <c r="H737" s="2592"/>
      <c r="I737" s="2664">
        <v>3312</v>
      </c>
      <c r="J737" s="2636"/>
      <c r="K737" s="2593"/>
      <c r="L737" s="2594"/>
      <c r="M737" s="2664">
        <v>3643.2000000000003</v>
      </c>
      <c r="N737" s="13" t="s">
        <v>3541</v>
      </c>
      <c r="O737" s="86"/>
      <c r="P737" s="1817" t="e">
        <f>INDEX(#REF!,MATCH(F737,#REF!,0),2)</f>
        <v>#REF!</v>
      </c>
      <c r="Q737" s="1779"/>
      <c r="R737" s="1779"/>
      <c r="S737" s="1779"/>
      <c r="T737" s="1779"/>
      <c r="U737" s="1779"/>
      <c r="V737" s="1779"/>
      <c r="W737" s="43"/>
      <c r="X737" s="1779"/>
      <c r="Y737" s="1779"/>
      <c r="Z737" s="1779"/>
      <c r="AA737" s="1779"/>
      <c r="AB737" s="1779"/>
      <c r="AC737" s="1779"/>
      <c r="AD737" s="1779"/>
      <c r="AE737" s="1779"/>
      <c r="AF737" s="1779"/>
      <c r="AG737" s="1779"/>
      <c r="AH737" s="1779"/>
      <c r="AI737" s="1779"/>
      <c r="AJ737" s="1779"/>
      <c r="AK737" s="1779"/>
      <c r="AL737" s="1779"/>
      <c r="AM737" s="1779"/>
      <c r="AN737" s="1779"/>
      <c r="AO737" s="1779"/>
      <c r="AP737" s="1779"/>
      <c r="AQ737" s="1779"/>
      <c r="AR737" s="1779"/>
      <c r="AS737" s="1779"/>
      <c r="AT737" s="1779"/>
      <c r="AU737" s="1779"/>
      <c r="AV737" s="1779"/>
    </row>
    <row r="738" spans="1:48" ht="22.5">
      <c r="A738" s="854"/>
      <c r="B738" s="755" t="s">
        <v>1248</v>
      </c>
      <c r="C738" s="755" t="s">
        <v>507</v>
      </c>
      <c r="D738" s="1600">
        <v>812</v>
      </c>
      <c r="E738" s="2247" t="s">
        <v>1947</v>
      </c>
      <c r="F738" s="756">
        <v>2233</v>
      </c>
      <c r="G738" s="757" t="s">
        <v>303</v>
      </c>
      <c r="H738" s="2604">
        <v>5600</v>
      </c>
      <c r="I738" s="2604"/>
      <c r="J738" s="2635">
        <v>2809.93</v>
      </c>
      <c r="K738" s="2647"/>
      <c r="L738" s="2604">
        <v>5000</v>
      </c>
      <c r="M738" s="2606"/>
      <c r="N738" s="73"/>
      <c r="O738" s="86"/>
      <c r="P738" s="1817" t="e">
        <f>INDEX(#REF!,MATCH(F738,#REF!,0),2)</f>
        <v>#REF!</v>
      </c>
      <c r="Q738" s="1779"/>
      <c r="R738" s="1779"/>
      <c r="S738" s="1779"/>
      <c r="T738" s="1779"/>
      <c r="U738" s="1779"/>
      <c r="V738" s="1779"/>
      <c r="W738" s="43"/>
      <c r="X738" s="1779"/>
      <c r="Y738" s="1779"/>
      <c r="Z738" s="1779"/>
      <c r="AA738" s="1779"/>
      <c r="AB738" s="1779"/>
      <c r="AC738" s="1779"/>
      <c r="AD738" s="1779"/>
      <c r="AE738" s="1779"/>
      <c r="AF738" s="1779"/>
      <c r="AG738" s="1779"/>
      <c r="AH738" s="1779"/>
      <c r="AI738" s="1779"/>
      <c r="AJ738" s="1779"/>
      <c r="AK738" s="1779"/>
      <c r="AL738" s="1779"/>
      <c r="AM738" s="1779"/>
      <c r="AN738" s="1779"/>
      <c r="AO738" s="1779"/>
      <c r="AP738" s="1779"/>
      <c r="AQ738" s="1779"/>
      <c r="AR738" s="1779"/>
      <c r="AS738" s="1779"/>
      <c r="AT738" s="1779"/>
      <c r="AU738" s="1779"/>
      <c r="AV738" s="1779"/>
    </row>
    <row r="739" spans="1:48" ht="22.5">
      <c r="A739" s="768"/>
      <c r="B739" s="762" t="s">
        <v>1248</v>
      </c>
      <c r="C739" s="762" t="s">
        <v>507</v>
      </c>
      <c r="D739" s="1599"/>
      <c r="E739" s="2245" t="s">
        <v>1947</v>
      </c>
      <c r="F739" s="763">
        <v>2233</v>
      </c>
      <c r="G739" s="772" t="s">
        <v>1322</v>
      </c>
      <c r="H739" s="2592"/>
      <c r="I739" s="2592">
        <v>2500</v>
      </c>
      <c r="J739" s="2636"/>
      <c r="K739" s="2593"/>
      <c r="L739" s="2594"/>
      <c r="M739" s="2664">
        <v>2500</v>
      </c>
      <c r="N739" s="13" t="s">
        <v>3542</v>
      </c>
      <c r="O739" s="86"/>
      <c r="P739" s="1817" t="e">
        <f>INDEX(#REF!,MATCH(F739,#REF!,0),2)</f>
        <v>#REF!</v>
      </c>
      <c r="Q739" s="1779"/>
      <c r="R739" s="1779"/>
      <c r="S739" s="1779"/>
      <c r="T739" s="1779"/>
      <c r="U739" s="1779"/>
      <c r="V739" s="1779"/>
      <c r="W739" s="43"/>
      <c r="X739" s="1779"/>
      <c r="Y739" s="1779"/>
      <c r="Z739" s="1779"/>
      <c r="AA739" s="1779"/>
      <c r="AB739" s="1779"/>
      <c r="AC739" s="1779"/>
      <c r="AD739" s="1779"/>
      <c r="AE739" s="1779"/>
      <c r="AF739" s="1779"/>
      <c r="AG739" s="1779"/>
      <c r="AH739" s="1779"/>
      <c r="AI739" s="1779"/>
      <c r="AJ739" s="1779"/>
      <c r="AK739" s="1779"/>
      <c r="AL739" s="1779"/>
      <c r="AM739" s="1779"/>
      <c r="AN739" s="1779"/>
      <c r="AO739" s="1779"/>
      <c r="AP739" s="1779"/>
      <c r="AQ739" s="1779"/>
      <c r="AR739" s="1779"/>
      <c r="AS739" s="1779"/>
      <c r="AT739" s="1779"/>
      <c r="AU739" s="1779"/>
      <c r="AV739" s="1779"/>
    </row>
    <row r="740" spans="1:48" ht="33.75">
      <c r="A740" s="1315"/>
      <c r="B740" s="762" t="s">
        <v>1248</v>
      </c>
      <c r="C740" s="762" t="s">
        <v>507</v>
      </c>
      <c r="D740" s="1599"/>
      <c r="E740" s="2245" t="s">
        <v>1947</v>
      </c>
      <c r="F740" s="763">
        <v>2233</v>
      </c>
      <c r="G740" s="1273" t="s">
        <v>1864</v>
      </c>
      <c r="H740" s="2592"/>
      <c r="I740" s="2592">
        <v>-900</v>
      </c>
      <c r="J740" s="2636"/>
      <c r="K740" s="2593"/>
      <c r="L740" s="2594"/>
      <c r="M740" s="2664"/>
      <c r="N740" s="13"/>
      <c r="O740" s="86"/>
      <c r="P740" s="1817" t="e">
        <f>INDEX(#REF!,MATCH(F740,#REF!,0),2)</f>
        <v>#REF!</v>
      </c>
      <c r="Q740" s="1779"/>
      <c r="R740" s="1779"/>
      <c r="S740" s="1779"/>
      <c r="T740" s="1779"/>
      <c r="U740" s="1779"/>
      <c r="V740" s="1779"/>
      <c r="W740" s="43"/>
      <c r="X740" s="1779"/>
      <c r="Y740" s="1779"/>
      <c r="Z740" s="1779"/>
      <c r="AA740" s="1779"/>
      <c r="AB740" s="1779"/>
      <c r="AC740" s="1779"/>
      <c r="AD740" s="1779"/>
      <c r="AE740" s="1779"/>
      <c r="AF740" s="1779"/>
      <c r="AG740" s="1779"/>
      <c r="AH740" s="1779"/>
      <c r="AI740" s="1779"/>
      <c r="AJ740" s="1779"/>
      <c r="AK740" s="1779"/>
      <c r="AL740" s="1779"/>
      <c r="AM740" s="1779"/>
      <c r="AN740" s="1779"/>
      <c r="AO740" s="1779"/>
      <c r="AP740" s="1779"/>
      <c r="AQ740" s="1779"/>
      <c r="AR740" s="1779"/>
      <c r="AS740" s="1779"/>
      <c r="AT740" s="1779"/>
      <c r="AU740" s="1779"/>
      <c r="AV740" s="1779"/>
    </row>
    <row r="741" spans="1:48" ht="22.5">
      <c r="A741" s="768"/>
      <c r="B741" s="762" t="s">
        <v>1248</v>
      </c>
      <c r="C741" s="762" t="s">
        <v>507</v>
      </c>
      <c r="D741" s="1599"/>
      <c r="E741" s="2245" t="s">
        <v>1947</v>
      </c>
      <c r="F741" s="763">
        <v>2233</v>
      </c>
      <c r="G741" s="772" t="s">
        <v>1323</v>
      </c>
      <c r="H741" s="2592"/>
      <c r="I741" s="2592">
        <v>3000</v>
      </c>
      <c r="J741" s="2636"/>
      <c r="K741" s="2593"/>
      <c r="L741" s="2594"/>
      <c r="M741" s="2664">
        <v>2500</v>
      </c>
      <c r="N741" s="13" t="s">
        <v>3542</v>
      </c>
      <c r="O741" s="86"/>
      <c r="P741" s="1817" t="e">
        <f>INDEX(#REF!,MATCH(F741,#REF!,0),2)</f>
        <v>#REF!</v>
      </c>
      <c r="Q741" s="1779"/>
      <c r="R741" s="1779"/>
      <c r="S741" s="1779"/>
      <c r="T741" s="1779"/>
      <c r="U741" s="1779"/>
      <c r="V741" s="1779"/>
      <c r="W741" s="43"/>
      <c r="X741" s="1779"/>
      <c r="Y741" s="1779"/>
      <c r="Z741" s="1779"/>
      <c r="AA741" s="1779"/>
      <c r="AB741" s="1779"/>
      <c r="AC741" s="1779"/>
      <c r="AD741" s="1779"/>
      <c r="AE741" s="1779"/>
      <c r="AF741" s="1779"/>
      <c r="AG741" s="1779"/>
      <c r="AH741" s="1779"/>
      <c r="AI741" s="1779"/>
      <c r="AJ741" s="1779"/>
      <c r="AK741" s="1779"/>
      <c r="AL741" s="1779"/>
      <c r="AM741" s="1779"/>
      <c r="AN741" s="1779"/>
      <c r="AO741" s="1779"/>
      <c r="AP741" s="1779"/>
      <c r="AQ741" s="1779"/>
      <c r="AR741" s="1779"/>
      <c r="AS741" s="1779"/>
      <c r="AT741" s="1779"/>
      <c r="AU741" s="1779"/>
      <c r="AV741" s="1779"/>
    </row>
    <row r="742" spans="1:48">
      <c r="A742" s="854"/>
      <c r="B742" s="755" t="s">
        <v>1248</v>
      </c>
      <c r="C742" s="755" t="s">
        <v>505</v>
      </c>
      <c r="D742" s="1600">
        <v>812</v>
      </c>
      <c r="E742" s="2247" t="s">
        <v>1947</v>
      </c>
      <c r="F742" s="756">
        <v>2234</v>
      </c>
      <c r="G742" s="757" t="s">
        <v>235</v>
      </c>
      <c r="H742" s="2604">
        <v>66</v>
      </c>
      <c r="I742" s="2604"/>
      <c r="J742" s="2635">
        <v>66</v>
      </c>
      <c r="K742" s="2647"/>
      <c r="L742" s="2604">
        <v>0</v>
      </c>
      <c r="M742" s="2604"/>
      <c r="N742" s="73"/>
      <c r="O742" s="86"/>
      <c r="P742" s="1817" t="e">
        <f>INDEX(#REF!,MATCH(F742,#REF!,0),2)</f>
        <v>#REF!</v>
      </c>
      <c r="Q742" s="1779"/>
      <c r="R742" s="1779"/>
      <c r="S742" s="1779"/>
      <c r="T742" s="1779"/>
      <c r="U742" s="1779"/>
      <c r="V742" s="1779"/>
      <c r="W742" s="43"/>
      <c r="X742" s="1779"/>
      <c r="Y742" s="1779"/>
      <c r="Z742" s="1779"/>
      <c r="AA742" s="1779"/>
      <c r="AB742" s="1779"/>
      <c r="AC742" s="1779"/>
      <c r="AD742" s="1779"/>
      <c r="AE742" s="1779"/>
      <c r="AF742" s="1779"/>
      <c r="AG742" s="1779"/>
      <c r="AH742" s="1779"/>
      <c r="AI742" s="1779"/>
      <c r="AJ742" s="1779"/>
      <c r="AK742" s="1779"/>
      <c r="AL742" s="1779"/>
      <c r="AM742" s="1779"/>
      <c r="AN742" s="1779"/>
      <c r="AO742" s="1779"/>
      <c r="AP742" s="1779"/>
      <c r="AQ742" s="1779"/>
      <c r="AR742" s="1779"/>
      <c r="AS742" s="1779"/>
      <c r="AT742" s="1779"/>
      <c r="AU742" s="1779"/>
      <c r="AV742" s="1779"/>
    </row>
    <row r="743" spans="1:48">
      <c r="A743" s="768"/>
      <c r="B743" s="762" t="s">
        <v>1248</v>
      </c>
      <c r="C743" s="762" t="s">
        <v>505</v>
      </c>
      <c r="D743" s="1599"/>
      <c r="E743" s="2245" t="s">
        <v>1947</v>
      </c>
      <c r="F743" s="763">
        <v>2234</v>
      </c>
      <c r="G743" s="772" t="s">
        <v>1335</v>
      </c>
      <c r="H743" s="2657"/>
      <c r="I743" s="2657"/>
      <c r="J743" s="2658"/>
      <c r="K743" s="2659"/>
      <c r="L743" s="2657"/>
      <c r="M743" s="2657"/>
      <c r="N743" s="73"/>
      <c r="O743" s="86"/>
      <c r="P743" s="1817" t="e">
        <f>INDEX(#REF!,MATCH(F743,#REF!,0),2)</f>
        <v>#REF!</v>
      </c>
      <c r="Q743" s="1779"/>
      <c r="R743" s="1779"/>
      <c r="S743" s="1779"/>
      <c r="T743" s="1779"/>
      <c r="U743" s="1779"/>
      <c r="V743" s="1779"/>
      <c r="W743" s="43"/>
      <c r="X743" s="1779"/>
      <c r="Y743" s="1779"/>
      <c r="Z743" s="1779"/>
      <c r="AA743" s="1779"/>
      <c r="AB743" s="1779"/>
      <c r="AC743" s="1779"/>
      <c r="AD743" s="1779"/>
      <c r="AE743" s="1779"/>
      <c r="AF743" s="1779"/>
      <c r="AG743" s="1779"/>
      <c r="AH743" s="1779"/>
      <c r="AI743" s="1779"/>
      <c r="AJ743" s="1779"/>
      <c r="AK743" s="1779"/>
      <c r="AL743" s="1779"/>
      <c r="AM743" s="1779"/>
      <c r="AN743" s="1779"/>
      <c r="AO743" s="1779"/>
      <c r="AP743" s="1779"/>
      <c r="AQ743" s="1779"/>
      <c r="AR743" s="1779"/>
      <c r="AS743" s="1779"/>
      <c r="AT743" s="1779"/>
      <c r="AU743" s="1779"/>
      <c r="AV743" s="1779"/>
    </row>
    <row r="744" spans="1:48">
      <c r="A744" s="854"/>
      <c r="B744" s="755" t="s">
        <v>1248</v>
      </c>
      <c r="C744" s="755" t="s">
        <v>507</v>
      </c>
      <c r="D744" s="1600">
        <v>812</v>
      </c>
      <c r="E744" s="2247" t="s">
        <v>1947</v>
      </c>
      <c r="F744" s="756">
        <v>2239</v>
      </c>
      <c r="G744" s="757" t="s">
        <v>262</v>
      </c>
      <c r="H744" s="2604">
        <v>1090</v>
      </c>
      <c r="I744" s="2604"/>
      <c r="J744" s="2635">
        <v>816</v>
      </c>
      <c r="K744" s="2647"/>
      <c r="L744" s="2604">
        <v>1310.8000000000002</v>
      </c>
      <c r="M744" s="2604"/>
      <c r="N744" s="73"/>
      <c r="O744" s="86"/>
      <c r="P744" s="1817" t="e">
        <f>INDEX(#REF!,MATCH(F744,#REF!,0),2)</f>
        <v>#REF!</v>
      </c>
      <c r="Q744" s="1779"/>
      <c r="R744" s="1779"/>
      <c r="S744" s="1779"/>
      <c r="T744" s="1779"/>
      <c r="U744" s="1779"/>
      <c r="V744" s="1779"/>
      <c r="W744" s="43"/>
      <c r="X744" s="1779"/>
      <c r="Y744" s="1779"/>
      <c r="Z744" s="1779"/>
      <c r="AA744" s="1779"/>
      <c r="AB744" s="1779"/>
      <c r="AC744" s="1779"/>
      <c r="AD744" s="1779"/>
      <c r="AE744" s="1779"/>
      <c r="AF744" s="1779"/>
      <c r="AG744" s="1779"/>
      <c r="AH744" s="1779"/>
      <c r="AI744" s="1779"/>
      <c r="AJ744" s="1779"/>
      <c r="AK744" s="1779"/>
      <c r="AL744" s="1779"/>
      <c r="AM744" s="1779"/>
      <c r="AN744" s="1779"/>
      <c r="AO744" s="1779"/>
      <c r="AP744" s="1779"/>
      <c r="AQ744" s="1779"/>
      <c r="AR744" s="1779"/>
      <c r="AS744" s="1779"/>
      <c r="AT744" s="1779"/>
      <c r="AU744" s="1779"/>
      <c r="AV744" s="1779"/>
    </row>
    <row r="745" spans="1:48" ht="22.5">
      <c r="A745" s="768"/>
      <c r="B745" s="762" t="s">
        <v>1248</v>
      </c>
      <c r="C745" s="762" t="s">
        <v>507</v>
      </c>
      <c r="D745" s="1599"/>
      <c r="E745" s="2245" t="s">
        <v>1947</v>
      </c>
      <c r="F745" s="763">
        <v>2239</v>
      </c>
      <c r="G745" s="2590" t="s">
        <v>3543</v>
      </c>
      <c r="H745" s="2657"/>
      <c r="I745" s="2657">
        <v>850</v>
      </c>
      <c r="J745" s="2658">
        <v>816</v>
      </c>
      <c r="K745" s="2659"/>
      <c r="L745" s="2657"/>
      <c r="M745" s="2657">
        <v>910.80000000000018</v>
      </c>
      <c r="N745" s="73"/>
      <c r="O745" s="86"/>
      <c r="P745" s="1817" t="e">
        <f>INDEX(#REF!,MATCH(F745,#REF!,0),2)</f>
        <v>#REF!</v>
      </c>
      <c r="Q745" s="1779"/>
      <c r="R745" s="1779"/>
      <c r="S745" s="1779"/>
      <c r="T745" s="1779"/>
      <c r="U745" s="1779"/>
      <c r="V745" s="1779"/>
      <c r="W745" s="43"/>
      <c r="X745" s="1779"/>
      <c r="Y745" s="1779"/>
      <c r="Z745" s="1779"/>
      <c r="AA745" s="1779"/>
      <c r="AB745" s="1779"/>
      <c r="AC745" s="1779"/>
      <c r="AD745" s="1779"/>
      <c r="AE745" s="1779"/>
      <c r="AF745" s="1779"/>
      <c r="AG745" s="1779"/>
      <c r="AH745" s="1779"/>
      <c r="AI745" s="1779"/>
      <c r="AJ745" s="1779"/>
      <c r="AK745" s="1779"/>
      <c r="AL745" s="1779"/>
      <c r="AM745" s="1779"/>
      <c r="AN745" s="1779"/>
      <c r="AO745" s="1779"/>
      <c r="AP745" s="1779"/>
      <c r="AQ745" s="1779"/>
      <c r="AR745" s="1779"/>
      <c r="AS745" s="1779"/>
      <c r="AT745" s="1779"/>
      <c r="AU745" s="1779"/>
      <c r="AV745" s="1779"/>
    </row>
    <row r="746" spans="1:48">
      <c r="A746" s="768"/>
      <c r="B746" s="762" t="s">
        <v>1248</v>
      </c>
      <c r="C746" s="762" t="s">
        <v>507</v>
      </c>
      <c r="D746" s="1599"/>
      <c r="E746" s="2245" t="s">
        <v>1947</v>
      </c>
      <c r="F746" s="763">
        <v>2239</v>
      </c>
      <c r="G746" s="772" t="s">
        <v>271</v>
      </c>
      <c r="H746" s="2657"/>
      <c r="I746" s="2657">
        <v>300</v>
      </c>
      <c r="J746" s="2658"/>
      <c r="K746" s="2659"/>
      <c r="L746" s="2657"/>
      <c r="M746" s="2657">
        <v>400</v>
      </c>
      <c r="N746" s="73"/>
      <c r="O746" s="86"/>
      <c r="P746" s="1817" t="e">
        <f>INDEX(#REF!,MATCH(F746,#REF!,0),2)</f>
        <v>#REF!</v>
      </c>
      <c r="Q746" s="43"/>
      <c r="R746" s="43"/>
      <c r="S746" s="43"/>
      <c r="T746" s="43"/>
      <c r="U746" s="43"/>
      <c r="V746" s="43"/>
      <c r="W746" s="43"/>
      <c r="X746" s="43"/>
      <c r="Y746" s="43"/>
      <c r="Z746" s="43"/>
      <c r="AA746" s="43"/>
      <c r="AB746" s="43"/>
      <c r="AC746" s="43"/>
      <c r="AD746" s="43"/>
      <c r="AE746" s="43"/>
      <c r="AF746" s="43"/>
      <c r="AG746" s="43"/>
      <c r="AH746" s="43"/>
      <c r="AI746" s="43"/>
      <c r="AJ746" s="43"/>
      <c r="AK746" s="43"/>
      <c r="AL746" s="43"/>
      <c r="AM746" s="43"/>
      <c r="AN746" s="43"/>
      <c r="AO746" s="43"/>
      <c r="AP746" s="43"/>
      <c r="AQ746" s="43"/>
      <c r="AR746" s="43"/>
      <c r="AS746" s="43"/>
      <c r="AT746" s="43"/>
      <c r="AU746" s="43"/>
      <c r="AV746" s="43"/>
    </row>
    <row r="747" spans="1:48" ht="22.5">
      <c r="A747" s="1914"/>
      <c r="B747" s="762" t="s">
        <v>1248</v>
      </c>
      <c r="C747" s="762" t="s">
        <v>507</v>
      </c>
      <c r="D747" s="1599"/>
      <c r="E747" s="2245" t="s">
        <v>1947</v>
      </c>
      <c r="F747" s="763">
        <v>2239</v>
      </c>
      <c r="G747" s="1884" t="s">
        <v>3294</v>
      </c>
      <c r="H747" s="2657"/>
      <c r="I747" s="2657">
        <v>-60</v>
      </c>
      <c r="J747" s="2658"/>
      <c r="K747" s="2659"/>
      <c r="L747" s="2660"/>
      <c r="M747" s="2660"/>
      <c r="N747" s="73"/>
      <c r="O747" s="86"/>
      <c r="P747" s="1817" t="e">
        <f>INDEX(#REF!,MATCH(F747,#REF!,0),2)</f>
        <v>#REF!</v>
      </c>
      <c r="Q747" s="43"/>
      <c r="R747" s="43"/>
      <c r="S747" s="43"/>
      <c r="T747" s="43"/>
      <c r="U747" s="43"/>
      <c r="V747" s="43"/>
      <c r="W747" s="43"/>
      <c r="X747" s="43"/>
      <c r="Y747" s="43"/>
      <c r="Z747" s="43"/>
      <c r="AA747" s="43"/>
      <c r="AB747" s="43"/>
      <c r="AC747" s="43"/>
      <c r="AD747" s="43"/>
      <c r="AE747" s="43"/>
      <c r="AF747" s="43"/>
      <c r="AG747" s="43"/>
      <c r="AH747" s="43"/>
      <c r="AI747" s="43"/>
      <c r="AJ747" s="43"/>
      <c r="AK747" s="43"/>
      <c r="AL747" s="43"/>
      <c r="AM747" s="43"/>
      <c r="AN747" s="43"/>
      <c r="AO747" s="43"/>
      <c r="AP747" s="43"/>
      <c r="AQ747" s="43"/>
      <c r="AR747" s="43"/>
      <c r="AS747" s="43"/>
      <c r="AT747" s="43"/>
      <c r="AU747" s="43"/>
      <c r="AV747" s="43"/>
    </row>
    <row r="748" spans="1:48" ht="22.5">
      <c r="A748" s="854"/>
      <c r="B748" s="755" t="s">
        <v>1248</v>
      </c>
      <c r="C748" s="755" t="s">
        <v>505</v>
      </c>
      <c r="D748" s="1600">
        <v>812</v>
      </c>
      <c r="E748" s="2247" t="s">
        <v>1947</v>
      </c>
      <c r="F748" s="809">
        <v>2239</v>
      </c>
      <c r="G748" s="757" t="s">
        <v>310</v>
      </c>
      <c r="H748" s="2604">
        <v>565</v>
      </c>
      <c r="I748" s="2604"/>
      <c r="J748" s="2635"/>
      <c r="K748" s="2647"/>
      <c r="L748" s="2604">
        <v>110</v>
      </c>
      <c r="M748" s="2604"/>
      <c r="N748" s="73"/>
      <c r="O748" s="86"/>
      <c r="P748" s="1817" t="e">
        <f>INDEX(#REF!,MATCH(F748,#REF!,0),2)</f>
        <v>#REF!</v>
      </c>
      <c r="Q748" s="43"/>
      <c r="R748" s="43"/>
      <c r="S748" s="43"/>
      <c r="T748" s="43"/>
      <c r="U748" s="43"/>
      <c r="V748" s="43"/>
      <c r="W748" s="43"/>
      <c r="X748" s="43"/>
      <c r="Y748" s="43"/>
      <c r="Z748" s="43"/>
      <c r="AA748" s="43"/>
      <c r="AB748" s="43"/>
      <c r="AC748" s="43"/>
      <c r="AD748" s="43"/>
      <c r="AE748" s="43"/>
      <c r="AF748" s="43"/>
      <c r="AG748" s="43"/>
      <c r="AH748" s="43"/>
      <c r="AI748" s="43"/>
      <c r="AJ748" s="43"/>
      <c r="AK748" s="43"/>
      <c r="AL748" s="43"/>
      <c r="AM748" s="43"/>
      <c r="AN748" s="43"/>
      <c r="AO748" s="43"/>
      <c r="AP748" s="43"/>
      <c r="AQ748" s="43"/>
      <c r="AR748" s="43"/>
      <c r="AS748" s="43"/>
      <c r="AT748" s="43"/>
      <c r="AU748" s="43"/>
      <c r="AV748" s="43"/>
    </row>
    <row r="749" spans="1:48" ht="45">
      <c r="A749" s="768"/>
      <c r="B749" s="762" t="s">
        <v>1248</v>
      </c>
      <c r="C749" s="762" t="s">
        <v>505</v>
      </c>
      <c r="D749" s="1599"/>
      <c r="E749" s="2245" t="s">
        <v>1947</v>
      </c>
      <c r="F749" s="763">
        <v>2239</v>
      </c>
      <c r="G749" s="2590" t="s">
        <v>312</v>
      </c>
      <c r="H749" s="2657"/>
      <c r="I749" s="2657">
        <v>85</v>
      </c>
      <c r="J749" s="2658"/>
      <c r="K749" s="2659"/>
      <c r="L749" s="2657"/>
      <c r="M749" s="2657">
        <v>110</v>
      </c>
      <c r="N749" s="149"/>
      <c r="O749" s="86"/>
      <c r="P749" s="1817" t="e">
        <f>INDEX(#REF!,MATCH(F749,#REF!,0),2)</f>
        <v>#REF!</v>
      </c>
      <c r="Q749" s="43"/>
      <c r="R749" s="43"/>
      <c r="S749" s="43"/>
      <c r="T749" s="43"/>
      <c r="U749" s="43"/>
      <c r="V749" s="43"/>
      <c r="W749" s="43"/>
      <c r="X749" s="43"/>
      <c r="Y749" s="43"/>
      <c r="Z749" s="43"/>
      <c r="AA749" s="43"/>
      <c r="AB749" s="43"/>
      <c r="AC749" s="43"/>
      <c r="AD749" s="43"/>
      <c r="AE749" s="43"/>
      <c r="AF749" s="43"/>
      <c r="AG749" s="43"/>
      <c r="AH749" s="43"/>
      <c r="AI749" s="43"/>
      <c r="AJ749" s="43"/>
      <c r="AK749" s="43"/>
      <c r="AL749" s="43"/>
      <c r="AM749" s="43"/>
      <c r="AN749" s="43"/>
      <c r="AO749" s="43"/>
      <c r="AP749" s="43"/>
      <c r="AQ749" s="43"/>
      <c r="AR749" s="43"/>
      <c r="AS749" s="43"/>
      <c r="AT749" s="43"/>
      <c r="AU749" s="43"/>
      <c r="AV749" s="43"/>
    </row>
    <row r="750" spans="1:48" ht="22.5">
      <c r="A750" s="768"/>
      <c r="B750" s="762" t="s">
        <v>1248</v>
      </c>
      <c r="C750" s="762" t="s">
        <v>505</v>
      </c>
      <c r="D750" s="1599"/>
      <c r="E750" s="2245" t="s">
        <v>1947</v>
      </c>
      <c r="F750" s="763">
        <v>2239</v>
      </c>
      <c r="G750" s="772" t="s">
        <v>1336</v>
      </c>
      <c r="H750" s="2657"/>
      <c r="I750" s="2657">
        <v>480</v>
      </c>
      <c r="J750" s="2658"/>
      <c r="K750" s="2659"/>
      <c r="L750" s="2657"/>
      <c r="M750" s="2657">
        <v>0</v>
      </c>
      <c r="N750" s="149"/>
      <c r="O750" s="86"/>
      <c r="P750" s="1817" t="e">
        <f>INDEX(#REF!,MATCH(F750,#REF!,0),2)</f>
        <v>#REF!</v>
      </c>
      <c r="Q750" s="43"/>
      <c r="R750" s="43"/>
      <c r="S750" s="43"/>
      <c r="T750" s="43"/>
      <c r="U750" s="43"/>
      <c r="V750" s="43"/>
      <c r="W750" s="43"/>
      <c r="X750" s="43"/>
      <c r="Y750" s="43"/>
      <c r="Z750" s="43"/>
      <c r="AA750" s="43"/>
      <c r="AB750" s="43"/>
      <c r="AC750" s="43"/>
      <c r="AD750" s="43"/>
      <c r="AE750" s="43"/>
      <c r="AF750" s="43"/>
      <c r="AG750" s="43"/>
      <c r="AH750" s="43"/>
      <c r="AI750" s="43"/>
      <c r="AJ750" s="43"/>
      <c r="AK750" s="43"/>
      <c r="AL750" s="43"/>
      <c r="AM750" s="43"/>
      <c r="AN750" s="43"/>
      <c r="AO750" s="43"/>
      <c r="AP750" s="43"/>
      <c r="AQ750" s="43"/>
      <c r="AR750" s="43"/>
      <c r="AS750" s="43"/>
      <c r="AT750" s="43"/>
      <c r="AU750" s="43"/>
      <c r="AV750" s="43"/>
    </row>
    <row r="751" spans="1:48">
      <c r="A751" s="857"/>
      <c r="B751" s="755" t="s">
        <v>1359</v>
      </c>
      <c r="C751" s="755" t="s">
        <v>507</v>
      </c>
      <c r="D751" s="1600">
        <v>812</v>
      </c>
      <c r="E751" s="2247" t="s">
        <v>1947</v>
      </c>
      <c r="F751" s="809">
        <v>2239</v>
      </c>
      <c r="G751" s="757" t="s">
        <v>3566</v>
      </c>
      <c r="H751" s="2604">
        <v>44836</v>
      </c>
      <c r="I751" s="2604"/>
      <c r="J751" s="2635">
        <v>45204.5</v>
      </c>
      <c r="K751" s="2647"/>
      <c r="L751" s="2604">
        <v>44880</v>
      </c>
      <c r="M751" s="2606"/>
      <c r="N751" s="73"/>
      <c r="O751" s="86"/>
      <c r="P751" s="1817" t="e">
        <f>INDEX(#REF!,MATCH(F751,#REF!,0),2)</f>
        <v>#REF!</v>
      </c>
      <c r="Q751" s="43"/>
      <c r="R751" s="43"/>
      <c r="S751" s="43"/>
      <c r="T751" s="43"/>
      <c r="U751" s="43"/>
      <c r="V751" s="43"/>
      <c r="W751" s="43"/>
      <c r="X751" s="43"/>
      <c r="Y751" s="43"/>
      <c r="Z751" s="43"/>
      <c r="AA751" s="43"/>
      <c r="AB751" s="43"/>
      <c r="AC751" s="43"/>
      <c r="AD751" s="43"/>
      <c r="AE751" s="43"/>
      <c r="AF751" s="43"/>
      <c r="AG751" s="43"/>
      <c r="AH751" s="43"/>
      <c r="AI751" s="43"/>
      <c r="AJ751" s="43"/>
      <c r="AK751" s="43"/>
      <c r="AL751" s="43"/>
      <c r="AM751" s="43"/>
      <c r="AN751" s="43"/>
      <c r="AO751" s="43"/>
      <c r="AP751" s="43"/>
      <c r="AQ751" s="43"/>
      <c r="AR751" s="43"/>
      <c r="AS751" s="43"/>
      <c r="AT751" s="43"/>
      <c r="AU751" s="43"/>
      <c r="AV751" s="43"/>
    </row>
    <row r="752" spans="1:48">
      <c r="A752" s="858"/>
      <c r="B752" s="762" t="s">
        <v>1359</v>
      </c>
      <c r="C752" s="762" t="s">
        <v>507</v>
      </c>
      <c r="D752" s="1599"/>
      <c r="E752" s="2245" t="s">
        <v>1947</v>
      </c>
      <c r="F752" s="763">
        <v>2239</v>
      </c>
      <c r="G752" s="779" t="s">
        <v>2673</v>
      </c>
      <c r="H752" s="2657"/>
      <c r="I752" s="2657">
        <v>49080</v>
      </c>
      <c r="J752" s="2658"/>
      <c r="K752" s="2659"/>
      <c r="L752" s="2660"/>
      <c r="M752" s="2657">
        <v>44880</v>
      </c>
      <c r="N752" s="13" t="s">
        <v>3544</v>
      </c>
      <c r="O752" s="86"/>
      <c r="P752" s="1817" t="e">
        <f>INDEX(#REF!,MATCH(F752,#REF!,0),2)</f>
        <v>#REF!</v>
      </c>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row>
    <row r="753" spans="1:48" ht="45">
      <c r="A753" s="2306"/>
      <c r="B753" s="762" t="s">
        <v>1359</v>
      </c>
      <c r="C753" s="762" t="s">
        <v>507</v>
      </c>
      <c r="D753" s="1599"/>
      <c r="E753" s="2245" t="s">
        <v>1947</v>
      </c>
      <c r="F753" s="763">
        <v>2239</v>
      </c>
      <c r="G753" s="1885" t="s">
        <v>3211</v>
      </c>
      <c r="H753" s="2657"/>
      <c r="I753" s="2657">
        <v>-500</v>
      </c>
      <c r="J753" s="2658"/>
      <c r="K753" s="2659"/>
      <c r="L753" s="2660"/>
      <c r="M753" s="2660"/>
      <c r="N753" s="73"/>
      <c r="O753" s="86"/>
      <c r="P753" s="1817" t="e">
        <f>INDEX(#REF!,MATCH(F753,#REF!,0),2)</f>
        <v>#REF!</v>
      </c>
      <c r="Q753" s="43"/>
      <c r="R753" s="43"/>
      <c r="S753" s="43"/>
      <c r="T753" s="43"/>
      <c r="U753" s="43"/>
      <c r="V753" s="43"/>
      <c r="W753" s="43"/>
      <c r="X753" s="43"/>
      <c r="Y753" s="43"/>
      <c r="Z753" s="43"/>
      <c r="AA753" s="43"/>
      <c r="AB753" s="43"/>
      <c r="AC753" s="43"/>
      <c r="AD753" s="43"/>
      <c r="AE753" s="43"/>
      <c r="AF753" s="43"/>
      <c r="AG753" s="43"/>
      <c r="AH753" s="43"/>
      <c r="AI753" s="43"/>
      <c r="AJ753" s="43"/>
      <c r="AK753" s="43"/>
      <c r="AL753" s="43"/>
      <c r="AM753" s="43"/>
      <c r="AN753" s="43"/>
      <c r="AO753" s="43"/>
      <c r="AP753" s="43"/>
      <c r="AQ753" s="43"/>
      <c r="AR753" s="43"/>
      <c r="AS753" s="43"/>
      <c r="AT753" s="43"/>
      <c r="AU753" s="43"/>
      <c r="AV753" s="43"/>
    </row>
    <row r="754" spans="1:48" ht="22.5">
      <c r="A754" s="2306"/>
      <c r="B754" s="762" t="s">
        <v>1359</v>
      </c>
      <c r="C754" s="762" t="s">
        <v>507</v>
      </c>
      <c r="D754" s="1599"/>
      <c r="E754" s="2245" t="s">
        <v>1947</v>
      </c>
      <c r="F754" s="763">
        <v>2239</v>
      </c>
      <c r="G754" s="1885" t="s">
        <v>3140</v>
      </c>
      <c r="H754" s="2657"/>
      <c r="I754" s="2657">
        <v>-500</v>
      </c>
      <c r="J754" s="2658"/>
      <c r="K754" s="2659"/>
      <c r="L754" s="2660"/>
      <c r="M754" s="2660"/>
      <c r="N754" s="73"/>
      <c r="O754" s="86"/>
      <c r="P754" s="1817" t="e">
        <f>INDEX(#REF!,MATCH(F754,#REF!,0),2)</f>
        <v>#REF!</v>
      </c>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43"/>
      <c r="AP754" s="43"/>
      <c r="AQ754" s="43"/>
      <c r="AR754" s="43"/>
      <c r="AS754" s="43"/>
      <c r="AT754" s="43"/>
      <c r="AU754" s="43"/>
      <c r="AV754" s="43"/>
    </row>
    <row r="755" spans="1:48">
      <c r="A755" s="857"/>
      <c r="B755" s="755" t="s">
        <v>1359</v>
      </c>
      <c r="C755" s="755" t="s">
        <v>507</v>
      </c>
      <c r="D755" s="1600">
        <v>812</v>
      </c>
      <c r="E755" s="2247" t="s">
        <v>1947</v>
      </c>
      <c r="F755" s="809">
        <v>2239</v>
      </c>
      <c r="G755" s="757" t="s">
        <v>313</v>
      </c>
      <c r="H755" s="2604">
        <v>10610</v>
      </c>
      <c r="I755" s="2604"/>
      <c r="J755" s="2635"/>
      <c r="K755" s="2647"/>
      <c r="L755" s="2604">
        <v>23750</v>
      </c>
      <c r="M755" s="2606"/>
      <c r="N755" s="73"/>
      <c r="O755" s="86"/>
      <c r="P755" s="1817" t="e">
        <f>INDEX(#REF!,MATCH(F755,#REF!,0),2)</f>
        <v>#REF!</v>
      </c>
      <c r="Q755" s="1779"/>
      <c r="R755" s="1779"/>
      <c r="S755" s="1779"/>
      <c r="T755" s="1779"/>
      <c r="U755" s="1779"/>
      <c r="V755" s="1779"/>
      <c r="W755" s="43"/>
      <c r="X755" s="1779"/>
      <c r="Y755" s="1779"/>
      <c r="Z755" s="1779"/>
      <c r="AA755" s="1779"/>
      <c r="AB755" s="1779"/>
      <c r="AC755" s="1779"/>
      <c r="AD755" s="1779"/>
      <c r="AE755" s="1779"/>
      <c r="AF755" s="1779"/>
      <c r="AG755" s="1779"/>
      <c r="AI755" s="1779"/>
      <c r="AJ755" s="43"/>
      <c r="AK755" s="43"/>
      <c r="AL755" s="43"/>
      <c r="AM755" s="1773"/>
      <c r="AN755" s="1789"/>
      <c r="AO755" s="1787"/>
      <c r="AQ755" s="1790"/>
      <c r="AR755" s="1788"/>
      <c r="AS755" s="1779"/>
      <c r="AT755" s="1779"/>
      <c r="AU755" s="1779"/>
      <c r="AV755" s="1779"/>
    </row>
    <row r="756" spans="1:48" ht="22.5">
      <c r="A756" s="768"/>
      <c r="B756" s="762" t="s">
        <v>1359</v>
      </c>
      <c r="C756" s="762" t="s">
        <v>507</v>
      </c>
      <c r="D756" s="1599"/>
      <c r="E756" s="2245" t="s">
        <v>1947</v>
      </c>
      <c r="F756" s="763">
        <v>2239</v>
      </c>
      <c r="G756" s="772" t="s">
        <v>1360</v>
      </c>
      <c r="H756" s="2657"/>
      <c r="I756" s="2657">
        <v>2810</v>
      </c>
      <c r="J756" s="2658"/>
      <c r="K756" s="2659"/>
      <c r="L756" s="2660"/>
      <c r="M756" s="2657">
        <v>4700</v>
      </c>
      <c r="N756" s="13" t="s">
        <v>3567</v>
      </c>
      <c r="O756" s="86"/>
      <c r="P756" s="1817" t="e">
        <f>INDEX(#REF!,MATCH(F756,#REF!,0),2)</f>
        <v>#REF!</v>
      </c>
      <c r="Q756" s="1779"/>
      <c r="R756" s="1779"/>
      <c r="S756" s="1779"/>
      <c r="T756" s="1779"/>
      <c r="U756" s="1779"/>
      <c r="V756" s="1779"/>
      <c r="W756" s="43"/>
      <c r="X756" s="1779"/>
      <c r="Y756" s="1779"/>
      <c r="Z756" s="1779"/>
      <c r="AA756" s="1779"/>
      <c r="AB756" s="1779"/>
      <c r="AC756" s="1779"/>
      <c r="AD756" s="1779"/>
      <c r="AE756" s="1779"/>
      <c r="AF756" s="1779"/>
      <c r="AG756" s="1779"/>
      <c r="AI756" s="1779"/>
      <c r="AJ756" s="43"/>
      <c r="AK756" s="43"/>
      <c r="AL756" s="43"/>
      <c r="AM756" s="1773"/>
      <c r="AN756" s="1789"/>
      <c r="AO756" s="1787"/>
      <c r="AQ756" s="1790"/>
      <c r="AR756" s="1788"/>
      <c r="AS756" s="1779"/>
      <c r="AT756" s="1779"/>
      <c r="AU756" s="1779"/>
      <c r="AV756" s="1779"/>
    </row>
    <row r="757" spans="1:48">
      <c r="A757" s="768"/>
      <c r="B757" s="762" t="s">
        <v>1359</v>
      </c>
      <c r="C757" s="762" t="s">
        <v>507</v>
      </c>
      <c r="D757" s="1599"/>
      <c r="E757" s="2245" t="s">
        <v>1947</v>
      </c>
      <c r="F757" s="763">
        <v>2239</v>
      </c>
      <c r="G757" s="772" t="s">
        <v>1361</v>
      </c>
      <c r="H757" s="2657"/>
      <c r="I757" s="2657">
        <v>7800</v>
      </c>
      <c r="J757" s="2658"/>
      <c r="K757" s="2659"/>
      <c r="L757" s="2660"/>
      <c r="M757" s="2657">
        <v>9050</v>
      </c>
      <c r="N757" s="13" t="s">
        <v>3567</v>
      </c>
      <c r="O757" s="86"/>
      <c r="P757" s="1817" t="e">
        <f>INDEX(#REF!,MATCH(F757,#REF!,0),2)</f>
        <v>#REF!</v>
      </c>
      <c r="Q757" s="1779"/>
      <c r="R757" s="1779"/>
      <c r="S757" s="1779"/>
      <c r="T757" s="1779"/>
      <c r="U757" s="1779"/>
      <c r="V757" s="1779"/>
      <c r="W757" s="43"/>
      <c r="X757" s="1779"/>
      <c r="Y757" s="1779"/>
      <c r="Z757" s="1779"/>
      <c r="AA757" s="1779"/>
      <c r="AB757" s="1779"/>
      <c r="AC757" s="1779"/>
      <c r="AD757" s="1779"/>
      <c r="AE757" s="1779"/>
      <c r="AF757" s="1779"/>
      <c r="AG757" s="1779"/>
      <c r="AI757" s="1779"/>
      <c r="AJ757" s="43"/>
      <c r="AK757" s="43"/>
      <c r="AL757" s="43"/>
      <c r="AM757" s="1773"/>
      <c r="AN757" s="1789"/>
      <c r="AO757" s="1787"/>
      <c r="AQ757" s="1790"/>
      <c r="AR757" s="1788"/>
      <c r="AS757" s="1779"/>
      <c r="AT757" s="1779"/>
      <c r="AU757" s="1779"/>
      <c r="AV757" s="1779"/>
    </row>
    <row r="758" spans="1:48" ht="33.75">
      <c r="A758" s="3871"/>
      <c r="B758" s="762" t="s">
        <v>1359</v>
      </c>
      <c r="C758" s="762" t="s">
        <v>507</v>
      </c>
      <c r="D758" s="1599"/>
      <c r="E758" s="2245" t="s">
        <v>1947</v>
      </c>
      <c r="F758" s="763">
        <v>2239</v>
      </c>
      <c r="G758" s="3881" t="s">
        <v>5773</v>
      </c>
      <c r="H758" s="4100"/>
      <c r="I758" s="4100"/>
      <c r="J758" s="4101"/>
      <c r="K758" s="4102"/>
      <c r="L758" s="4103"/>
      <c r="M758" s="4100">
        <v>10000</v>
      </c>
      <c r="N758" s="154" t="s">
        <v>5774</v>
      </c>
      <c r="O758" s="86"/>
      <c r="P758" s="1817"/>
      <c r="Q758" s="1779"/>
      <c r="R758" s="1779"/>
      <c r="S758" s="1779"/>
      <c r="T758" s="1779"/>
      <c r="U758" s="1779"/>
      <c r="V758" s="1779"/>
      <c r="W758" s="43"/>
      <c r="X758" s="1779"/>
      <c r="Y758" s="1779"/>
      <c r="Z758" s="1779"/>
      <c r="AA758" s="1779"/>
      <c r="AB758" s="1779"/>
      <c r="AC758" s="1779"/>
      <c r="AD758" s="1779"/>
      <c r="AE758" s="1779"/>
      <c r="AF758" s="1779"/>
      <c r="AG758" s="1779"/>
      <c r="AI758" s="1779"/>
      <c r="AJ758" s="43"/>
      <c r="AK758" s="43"/>
      <c r="AL758" s="43"/>
      <c r="AM758" s="1773"/>
      <c r="AN758" s="1789"/>
      <c r="AO758" s="1787"/>
      <c r="AQ758" s="1790"/>
      <c r="AR758" s="1788"/>
      <c r="AS758" s="1779"/>
      <c r="AT758" s="1779"/>
      <c r="AU758" s="1779"/>
      <c r="AV758" s="1779"/>
    </row>
    <row r="759" spans="1:48">
      <c r="A759" s="854"/>
      <c r="B759" s="755" t="s">
        <v>1248</v>
      </c>
      <c r="C759" s="755" t="s">
        <v>534</v>
      </c>
      <c r="D759" s="1600">
        <v>812</v>
      </c>
      <c r="E759" s="2247" t="s">
        <v>1947</v>
      </c>
      <c r="F759" s="756">
        <v>2241</v>
      </c>
      <c r="G759" s="757" t="s">
        <v>304</v>
      </c>
      <c r="H759" s="2604">
        <v>4637</v>
      </c>
      <c r="I759" s="2604"/>
      <c r="J759" s="2635">
        <v>7984</v>
      </c>
      <c r="K759" s="2647"/>
      <c r="L759" s="2604">
        <v>16500</v>
      </c>
      <c r="M759" s="2606"/>
      <c r="N759" s="71" t="s">
        <v>3568</v>
      </c>
      <c r="O759" s="86"/>
      <c r="P759" s="1817" t="e">
        <f>INDEX(#REF!,MATCH(F759,#REF!,0),2)</f>
        <v>#REF!</v>
      </c>
      <c r="Q759" s="1779"/>
      <c r="R759" s="1779"/>
      <c r="S759" s="1779"/>
      <c r="T759" s="1779"/>
      <c r="U759" s="1779"/>
      <c r="V759" s="1779"/>
      <c r="W759" s="43"/>
      <c r="X759" s="1779"/>
      <c r="Y759" s="1779"/>
      <c r="Z759" s="1779"/>
      <c r="AA759" s="1779"/>
      <c r="AB759" s="1779"/>
      <c r="AC759" s="1779"/>
      <c r="AD759" s="1779"/>
      <c r="AE759" s="1779"/>
      <c r="AF759" s="1779"/>
      <c r="AG759" s="1779"/>
      <c r="AH759" s="1779"/>
      <c r="AI759" s="1779"/>
      <c r="AJ759" s="1779"/>
      <c r="AK759" s="1779"/>
      <c r="AL759" s="1779"/>
      <c r="AM759" s="1779"/>
      <c r="AN759" s="1779"/>
      <c r="AO759" s="1779"/>
      <c r="AP759" s="1779"/>
      <c r="AQ759" s="1779"/>
      <c r="AR759" s="1779"/>
      <c r="AS759" s="1779"/>
      <c r="AT759" s="1779"/>
      <c r="AU759" s="1779"/>
      <c r="AV759" s="1779"/>
    </row>
    <row r="760" spans="1:48" ht="33.75">
      <c r="A760" s="1484"/>
      <c r="B760" s="762" t="s">
        <v>1248</v>
      </c>
      <c r="C760" s="762" t="s">
        <v>534</v>
      </c>
      <c r="D760" s="1599"/>
      <c r="E760" s="2245" t="s">
        <v>1947</v>
      </c>
      <c r="F760" s="763">
        <v>2241</v>
      </c>
      <c r="G760" s="3751" t="s">
        <v>3639</v>
      </c>
      <c r="H760" s="2657"/>
      <c r="I760" s="2657"/>
      <c r="J760" s="2658"/>
      <c r="K760" s="2659"/>
      <c r="L760" s="2660"/>
      <c r="M760" s="2657">
        <v>16500</v>
      </c>
      <c r="N760" s="13" t="s">
        <v>5775</v>
      </c>
      <c r="O760" s="86"/>
      <c r="P760" s="1817"/>
      <c r="Q760" s="1779"/>
      <c r="R760" s="1779"/>
      <c r="S760" s="1779"/>
      <c r="T760" s="1779"/>
      <c r="U760" s="1779"/>
      <c r="V760" s="1779"/>
      <c r="W760" s="43"/>
      <c r="X760" s="1779"/>
      <c r="Y760" s="1779"/>
      <c r="Z760" s="1779"/>
      <c r="AA760" s="1779"/>
      <c r="AB760" s="1779"/>
      <c r="AC760" s="1779"/>
      <c r="AD760" s="1779"/>
      <c r="AE760" s="1779"/>
      <c r="AF760" s="1779"/>
      <c r="AG760" s="1779"/>
      <c r="AH760" s="1779"/>
      <c r="AI760" s="1779"/>
      <c r="AJ760" s="1779"/>
      <c r="AK760" s="1779"/>
      <c r="AL760" s="1779"/>
      <c r="AM760" s="1779"/>
      <c r="AN760" s="1779"/>
      <c r="AO760" s="1779"/>
      <c r="AP760" s="1779"/>
      <c r="AQ760" s="1779"/>
      <c r="AR760" s="1779"/>
      <c r="AS760" s="1779"/>
      <c r="AT760" s="1779"/>
      <c r="AU760" s="1779"/>
      <c r="AV760" s="1779"/>
    </row>
    <row r="761" spans="1:48" ht="22.5">
      <c r="A761" s="1484"/>
      <c r="B761" s="762" t="s">
        <v>1248</v>
      </c>
      <c r="C761" s="762" t="s">
        <v>534</v>
      </c>
      <c r="D761" s="1599"/>
      <c r="E761" s="2245" t="s">
        <v>1947</v>
      </c>
      <c r="F761" s="763">
        <v>2241</v>
      </c>
      <c r="G761" s="1557" t="s">
        <v>940</v>
      </c>
      <c r="H761" s="2657"/>
      <c r="I761" s="2657">
        <v>1500</v>
      </c>
      <c r="J761" s="2658"/>
      <c r="K761" s="2659"/>
      <c r="L761" s="2660"/>
      <c r="M761" s="2660"/>
      <c r="N761" s="73"/>
      <c r="O761" s="86"/>
      <c r="P761" s="1817" t="e">
        <f>INDEX(#REF!,MATCH(F761,#REF!,0),2)</f>
        <v>#REF!</v>
      </c>
      <c r="Q761" s="1779"/>
      <c r="R761" s="1779"/>
      <c r="S761" s="1779"/>
      <c r="T761" s="1779"/>
      <c r="U761" s="1779"/>
      <c r="V761" s="1779"/>
      <c r="W761" s="43"/>
      <c r="X761" s="1779"/>
      <c r="Y761" s="1779"/>
      <c r="Z761" s="1779"/>
      <c r="AA761" s="1779"/>
      <c r="AB761" s="1779"/>
      <c r="AC761" s="1779"/>
      <c r="AD761" s="1779"/>
      <c r="AE761" s="1779"/>
      <c r="AF761" s="1779"/>
      <c r="AG761" s="1779"/>
      <c r="AH761" s="1779"/>
      <c r="AI761" s="1779"/>
      <c r="AJ761" s="1779"/>
      <c r="AK761" s="1779"/>
      <c r="AL761" s="1779"/>
      <c r="AM761" s="1779"/>
      <c r="AN761" s="1779"/>
      <c r="AO761" s="1779"/>
      <c r="AP761" s="1779"/>
      <c r="AQ761" s="1779"/>
      <c r="AR761" s="1779"/>
      <c r="AS761" s="1779"/>
      <c r="AT761" s="1779"/>
      <c r="AU761" s="1779"/>
      <c r="AV761" s="1779"/>
    </row>
    <row r="762" spans="1:48" ht="45">
      <c r="A762" s="1914"/>
      <c r="B762" s="762" t="s">
        <v>1248</v>
      </c>
      <c r="C762" s="762" t="s">
        <v>534</v>
      </c>
      <c r="D762" s="1599"/>
      <c r="E762" s="2245" t="s">
        <v>1947</v>
      </c>
      <c r="F762" s="763">
        <v>2241</v>
      </c>
      <c r="G762" s="2305" t="s">
        <v>3295</v>
      </c>
      <c r="H762" s="2657"/>
      <c r="I762" s="2657">
        <v>-313</v>
      </c>
      <c r="J762" s="2658"/>
      <c r="K762" s="2659"/>
      <c r="L762" s="2660"/>
      <c r="M762" s="2660"/>
      <c r="N762" s="73"/>
      <c r="O762" s="86"/>
      <c r="P762" s="1817" t="e">
        <f>INDEX(#REF!,MATCH(F762,#REF!,0),2)</f>
        <v>#REF!</v>
      </c>
      <c r="Q762" s="1779"/>
      <c r="R762" s="1779"/>
      <c r="S762" s="1779"/>
      <c r="T762" s="1779"/>
      <c r="U762" s="1779"/>
      <c r="V762" s="1779"/>
      <c r="W762" s="43"/>
      <c r="X762" s="1779"/>
      <c r="Y762" s="1779"/>
      <c r="Z762" s="1779"/>
      <c r="AA762" s="1779"/>
      <c r="AB762" s="1779"/>
      <c r="AC762" s="1779"/>
      <c r="AD762" s="1779"/>
      <c r="AE762" s="1779"/>
      <c r="AF762" s="1779"/>
      <c r="AG762" s="1779"/>
      <c r="AH762" s="1779"/>
      <c r="AI762" s="1779"/>
      <c r="AJ762" s="1779"/>
      <c r="AK762" s="1779"/>
      <c r="AL762" s="1779"/>
      <c r="AM762" s="1779"/>
      <c r="AN762" s="1779"/>
      <c r="AO762" s="1779"/>
      <c r="AP762" s="1779"/>
      <c r="AQ762" s="1779"/>
      <c r="AR762" s="1779"/>
      <c r="AS762" s="1779"/>
      <c r="AT762" s="1779"/>
      <c r="AU762" s="1779"/>
      <c r="AV762" s="1779"/>
    </row>
    <row r="763" spans="1:48" ht="22.5">
      <c r="A763" s="1914"/>
      <c r="B763" s="762" t="s">
        <v>1248</v>
      </c>
      <c r="C763" s="762" t="s">
        <v>534</v>
      </c>
      <c r="D763" s="1599"/>
      <c r="E763" s="2245" t="s">
        <v>1947</v>
      </c>
      <c r="F763" s="763">
        <v>2241</v>
      </c>
      <c r="G763" s="2305" t="s">
        <v>3128</v>
      </c>
      <c r="H763" s="2657"/>
      <c r="I763" s="2657">
        <v>-1500</v>
      </c>
      <c r="J763" s="2658"/>
      <c r="K763" s="2659"/>
      <c r="L763" s="2660"/>
      <c r="M763" s="2660"/>
      <c r="N763" s="73"/>
      <c r="O763" s="86"/>
      <c r="P763" s="1817" t="e">
        <f>INDEX(#REF!,MATCH(F763,#REF!,0),2)</f>
        <v>#REF!</v>
      </c>
      <c r="Q763" s="1779"/>
      <c r="R763" s="1779"/>
      <c r="S763" s="1779"/>
      <c r="T763" s="1779"/>
      <c r="U763" s="1779"/>
      <c r="V763" s="1779"/>
      <c r="W763" s="43"/>
      <c r="X763" s="1779"/>
      <c r="Y763" s="1779"/>
      <c r="Z763" s="1779"/>
      <c r="AA763" s="1779"/>
      <c r="AB763" s="1779"/>
      <c r="AC763" s="1779"/>
      <c r="AD763" s="1779"/>
      <c r="AE763" s="1779"/>
      <c r="AF763" s="1779"/>
      <c r="AG763" s="1779"/>
      <c r="AH763" s="1779"/>
      <c r="AI763" s="1779"/>
      <c r="AJ763" s="1779"/>
      <c r="AK763" s="1779"/>
      <c r="AL763" s="1779"/>
      <c r="AM763" s="1779"/>
      <c r="AN763" s="1779"/>
      <c r="AO763" s="1779"/>
      <c r="AP763" s="1779"/>
      <c r="AQ763" s="1779"/>
      <c r="AR763" s="1779"/>
      <c r="AS763" s="1779"/>
      <c r="AT763" s="1779"/>
      <c r="AU763" s="1779"/>
      <c r="AV763" s="1779"/>
    </row>
    <row r="764" spans="1:48" ht="22.5">
      <c r="A764" s="1484"/>
      <c r="B764" s="762" t="s">
        <v>1248</v>
      </c>
      <c r="C764" s="762" t="s">
        <v>534</v>
      </c>
      <c r="D764" s="1599"/>
      <c r="E764" s="2245" t="s">
        <v>1947</v>
      </c>
      <c r="F764" s="763">
        <v>2241</v>
      </c>
      <c r="G764" s="1557" t="s">
        <v>2156</v>
      </c>
      <c r="H764" s="2657"/>
      <c r="I764" s="2657">
        <v>1500</v>
      </c>
      <c r="J764" s="2658"/>
      <c r="K764" s="2659"/>
      <c r="L764" s="2660"/>
      <c r="M764" s="2660"/>
      <c r="N764" s="73"/>
      <c r="O764" s="86"/>
      <c r="P764" s="1817" t="e">
        <f>INDEX(#REF!,MATCH(F764,#REF!,0),2)</f>
        <v>#REF!</v>
      </c>
      <c r="Q764" s="1779"/>
      <c r="R764" s="1779"/>
      <c r="S764" s="1779"/>
      <c r="T764" s="1779"/>
      <c r="U764" s="1779"/>
      <c r="V764" s="1779"/>
      <c r="W764" s="43"/>
      <c r="X764" s="1779"/>
      <c r="Y764" s="1779"/>
      <c r="Z764" s="1779"/>
      <c r="AA764" s="1779"/>
      <c r="AB764" s="1779"/>
      <c r="AC764" s="1779"/>
      <c r="AD764" s="1779"/>
      <c r="AE764" s="1779"/>
      <c r="AF764" s="1779"/>
      <c r="AG764" s="1779"/>
      <c r="AH764" s="1779"/>
      <c r="AI764" s="1779"/>
      <c r="AJ764" s="1779"/>
      <c r="AK764" s="1779"/>
      <c r="AL764" s="1779"/>
      <c r="AM764" s="1779"/>
      <c r="AN764" s="1779"/>
      <c r="AO764" s="1779"/>
      <c r="AP764" s="1779"/>
      <c r="AQ764" s="1779"/>
      <c r="AR764" s="1779"/>
      <c r="AS764" s="1779"/>
      <c r="AT764" s="1779"/>
      <c r="AU764" s="1779"/>
      <c r="AV764" s="1779"/>
    </row>
    <row r="765" spans="1:48" ht="45">
      <c r="A765" s="1914"/>
      <c r="B765" s="762" t="s">
        <v>1248</v>
      </c>
      <c r="C765" s="762" t="s">
        <v>534</v>
      </c>
      <c r="D765" s="1599"/>
      <c r="E765" s="2245" t="s">
        <v>1947</v>
      </c>
      <c r="F765" s="763">
        <v>2241</v>
      </c>
      <c r="G765" s="1557" t="s">
        <v>3295</v>
      </c>
      <c r="H765" s="2657"/>
      <c r="I765" s="2657">
        <v>-1500</v>
      </c>
      <c r="J765" s="2658"/>
      <c r="K765" s="2659"/>
      <c r="L765" s="2660"/>
      <c r="M765" s="2660"/>
      <c r="N765" s="73"/>
      <c r="O765" s="86"/>
      <c r="P765" s="1817" t="e">
        <f>INDEX(#REF!,MATCH(F765,#REF!,0),2)</f>
        <v>#REF!</v>
      </c>
      <c r="Q765" s="1779"/>
      <c r="R765" s="1779"/>
      <c r="S765" s="1779"/>
      <c r="T765" s="1779"/>
      <c r="U765" s="1779"/>
      <c r="V765" s="1779"/>
      <c r="W765" s="43"/>
      <c r="X765" s="1779"/>
      <c r="Y765" s="1779"/>
      <c r="Z765" s="1779"/>
      <c r="AA765" s="1779"/>
      <c r="AB765" s="1779"/>
      <c r="AC765" s="1779"/>
      <c r="AD765" s="1779"/>
      <c r="AE765" s="1779"/>
      <c r="AF765" s="1779"/>
      <c r="AG765" s="1779"/>
      <c r="AH765" s="1779"/>
      <c r="AI765" s="1779"/>
      <c r="AJ765" s="1779"/>
      <c r="AK765" s="1779"/>
      <c r="AL765" s="1779"/>
      <c r="AM765" s="1779"/>
      <c r="AN765" s="1779"/>
      <c r="AO765" s="1779"/>
      <c r="AP765" s="1779"/>
      <c r="AQ765" s="1779"/>
      <c r="AR765" s="1779"/>
      <c r="AS765" s="1779"/>
      <c r="AT765" s="1779"/>
      <c r="AU765" s="1779"/>
      <c r="AV765" s="1779"/>
    </row>
    <row r="766" spans="1:48" ht="45">
      <c r="A766" s="1484"/>
      <c r="B766" s="762" t="s">
        <v>1248</v>
      </c>
      <c r="C766" s="762" t="s">
        <v>534</v>
      </c>
      <c r="D766" s="1599"/>
      <c r="E766" s="2245" t="s">
        <v>1947</v>
      </c>
      <c r="F766" s="763">
        <v>2241</v>
      </c>
      <c r="G766" s="1557" t="s">
        <v>2157</v>
      </c>
      <c r="H766" s="2657"/>
      <c r="I766" s="2657">
        <v>2800</v>
      </c>
      <c r="J766" s="2658"/>
      <c r="K766" s="2659"/>
      <c r="L766" s="2660"/>
      <c r="M766" s="2660"/>
      <c r="N766" s="73"/>
      <c r="O766" s="86"/>
      <c r="P766" s="1817" t="e">
        <f>INDEX(#REF!,MATCH(F766,#REF!,0),2)</f>
        <v>#REF!</v>
      </c>
      <c r="Q766" s="1779"/>
      <c r="R766" s="1779"/>
      <c r="S766" s="1779"/>
      <c r="T766" s="1779"/>
      <c r="U766" s="1779"/>
      <c r="V766" s="1779"/>
      <c r="W766" s="43"/>
      <c r="X766" s="1779"/>
      <c r="Y766" s="1779"/>
      <c r="Z766" s="1779"/>
      <c r="AA766" s="1779"/>
      <c r="AB766" s="1779"/>
      <c r="AC766" s="1779"/>
      <c r="AD766" s="1779"/>
      <c r="AE766" s="1779"/>
      <c r="AF766" s="1779"/>
      <c r="AG766" s="1779"/>
      <c r="AH766" s="1779"/>
      <c r="AI766" s="1779"/>
      <c r="AJ766" s="1779"/>
      <c r="AK766" s="1779"/>
      <c r="AL766" s="1779"/>
      <c r="AM766" s="1779"/>
      <c r="AN766" s="1779"/>
      <c r="AO766" s="1779"/>
      <c r="AP766" s="1779"/>
      <c r="AQ766" s="1779"/>
      <c r="AR766" s="1779"/>
      <c r="AS766" s="1779"/>
      <c r="AT766" s="1779"/>
      <c r="AU766" s="1779"/>
      <c r="AV766" s="1779"/>
    </row>
    <row r="767" spans="1:48">
      <c r="A767" s="1484"/>
      <c r="B767" s="762" t="s">
        <v>1248</v>
      </c>
      <c r="C767" s="762" t="s">
        <v>534</v>
      </c>
      <c r="D767" s="1599"/>
      <c r="E767" s="2245" t="s">
        <v>1947</v>
      </c>
      <c r="F767" s="763">
        <v>2241</v>
      </c>
      <c r="G767" s="1557" t="s">
        <v>2158</v>
      </c>
      <c r="H767" s="2657"/>
      <c r="I767" s="2657">
        <v>1800</v>
      </c>
      <c r="J767" s="2658"/>
      <c r="K767" s="2659"/>
      <c r="L767" s="2660"/>
      <c r="M767" s="2660"/>
      <c r="N767" s="73"/>
      <c r="O767" s="86"/>
      <c r="P767" s="1817" t="e">
        <f>INDEX(#REF!,MATCH(F767,#REF!,0),2)</f>
        <v>#REF!</v>
      </c>
      <c r="Q767" s="1779"/>
      <c r="R767" s="1779"/>
      <c r="S767" s="1779"/>
      <c r="T767" s="1779"/>
      <c r="U767" s="1779"/>
      <c r="V767" s="1779"/>
      <c r="W767" s="43"/>
      <c r="X767" s="1779"/>
      <c r="Y767" s="1779"/>
      <c r="Z767" s="1779"/>
      <c r="AA767" s="1779"/>
      <c r="AB767" s="1779"/>
      <c r="AC767" s="1779"/>
      <c r="AD767" s="1779"/>
      <c r="AE767" s="1779"/>
      <c r="AF767" s="1779"/>
      <c r="AG767" s="1779"/>
      <c r="AH767" s="1779"/>
      <c r="AI767" s="1779"/>
      <c r="AJ767" s="1779"/>
      <c r="AK767" s="1779"/>
      <c r="AL767" s="1779"/>
      <c r="AM767" s="1779"/>
      <c r="AN767" s="1779"/>
      <c r="AO767" s="1779"/>
      <c r="AP767" s="1779"/>
      <c r="AQ767" s="1779"/>
      <c r="AR767" s="1779"/>
      <c r="AS767" s="1779"/>
      <c r="AT767" s="1779"/>
      <c r="AU767" s="1779"/>
      <c r="AV767" s="1779"/>
    </row>
    <row r="768" spans="1:48" ht="22.5">
      <c r="A768" s="768"/>
      <c r="B768" s="762" t="s">
        <v>1248</v>
      </c>
      <c r="C768" s="762" t="s">
        <v>534</v>
      </c>
      <c r="D768" s="1599"/>
      <c r="E768" s="2245" t="s">
        <v>1947</v>
      </c>
      <c r="F768" s="763">
        <v>2241</v>
      </c>
      <c r="G768" s="859" t="s">
        <v>720</v>
      </c>
      <c r="H768" s="2657"/>
      <c r="I768" s="2657">
        <v>350</v>
      </c>
      <c r="J768" s="2658"/>
      <c r="K768" s="2659"/>
      <c r="L768" s="2660"/>
      <c r="M768" s="2660"/>
      <c r="N768" s="73"/>
      <c r="O768" s="86"/>
      <c r="P768" s="1817" t="e">
        <f>INDEX(#REF!,MATCH(F768,#REF!,0),2)</f>
        <v>#REF!</v>
      </c>
      <c r="Q768" s="1779"/>
      <c r="R768" s="1779"/>
      <c r="S768" s="1779"/>
      <c r="T768" s="1779"/>
      <c r="U768" s="1779"/>
      <c r="V768" s="1779"/>
      <c r="W768" s="43"/>
      <c r="X768" s="1779"/>
      <c r="Y768" s="1779"/>
      <c r="Z768" s="1779"/>
      <c r="AA768" s="1779"/>
      <c r="AB768" s="1779"/>
      <c r="AC768" s="1779"/>
      <c r="AD768" s="1779"/>
      <c r="AE768" s="1779"/>
      <c r="AF768" s="1779"/>
      <c r="AG768" s="1779"/>
      <c r="AH768" s="1779"/>
      <c r="AI768" s="1779"/>
      <c r="AJ768" s="1779"/>
      <c r="AK768" s="1779"/>
      <c r="AL768" s="1779"/>
      <c r="AM768" s="1779"/>
      <c r="AN768" s="1779"/>
      <c r="AO768" s="1779"/>
      <c r="AP768" s="1779"/>
      <c r="AQ768" s="1779"/>
      <c r="AR768" s="1779"/>
      <c r="AS768" s="1779"/>
      <c r="AT768" s="1779"/>
      <c r="AU768" s="1779"/>
      <c r="AV768" s="1779"/>
    </row>
    <row r="769" spans="1:48">
      <c r="A769" s="854"/>
      <c r="B769" s="755" t="s">
        <v>1248</v>
      </c>
      <c r="C769" s="755" t="s">
        <v>534</v>
      </c>
      <c r="D769" s="1600">
        <v>812</v>
      </c>
      <c r="E769" s="2247" t="s">
        <v>1947</v>
      </c>
      <c r="F769" s="756">
        <v>2241</v>
      </c>
      <c r="G769" s="757" t="s">
        <v>304</v>
      </c>
      <c r="H769" s="2604">
        <v>9763</v>
      </c>
      <c r="I769" s="2666"/>
      <c r="J769" s="2604"/>
      <c r="K769" s="2647"/>
      <c r="L769" s="2604">
        <v>14950</v>
      </c>
      <c r="M769" s="2604"/>
      <c r="N769" s="71" t="s">
        <v>3568</v>
      </c>
      <c r="O769" s="86"/>
      <c r="P769" s="1817" t="e">
        <f>INDEX(#REF!,MATCH(F769,#REF!,0),2)</f>
        <v>#REF!</v>
      </c>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43"/>
      <c r="AP769" s="43"/>
      <c r="AQ769" s="43"/>
      <c r="AR769" s="43"/>
      <c r="AS769" s="43"/>
      <c r="AT769" s="43"/>
      <c r="AU769" s="43"/>
      <c r="AV769" s="43"/>
    </row>
    <row r="770" spans="1:48">
      <c r="A770" s="4210" t="s">
        <v>1133</v>
      </c>
      <c r="B770" s="4111" t="s">
        <v>1248</v>
      </c>
      <c r="C770" s="4111" t="s">
        <v>534</v>
      </c>
      <c r="D770" s="4112"/>
      <c r="E770" s="4113" t="s">
        <v>1947</v>
      </c>
      <c r="F770" s="4114">
        <v>2241</v>
      </c>
      <c r="G770" s="4211" t="s">
        <v>2154</v>
      </c>
      <c r="H770" s="4117"/>
      <c r="I770" s="4117">
        <v>7263</v>
      </c>
      <c r="J770" s="4121"/>
      <c r="K770" s="4119"/>
      <c r="L770" s="4117"/>
      <c r="M770" s="4117">
        <v>3000</v>
      </c>
      <c r="N770" s="73"/>
      <c r="O770" s="86"/>
      <c r="P770" s="1817" t="e">
        <f>INDEX(#REF!,MATCH(F770,#REF!,0),2)</f>
        <v>#REF!</v>
      </c>
      <c r="Q770" s="1779"/>
      <c r="R770" s="1779"/>
      <c r="S770" s="1779"/>
      <c r="T770" s="1779"/>
      <c r="U770" s="1779"/>
      <c r="V770" s="1779"/>
      <c r="W770" s="43"/>
      <c r="X770" s="1779"/>
      <c r="Y770" s="1779"/>
      <c r="Z770" s="1779"/>
      <c r="AA770" s="1779"/>
      <c r="AB770" s="1779"/>
      <c r="AC770" s="1779"/>
      <c r="AD770" s="1779"/>
      <c r="AE770" s="1779"/>
      <c r="AF770" s="1779"/>
      <c r="AG770" s="1779"/>
      <c r="AH770" s="1779"/>
      <c r="AI770" s="1779"/>
      <c r="AJ770" s="1779"/>
      <c r="AK770" s="1779"/>
      <c r="AL770" s="1779"/>
      <c r="AM770" s="1779"/>
      <c r="AN770" s="1779"/>
      <c r="AO770" s="1779"/>
      <c r="AP770" s="1779"/>
      <c r="AQ770" s="1779"/>
      <c r="AR770" s="1779"/>
      <c r="AS770" s="1779"/>
      <c r="AT770" s="1779"/>
      <c r="AU770" s="1779"/>
      <c r="AV770" s="1779"/>
    </row>
    <row r="771" spans="1:48">
      <c r="A771" s="4210" t="s">
        <v>1133</v>
      </c>
      <c r="B771" s="4111" t="s">
        <v>1248</v>
      </c>
      <c r="C771" s="4111" t="s">
        <v>534</v>
      </c>
      <c r="D771" s="4112"/>
      <c r="E771" s="4113" t="s">
        <v>1947</v>
      </c>
      <c r="F771" s="4114">
        <v>2241</v>
      </c>
      <c r="G771" s="4212" t="s">
        <v>3638</v>
      </c>
      <c r="H771" s="4105"/>
      <c r="I771" s="4105"/>
      <c r="J771" s="4106"/>
      <c r="K771" s="4107"/>
      <c r="L771" s="4105"/>
      <c r="M771" s="4105">
        <v>2000</v>
      </c>
      <c r="N771" s="4110" t="s">
        <v>5777</v>
      </c>
      <c r="O771" s="86"/>
      <c r="P771" s="1817"/>
      <c r="Q771" s="1779"/>
      <c r="R771" s="1779"/>
      <c r="S771" s="1779"/>
      <c r="T771" s="1779"/>
      <c r="U771" s="1779"/>
      <c r="V771" s="1779"/>
      <c r="W771" s="43"/>
      <c r="X771" s="1779"/>
      <c r="Y771" s="1779"/>
      <c r="Z771" s="1779"/>
      <c r="AA771" s="1779"/>
      <c r="AB771" s="1779"/>
      <c r="AC771" s="1779"/>
      <c r="AD771" s="1779"/>
      <c r="AE771" s="1779"/>
      <c r="AF771" s="1779"/>
      <c r="AG771" s="1779"/>
      <c r="AH771" s="1779"/>
      <c r="AI771" s="1779"/>
      <c r="AJ771" s="1779"/>
      <c r="AK771" s="1779"/>
      <c r="AL771" s="1779"/>
      <c r="AM771" s="1779"/>
      <c r="AN771" s="1779"/>
      <c r="AO771" s="1779"/>
      <c r="AP771" s="1779"/>
      <c r="AQ771" s="1779"/>
      <c r="AR771" s="1779"/>
      <c r="AS771" s="1779"/>
      <c r="AT771" s="1779"/>
      <c r="AU771" s="1779"/>
      <c r="AV771" s="1779"/>
    </row>
    <row r="772" spans="1:48" ht="22.5">
      <c r="A772" s="4210" t="s">
        <v>1133</v>
      </c>
      <c r="B772" s="4111" t="s">
        <v>1248</v>
      </c>
      <c r="C772" s="4111" t="s">
        <v>534</v>
      </c>
      <c r="D772" s="4112"/>
      <c r="E772" s="4113" t="s">
        <v>1947</v>
      </c>
      <c r="F772" s="4114">
        <v>2241</v>
      </c>
      <c r="G772" s="4212" t="s">
        <v>3640</v>
      </c>
      <c r="H772" s="4105"/>
      <c r="I772" s="4105"/>
      <c r="J772" s="4106"/>
      <c r="K772" s="4107"/>
      <c r="L772" s="4105"/>
      <c r="M772" s="4105">
        <v>4000</v>
      </c>
      <c r="N772" s="4110" t="s">
        <v>5778</v>
      </c>
      <c r="O772" s="86"/>
      <c r="P772" s="1817"/>
      <c r="Q772" s="1779"/>
      <c r="R772" s="1779"/>
      <c r="S772" s="1779"/>
      <c r="T772" s="1779"/>
      <c r="U772" s="1779"/>
      <c r="V772" s="1779"/>
      <c r="W772" s="43"/>
      <c r="X772" s="1779"/>
      <c r="Y772" s="1779"/>
      <c r="Z772" s="1779"/>
      <c r="AA772" s="1779"/>
      <c r="AB772" s="1779"/>
      <c r="AC772" s="1779"/>
      <c r="AD772" s="1779"/>
      <c r="AE772" s="1779"/>
      <c r="AF772" s="1779"/>
      <c r="AG772" s="1779"/>
      <c r="AH772" s="1779"/>
      <c r="AI772" s="1779"/>
      <c r="AJ772" s="1779"/>
      <c r="AK772" s="1779"/>
      <c r="AL772" s="1779"/>
      <c r="AM772" s="1779"/>
      <c r="AN772" s="1779"/>
      <c r="AO772" s="1779"/>
      <c r="AP772" s="1779"/>
      <c r="AQ772" s="1779"/>
      <c r="AR772" s="1779"/>
      <c r="AS772" s="1779"/>
      <c r="AT772" s="1779"/>
      <c r="AU772" s="1779"/>
      <c r="AV772" s="1779"/>
    </row>
    <row r="773" spans="1:48" ht="22.5">
      <c r="A773" s="4210" t="s">
        <v>1133</v>
      </c>
      <c r="B773" s="4111" t="s">
        <v>1248</v>
      </c>
      <c r="C773" s="4111" t="s">
        <v>534</v>
      </c>
      <c r="D773" s="4112"/>
      <c r="E773" s="4113" t="s">
        <v>1947</v>
      </c>
      <c r="F773" s="4114">
        <v>2241</v>
      </c>
      <c r="G773" s="4212" t="s">
        <v>3641</v>
      </c>
      <c r="H773" s="4105"/>
      <c r="I773" s="4105"/>
      <c r="J773" s="4106"/>
      <c r="K773" s="4107"/>
      <c r="L773" s="4105"/>
      <c r="M773" s="4105">
        <v>1600</v>
      </c>
      <c r="N773" s="4110" t="s">
        <v>5779</v>
      </c>
      <c r="O773" s="86"/>
      <c r="P773" s="1817"/>
      <c r="Q773" s="1779"/>
      <c r="R773" s="1779"/>
      <c r="S773" s="1779"/>
      <c r="T773" s="1779"/>
      <c r="U773" s="1779"/>
      <c r="V773" s="1779"/>
      <c r="W773" s="43"/>
      <c r="X773" s="1779"/>
      <c r="Y773" s="1779"/>
      <c r="Z773" s="1779"/>
      <c r="AA773" s="1779"/>
      <c r="AB773" s="1779"/>
      <c r="AC773" s="1779"/>
      <c r="AD773" s="1779"/>
      <c r="AE773" s="1779"/>
      <c r="AF773" s="1779"/>
      <c r="AG773" s="1779"/>
      <c r="AH773" s="1779"/>
      <c r="AI773" s="1779"/>
      <c r="AJ773" s="1779"/>
      <c r="AK773" s="1779"/>
      <c r="AL773" s="1779"/>
      <c r="AM773" s="1779"/>
      <c r="AN773" s="1779"/>
      <c r="AO773" s="1779"/>
      <c r="AP773" s="1779"/>
      <c r="AQ773" s="1779"/>
      <c r="AR773" s="1779"/>
      <c r="AS773" s="1779"/>
      <c r="AT773" s="1779"/>
      <c r="AU773" s="1779"/>
      <c r="AV773" s="1779"/>
    </row>
    <row r="774" spans="1:48">
      <c r="A774" s="4210" t="s">
        <v>1133</v>
      </c>
      <c r="B774" s="4111" t="s">
        <v>1248</v>
      </c>
      <c r="C774" s="4111" t="s">
        <v>534</v>
      </c>
      <c r="D774" s="4112"/>
      <c r="E774" s="4113" t="s">
        <v>1947</v>
      </c>
      <c r="F774" s="4114">
        <v>2241</v>
      </c>
      <c r="G774" s="4212" t="s">
        <v>5776</v>
      </c>
      <c r="H774" s="4105"/>
      <c r="I774" s="4105"/>
      <c r="J774" s="4106"/>
      <c r="K774" s="4107"/>
      <c r="L774" s="4105"/>
      <c r="M774" s="4105">
        <v>1350</v>
      </c>
      <c r="N774" s="4110" t="s">
        <v>5779</v>
      </c>
      <c r="O774" s="86"/>
      <c r="P774" s="1817"/>
      <c r="Q774" s="1779"/>
      <c r="R774" s="1779"/>
      <c r="S774" s="1779"/>
      <c r="T774" s="1779"/>
      <c r="U774" s="1779"/>
      <c r="V774" s="1779"/>
      <c r="W774" s="43"/>
      <c r="X774" s="1779"/>
      <c r="Y774" s="1779"/>
      <c r="Z774" s="1779"/>
      <c r="AA774" s="1779"/>
      <c r="AB774" s="1779"/>
      <c r="AC774" s="1779"/>
      <c r="AD774" s="1779"/>
      <c r="AE774" s="1779"/>
      <c r="AF774" s="1779"/>
      <c r="AG774" s="1779"/>
      <c r="AH774" s="1779"/>
      <c r="AI774" s="1779"/>
      <c r="AJ774" s="1779"/>
      <c r="AK774" s="1779"/>
      <c r="AL774" s="1779"/>
      <c r="AM774" s="1779"/>
      <c r="AN774" s="1779"/>
      <c r="AO774" s="1779"/>
      <c r="AP774" s="1779"/>
      <c r="AQ774" s="1779"/>
      <c r="AR774" s="1779"/>
      <c r="AS774" s="1779"/>
      <c r="AT774" s="1779"/>
      <c r="AU774" s="1779"/>
      <c r="AV774" s="1779"/>
    </row>
    <row r="775" spans="1:48">
      <c r="A775" s="4210" t="s">
        <v>1133</v>
      </c>
      <c r="B775" s="4111" t="s">
        <v>1248</v>
      </c>
      <c r="C775" s="4111" t="s">
        <v>534</v>
      </c>
      <c r="D775" s="4112"/>
      <c r="E775" s="4113" t="s">
        <v>1947</v>
      </c>
      <c r="F775" s="4114">
        <v>2241</v>
      </c>
      <c r="G775" s="4212" t="s">
        <v>3642</v>
      </c>
      <c r="H775" s="4105"/>
      <c r="I775" s="4105"/>
      <c r="J775" s="4106"/>
      <c r="K775" s="4107"/>
      <c r="L775" s="4105"/>
      <c r="M775" s="4105">
        <v>3000</v>
      </c>
      <c r="N775" s="4110" t="s">
        <v>5780</v>
      </c>
      <c r="O775" s="86"/>
      <c r="P775" s="1817"/>
      <c r="Q775" s="1779"/>
      <c r="R775" s="1779"/>
      <c r="S775" s="1779"/>
      <c r="T775" s="1779"/>
      <c r="U775" s="1779"/>
      <c r="V775" s="1779"/>
      <c r="W775" s="43"/>
      <c r="X775" s="1779"/>
      <c r="Y775" s="1779"/>
      <c r="Z775" s="1779"/>
      <c r="AA775" s="1779"/>
      <c r="AB775" s="1779"/>
      <c r="AC775" s="1779"/>
      <c r="AD775" s="1779"/>
      <c r="AE775" s="1779"/>
      <c r="AF775" s="1779"/>
      <c r="AG775" s="1779"/>
      <c r="AH775" s="1779"/>
      <c r="AI775" s="1779"/>
      <c r="AJ775" s="1779"/>
      <c r="AK775" s="1779"/>
      <c r="AL775" s="1779"/>
      <c r="AM775" s="1779"/>
      <c r="AN775" s="1779"/>
      <c r="AO775" s="1779"/>
      <c r="AP775" s="1779"/>
      <c r="AQ775" s="1779"/>
      <c r="AR775" s="1779"/>
      <c r="AS775" s="1779"/>
      <c r="AT775" s="1779"/>
      <c r="AU775" s="1779"/>
      <c r="AV775" s="1779"/>
    </row>
    <row r="776" spans="1:48" ht="33.75">
      <c r="A776" s="1484"/>
      <c r="B776" s="762" t="s">
        <v>1248</v>
      </c>
      <c r="C776" s="762" t="s">
        <v>534</v>
      </c>
      <c r="D776" s="1599"/>
      <c r="E776" s="2245" t="s">
        <v>1947</v>
      </c>
      <c r="F776" s="763">
        <v>2241</v>
      </c>
      <c r="G776" s="1557" t="s">
        <v>2155</v>
      </c>
      <c r="H776" s="2657"/>
      <c r="I776" s="2657">
        <v>2500</v>
      </c>
      <c r="J776" s="2658"/>
      <c r="K776" s="2659"/>
      <c r="L776" s="2657"/>
      <c r="M776" s="2657"/>
      <c r="N776" s="73"/>
      <c r="O776" s="86"/>
      <c r="P776" s="1817" t="e">
        <f>INDEX(#REF!,MATCH(F776,#REF!,0),2)</f>
        <v>#REF!</v>
      </c>
      <c r="Q776" s="1779"/>
      <c r="R776" s="1779"/>
      <c r="S776" s="1779"/>
      <c r="T776" s="1779"/>
      <c r="U776" s="1779"/>
      <c r="V776" s="1779"/>
      <c r="W776" s="43"/>
      <c r="X776" s="1779"/>
      <c r="Y776" s="1779"/>
      <c r="Z776" s="1779"/>
      <c r="AA776" s="1779"/>
      <c r="AB776" s="1779"/>
      <c r="AC776" s="1779"/>
      <c r="AD776" s="1779"/>
      <c r="AE776" s="1779"/>
      <c r="AF776" s="1779"/>
      <c r="AG776" s="1779"/>
      <c r="AH776" s="1779"/>
      <c r="AI776" s="1779"/>
      <c r="AJ776" s="1779"/>
      <c r="AK776" s="1779"/>
      <c r="AL776" s="1779"/>
      <c r="AM776" s="1779"/>
      <c r="AN776" s="1779"/>
      <c r="AO776" s="1779"/>
      <c r="AP776" s="1779"/>
      <c r="AQ776" s="1779"/>
      <c r="AR776" s="1779"/>
      <c r="AS776" s="1779"/>
      <c r="AT776" s="1779"/>
      <c r="AU776" s="1779"/>
      <c r="AV776" s="1779"/>
    </row>
    <row r="777" spans="1:48" ht="22.5">
      <c r="A777" s="854"/>
      <c r="B777" s="755" t="s">
        <v>1248</v>
      </c>
      <c r="C777" s="755" t="s">
        <v>505</v>
      </c>
      <c r="D777" s="1600">
        <v>812</v>
      </c>
      <c r="E777" s="2247" t="s">
        <v>1947</v>
      </c>
      <c r="F777" s="756">
        <v>2243</v>
      </c>
      <c r="G777" s="757" t="s">
        <v>305</v>
      </c>
      <c r="H777" s="2604">
        <v>19233</v>
      </c>
      <c r="I777" s="2666"/>
      <c r="J777" s="2604"/>
      <c r="K777" s="2647"/>
      <c r="L777" s="2604">
        <v>24174.181</v>
      </c>
      <c r="M777" s="2604"/>
      <c r="N777" s="71" t="s">
        <v>3569</v>
      </c>
      <c r="O777" s="86"/>
      <c r="P777" s="1817" t="e">
        <f>INDEX(#REF!,MATCH(F777,#REF!,0),2)</f>
        <v>#REF!</v>
      </c>
      <c r="Q777" s="43"/>
      <c r="R777" s="43"/>
      <c r="S777" s="43"/>
      <c r="T777" s="43"/>
      <c r="U777" s="43"/>
      <c r="V777" s="43"/>
      <c r="W777" s="43"/>
      <c r="X777" s="43"/>
      <c r="Y777" s="43"/>
      <c r="Z777" s="43"/>
      <c r="AA777" s="43"/>
      <c r="AB777" s="43"/>
      <c r="AC777" s="43"/>
      <c r="AD777" s="43"/>
      <c r="AE777" s="43"/>
      <c r="AF777" s="43"/>
      <c r="AG777" s="43"/>
      <c r="AH777" s="43"/>
      <c r="AI777" s="43"/>
      <c r="AJ777" s="43"/>
      <c r="AK777" s="43"/>
      <c r="AL777" s="43"/>
      <c r="AM777" s="43"/>
      <c r="AN777" s="43"/>
      <c r="AO777" s="43"/>
      <c r="AP777" s="43"/>
      <c r="AQ777" s="43"/>
      <c r="AR777" s="43"/>
      <c r="AS777" s="43"/>
      <c r="AT777" s="43"/>
      <c r="AU777" s="43"/>
      <c r="AV777" s="43"/>
    </row>
    <row r="778" spans="1:48" ht="33.75">
      <c r="A778" s="4111" t="s">
        <v>1133</v>
      </c>
      <c r="B778" s="4111" t="s">
        <v>1248</v>
      </c>
      <c r="C778" s="4111" t="s">
        <v>505</v>
      </c>
      <c r="D778" s="4112"/>
      <c r="E778" s="4113" t="s">
        <v>1947</v>
      </c>
      <c r="F778" s="4114">
        <v>2243</v>
      </c>
      <c r="G778" s="4131" t="s">
        <v>2935</v>
      </c>
      <c r="H778" s="4116"/>
      <c r="I778" s="4117">
        <v>3776.29</v>
      </c>
      <c r="J778" s="4121"/>
      <c r="K778" s="4119"/>
      <c r="L778" s="4119"/>
      <c r="M778" s="4117">
        <v>2500</v>
      </c>
      <c r="N778" s="73"/>
      <c r="O778" s="86"/>
      <c r="P778" s="1817" t="e">
        <f>INDEX(#REF!,MATCH(F778,#REF!,0),2)</f>
        <v>#REF!</v>
      </c>
      <c r="Q778" s="43"/>
      <c r="R778" s="43"/>
      <c r="S778" s="43"/>
      <c r="T778" s="43"/>
      <c r="U778" s="43"/>
      <c r="V778" s="43"/>
      <c r="W778" s="43"/>
      <c r="X778" s="43"/>
      <c r="Y778" s="43"/>
      <c r="Z778" s="43"/>
      <c r="AA778" s="43"/>
      <c r="AB778" s="43"/>
      <c r="AC778" s="43"/>
      <c r="AD778" s="43"/>
      <c r="AE778" s="43"/>
      <c r="AF778" s="43"/>
      <c r="AG778" s="43"/>
      <c r="AH778" s="43"/>
      <c r="AI778" s="43"/>
      <c r="AJ778" s="43"/>
      <c r="AK778" s="43"/>
      <c r="AL778" s="43"/>
      <c r="AM778" s="43"/>
      <c r="AN778" s="43"/>
      <c r="AO778" s="43"/>
      <c r="AP778" s="43"/>
      <c r="AQ778" s="43"/>
      <c r="AR778" s="43"/>
      <c r="AS778" s="43"/>
      <c r="AT778" s="43"/>
      <c r="AU778" s="43"/>
      <c r="AV778" s="43"/>
    </row>
    <row r="779" spans="1:48">
      <c r="A779" s="762"/>
      <c r="B779" s="762" t="s">
        <v>1248</v>
      </c>
      <c r="C779" s="762" t="s">
        <v>505</v>
      </c>
      <c r="D779" s="1599"/>
      <c r="E779" s="2245" t="s">
        <v>1947</v>
      </c>
      <c r="F779" s="763">
        <v>2243</v>
      </c>
      <c r="G779" s="860" t="s">
        <v>306</v>
      </c>
      <c r="H779" s="2665"/>
      <c r="I779" s="2657"/>
      <c r="J779" s="2658"/>
      <c r="K779" s="2659"/>
      <c r="L779" s="2660"/>
      <c r="M779" s="2657">
        <v>200</v>
      </c>
      <c r="N779" s="73"/>
      <c r="O779" s="86"/>
      <c r="P779" s="1817" t="e">
        <f>INDEX(#REF!,MATCH(F779,#REF!,0),2)</f>
        <v>#REF!</v>
      </c>
      <c r="Q779" s="43"/>
      <c r="R779" s="43"/>
      <c r="S779" s="43"/>
      <c r="T779" s="43"/>
      <c r="U779" s="43"/>
      <c r="V779" s="43"/>
      <c r="W779" s="43"/>
      <c r="X779" s="43"/>
      <c r="Y779" s="43"/>
      <c r="Z779" s="43"/>
      <c r="AA779" s="43"/>
      <c r="AB779" s="43"/>
      <c r="AC779" s="43"/>
      <c r="AD779" s="43"/>
      <c r="AE779" s="43"/>
      <c r="AF779" s="43"/>
      <c r="AG779" s="43"/>
      <c r="AH779" s="43"/>
      <c r="AI779" s="43"/>
      <c r="AJ779" s="43"/>
      <c r="AK779" s="43"/>
      <c r="AL779" s="43"/>
      <c r="AM779" s="43"/>
      <c r="AN779" s="43"/>
      <c r="AO779" s="43"/>
      <c r="AP779" s="43"/>
      <c r="AQ779" s="43"/>
      <c r="AR779" s="43"/>
      <c r="AS779" s="43"/>
      <c r="AT779" s="43"/>
      <c r="AU779" s="43"/>
      <c r="AV779" s="43"/>
    </row>
    <row r="780" spans="1:48" ht="22.5">
      <c r="A780" s="4111" t="s">
        <v>1133</v>
      </c>
      <c r="B780" s="4111" t="s">
        <v>1248</v>
      </c>
      <c r="C780" s="4111" t="s">
        <v>505</v>
      </c>
      <c r="D780" s="4112"/>
      <c r="E780" s="4113" t="s">
        <v>1947</v>
      </c>
      <c r="F780" s="4114">
        <v>2243</v>
      </c>
      <c r="G780" s="4115" t="s">
        <v>1362</v>
      </c>
      <c r="H780" s="4116"/>
      <c r="I780" s="4117">
        <v>6224.24</v>
      </c>
      <c r="J780" s="4118"/>
      <c r="K780" s="4119"/>
      <c r="L780" s="4119"/>
      <c r="M780" s="4124">
        <v>3441.24</v>
      </c>
      <c r="N780" s="149"/>
      <c r="O780" s="86"/>
      <c r="P780" s="1817" t="e">
        <f>INDEX(#REF!,MATCH(F780,#REF!,0),2)</f>
        <v>#REF!</v>
      </c>
      <c r="Q780" s="43"/>
      <c r="R780" s="43"/>
      <c r="S780" s="43"/>
      <c r="T780" s="43"/>
      <c r="U780" s="43"/>
      <c r="V780" s="43"/>
      <c r="W780" s="43"/>
      <c r="X780" s="43"/>
      <c r="Y780" s="43"/>
      <c r="Z780" s="43"/>
      <c r="AA780" s="43"/>
      <c r="AB780" s="43"/>
      <c r="AC780" s="43"/>
      <c r="AD780" s="43"/>
      <c r="AE780" s="43"/>
      <c r="AF780" s="43"/>
      <c r="AG780" s="43"/>
      <c r="AH780" s="43"/>
      <c r="AI780" s="43"/>
      <c r="AJ780" s="43"/>
      <c r="AK780" s="43"/>
      <c r="AL780" s="43"/>
      <c r="AM780" s="43"/>
      <c r="AN780" s="43"/>
      <c r="AO780" s="43"/>
      <c r="AP780" s="43"/>
      <c r="AQ780" s="43"/>
      <c r="AR780" s="43"/>
      <c r="AS780" s="43"/>
      <c r="AT780" s="43"/>
      <c r="AU780" s="43"/>
      <c r="AV780" s="43"/>
    </row>
    <row r="781" spans="1:48" ht="33.75">
      <c r="A781" s="4125" t="s">
        <v>1133</v>
      </c>
      <c r="B781" s="4125" t="s">
        <v>1248</v>
      </c>
      <c r="C781" s="4125" t="s">
        <v>505</v>
      </c>
      <c r="D781" s="4126"/>
      <c r="E781" s="4127" t="s">
        <v>1947</v>
      </c>
      <c r="F781" s="4128">
        <v>2243</v>
      </c>
      <c r="G781" s="4104" t="s">
        <v>3643</v>
      </c>
      <c r="H781" s="4124"/>
      <c r="I781" s="4129"/>
      <c r="J781" s="4118"/>
      <c r="K781" s="4130"/>
      <c r="L781" s="4124"/>
      <c r="M781" s="4124">
        <v>419.26500000000004</v>
      </c>
      <c r="N781"/>
      <c r="P781"/>
      <c r="W781"/>
    </row>
    <row r="782" spans="1:48" ht="33.75">
      <c r="A782" s="4125" t="s">
        <v>1133</v>
      </c>
      <c r="B782" s="4125" t="s">
        <v>1248</v>
      </c>
      <c r="C782" s="4125" t="s">
        <v>505</v>
      </c>
      <c r="D782" s="4126"/>
      <c r="E782" s="4127" t="s">
        <v>1947</v>
      </c>
      <c r="F782" s="4128">
        <v>2243</v>
      </c>
      <c r="G782" s="4104" t="s">
        <v>3644</v>
      </c>
      <c r="H782" s="4124"/>
      <c r="I782" s="4129"/>
      <c r="J782" s="4118"/>
      <c r="K782" s="4130"/>
      <c r="L782" s="4124"/>
      <c r="M782" s="4124">
        <v>3811.5</v>
      </c>
      <c r="N782"/>
      <c r="P782"/>
      <c r="W782"/>
    </row>
    <row r="783" spans="1:48" ht="45">
      <c r="A783" s="1882"/>
      <c r="B783" s="762" t="s">
        <v>1248</v>
      </c>
      <c r="C783" s="762" t="s">
        <v>505</v>
      </c>
      <c r="D783" s="1599"/>
      <c r="E783" s="2245" t="s">
        <v>1947</v>
      </c>
      <c r="F783" s="763">
        <v>2243</v>
      </c>
      <c r="G783" s="1884" t="s">
        <v>3295</v>
      </c>
      <c r="H783" s="2665"/>
      <c r="I783" s="2657">
        <v>1813</v>
      </c>
      <c r="J783" s="2667"/>
      <c r="K783" s="2659"/>
      <c r="L783" s="2660"/>
      <c r="M783" s="2668"/>
      <c r="N783" s="149"/>
      <c r="O783" s="86"/>
      <c r="P783" s="1817" t="e">
        <f>INDEX(#REF!,MATCH(F783,#REF!,0),2)</f>
        <v>#REF!</v>
      </c>
      <c r="Q783" s="43"/>
      <c r="R783" s="43"/>
      <c r="S783" s="43"/>
      <c r="T783" s="43"/>
      <c r="U783" s="43"/>
      <c r="V783" s="43"/>
      <c r="W783" s="43"/>
      <c r="X783" s="43"/>
      <c r="Y783" s="43"/>
      <c r="Z783" s="43"/>
      <c r="AA783" s="43"/>
      <c r="AB783" s="43"/>
      <c r="AC783" s="43"/>
      <c r="AD783" s="43"/>
      <c r="AE783" s="43"/>
      <c r="AF783" s="43"/>
      <c r="AG783" s="43"/>
      <c r="AH783" s="43"/>
      <c r="AI783" s="43"/>
      <c r="AJ783" s="43"/>
      <c r="AK783" s="43"/>
      <c r="AL783" s="43"/>
      <c r="AM783" s="43"/>
      <c r="AN783" s="43"/>
      <c r="AO783" s="43"/>
      <c r="AP783" s="43"/>
      <c r="AQ783" s="43"/>
      <c r="AR783" s="43"/>
      <c r="AS783" s="43"/>
      <c r="AT783" s="43"/>
      <c r="AU783" s="43"/>
      <c r="AV783" s="43"/>
    </row>
    <row r="784" spans="1:48" ht="22.5">
      <c r="A784" s="4111" t="s">
        <v>1133</v>
      </c>
      <c r="B784" s="4111" t="s">
        <v>1248</v>
      </c>
      <c r="C784" s="4111" t="s">
        <v>505</v>
      </c>
      <c r="D784" s="4112"/>
      <c r="E784" s="4113" t="s">
        <v>1947</v>
      </c>
      <c r="F784" s="4114">
        <v>2243</v>
      </c>
      <c r="G784" s="4115" t="s">
        <v>1363</v>
      </c>
      <c r="H784" s="4116"/>
      <c r="I784" s="4117">
        <v>7574.6</v>
      </c>
      <c r="J784" s="4118"/>
      <c r="K784" s="4119"/>
      <c r="L784" s="4119"/>
      <c r="M784" s="4120">
        <v>8548.1759999999995</v>
      </c>
      <c r="N784" s="149"/>
      <c r="O784" s="86"/>
      <c r="P784" s="1817" t="e">
        <f>INDEX(#REF!,MATCH(F784,#REF!,0),2)</f>
        <v>#REF!</v>
      </c>
      <c r="Q784" s="43"/>
      <c r="R784" s="43"/>
      <c r="S784" s="43"/>
      <c r="T784" s="43"/>
      <c r="U784" s="43"/>
      <c r="V784" s="43"/>
      <c r="W784" s="43"/>
      <c r="X784" s="43"/>
      <c r="Y784" s="43"/>
      <c r="Z784" s="43"/>
      <c r="AA784" s="43"/>
      <c r="AB784" s="43"/>
      <c r="AC784" s="43"/>
      <c r="AD784" s="43"/>
      <c r="AE784" s="43"/>
      <c r="AF784" s="43"/>
      <c r="AG784" s="43"/>
      <c r="AH784" s="43"/>
      <c r="AI784" s="43"/>
      <c r="AJ784" s="43"/>
      <c r="AK784" s="43"/>
      <c r="AL784" s="43"/>
      <c r="AM784" s="43"/>
      <c r="AN784" s="43"/>
      <c r="AO784" s="43"/>
      <c r="AP784" s="43"/>
      <c r="AQ784" s="43"/>
      <c r="AR784" s="43"/>
      <c r="AS784" s="43"/>
      <c r="AT784" s="43"/>
      <c r="AU784" s="43"/>
      <c r="AV784" s="43"/>
    </row>
    <row r="785" spans="1:48">
      <c r="A785" s="4111" t="s">
        <v>1133</v>
      </c>
      <c r="B785" s="4111" t="s">
        <v>1248</v>
      </c>
      <c r="C785" s="4111" t="s">
        <v>505</v>
      </c>
      <c r="D785" s="4112"/>
      <c r="E785" s="4113" t="s">
        <v>1947</v>
      </c>
      <c r="F785" s="4114">
        <v>2243</v>
      </c>
      <c r="G785" s="4115" t="s">
        <v>311</v>
      </c>
      <c r="H785" s="4116"/>
      <c r="I785" s="4117">
        <v>700</v>
      </c>
      <c r="J785" s="4121"/>
      <c r="K785" s="4119"/>
      <c r="L785" s="4119"/>
      <c r="M785" s="4120">
        <v>700</v>
      </c>
      <c r="N785" s="149"/>
      <c r="O785" s="86"/>
      <c r="P785" s="1817" t="e">
        <f>INDEX(#REF!,MATCH(F785,#REF!,0),2)</f>
        <v>#REF!</v>
      </c>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row>
    <row r="786" spans="1:48">
      <c r="A786" s="1882" t="s">
        <v>1133</v>
      </c>
      <c r="B786" s="762" t="s">
        <v>1248</v>
      </c>
      <c r="C786" s="762" t="s">
        <v>505</v>
      </c>
      <c r="D786" s="1599"/>
      <c r="E786" s="2245" t="s">
        <v>1947</v>
      </c>
      <c r="F786" s="763">
        <v>2243</v>
      </c>
      <c r="G786" s="1884" t="s">
        <v>307</v>
      </c>
      <c r="H786" s="2665"/>
      <c r="I786" s="2657">
        <v>150</v>
      </c>
      <c r="J786" s="2667"/>
      <c r="K786" s="2659"/>
      <c r="L786" s="2660"/>
      <c r="M786" s="4213">
        <v>200</v>
      </c>
      <c r="N786" s="73"/>
      <c r="O786" s="86"/>
      <c r="P786" s="1817" t="e">
        <f>INDEX(#REF!,MATCH(F786,#REF!,0),2)</f>
        <v>#REF!</v>
      </c>
      <c r="Q786" s="1779"/>
      <c r="R786" s="1779"/>
      <c r="S786" s="1779"/>
      <c r="T786" s="1779"/>
      <c r="U786" s="1779"/>
      <c r="V786" s="1779"/>
      <c r="W786" s="43"/>
      <c r="X786" s="1779"/>
      <c r="Y786" s="1779"/>
      <c r="Z786" s="1779"/>
      <c r="AA786" s="1779"/>
      <c r="AB786" s="1779"/>
      <c r="AC786" s="1779"/>
      <c r="AD786" s="1779"/>
      <c r="AE786" s="1779"/>
      <c r="AF786" s="1779"/>
      <c r="AG786" s="1779"/>
      <c r="AH786" s="1779"/>
      <c r="AI786" s="1779"/>
      <c r="AJ786" s="1779"/>
      <c r="AK786" s="1779"/>
      <c r="AL786" s="1779"/>
      <c r="AM786" s="1779"/>
      <c r="AN786" s="1779"/>
      <c r="AO786" s="1779"/>
      <c r="AP786" s="1779"/>
      <c r="AQ786" s="1779"/>
      <c r="AR786" s="1779"/>
      <c r="AS786" s="1779"/>
      <c r="AT786" s="1779"/>
      <c r="AU786" s="1779"/>
      <c r="AV786" s="1779"/>
    </row>
    <row r="787" spans="1:48">
      <c r="A787" s="4111" t="s">
        <v>1133</v>
      </c>
      <c r="B787" s="4111" t="s">
        <v>1248</v>
      </c>
      <c r="C787" s="4111" t="s">
        <v>505</v>
      </c>
      <c r="D787" s="4112"/>
      <c r="E787" s="4113" t="s">
        <v>1947</v>
      </c>
      <c r="F787" s="4114">
        <v>2243</v>
      </c>
      <c r="G787" s="4115" t="s">
        <v>308</v>
      </c>
      <c r="H787" s="4116"/>
      <c r="I787" s="4117">
        <v>200</v>
      </c>
      <c r="J787" s="4121"/>
      <c r="K787" s="4119"/>
      <c r="L787" s="4119"/>
      <c r="M787" s="4120">
        <v>200</v>
      </c>
      <c r="N787" s="73"/>
      <c r="O787" s="86"/>
      <c r="P787" s="1817" t="e">
        <f>INDEX(#REF!,MATCH(F787,#REF!,0),2)</f>
        <v>#REF!</v>
      </c>
      <c r="Q787" s="11"/>
      <c r="R787" s="11"/>
      <c r="S787" s="11"/>
      <c r="T787" s="11"/>
      <c r="U787" s="11"/>
      <c r="V787" s="11"/>
      <c r="W787" s="4"/>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row>
    <row r="788" spans="1:48">
      <c r="A788" s="4111" t="s">
        <v>1133</v>
      </c>
      <c r="B788" s="4111" t="s">
        <v>1248</v>
      </c>
      <c r="C788" s="4111" t="s">
        <v>505</v>
      </c>
      <c r="D788" s="4112"/>
      <c r="E788" s="4113" t="s">
        <v>1947</v>
      </c>
      <c r="F788" s="4114">
        <v>2243</v>
      </c>
      <c r="G788" s="4115" t="s">
        <v>787</v>
      </c>
      <c r="H788" s="4116"/>
      <c r="I788" s="4117">
        <v>300</v>
      </c>
      <c r="J788" s="4121"/>
      <c r="K788" s="4119"/>
      <c r="L788" s="4119"/>
      <c r="M788" s="4120">
        <v>300</v>
      </c>
      <c r="N788" s="73"/>
      <c r="O788" s="86"/>
      <c r="P788" s="1817" t="e">
        <f>INDEX(#REF!,MATCH(F788,#REF!,0),2)</f>
        <v>#REF!</v>
      </c>
      <c r="Q788" s="1779"/>
      <c r="R788" s="1779"/>
      <c r="S788" s="1779"/>
      <c r="T788" s="1779"/>
      <c r="U788" s="1779"/>
      <c r="V788" s="1779"/>
      <c r="W788" s="43"/>
      <c r="X788" s="1779"/>
      <c r="Y788" s="1779"/>
      <c r="Z788" s="1779"/>
      <c r="AA788" s="1779"/>
      <c r="AB788" s="1779"/>
      <c r="AC788" s="1779"/>
      <c r="AD788" s="1779"/>
      <c r="AE788" s="1779"/>
      <c r="AF788" s="1779"/>
      <c r="AG788" s="1779"/>
      <c r="AH788" s="1779"/>
      <c r="AI788" s="1779"/>
      <c r="AJ788" s="1779"/>
      <c r="AK788" s="1779"/>
      <c r="AL788" s="1779"/>
      <c r="AM788" s="1779"/>
      <c r="AN788" s="1779"/>
      <c r="AO788" s="1779"/>
      <c r="AP788" s="1779"/>
      <c r="AQ788" s="1779"/>
      <c r="AR788" s="1779"/>
      <c r="AS788" s="1779"/>
      <c r="AT788" s="1779"/>
      <c r="AU788" s="1779"/>
      <c r="AV788" s="1779"/>
    </row>
    <row r="789" spans="1:48">
      <c r="A789" s="4111" t="s">
        <v>1133</v>
      </c>
      <c r="B789" s="4111" t="s">
        <v>1248</v>
      </c>
      <c r="C789" s="4111" t="s">
        <v>505</v>
      </c>
      <c r="D789" s="4112"/>
      <c r="E789" s="4113" t="s">
        <v>1947</v>
      </c>
      <c r="F789" s="4114">
        <v>2243</v>
      </c>
      <c r="G789" s="4115" t="s">
        <v>1227</v>
      </c>
      <c r="H789" s="4116"/>
      <c r="I789" s="4117">
        <v>600</v>
      </c>
      <c r="J789" s="4121"/>
      <c r="K789" s="4119"/>
      <c r="L789" s="4119"/>
      <c r="M789" s="4120">
        <v>600</v>
      </c>
      <c r="N789" s="73"/>
      <c r="O789" s="86"/>
      <c r="P789" s="1817" t="e">
        <f>INDEX(#REF!,MATCH(F789,#REF!,0),2)</f>
        <v>#REF!</v>
      </c>
      <c r="Q789" s="1779"/>
      <c r="R789" s="1779"/>
      <c r="S789" s="1779"/>
      <c r="T789" s="1779"/>
      <c r="U789" s="1779"/>
      <c r="V789" s="1779"/>
      <c r="W789" s="43"/>
      <c r="X789" s="1779"/>
      <c r="Y789" s="1779"/>
      <c r="Z789" s="1779"/>
      <c r="AA789" s="1779"/>
      <c r="AB789" s="1779"/>
      <c r="AC789" s="1779"/>
      <c r="AD789" s="1779"/>
      <c r="AE789" s="1779"/>
      <c r="AF789" s="1779"/>
      <c r="AG789" s="1779"/>
      <c r="AH789" s="1779"/>
      <c r="AI789" s="1779"/>
      <c r="AJ789" s="1779"/>
      <c r="AK789" s="1779"/>
      <c r="AL789" s="1779"/>
      <c r="AM789" s="1779"/>
      <c r="AN789" s="1779"/>
      <c r="AO789" s="1779"/>
      <c r="AP789" s="1779"/>
      <c r="AQ789" s="1779"/>
      <c r="AR789" s="1779"/>
      <c r="AS789" s="1779"/>
      <c r="AT789" s="1779"/>
      <c r="AU789" s="1779"/>
      <c r="AV789" s="1779"/>
    </row>
    <row r="790" spans="1:48">
      <c r="A790" s="4111" t="s">
        <v>1133</v>
      </c>
      <c r="B790" s="4111" t="s">
        <v>1248</v>
      </c>
      <c r="C790" s="4111" t="s">
        <v>505</v>
      </c>
      <c r="D790" s="4112"/>
      <c r="E790" s="4113" t="s">
        <v>1947</v>
      </c>
      <c r="F790" s="4114">
        <v>2243</v>
      </c>
      <c r="G790" s="4115" t="s">
        <v>866</v>
      </c>
      <c r="H790" s="4117"/>
      <c r="I790" s="4117">
        <v>150</v>
      </c>
      <c r="J790" s="4121"/>
      <c r="K790" s="4119"/>
      <c r="L790" s="4119"/>
      <c r="M790" s="4120">
        <v>250</v>
      </c>
      <c r="N790" s="73"/>
      <c r="O790" s="86"/>
      <c r="P790" s="1817" t="e">
        <f>INDEX(#REF!,MATCH(F790,#REF!,0),2)</f>
        <v>#REF!</v>
      </c>
      <c r="Q790" s="1779"/>
      <c r="R790" s="1779"/>
      <c r="S790" s="1779"/>
      <c r="T790" s="1779"/>
      <c r="U790" s="1779"/>
      <c r="V790" s="1779"/>
      <c r="W790" s="43"/>
      <c r="X790" s="1779"/>
      <c r="Y790" s="1779"/>
      <c r="Z790" s="1779"/>
      <c r="AA790" s="1779"/>
      <c r="AB790" s="1779"/>
      <c r="AC790" s="1779"/>
      <c r="AD790" s="1779"/>
      <c r="AE790" s="1779"/>
      <c r="AF790" s="1779"/>
      <c r="AG790" s="1779"/>
      <c r="AH790" s="1779"/>
      <c r="AI790" s="1779"/>
      <c r="AJ790" s="1779"/>
      <c r="AK790" s="1779"/>
      <c r="AL790" s="1779"/>
      <c r="AM790" s="1779"/>
      <c r="AN790" s="1779"/>
      <c r="AO790" s="1779"/>
      <c r="AP790" s="1779"/>
      <c r="AQ790" s="1779"/>
      <c r="AR790" s="1779"/>
      <c r="AS790" s="1779"/>
      <c r="AT790" s="1779"/>
      <c r="AU790" s="1779"/>
      <c r="AV790" s="1779"/>
    </row>
    <row r="791" spans="1:48" ht="56.25">
      <c r="A791" s="4111" t="s">
        <v>1133</v>
      </c>
      <c r="B791" s="4111" t="s">
        <v>1248</v>
      </c>
      <c r="C791" s="4111" t="s">
        <v>505</v>
      </c>
      <c r="D791" s="4112"/>
      <c r="E791" s="4113" t="s">
        <v>1947</v>
      </c>
      <c r="F791" s="4114">
        <v>2243</v>
      </c>
      <c r="G791" s="4115" t="s">
        <v>867</v>
      </c>
      <c r="H791" s="4117"/>
      <c r="I791" s="4117">
        <v>450</v>
      </c>
      <c r="J791" s="4121"/>
      <c r="K791" s="4119"/>
      <c r="L791" s="4119"/>
      <c r="M791" s="4120">
        <v>500</v>
      </c>
      <c r="N791" s="73"/>
      <c r="O791" s="86"/>
      <c r="P791" s="1817" t="e">
        <f>INDEX(#REF!,MATCH(F791,#REF!,0),2)</f>
        <v>#REF!</v>
      </c>
      <c r="Q791" s="1779"/>
      <c r="R791" s="1779"/>
      <c r="S791" s="1779"/>
      <c r="T791" s="1779"/>
      <c r="U791" s="1779"/>
      <c r="V791" s="1779"/>
      <c r="W791" s="43"/>
      <c r="X791" s="1779"/>
      <c r="Y791" s="1779"/>
      <c r="Z791" s="1779"/>
      <c r="AA791" s="1779"/>
      <c r="AB791" s="1779"/>
      <c r="AC791" s="1779"/>
      <c r="AD791" s="1779"/>
      <c r="AE791" s="1779"/>
      <c r="AF791" s="1779"/>
      <c r="AG791" s="1779"/>
      <c r="AH791" s="1779"/>
      <c r="AI791" s="1779"/>
      <c r="AJ791" s="1779"/>
      <c r="AK791" s="1779"/>
      <c r="AL791" s="1779"/>
      <c r="AM791" s="1779"/>
      <c r="AN791" s="1779"/>
      <c r="AO791" s="1779"/>
      <c r="AP791" s="1779"/>
      <c r="AQ791" s="1779"/>
      <c r="AR791" s="1779"/>
      <c r="AS791" s="1779"/>
      <c r="AT791" s="1779"/>
      <c r="AU791" s="1779"/>
      <c r="AV791" s="1779"/>
    </row>
    <row r="792" spans="1:48" ht="33.75">
      <c r="A792" s="4111" t="s">
        <v>1133</v>
      </c>
      <c r="B792" s="4111" t="s">
        <v>1248</v>
      </c>
      <c r="C792" s="4111" t="s">
        <v>505</v>
      </c>
      <c r="D792" s="4112"/>
      <c r="E792" s="4113" t="s">
        <v>1947</v>
      </c>
      <c r="F792" s="4114">
        <v>2243</v>
      </c>
      <c r="G792" s="4115" t="s">
        <v>2674</v>
      </c>
      <c r="H792" s="4117"/>
      <c r="I792" s="4117">
        <v>500</v>
      </c>
      <c r="J792" s="4121"/>
      <c r="K792" s="4119"/>
      <c r="L792" s="4119"/>
      <c r="M792" s="4120">
        <v>800</v>
      </c>
      <c r="N792" s="73"/>
      <c r="O792" s="86"/>
      <c r="P792" s="1817" t="e">
        <f>INDEX(#REF!,MATCH(F792,#REF!,0),2)</f>
        <v>#REF!</v>
      </c>
      <c r="Q792" s="1779"/>
      <c r="R792" s="1779"/>
      <c r="S792" s="1779"/>
      <c r="T792" s="1779"/>
      <c r="U792" s="1779"/>
      <c r="V792" s="1779"/>
      <c r="W792" s="43"/>
      <c r="X792" s="1779"/>
      <c r="Y792" s="1779"/>
      <c r="Z792" s="1779"/>
      <c r="AA792" s="1779"/>
      <c r="AB792" s="1779"/>
      <c r="AC792" s="1779"/>
      <c r="AD792" s="1779"/>
      <c r="AE792" s="1779"/>
      <c r="AF792" s="1779"/>
      <c r="AG792" s="1779"/>
      <c r="AH792" s="1779"/>
      <c r="AI792" s="1779"/>
      <c r="AJ792" s="1779"/>
      <c r="AK792" s="1779"/>
      <c r="AL792" s="1779"/>
      <c r="AM792" s="1779"/>
      <c r="AN792" s="1779"/>
      <c r="AO792" s="1779"/>
      <c r="AP792" s="1779"/>
      <c r="AQ792" s="1779"/>
      <c r="AR792" s="1779"/>
      <c r="AS792" s="1779"/>
      <c r="AT792" s="1779"/>
      <c r="AU792" s="1779"/>
      <c r="AV792" s="1779"/>
    </row>
    <row r="793" spans="1:48" ht="33.75">
      <c r="A793" s="4111" t="s">
        <v>1133</v>
      </c>
      <c r="B793" s="4111" t="s">
        <v>1248</v>
      </c>
      <c r="C793" s="4111" t="s">
        <v>505</v>
      </c>
      <c r="D793" s="4112"/>
      <c r="E793" s="4113" t="s">
        <v>1947</v>
      </c>
      <c r="F793" s="4114">
        <v>2243</v>
      </c>
      <c r="G793" s="4122" t="s">
        <v>2159</v>
      </c>
      <c r="H793" s="4117"/>
      <c r="I793" s="4117">
        <v>1204</v>
      </c>
      <c r="J793" s="4121"/>
      <c r="K793" s="4119"/>
      <c r="L793" s="4119"/>
      <c r="M793" s="4120">
        <v>1204</v>
      </c>
      <c r="N793" s="73"/>
      <c r="O793" s="86"/>
      <c r="P793" s="1817" t="e">
        <f>INDEX(#REF!,MATCH(F793,#REF!,0),2)</f>
        <v>#REF!</v>
      </c>
      <c r="Q793" s="1779"/>
      <c r="R793" s="1779"/>
      <c r="S793" s="1779"/>
      <c r="T793" s="1779"/>
      <c r="U793" s="1779"/>
      <c r="V793" s="1779"/>
      <c r="W793" s="43"/>
      <c r="X793" s="1779"/>
      <c r="Y793" s="1779"/>
      <c r="Z793" s="1779"/>
      <c r="AA793" s="1779"/>
      <c r="AB793" s="1779"/>
      <c r="AC793" s="1779"/>
      <c r="AD793" s="1779"/>
      <c r="AE793" s="1779"/>
      <c r="AF793" s="1779"/>
      <c r="AG793" s="1779"/>
      <c r="AH793" s="1779"/>
      <c r="AI793" s="1779"/>
      <c r="AJ793" s="1779"/>
      <c r="AK793" s="1779"/>
      <c r="AL793" s="1779"/>
      <c r="AM793" s="1779"/>
      <c r="AN793" s="1779"/>
      <c r="AO793" s="1779"/>
      <c r="AP793" s="1779"/>
      <c r="AQ793" s="1779"/>
      <c r="AR793" s="1779"/>
      <c r="AS793" s="1779"/>
      <c r="AT793" s="1779"/>
      <c r="AU793" s="1779"/>
      <c r="AV793" s="1779"/>
    </row>
    <row r="794" spans="1:48" ht="22.5">
      <c r="A794" s="4111" t="s">
        <v>1133</v>
      </c>
      <c r="B794" s="4111" t="s">
        <v>1248</v>
      </c>
      <c r="C794" s="4111" t="s">
        <v>505</v>
      </c>
      <c r="D794" s="4112"/>
      <c r="E794" s="4113" t="s">
        <v>1947</v>
      </c>
      <c r="F794" s="4123">
        <v>2243</v>
      </c>
      <c r="G794" s="4115" t="s">
        <v>1066</v>
      </c>
      <c r="H794" s="4117"/>
      <c r="I794" s="4117">
        <v>500</v>
      </c>
      <c r="J794" s="4121"/>
      <c r="K794" s="4119"/>
      <c r="L794" s="4119"/>
      <c r="M794" s="4120">
        <v>500</v>
      </c>
      <c r="N794" s="73"/>
      <c r="O794" s="86"/>
      <c r="P794" s="1817" t="e">
        <f>INDEX(#REF!,MATCH(F794,#REF!,0),2)</f>
        <v>#REF!</v>
      </c>
      <c r="Q794" s="1779"/>
      <c r="R794" s="1779"/>
      <c r="S794" s="1779"/>
      <c r="T794" s="1779"/>
      <c r="U794" s="1779"/>
      <c r="V794" s="1779"/>
      <c r="W794" s="43"/>
      <c r="X794" s="1779"/>
      <c r="Y794" s="1779"/>
      <c r="Z794" s="1779"/>
      <c r="AA794" s="1779"/>
      <c r="AB794" s="1779"/>
      <c r="AC794" s="1779"/>
      <c r="AD794" s="1779"/>
      <c r="AE794" s="1779"/>
      <c r="AF794" s="1779"/>
      <c r="AG794" s="1779"/>
      <c r="AH794" s="1779"/>
      <c r="AI794" s="1779"/>
      <c r="AJ794" s="1779"/>
      <c r="AK794" s="1779"/>
      <c r="AL794" s="1779"/>
      <c r="AM794" s="1779"/>
      <c r="AN794" s="1779"/>
      <c r="AO794" s="1779"/>
      <c r="AP794" s="1779"/>
      <c r="AQ794" s="1779"/>
      <c r="AR794" s="1779"/>
      <c r="AS794" s="1779"/>
      <c r="AT794" s="1779"/>
      <c r="AU794" s="1779"/>
      <c r="AV794" s="1779"/>
    </row>
    <row r="795" spans="1:48" ht="22.5">
      <c r="A795" s="1882"/>
      <c r="B795" s="762" t="s">
        <v>1248</v>
      </c>
      <c r="C795" s="762" t="s">
        <v>505</v>
      </c>
      <c r="D795" s="1599"/>
      <c r="E795" s="2245" t="s">
        <v>1947</v>
      </c>
      <c r="F795" s="861">
        <v>2243</v>
      </c>
      <c r="G795" s="1884" t="s">
        <v>3128</v>
      </c>
      <c r="H795" s="2657"/>
      <c r="I795" s="2657">
        <v>1500</v>
      </c>
      <c r="J795" s="2658"/>
      <c r="K795" s="2659"/>
      <c r="L795" s="2660"/>
      <c r="M795" s="2660"/>
      <c r="N795" s="73"/>
      <c r="O795" s="86"/>
      <c r="P795" s="1817" t="e">
        <f>INDEX(#REF!,MATCH(F795,#REF!,0),2)</f>
        <v>#REF!</v>
      </c>
      <c r="Q795" s="1779"/>
      <c r="R795" s="1779"/>
      <c r="S795" s="1779"/>
      <c r="T795" s="1779"/>
      <c r="U795" s="1779"/>
      <c r="V795" s="1779"/>
      <c r="W795" s="43"/>
      <c r="X795" s="1779"/>
      <c r="Y795" s="1779"/>
      <c r="Z795" s="1779"/>
      <c r="AA795" s="1779"/>
      <c r="AB795" s="1779"/>
      <c r="AC795" s="1779"/>
      <c r="AD795" s="1779"/>
      <c r="AE795" s="1779"/>
      <c r="AF795" s="1779"/>
      <c r="AG795" s="1779"/>
      <c r="AH795" s="1779"/>
      <c r="AI795" s="1779"/>
      <c r="AJ795" s="1779"/>
      <c r="AK795" s="1779"/>
      <c r="AL795" s="1779"/>
      <c r="AM795" s="1779"/>
      <c r="AN795" s="1779"/>
      <c r="AO795" s="1779"/>
      <c r="AP795" s="1779"/>
      <c r="AQ795" s="1779"/>
      <c r="AR795" s="1779"/>
      <c r="AS795" s="1779"/>
      <c r="AT795" s="1779"/>
      <c r="AU795" s="1779"/>
      <c r="AV795" s="1779"/>
    </row>
    <row r="796" spans="1:48" ht="22.5">
      <c r="A796" s="1882"/>
      <c r="B796" s="762" t="s">
        <v>1248</v>
      </c>
      <c r="C796" s="762" t="s">
        <v>505</v>
      </c>
      <c r="D796" s="1599"/>
      <c r="E796" s="2245" t="s">
        <v>1947</v>
      </c>
      <c r="F796" s="861">
        <v>2243</v>
      </c>
      <c r="G796" s="1885" t="s">
        <v>3129</v>
      </c>
      <c r="H796" s="2657"/>
      <c r="I796" s="2657">
        <v>500</v>
      </c>
      <c r="J796" s="2658"/>
      <c r="K796" s="2659"/>
      <c r="L796" s="2660"/>
      <c r="M796" s="2660"/>
      <c r="N796" s="73"/>
      <c r="O796" s="86"/>
      <c r="P796" s="1817" t="e">
        <f>INDEX(#REF!,MATCH(F796,#REF!,0),2)</f>
        <v>#REF!</v>
      </c>
      <c r="Q796" s="1779"/>
      <c r="R796" s="1779"/>
      <c r="S796" s="1779"/>
      <c r="T796" s="1779"/>
      <c r="U796" s="1779"/>
      <c r="V796" s="1779"/>
      <c r="W796" s="43"/>
      <c r="X796" s="1779"/>
      <c r="Y796" s="1779"/>
      <c r="Z796" s="1779"/>
      <c r="AA796" s="1779"/>
      <c r="AB796" s="1779"/>
      <c r="AC796" s="1779"/>
      <c r="AD796" s="1779"/>
      <c r="AE796" s="1779"/>
      <c r="AF796" s="1779"/>
      <c r="AG796" s="1779"/>
      <c r="AH796" s="1779"/>
      <c r="AI796" s="1779"/>
      <c r="AJ796" s="1779"/>
      <c r="AK796" s="1779"/>
      <c r="AL796" s="1779"/>
      <c r="AM796" s="1779"/>
      <c r="AN796" s="1779"/>
      <c r="AO796" s="1779"/>
      <c r="AP796" s="1779"/>
      <c r="AQ796" s="1779"/>
      <c r="AR796" s="1779"/>
      <c r="AS796" s="1779"/>
      <c r="AT796" s="1779"/>
      <c r="AU796" s="1779"/>
      <c r="AV796" s="1779"/>
    </row>
    <row r="797" spans="1:48" ht="22.5">
      <c r="A797" s="1882"/>
      <c r="B797" s="762" t="s">
        <v>1248</v>
      </c>
      <c r="C797" s="762" t="s">
        <v>505</v>
      </c>
      <c r="D797" s="1599"/>
      <c r="E797" s="2245" t="s">
        <v>1947</v>
      </c>
      <c r="F797" s="861">
        <v>2243</v>
      </c>
      <c r="G797" s="1885" t="s">
        <v>3212</v>
      </c>
      <c r="H797" s="2657"/>
      <c r="I797" s="2657">
        <v>-5315</v>
      </c>
      <c r="J797" s="2658"/>
      <c r="K797" s="2659"/>
      <c r="L797" s="2660"/>
      <c r="M797" s="2660"/>
      <c r="N797" s="73"/>
      <c r="O797" s="86"/>
      <c r="P797" s="1817" t="e">
        <f>INDEX(#REF!,MATCH(F797,#REF!,0),2)</f>
        <v>#REF!</v>
      </c>
      <c r="Q797" s="1779"/>
      <c r="R797" s="1779"/>
      <c r="S797" s="1779"/>
      <c r="T797" s="1779"/>
      <c r="U797" s="1779"/>
      <c r="V797" s="1779"/>
      <c r="W797" s="43"/>
      <c r="X797" s="1779"/>
      <c r="Y797" s="1779"/>
      <c r="Z797" s="1779"/>
      <c r="AA797" s="1779"/>
      <c r="AB797" s="1779"/>
      <c r="AC797" s="1779"/>
      <c r="AD797" s="1779"/>
      <c r="AE797" s="1779"/>
      <c r="AF797" s="1779"/>
      <c r="AG797" s="1779"/>
      <c r="AH797" s="1779"/>
      <c r="AI797" s="1779"/>
      <c r="AJ797" s="1779"/>
      <c r="AK797" s="1779"/>
      <c r="AL797" s="1779"/>
      <c r="AM797" s="1779"/>
      <c r="AN797" s="1779"/>
      <c r="AO797" s="1779"/>
      <c r="AP797" s="1779"/>
      <c r="AQ797" s="1779"/>
      <c r="AR797" s="1779"/>
      <c r="AS797" s="1779"/>
      <c r="AT797" s="1779"/>
      <c r="AU797" s="1779"/>
      <c r="AV797" s="1779"/>
    </row>
    <row r="798" spans="1:48">
      <c r="A798" s="854"/>
      <c r="B798" s="755" t="s">
        <v>1248</v>
      </c>
      <c r="C798" s="755" t="s">
        <v>505</v>
      </c>
      <c r="D798" s="1600">
        <v>812</v>
      </c>
      <c r="E798" s="2247" t="s">
        <v>1947</v>
      </c>
      <c r="F798" s="756">
        <v>2244</v>
      </c>
      <c r="G798" s="757" t="s">
        <v>280</v>
      </c>
      <c r="H798" s="2604">
        <v>6176</v>
      </c>
      <c r="I798" s="2604"/>
      <c r="J798" s="2635">
        <v>3947.74</v>
      </c>
      <c r="K798" s="2647"/>
      <c r="L798" s="2604">
        <v>5272</v>
      </c>
      <c r="M798" s="2604"/>
      <c r="N798" s="71" t="s">
        <v>3568</v>
      </c>
      <c r="O798" s="86"/>
      <c r="P798" s="1817" t="e">
        <f>INDEX(#REF!,MATCH(F798,#REF!,0),2)</f>
        <v>#REF!</v>
      </c>
      <c r="Q798" s="1779"/>
      <c r="R798" s="1779"/>
      <c r="S798" s="1779"/>
      <c r="T798" s="1779"/>
      <c r="U798" s="1779"/>
      <c r="V798" s="1779"/>
      <c r="W798" s="43"/>
      <c r="X798" s="1779"/>
      <c r="Y798" s="1779"/>
      <c r="Z798" s="1779"/>
      <c r="AA798" s="1779"/>
      <c r="AB798" s="1779"/>
      <c r="AC798" s="1779"/>
      <c r="AD798" s="1779"/>
      <c r="AE798" s="1779"/>
      <c r="AF798" s="1779"/>
      <c r="AG798" s="1779"/>
      <c r="AH798" s="1779"/>
      <c r="AI798" s="1779"/>
      <c r="AJ798" s="1779"/>
      <c r="AK798" s="1779"/>
      <c r="AL798" s="1779"/>
      <c r="AM798" s="1779"/>
      <c r="AN798" s="1779"/>
      <c r="AO798" s="1779"/>
      <c r="AP798" s="1779"/>
      <c r="AQ798" s="1779"/>
      <c r="AR798" s="1779"/>
      <c r="AS798" s="1779"/>
      <c r="AT798" s="1779"/>
      <c r="AU798" s="1779"/>
      <c r="AV798" s="1779"/>
    </row>
    <row r="799" spans="1:48">
      <c r="A799" s="768"/>
      <c r="B799" s="762" t="s">
        <v>1248</v>
      </c>
      <c r="C799" s="762" t="s">
        <v>505</v>
      </c>
      <c r="D799" s="1599"/>
      <c r="E799" s="2245" t="s">
        <v>1947</v>
      </c>
      <c r="F799" s="763">
        <v>2244</v>
      </c>
      <c r="G799" s="772" t="s">
        <v>1117</v>
      </c>
      <c r="H799" s="2592"/>
      <c r="I799" s="2657">
        <v>800</v>
      </c>
      <c r="J799" s="2669"/>
      <c r="K799" s="2659"/>
      <c r="L799" s="2592"/>
      <c r="M799" s="2657"/>
      <c r="N799" s="1558"/>
      <c r="O799" s="86"/>
      <c r="P799" s="1817" t="e">
        <f>INDEX(#REF!,MATCH(F799,#REF!,0),2)</f>
        <v>#REF!</v>
      </c>
      <c r="Q799" s="1779"/>
      <c r="R799" s="1779"/>
      <c r="S799" s="1779"/>
      <c r="T799" s="1779"/>
      <c r="U799" s="1779"/>
      <c r="V799" s="1779"/>
      <c r="W799" s="43"/>
      <c r="X799" s="1779"/>
      <c r="Y799" s="1779"/>
      <c r="Z799" s="1779"/>
      <c r="AA799" s="1779"/>
      <c r="AB799" s="1779"/>
      <c r="AC799" s="1779"/>
      <c r="AD799" s="1779"/>
      <c r="AE799" s="1779"/>
      <c r="AF799" s="1779"/>
      <c r="AG799" s="1779"/>
      <c r="AH799" s="1779"/>
      <c r="AI799" s="1779"/>
      <c r="AJ799" s="1779"/>
      <c r="AK799" s="1779"/>
      <c r="AL799" s="1779"/>
      <c r="AM799" s="1779"/>
      <c r="AN799" s="1779"/>
      <c r="AO799" s="1779"/>
      <c r="AP799" s="1779"/>
      <c r="AQ799" s="1779"/>
      <c r="AR799" s="1779"/>
      <c r="AS799" s="1779"/>
      <c r="AT799" s="1779"/>
      <c r="AU799" s="1779"/>
      <c r="AV799" s="1779"/>
    </row>
    <row r="800" spans="1:48" ht="22.5">
      <c r="A800" s="4133" t="s">
        <v>1133</v>
      </c>
      <c r="B800" s="4111" t="s">
        <v>1248</v>
      </c>
      <c r="C800" s="4111" t="s">
        <v>505</v>
      </c>
      <c r="D800" s="4112"/>
      <c r="E800" s="4113" t="s">
        <v>1947</v>
      </c>
      <c r="F800" s="4114">
        <v>2244</v>
      </c>
      <c r="G800" s="4134" t="s">
        <v>2160</v>
      </c>
      <c r="H800" s="4095"/>
      <c r="I800" s="4117">
        <v>192</v>
      </c>
      <c r="J800" s="4121"/>
      <c r="K800" s="4119"/>
      <c r="L800" s="4094"/>
      <c r="M800" s="4120">
        <v>192</v>
      </c>
      <c r="N800" s="73"/>
      <c r="O800" s="86"/>
      <c r="P800" s="1817" t="e">
        <f>INDEX(#REF!,MATCH(F800,#REF!,0),2)</f>
        <v>#REF!</v>
      </c>
      <c r="Q800" s="1779"/>
      <c r="R800" s="1779"/>
      <c r="S800" s="1779"/>
      <c r="T800" s="1779"/>
      <c r="U800" s="1779"/>
      <c r="V800" s="1779"/>
      <c r="W800" s="43"/>
      <c r="X800" s="1779"/>
      <c r="Y800" s="1779"/>
      <c r="Z800" s="1779"/>
      <c r="AA800" s="1779"/>
      <c r="AB800" s="1779"/>
      <c r="AC800" s="1779"/>
      <c r="AD800" s="1779"/>
      <c r="AE800" s="1779"/>
      <c r="AF800" s="1779"/>
      <c r="AG800" s="1779"/>
      <c r="AH800" s="1779"/>
      <c r="AI800" s="1779"/>
      <c r="AJ800" s="1779"/>
      <c r="AK800" s="1779"/>
      <c r="AL800" s="1779"/>
      <c r="AM800" s="1779"/>
      <c r="AN800" s="1779"/>
      <c r="AO800" s="1779"/>
      <c r="AP800" s="1779"/>
      <c r="AQ800" s="1779"/>
      <c r="AR800" s="1779"/>
      <c r="AS800" s="1779"/>
      <c r="AT800" s="1779"/>
      <c r="AU800" s="1779"/>
      <c r="AV800" s="1779"/>
    </row>
    <row r="801" spans="1:48" ht="45">
      <c r="A801" s="4133" t="s">
        <v>1133</v>
      </c>
      <c r="B801" s="4111" t="s">
        <v>1248</v>
      </c>
      <c r="C801" s="4111" t="s">
        <v>505</v>
      </c>
      <c r="D801" s="4112"/>
      <c r="E801" s="4113" t="s">
        <v>1947</v>
      </c>
      <c r="F801" s="4114">
        <v>2244</v>
      </c>
      <c r="G801" s="4134" t="s">
        <v>2675</v>
      </c>
      <c r="H801" s="4095"/>
      <c r="I801" s="4117">
        <v>630</v>
      </c>
      <c r="J801" s="4121"/>
      <c r="K801" s="4119"/>
      <c r="L801" s="4094"/>
      <c r="M801" s="4120">
        <v>630</v>
      </c>
      <c r="N801" s="149"/>
      <c r="O801" s="86"/>
      <c r="P801" s="1817" t="e">
        <f>INDEX(#REF!,MATCH(F801,#REF!,0),2)</f>
        <v>#REF!</v>
      </c>
      <c r="Q801" s="1779"/>
      <c r="R801" s="1779"/>
      <c r="S801" s="1779"/>
      <c r="T801" s="1779"/>
      <c r="U801" s="1779"/>
      <c r="V801" s="1779"/>
      <c r="W801" s="43"/>
      <c r="X801" s="1779"/>
      <c r="Y801" s="1779"/>
      <c r="Z801" s="1779"/>
      <c r="AA801" s="1779"/>
      <c r="AB801" s="1779"/>
      <c r="AC801" s="1779"/>
      <c r="AD801" s="1779"/>
      <c r="AE801" s="1779"/>
      <c r="AF801" s="1779"/>
      <c r="AG801" s="1779"/>
      <c r="AH801" s="1779"/>
      <c r="AI801" s="1779"/>
      <c r="AJ801" s="1779"/>
      <c r="AK801" s="1779"/>
      <c r="AL801" s="1779"/>
      <c r="AM801" s="1779"/>
      <c r="AN801" s="1779"/>
      <c r="AO801" s="1779"/>
      <c r="AP801" s="1779"/>
      <c r="AQ801" s="1779"/>
      <c r="AR801" s="1779"/>
      <c r="AS801" s="1779"/>
      <c r="AT801" s="1779"/>
      <c r="AU801" s="1779"/>
      <c r="AV801" s="1779"/>
    </row>
    <row r="802" spans="1:48" ht="22.5">
      <c r="A802" s="4133" t="s">
        <v>1133</v>
      </c>
      <c r="B802" s="4111" t="s">
        <v>1248</v>
      </c>
      <c r="C802" s="4111" t="s">
        <v>507</v>
      </c>
      <c r="D802" s="4112"/>
      <c r="E802" s="4113" t="s">
        <v>1947</v>
      </c>
      <c r="F802" s="4114">
        <v>2244</v>
      </c>
      <c r="G802" s="4115" t="s">
        <v>865</v>
      </c>
      <c r="H802" s="4117"/>
      <c r="I802" s="4117">
        <v>550</v>
      </c>
      <c r="J802" s="4121"/>
      <c r="K802" s="4119"/>
      <c r="L802" s="4119"/>
      <c r="M802" s="4120">
        <v>550</v>
      </c>
      <c r="N802" s="286"/>
      <c r="O802" s="86"/>
      <c r="P802" s="1817" t="e">
        <f>INDEX(#REF!,MATCH(F802,#REF!,0),2)</f>
        <v>#REF!</v>
      </c>
      <c r="Q802" s="1779"/>
      <c r="R802" s="1779"/>
      <c r="S802" s="1779"/>
      <c r="T802" s="1779"/>
      <c r="U802" s="1779"/>
      <c r="V802" s="1779"/>
      <c r="W802" s="43"/>
      <c r="X802" s="1779"/>
      <c r="Y802" s="1779"/>
      <c r="Z802" s="1779"/>
      <c r="AA802" s="1779"/>
      <c r="AB802" s="1779"/>
      <c r="AC802" s="1779"/>
      <c r="AD802" s="1779"/>
      <c r="AE802" s="1779"/>
      <c r="AF802" s="1779"/>
      <c r="AG802" s="1779"/>
      <c r="AH802" s="1779"/>
      <c r="AI802" s="1779"/>
      <c r="AJ802" s="1779"/>
      <c r="AK802" s="1779"/>
      <c r="AL802" s="1779"/>
      <c r="AM802" s="1779"/>
      <c r="AN802" s="1779"/>
      <c r="AO802" s="1779"/>
      <c r="AP802" s="1779"/>
      <c r="AQ802" s="1779"/>
      <c r="AR802" s="1779"/>
      <c r="AS802" s="1779"/>
      <c r="AT802" s="1779"/>
      <c r="AU802" s="1779"/>
      <c r="AV802" s="1779"/>
    </row>
    <row r="803" spans="1:48" ht="22.5">
      <c r="A803" s="4133" t="s">
        <v>1133</v>
      </c>
      <c r="B803" s="4111" t="s">
        <v>1248</v>
      </c>
      <c r="C803" s="4111" t="s">
        <v>505</v>
      </c>
      <c r="D803" s="4112"/>
      <c r="E803" s="4113" t="s">
        <v>1947</v>
      </c>
      <c r="F803" s="4114">
        <v>2244</v>
      </c>
      <c r="G803" s="4115" t="s">
        <v>1067</v>
      </c>
      <c r="H803" s="4095"/>
      <c r="I803" s="4095">
        <v>400</v>
      </c>
      <c r="J803" s="4093"/>
      <c r="K803" s="4094"/>
      <c r="L803" s="4094"/>
      <c r="M803" s="4135">
        <v>400</v>
      </c>
      <c r="N803" s="73"/>
      <c r="O803" s="86"/>
      <c r="P803" s="1817" t="e">
        <f>INDEX(#REF!,MATCH(F803,#REF!,0),2)</f>
        <v>#REF!</v>
      </c>
      <c r="Q803" s="1779"/>
      <c r="R803" s="1779"/>
      <c r="S803" s="1779"/>
      <c r="T803" s="1779"/>
      <c r="U803" s="1779"/>
      <c r="V803" s="1779"/>
      <c r="W803" s="43"/>
      <c r="X803" s="1779"/>
      <c r="Y803" s="1779"/>
      <c r="Z803" s="1779"/>
      <c r="AA803" s="1779"/>
      <c r="AB803" s="1779"/>
      <c r="AC803" s="1779"/>
      <c r="AD803" s="1779"/>
      <c r="AE803" s="1779"/>
      <c r="AF803" s="1779"/>
      <c r="AG803" s="1779"/>
      <c r="AH803" s="1779"/>
      <c r="AI803" s="1779"/>
      <c r="AJ803" s="1779"/>
      <c r="AK803" s="1779"/>
      <c r="AL803" s="1779"/>
      <c r="AM803" s="1779"/>
      <c r="AN803" s="1779"/>
      <c r="AO803" s="1779"/>
      <c r="AP803" s="1779"/>
      <c r="AQ803" s="1779"/>
      <c r="AR803" s="1779"/>
      <c r="AS803" s="1779"/>
      <c r="AT803" s="1779"/>
      <c r="AU803" s="1779"/>
      <c r="AV803" s="1779"/>
    </row>
    <row r="804" spans="1:48" ht="67.5">
      <c r="A804" s="4133" t="s">
        <v>1133</v>
      </c>
      <c r="B804" s="4111" t="s">
        <v>1248</v>
      </c>
      <c r="C804" s="4111" t="s">
        <v>505</v>
      </c>
      <c r="D804" s="4112"/>
      <c r="E804" s="4113" t="s">
        <v>1947</v>
      </c>
      <c r="F804" s="4114">
        <v>2244</v>
      </c>
      <c r="G804" s="4115" t="s">
        <v>1364</v>
      </c>
      <c r="H804" s="4095"/>
      <c r="I804" s="4095">
        <v>1742</v>
      </c>
      <c r="J804" s="4136"/>
      <c r="K804" s="4094"/>
      <c r="L804" s="4094"/>
      <c r="M804" s="4135">
        <v>1900</v>
      </c>
      <c r="N804" s="73"/>
      <c r="O804" s="86"/>
      <c r="P804" s="1817" t="e">
        <f>INDEX(#REF!,MATCH(F804,#REF!,0),2)</f>
        <v>#REF!</v>
      </c>
      <c r="Q804" s="1791"/>
      <c r="R804" s="1791"/>
      <c r="S804" s="1791"/>
      <c r="T804" s="1791"/>
      <c r="U804" s="1791"/>
      <c r="V804" s="1791"/>
      <c r="W804" s="43"/>
      <c r="X804" s="1791"/>
      <c r="Y804" s="1791"/>
      <c r="Z804" s="1791"/>
      <c r="AA804" s="1791"/>
      <c r="AB804" s="1791"/>
      <c r="AC804" s="1791"/>
      <c r="AD804" s="1791"/>
      <c r="AE804" s="1791"/>
      <c r="AF804" s="1791"/>
      <c r="AG804" s="1791"/>
      <c r="AH804" s="1791"/>
      <c r="AI804" s="1791"/>
      <c r="AJ804" s="1791"/>
      <c r="AK804" s="1791"/>
      <c r="AL804" s="1791"/>
      <c r="AM804" s="1791"/>
      <c r="AN804" s="1791"/>
      <c r="AO804" s="1791"/>
      <c r="AP804" s="1791"/>
      <c r="AQ804" s="1791"/>
      <c r="AR804" s="1791"/>
      <c r="AS804" s="1791"/>
      <c r="AT804" s="1791"/>
      <c r="AU804" s="1791"/>
      <c r="AV804" s="1791"/>
    </row>
    <row r="805" spans="1:48">
      <c r="A805" s="4133" t="s">
        <v>1133</v>
      </c>
      <c r="B805" s="4111" t="s">
        <v>1248</v>
      </c>
      <c r="C805" s="4111" t="s">
        <v>505</v>
      </c>
      <c r="D805" s="4112"/>
      <c r="E805" s="4113" t="s">
        <v>1947</v>
      </c>
      <c r="F805" s="4114">
        <v>2244</v>
      </c>
      <c r="G805" s="4115" t="s">
        <v>601</v>
      </c>
      <c r="H805" s="4095"/>
      <c r="I805" s="4095">
        <v>1000</v>
      </c>
      <c r="J805" s="4136"/>
      <c r="K805" s="4094"/>
      <c r="L805" s="4094"/>
      <c r="M805" s="4135">
        <v>1000</v>
      </c>
      <c r="N805" s="73"/>
      <c r="O805" s="86"/>
      <c r="P805" s="1817" t="e">
        <f>INDEX(#REF!,MATCH(F805,#REF!,0),2)</f>
        <v>#REF!</v>
      </c>
      <c r="Q805" s="1791"/>
      <c r="R805" s="1791"/>
      <c r="S805" s="1791"/>
      <c r="T805" s="1791"/>
      <c r="U805" s="1791"/>
      <c r="V805" s="1791"/>
      <c r="W805" s="43"/>
      <c r="X805" s="1791"/>
      <c r="Y805" s="1791"/>
      <c r="Z805" s="1791"/>
      <c r="AA805" s="1791"/>
      <c r="AB805" s="1791"/>
      <c r="AC805" s="1791"/>
      <c r="AD805" s="1791"/>
      <c r="AE805" s="1791"/>
      <c r="AF805" s="1791"/>
      <c r="AG805" s="1791"/>
      <c r="AH805" s="1791"/>
      <c r="AI805" s="1791"/>
      <c r="AJ805" s="1791"/>
      <c r="AK805" s="1791"/>
      <c r="AL805" s="1791"/>
      <c r="AM805" s="1791"/>
      <c r="AN805" s="1791"/>
      <c r="AO805" s="1791"/>
      <c r="AP805" s="1791"/>
      <c r="AQ805" s="1791"/>
      <c r="AR805" s="1791"/>
      <c r="AS805" s="1791"/>
      <c r="AT805" s="1791"/>
      <c r="AU805" s="1791"/>
      <c r="AV805" s="1791"/>
    </row>
    <row r="806" spans="1:48" ht="22.5">
      <c r="A806" s="768"/>
      <c r="B806" s="762" t="s">
        <v>1248</v>
      </c>
      <c r="C806" s="762" t="s">
        <v>505</v>
      </c>
      <c r="D806" s="1599"/>
      <c r="E806" s="2245" t="s">
        <v>1947</v>
      </c>
      <c r="F806" s="763">
        <v>2244</v>
      </c>
      <c r="G806" s="772" t="s">
        <v>1365</v>
      </c>
      <c r="H806" s="2592"/>
      <c r="I806" s="2657">
        <v>262</v>
      </c>
      <c r="J806" s="2658"/>
      <c r="K806" s="2659"/>
      <c r="L806" s="2594"/>
      <c r="M806" s="2660"/>
      <c r="N806" s="73"/>
      <c r="O806" s="86"/>
      <c r="P806" s="1817" t="e">
        <f>INDEX(#REF!,MATCH(F806,#REF!,0),2)</f>
        <v>#REF!</v>
      </c>
      <c r="Q806" s="1791"/>
      <c r="R806" s="1791"/>
      <c r="S806" s="1791"/>
      <c r="T806" s="1791"/>
      <c r="U806" s="1791"/>
      <c r="V806" s="1791"/>
      <c r="W806" s="43"/>
      <c r="X806" s="1791"/>
      <c r="Y806" s="1791"/>
      <c r="Z806" s="1791"/>
      <c r="AA806" s="1791"/>
      <c r="AB806" s="1791"/>
      <c r="AC806" s="1791"/>
      <c r="AD806" s="1791"/>
      <c r="AE806" s="1791"/>
      <c r="AF806" s="1791"/>
      <c r="AG806" s="1791"/>
      <c r="AH806" s="1791"/>
      <c r="AI806" s="1791"/>
      <c r="AJ806" s="1791"/>
      <c r="AK806" s="1791"/>
      <c r="AL806" s="1791"/>
      <c r="AM806" s="1791"/>
      <c r="AN806" s="1791"/>
      <c r="AO806" s="1791"/>
      <c r="AP806" s="1791"/>
      <c r="AQ806" s="1791"/>
      <c r="AR806" s="1791"/>
      <c r="AS806" s="1791"/>
      <c r="AT806" s="1791"/>
      <c r="AU806" s="1791"/>
      <c r="AV806" s="1791"/>
    </row>
    <row r="807" spans="1:48">
      <c r="A807" s="4137" t="s">
        <v>1133</v>
      </c>
      <c r="B807" s="4111" t="s">
        <v>1248</v>
      </c>
      <c r="C807" s="4111" t="s">
        <v>505</v>
      </c>
      <c r="D807" s="4112"/>
      <c r="E807" s="4113" t="s">
        <v>1947</v>
      </c>
      <c r="F807" s="4114">
        <v>2244</v>
      </c>
      <c r="G807" s="4138" t="s">
        <v>1988</v>
      </c>
      <c r="H807" s="4095"/>
      <c r="I807" s="4117">
        <v>600</v>
      </c>
      <c r="J807" s="4121"/>
      <c r="K807" s="4119"/>
      <c r="L807" s="4094"/>
      <c r="M807" s="4120">
        <v>600</v>
      </c>
      <c r="N807" s="73"/>
      <c r="O807" s="86"/>
      <c r="P807" s="1817" t="e">
        <f>INDEX(#REF!,MATCH(F807,#REF!,0),2)</f>
        <v>#REF!</v>
      </c>
      <c r="Q807" s="1791"/>
      <c r="R807" s="1791"/>
      <c r="S807" s="1791"/>
      <c r="T807" s="1791"/>
      <c r="U807" s="1791"/>
      <c r="V807" s="1791"/>
      <c r="W807" s="43"/>
      <c r="X807" s="1791"/>
      <c r="Y807" s="1791"/>
      <c r="Z807" s="1791"/>
      <c r="AA807" s="1791"/>
      <c r="AB807" s="1791"/>
      <c r="AC807" s="1791"/>
      <c r="AD807" s="1791"/>
      <c r="AE807" s="1791"/>
      <c r="AF807" s="1791"/>
      <c r="AG807" s="1791"/>
      <c r="AH807" s="1791"/>
      <c r="AI807" s="1791"/>
      <c r="AJ807" s="1791"/>
      <c r="AK807" s="1791"/>
      <c r="AL807" s="1791"/>
      <c r="AM807" s="1791"/>
      <c r="AN807" s="1791"/>
      <c r="AO807" s="1791"/>
      <c r="AP807" s="1791"/>
      <c r="AQ807" s="1791"/>
      <c r="AR807" s="1791"/>
      <c r="AS807" s="1791"/>
      <c r="AT807" s="1791"/>
      <c r="AU807" s="1791"/>
      <c r="AV807" s="1791"/>
    </row>
    <row r="808" spans="1:48">
      <c r="A808" s="854"/>
      <c r="B808" s="755" t="s">
        <v>1249</v>
      </c>
      <c r="C808" s="755" t="s">
        <v>505</v>
      </c>
      <c r="D808" s="1600">
        <v>812</v>
      </c>
      <c r="E808" s="2247" t="s">
        <v>1947</v>
      </c>
      <c r="F808" s="756">
        <v>2244</v>
      </c>
      <c r="G808" s="757" t="s">
        <v>280</v>
      </c>
      <c r="H808" s="2604">
        <v>0</v>
      </c>
      <c r="I808" s="2604"/>
      <c r="J808" s="2635"/>
      <c r="K808" s="2647"/>
      <c r="L808" s="2604">
        <v>0</v>
      </c>
      <c r="M808" s="2604"/>
      <c r="N808" s="2401"/>
      <c r="O808" s="86"/>
      <c r="P808" s="1817" t="e">
        <f>INDEX(#REF!,MATCH(F808,#REF!,0),2)</f>
        <v>#REF!</v>
      </c>
      <c r="Q808" s="1779"/>
      <c r="R808" s="1779"/>
      <c r="S808" s="1779"/>
      <c r="T808" s="1779"/>
      <c r="U808" s="1779"/>
      <c r="V808" s="1779"/>
      <c r="W808" s="43"/>
      <c r="X808" s="1779"/>
      <c r="Y808" s="1779"/>
      <c r="Z808" s="1779"/>
      <c r="AA808" s="1779"/>
      <c r="AB808" s="1779"/>
      <c r="AC808" s="1779"/>
      <c r="AD808" s="1779"/>
      <c r="AE808" s="1779"/>
      <c r="AF808" s="1779"/>
      <c r="AG808" s="1779"/>
      <c r="AH808" s="1779"/>
      <c r="AI808" s="1779"/>
      <c r="AJ808" s="1779"/>
      <c r="AK808" s="1779"/>
      <c r="AL808" s="1779"/>
      <c r="AM808" s="1779"/>
      <c r="AN808" s="1779"/>
      <c r="AO808" s="1779"/>
      <c r="AP808" s="1779"/>
      <c r="AQ808" s="1779"/>
      <c r="AR808" s="1779"/>
      <c r="AS808" s="1779"/>
      <c r="AT808" s="1779"/>
      <c r="AU808" s="1779"/>
      <c r="AV808" s="1779"/>
    </row>
    <row r="809" spans="1:48">
      <c r="A809" s="768"/>
      <c r="B809" s="762" t="s">
        <v>1249</v>
      </c>
      <c r="C809" s="762" t="s">
        <v>505</v>
      </c>
      <c r="D809" s="1599"/>
      <c r="E809" s="2245" t="s">
        <v>1947</v>
      </c>
      <c r="F809" s="763">
        <v>2244</v>
      </c>
      <c r="G809" s="410"/>
      <c r="H809" s="2597"/>
      <c r="I809" s="2597"/>
      <c r="J809" s="2638"/>
      <c r="K809" s="2671"/>
      <c r="L809" s="2597"/>
      <c r="M809" s="2592"/>
      <c r="N809" s="2401"/>
      <c r="O809" s="86"/>
      <c r="P809" s="1817" t="e">
        <f>INDEX(#REF!,MATCH(F809,#REF!,0),2)</f>
        <v>#REF!</v>
      </c>
      <c r="Q809" s="1779"/>
      <c r="R809" s="1779"/>
      <c r="S809" s="1779"/>
      <c r="T809" s="1779"/>
      <c r="U809" s="1779"/>
      <c r="V809" s="1779"/>
      <c r="W809" s="43"/>
      <c r="X809" s="1779"/>
      <c r="Y809" s="1779"/>
      <c r="Z809" s="1779"/>
      <c r="AA809" s="1779"/>
      <c r="AB809" s="1779"/>
      <c r="AC809" s="1779"/>
      <c r="AD809" s="1779"/>
      <c r="AE809" s="1779"/>
      <c r="AF809" s="1779"/>
      <c r="AG809" s="1779"/>
      <c r="AH809" s="1779"/>
      <c r="AI809" s="1779"/>
      <c r="AJ809" s="1779"/>
      <c r="AK809" s="1779"/>
      <c r="AL809" s="1779"/>
      <c r="AM809" s="1779"/>
      <c r="AN809" s="1779"/>
      <c r="AO809" s="1779"/>
      <c r="AP809" s="1779"/>
      <c r="AQ809" s="1779"/>
      <c r="AR809" s="1779"/>
      <c r="AS809" s="1779"/>
      <c r="AT809" s="1779"/>
      <c r="AU809" s="1779"/>
      <c r="AV809" s="1779"/>
    </row>
    <row r="810" spans="1:48">
      <c r="A810" s="854"/>
      <c r="B810" s="755" t="s">
        <v>1248</v>
      </c>
      <c r="C810" s="755" t="s">
        <v>513</v>
      </c>
      <c r="D810" s="1600">
        <v>812</v>
      </c>
      <c r="E810" s="2247" t="s">
        <v>1947</v>
      </c>
      <c r="F810" s="756">
        <v>2247</v>
      </c>
      <c r="G810" s="757" t="s">
        <v>309</v>
      </c>
      <c r="H810" s="2604">
        <v>3450</v>
      </c>
      <c r="I810" s="2604"/>
      <c r="J810" s="2635">
        <v>567</v>
      </c>
      <c r="K810" s="2647"/>
      <c r="L810" s="2604">
        <v>4000</v>
      </c>
      <c r="M810" s="2604"/>
      <c r="N810" s="73"/>
      <c r="O810" s="86"/>
      <c r="P810" s="1817" t="e">
        <f>INDEX(#REF!,MATCH(F810,#REF!,0),2)</f>
        <v>#REF!</v>
      </c>
      <c r="Q810" s="1791"/>
      <c r="R810" s="1791"/>
      <c r="S810" s="1791"/>
      <c r="T810" s="1791"/>
      <c r="U810" s="1791"/>
      <c r="V810" s="1791"/>
      <c r="W810" s="43"/>
      <c r="X810" s="1791"/>
      <c r="Y810" s="1791"/>
      <c r="Z810" s="1791"/>
      <c r="AA810" s="1791"/>
      <c r="AB810" s="1791"/>
      <c r="AC810" s="1791"/>
      <c r="AD810" s="1791"/>
      <c r="AE810" s="1791"/>
      <c r="AF810" s="1791"/>
      <c r="AG810" s="1791"/>
      <c r="AH810" s="1791"/>
      <c r="AI810" s="1791"/>
      <c r="AJ810" s="1791"/>
      <c r="AK810" s="1791"/>
      <c r="AL810" s="1791"/>
      <c r="AM810" s="1791"/>
      <c r="AN810" s="1791"/>
      <c r="AO810" s="1791"/>
      <c r="AP810" s="1791"/>
      <c r="AQ810" s="1791"/>
      <c r="AR810" s="1791"/>
      <c r="AS810" s="1791"/>
      <c r="AT810" s="1791"/>
      <c r="AU810" s="1791"/>
      <c r="AV810" s="1791"/>
    </row>
    <row r="811" spans="1:48" ht="22.5">
      <c r="A811" s="4137" t="s">
        <v>1133</v>
      </c>
      <c r="B811" s="4111" t="s">
        <v>1248</v>
      </c>
      <c r="C811" s="4111" t="s">
        <v>513</v>
      </c>
      <c r="D811" s="4112"/>
      <c r="E811" s="4113" t="s">
        <v>1947</v>
      </c>
      <c r="F811" s="4114">
        <v>2247</v>
      </c>
      <c r="G811" s="4115" t="s">
        <v>1068</v>
      </c>
      <c r="H811" s="4117"/>
      <c r="I811" s="4117">
        <v>600</v>
      </c>
      <c r="J811" s="4121"/>
      <c r="K811" s="4119"/>
      <c r="L811" s="4117"/>
      <c r="M811" s="4117">
        <v>0</v>
      </c>
      <c r="N811" s="154" t="s">
        <v>3570</v>
      </c>
      <c r="O811" s="86"/>
      <c r="P811" s="1817" t="e">
        <f>INDEX(#REF!,MATCH(F811,#REF!,0),2)</f>
        <v>#REF!</v>
      </c>
      <c r="Q811" s="1791"/>
      <c r="R811" s="1791"/>
      <c r="S811" s="1791"/>
      <c r="T811" s="1791"/>
      <c r="U811" s="1791"/>
      <c r="V811" s="1791"/>
      <c r="W811" s="43"/>
      <c r="X811" s="1791"/>
      <c r="Y811" s="1791"/>
      <c r="Z811" s="1791"/>
      <c r="AA811" s="1791"/>
      <c r="AB811" s="1791"/>
      <c r="AC811" s="1791"/>
      <c r="AD811" s="1791"/>
      <c r="AE811" s="1791"/>
      <c r="AF811" s="1791"/>
      <c r="AG811" s="1791"/>
      <c r="AH811" s="1791"/>
      <c r="AI811" s="1791"/>
      <c r="AJ811" s="1791"/>
      <c r="AK811" s="1791"/>
      <c r="AL811" s="1791"/>
      <c r="AM811" s="1791"/>
      <c r="AN811" s="1791"/>
      <c r="AO811" s="1791"/>
      <c r="AP811" s="1791"/>
      <c r="AQ811" s="1791"/>
      <c r="AR811" s="1791"/>
      <c r="AS811" s="1791"/>
      <c r="AT811" s="1791"/>
      <c r="AU811" s="1791"/>
      <c r="AV811" s="1791"/>
    </row>
    <row r="812" spans="1:48">
      <c r="A812" s="1914"/>
      <c r="B812" s="762" t="s">
        <v>1248</v>
      </c>
      <c r="C812" s="762" t="s">
        <v>513</v>
      </c>
      <c r="D812" s="1599"/>
      <c r="E812" s="2245" t="s">
        <v>1947</v>
      </c>
      <c r="F812" s="763">
        <v>2247</v>
      </c>
      <c r="G812" s="1884" t="s">
        <v>3571</v>
      </c>
      <c r="H812" s="2657"/>
      <c r="I812" s="2657">
        <v>2850</v>
      </c>
      <c r="J812" s="2658"/>
      <c r="K812" s="2659"/>
      <c r="L812" s="2657"/>
      <c r="M812" s="2657">
        <v>2200</v>
      </c>
      <c r="N812" s="73"/>
      <c r="O812" s="86"/>
      <c r="P812" s="1817" t="e">
        <f>INDEX(#REF!,MATCH(F812,#REF!,0),2)</f>
        <v>#REF!</v>
      </c>
      <c r="Q812" s="1791"/>
      <c r="R812" s="1791"/>
      <c r="S812" s="1791"/>
      <c r="T812" s="1791"/>
      <c r="U812" s="1791"/>
      <c r="V812" s="1791"/>
      <c r="W812" s="43"/>
      <c r="X812" s="1791"/>
      <c r="Y812" s="1791"/>
      <c r="Z812" s="1791"/>
      <c r="AA812" s="1791"/>
      <c r="AB812" s="1791"/>
      <c r="AC812" s="1791"/>
      <c r="AD812" s="1791"/>
      <c r="AE812" s="1791"/>
      <c r="AF812" s="1791"/>
      <c r="AG812" s="1791"/>
      <c r="AH812" s="1791"/>
      <c r="AI812" s="1791"/>
      <c r="AJ812" s="1791"/>
      <c r="AK812" s="1791"/>
      <c r="AL812" s="1791"/>
      <c r="AM812" s="1791"/>
      <c r="AN812" s="1791"/>
      <c r="AO812" s="1791"/>
      <c r="AP812" s="1791"/>
      <c r="AQ812" s="1791"/>
      <c r="AR812" s="1791"/>
      <c r="AS812" s="1791"/>
      <c r="AT812" s="1791"/>
      <c r="AU812" s="1791"/>
      <c r="AV812" s="1791"/>
    </row>
    <row r="813" spans="1:48">
      <c r="A813" s="4137" t="s">
        <v>1133</v>
      </c>
      <c r="B813" s="4111" t="s">
        <v>1248</v>
      </c>
      <c r="C813" s="4111" t="s">
        <v>513</v>
      </c>
      <c r="D813" s="4112"/>
      <c r="E813" s="4113" t="s">
        <v>1947</v>
      </c>
      <c r="F813" s="4114">
        <v>2247</v>
      </c>
      <c r="G813" s="4104" t="s">
        <v>2492</v>
      </c>
      <c r="H813" s="4139"/>
      <c r="I813" s="4139"/>
      <c r="J813" s="4140"/>
      <c r="K813" s="4141"/>
      <c r="L813" s="4139"/>
      <c r="M813" s="4139">
        <v>1800</v>
      </c>
      <c r="N813" s="73"/>
      <c r="O813" s="86"/>
      <c r="P813" s="1817"/>
      <c r="Q813" s="1791"/>
      <c r="R813" s="1791"/>
      <c r="S813" s="1791"/>
      <c r="T813" s="1791"/>
      <c r="U813" s="1791"/>
      <c r="V813" s="1791"/>
      <c r="W813" s="43"/>
      <c r="X813" s="1791"/>
      <c r="Y813" s="1791"/>
      <c r="Z813" s="1791"/>
      <c r="AA813" s="1791"/>
      <c r="AB813" s="1791"/>
      <c r="AC813" s="1791"/>
      <c r="AD813" s="1791"/>
      <c r="AE813" s="1791"/>
      <c r="AF813" s="1791"/>
      <c r="AG813" s="1791"/>
      <c r="AH813" s="1791"/>
      <c r="AI813" s="1791"/>
      <c r="AJ813" s="1791"/>
      <c r="AK813" s="1791"/>
      <c r="AL813" s="1791"/>
      <c r="AM813" s="1791"/>
      <c r="AN813" s="1791"/>
      <c r="AO813" s="1791"/>
      <c r="AP813" s="1791"/>
      <c r="AQ813" s="1791"/>
      <c r="AR813" s="1791"/>
      <c r="AS813" s="1791"/>
      <c r="AT813" s="1791"/>
      <c r="AU813" s="1791"/>
      <c r="AV813" s="1791"/>
    </row>
    <row r="814" spans="1:48">
      <c r="A814" s="854"/>
      <c r="B814" s="755" t="s">
        <v>1248</v>
      </c>
      <c r="C814" s="755" t="s">
        <v>513</v>
      </c>
      <c r="D814" s="1600">
        <v>812</v>
      </c>
      <c r="E814" s="2247" t="s">
        <v>1947</v>
      </c>
      <c r="F814" s="756">
        <v>2249</v>
      </c>
      <c r="G814" s="757" t="s">
        <v>283</v>
      </c>
      <c r="H814" s="2604">
        <v>8841</v>
      </c>
      <c r="I814" s="2604"/>
      <c r="J814" s="2635">
        <v>685.86</v>
      </c>
      <c r="K814" s="2647"/>
      <c r="L814" s="2604">
        <v>4372.5</v>
      </c>
      <c r="M814" s="2604"/>
      <c r="N814" s="71" t="s">
        <v>3568</v>
      </c>
      <c r="O814" s="86"/>
      <c r="P814" s="1817" t="e">
        <f>INDEX(#REF!,MATCH(F814,#REF!,0),2)</f>
        <v>#REF!</v>
      </c>
      <c r="Q814" s="1779"/>
      <c r="R814" s="1779"/>
      <c r="S814" s="1779"/>
      <c r="T814" s="1779"/>
      <c r="U814" s="1779"/>
      <c r="V814" s="1779"/>
      <c r="W814" s="43"/>
      <c r="X814" s="1779"/>
      <c r="Y814" s="1779"/>
      <c r="Z814" s="1779"/>
      <c r="AA814" s="1779"/>
      <c r="AB814" s="1779"/>
      <c r="AC814" s="1779"/>
      <c r="AD814" s="1779"/>
      <c r="AE814" s="1779"/>
      <c r="AF814" s="1779"/>
      <c r="AG814" s="1779"/>
      <c r="AH814" s="1779"/>
      <c r="AI814" s="1779"/>
      <c r="AJ814" s="1779"/>
      <c r="AK814" s="1779"/>
      <c r="AL814" s="1779"/>
      <c r="AM814" s="1779"/>
      <c r="AN814" s="1779"/>
      <c r="AO814" s="1779"/>
      <c r="AP814" s="1779"/>
      <c r="AQ814" s="1779"/>
      <c r="AR814" s="1779"/>
      <c r="AS814" s="1779"/>
      <c r="AT814" s="1779"/>
      <c r="AU814" s="1779"/>
      <c r="AV814" s="1779"/>
    </row>
    <row r="815" spans="1:48" ht="33.75">
      <c r="A815" s="4133" t="s">
        <v>1133</v>
      </c>
      <c r="B815" s="4111" t="s">
        <v>1248</v>
      </c>
      <c r="C815" s="4111" t="s">
        <v>513</v>
      </c>
      <c r="D815" s="4112"/>
      <c r="E815" s="4113" t="s">
        <v>1947</v>
      </c>
      <c r="F815" s="4114">
        <v>2249</v>
      </c>
      <c r="G815" s="4142" t="s">
        <v>2161</v>
      </c>
      <c r="H815" s="4117"/>
      <c r="I815" s="4117">
        <v>763</v>
      </c>
      <c r="J815" s="4143"/>
      <c r="K815" s="4119"/>
      <c r="L815" s="4119"/>
      <c r="M815" s="4119">
        <v>1074</v>
      </c>
      <c r="N815" s="73"/>
      <c r="O815" s="86"/>
      <c r="P815" s="1817" t="e">
        <f>INDEX(#REF!,MATCH(F815,#REF!,0),2)</f>
        <v>#REF!</v>
      </c>
      <c r="Q815" s="1779"/>
      <c r="R815" s="1779"/>
      <c r="S815" s="1779"/>
      <c r="T815" s="1779"/>
      <c r="U815" s="1779"/>
      <c r="V815" s="1779"/>
      <c r="W815" s="43"/>
      <c r="X815" s="1779"/>
      <c r="Y815" s="1779"/>
      <c r="Z815" s="1779"/>
      <c r="AA815" s="1779"/>
      <c r="AB815" s="1779"/>
      <c r="AC815" s="1779"/>
      <c r="AD815" s="1779"/>
      <c r="AE815" s="1779"/>
      <c r="AF815" s="1779"/>
      <c r="AG815" s="1779"/>
      <c r="AH815" s="1779"/>
      <c r="AI815" s="1779"/>
      <c r="AJ815" s="1779"/>
      <c r="AK815" s="1779"/>
      <c r="AL815" s="1779"/>
      <c r="AM815" s="1779"/>
      <c r="AN815" s="1779"/>
      <c r="AO815" s="1779"/>
      <c r="AP815" s="1779"/>
      <c r="AQ815" s="1779"/>
      <c r="AR815" s="1779"/>
      <c r="AS815" s="1779"/>
      <c r="AT815" s="1779"/>
      <c r="AU815" s="1779"/>
      <c r="AV815" s="1779"/>
    </row>
    <row r="816" spans="1:48" ht="22.5">
      <c r="A816" s="4133" t="s">
        <v>1133</v>
      </c>
      <c r="B816" s="4111" t="s">
        <v>1248</v>
      </c>
      <c r="C816" s="4111" t="s">
        <v>513</v>
      </c>
      <c r="D816" s="4112"/>
      <c r="E816" s="4113" t="s">
        <v>1947</v>
      </c>
      <c r="F816" s="4114">
        <v>2249</v>
      </c>
      <c r="G816" s="4142" t="s">
        <v>2162</v>
      </c>
      <c r="H816" s="4117"/>
      <c r="I816" s="4117">
        <v>4685</v>
      </c>
      <c r="J816" s="4143"/>
      <c r="K816" s="4119"/>
      <c r="L816" s="4119"/>
      <c r="M816" s="4119">
        <v>1405.5</v>
      </c>
      <c r="N816" s="149"/>
      <c r="O816" s="86"/>
      <c r="P816" s="1817" t="e">
        <f>INDEX(#REF!,MATCH(F816,#REF!,0),2)</f>
        <v>#REF!</v>
      </c>
      <c r="Q816" s="1779"/>
      <c r="R816" s="1779"/>
      <c r="S816" s="1779"/>
      <c r="T816" s="1779"/>
      <c r="U816" s="1779"/>
      <c r="V816" s="1779"/>
      <c r="W816" s="43"/>
      <c r="X816" s="1779"/>
      <c r="Y816" s="1779"/>
      <c r="Z816" s="1779"/>
      <c r="AA816" s="1779"/>
      <c r="AB816" s="1779"/>
      <c r="AC816" s="1779"/>
      <c r="AD816" s="1779"/>
      <c r="AE816" s="1779"/>
      <c r="AF816" s="1779"/>
      <c r="AG816" s="1779"/>
      <c r="AH816" s="1779"/>
      <c r="AI816" s="1779"/>
      <c r="AJ816" s="1779"/>
      <c r="AK816" s="1779"/>
      <c r="AL816" s="1779"/>
      <c r="AM816" s="1779"/>
      <c r="AN816" s="1779"/>
      <c r="AO816" s="1779"/>
      <c r="AP816" s="1779"/>
      <c r="AQ816" s="1779"/>
      <c r="AR816" s="1779"/>
      <c r="AS816" s="1779"/>
      <c r="AT816" s="1779"/>
      <c r="AU816" s="1779"/>
      <c r="AV816" s="1779"/>
    </row>
    <row r="817" spans="1:48" ht="45">
      <c r="A817" s="4133" t="s">
        <v>1133</v>
      </c>
      <c r="B817" s="4111" t="s">
        <v>1248</v>
      </c>
      <c r="C817" s="4111" t="s">
        <v>513</v>
      </c>
      <c r="D817" s="4112"/>
      <c r="E817" s="4113" t="s">
        <v>1947</v>
      </c>
      <c r="F817" s="4114">
        <v>2249</v>
      </c>
      <c r="G817" s="4142" t="s">
        <v>2163</v>
      </c>
      <c r="H817" s="4117"/>
      <c r="I817" s="4117">
        <v>393</v>
      </c>
      <c r="J817" s="4143"/>
      <c r="K817" s="4119"/>
      <c r="L817" s="4119"/>
      <c r="M817" s="4117">
        <v>393</v>
      </c>
      <c r="N817" s="73"/>
      <c r="O817" s="86"/>
      <c r="P817" s="1817" t="e">
        <f>INDEX(#REF!,MATCH(F817,#REF!,0),2)</f>
        <v>#REF!</v>
      </c>
      <c r="Q817" s="1791"/>
      <c r="R817" s="1791"/>
      <c r="S817" s="1791"/>
      <c r="T817" s="1791"/>
      <c r="U817" s="1791"/>
      <c r="V817" s="1791"/>
      <c r="W817" s="43"/>
      <c r="X817" s="1791"/>
      <c r="Y817" s="1791"/>
      <c r="Z817" s="1791"/>
      <c r="AA817" s="1791"/>
      <c r="AB817" s="1791"/>
      <c r="AC817" s="1791"/>
      <c r="AD817" s="1791"/>
      <c r="AE817" s="1791"/>
      <c r="AF817" s="1791"/>
      <c r="AG817" s="1791"/>
      <c r="AH817" s="1791"/>
      <c r="AI817" s="1791"/>
      <c r="AJ817" s="1791"/>
      <c r="AK817" s="1791"/>
      <c r="AL817" s="1791"/>
      <c r="AM817" s="1791"/>
      <c r="AN817" s="1791"/>
      <c r="AO817" s="1791"/>
      <c r="AP817" s="1791"/>
      <c r="AQ817" s="1791"/>
      <c r="AR817" s="1791"/>
      <c r="AS817" s="1791"/>
      <c r="AT817" s="1791"/>
      <c r="AU817" s="1791"/>
      <c r="AV817" s="1791"/>
    </row>
    <row r="818" spans="1:48" ht="45">
      <c r="A818" s="4133" t="s">
        <v>1133</v>
      </c>
      <c r="B818" s="4111" t="s">
        <v>1248</v>
      </c>
      <c r="C818" s="4111" t="s">
        <v>513</v>
      </c>
      <c r="D818" s="4112"/>
      <c r="E818" s="4113" t="s">
        <v>1947</v>
      </c>
      <c r="F818" s="4114">
        <v>2249</v>
      </c>
      <c r="G818" s="4142" t="s">
        <v>1069</v>
      </c>
      <c r="H818" s="4117"/>
      <c r="I818" s="4117">
        <v>3000</v>
      </c>
      <c r="J818" s="4143"/>
      <c r="K818" s="4119"/>
      <c r="L818" s="4119"/>
      <c r="M818" s="4117">
        <v>1500</v>
      </c>
      <c r="N818" s="73"/>
      <c r="O818" s="86"/>
      <c r="P818" s="1817" t="e">
        <f>INDEX(#REF!,MATCH(F818,#REF!,0),2)</f>
        <v>#REF!</v>
      </c>
      <c r="Q818" s="1791"/>
      <c r="R818" s="1791"/>
      <c r="S818" s="1791"/>
      <c r="T818" s="1791"/>
      <c r="U818" s="1791"/>
      <c r="V818" s="1791"/>
      <c r="W818" s="43"/>
      <c r="X818" s="1791"/>
      <c r="Y818" s="1791"/>
      <c r="Z818" s="1791"/>
      <c r="AA818" s="1791"/>
      <c r="AB818" s="1791"/>
      <c r="AC818" s="1791"/>
      <c r="AD818" s="1791"/>
      <c r="AE818" s="1791"/>
      <c r="AF818" s="1791"/>
      <c r="AG818" s="1791"/>
      <c r="AH818" s="1791"/>
      <c r="AI818" s="1791"/>
      <c r="AJ818" s="1791"/>
      <c r="AK818" s="1791"/>
      <c r="AL818" s="1791"/>
      <c r="AM818" s="1791"/>
      <c r="AN818" s="1791"/>
      <c r="AO818" s="1791"/>
      <c r="AP818" s="1791"/>
      <c r="AQ818" s="1791"/>
      <c r="AR818" s="1791"/>
      <c r="AS818" s="1791"/>
      <c r="AT818" s="1791"/>
      <c r="AU818" s="1791"/>
      <c r="AV818" s="1791"/>
    </row>
    <row r="819" spans="1:48">
      <c r="A819" s="854"/>
      <c r="B819" s="755" t="s">
        <v>1248</v>
      </c>
      <c r="C819" s="755" t="s">
        <v>507</v>
      </c>
      <c r="D819" s="1600"/>
      <c r="E819" s="2247" t="s">
        <v>1947</v>
      </c>
      <c r="F819" s="756">
        <v>2250</v>
      </c>
      <c r="G819" s="172" t="s">
        <v>1254</v>
      </c>
      <c r="H819" s="2604"/>
      <c r="I819" s="2604"/>
      <c r="J819" s="2635"/>
      <c r="K819" s="2647"/>
      <c r="L819" s="2606"/>
      <c r="M819" s="2606"/>
      <c r="N819" s="73"/>
      <c r="O819" s="86"/>
      <c r="P819" s="1817" t="e">
        <f>INDEX(#REF!,MATCH(F819,#REF!,0),2)</f>
        <v>#REF!</v>
      </c>
      <c r="Q819" s="1779"/>
      <c r="R819" s="1779"/>
      <c r="S819" s="1779"/>
      <c r="T819" s="1779"/>
      <c r="U819" s="1779"/>
      <c r="V819" s="1779"/>
      <c r="W819" s="43"/>
      <c r="X819" s="1779"/>
      <c r="Y819" s="1779"/>
      <c r="Z819" s="1779"/>
      <c r="AA819" s="1779"/>
      <c r="AB819" s="1779"/>
      <c r="AC819" s="1779"/>
      <c r="AD819" s="1779"/>
      <c r="AE819" s="1779"/>
      <c r="AF819" s="1779"/>
      <c r="AG819" s="1779"/>
      <c r="AH819" s="1779"/>
      <c r="AI819" s="1779"/>
      <c r="AJ819" s="1779"/>
      <c r="AK819" s="1779"/>
      <c r="AL819" s="1779"/>
      <c r="AM819" s="1779"/>
      <c r="AN819" s="1779"/>
      <c r="AO819" s="1779"/>
      <c r="AP819" s="1779"/>
      <c r="AQ819" s="1779"/>
      <c r="AR819" s="1779"/>
      <c r="AS819" s="1779"/>
      <c r="AT819" s="1779"/>
      <c r="AU819" s="1779"/>
      <c r="AV819" s="1779"/>
    </row>
    <row r="820" spans="1:48">
      <c r="A820" s="768"/>
      <c r="B820" s="762" t="s">
        <v>1248</v>
      </c>
      <c r="C820" s="762" t="s">
        <v>507</v>
      </c>
      <c r="D820" s="1599"/>
      <c r="E820" s="2245" t="s">
        <v>1947</v>
      </c>
      <c r="F820" s="763">
        <v>2250</v>
      </c>
      <c r="G820" s="772" t="s">
        <v>864</v>
      </c>
      <c r="H820" s="2657"/>
      <c r="I820" s="2657"/>
      <c r="J820" s="2658"/>
      <c r="K820" s="2659"/>
      <c r="L820" s="2660"/>
      <c r="M820" s="2660"/>
      <c r="N820" s="73"/>
      <c r="O820" s="86"/>
      <c r="P820" s="1817" t="e">
        <f>INDEX(#REF!,MATCH(F820,#REF!,0),2)</f>
        <v>#REF!</v>
      </c>
      <c r="Q820" s="11"/>
      <c r="R820" s="11"/>
      <c r="S820" s="11"/>
      <c r="T820" s="11"/>
      <c r="U820" s="11"/>
      <c r="V820" s="11"/>
      <c r="W820" s="4"/>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row>
    <row r="821" spans="1:48">
      <c r="A821" s="854"/>
      <c r="B821" s="755" t="s">
        <v>1248</v>
      </c>
      <c r="C821" s="755" t="s">
        <v>507</v>
      </c>
      <c r="D821" s="1600">
        <v>812</v>
      </c>
      <c r="E821" s="2247" t="s">
        <v>1947</v>
      </c>
      <c r="F821" s="756">
        <v>2264</v>
      </c>
      <c r="G821" s="757" t="s">
        <v>240</v>
      </c>
      <c r="H821" s="2604">
        <v>1306</v>
      </c>
      <c r="I821" s="2604"/>
      <c r="J821" s="2635">
        <v>917.73</v>
      </c>
      <c r="K821" s="2647"/>
      <c r="L821" s="2604">
        <v>1306</v>
      </c>
      <c r="M821" s="2606"/>
      <c r="N821" s="73"/>
      <c r="O821" s="86"/>
      <c r="P821" s="1817" t="e">
        <f>INDEX(#REF!,MATCH(F821,#REF!,0),2)</f>
        <v>#REF!</v>
      </c>
      <c r="Q821" s="1791"/>
      <c r="R821" s="1791"/>
      <c r="S821" s="1791"/>
      <c r="T821" s="1791"/>
      <c r="U821" s="1791"/>
      <c r="V821" s="1791"/>
      <c r="W821" s="43"/>
      <c r="X821" s="1791"/>
      <c r="Y821" s="1791"/>
      <c r="Z821" s="1791"/>
      <c r="AA821" s="1791"/>
      <c r="AB821" s="1791"/>
      <c r="AC821" s="1791"/>
      <c r="AD821" s="1791"/>
      <c r="AE821" s="1791"/>
      <c r="AF821" s="1791"/>
      <c r="AG821" s="1791"/>
      <c r="AH821" s="1791"/>
      <c r="AI821" s="1791"/>
      <c r="AJ821" s="1791"/>
      <c r="AK821" s="1791"/>
      <c r="AL821" s="1791"/>
      <c r="AM821" s="1791"/>
      <c r="AN821" s="1791"/>
      <c r="AO821" s="1791"/>
      <c r="AP821" s="1791"/>
      <c r="AQ821" s="1791"/>
      <c r="AR821" s="1791"/>
      <c r="AS821" s="1791"/>
      <c r="AT821" s="1791"/>
      <c r="AU821" s="1791"/>
      <c r="AV821" s="1791"/>
    </row>
    <row r="822" spans="1:48" ht="22.5">
      <c r="A822" s="768"/>
      <c r="B822" s="762" t="s">
        <v>1248</v>
      </c>
      <c r="C822" s="762" t="s">
        <v>507</v>
      </c>
      <c r="D822" s="1599"/>
      <c r="E822" s="2245" t="s">
        <v>1947</v>
      </c>
      <c r="F822" s="763">
        <v>2264</v>
      </c>
      <c r="G822" s="772" t="s">
        <v>2676</v>
      </c>
      <c r="H822" s="2592"/>
      <c r="I822" s="2592">
        <v>180</v>
      </c>
      <c r="J822" s="2636"/>
      <c r="K822" s="2593"/>
      <c r="L822" s="2594"/>
      <c r="M822" s="2592">
        <v>180</v>
      </c>
      <c r="N822" s="2401"/>
      <c r="O822" s="86"/>
      <c r="P822" s="1817" t="e">
        <f>INDEX(#REF!,MATCH(F822,#REF!,0),2)</f>
        <v>#REF!</v>
      </c>
      <c r="Q822" s="1791"/>
      <c r="R822" s="1791"/>
      <c r="S822" s="1791"/>
      <c r="T822" s="1791"/>
      <c r="U822" s="1791"/>
      <c r="V822" s="1791"/>
      <c r="W822" s="43"/>
      <c r="X822" s="1791"/>
      <c r="Y822" s="1791"/>
      <c r="Z822" s="1791"/>
      <c r="AA822" s="1791"/>
      <c r="AB822" s="1791"/>
      <c r="AC822" s="1791"/>
      <c r="AD822" s="1791"/>
      <c r="AE822" s="1791"/>
      <c r="AF822" s="1791"/>
      <c r="AG822" s="1791"/>
      <c r="AH822" s="1791"/>
      <c r="AI822" s="1791"/>
      <c r="AJ822" s="1791"/>
      <c r="AK822" s="1791"/>
      <c r="AL822" s="1791"/>
      <c r="AM822" s="1791"/>
      <c r="AN822" s="1791"/>
      <c r="AO822" s="1791"/>
      <c r="AP822" s="1791"/>
      <c r="AQ822" s="1791"/>
      <c r="AR822" s="1791"/>
      <c r="AS822" s="1791"/>
      <c r="AT822" s="1791"/>
      <c r="AU822" s="1791"/>
      <c r="AV822" s="1791"/>
    </row>
    <row r="823" spans="1:48">
      <c r="A823" s="1484"/>
      <c r="B823" s="762" t="s">
        <v>1248</v>
      </c>
      <c r="C823" s="762" t="s">
        <v>507</v>
      </c>
      <c r="D823" s="1599"/>
      <c r="E823" s="2245" t="s">
        <v>1947</v>
      </c>
      <c r="F823" s="763">
        <v>2264</v>
      </c>
      <c r="G823" s="1529" t="s">
        <v>2164</v>
      </c>
      <c r="H823" s="2592"/>
      <c r="I823" s="2592">
        <v>726</v>
      </c>
      <c r="J823" s="2636"/>
      <c r="K823" s="2593"/>
      <c r="L823" s="2594"/>
      <c r="M823" s="2592">
        <v>726</v>
      </c>
      <c r="N823" s="1558"/>
      <c r="O823" s="86"/>
      <c r="P823" s="1817" t="e">
        <f>INDEX(#REF!,MATCH(F823,#REF!,0),2)</f>
        <v>#REF!</v>
      </c>
      <c r="Q823" s="1791"/>
      <c r="R823" s="1791"/>
      <c r="S823" s="1791"/>
      <c r="T823" s="1791"/>
      <c r="U823" s="1791"/>
      <c r="V823" s="1791"/>
      <c r="W823" s="43"/>
      <c r="X823" s="1791"/>
      <c r="Y823" s="1791"/>
      <c r="Z823" s="1791"/>
      <c r="AA823" s="1791"/>
      <c r="AB823" s="1791"/>
      <c r="AC823" s="1791"/>
      <c r="AD823" s="1791"/>
      <c r="AE823" s="1791"/>
      <c r="AF823" s="1791"/>
      <c r="AG823" s="1791"/>
      <c r="AH823" s="1791"/>
      <c r="AI823" s="1791"/>
      <c r="AJ823" s="1791"/>
      <c r="AK823" s="1791"/>
      <c r="AL823" s="1791"/>
      <c r="AM823" s="1791"/>
      <c r="AN823" s="1791"/>
      <c r="AO823" s="1791"/>
      <c r="AP823" s="1791"/>
      <c r="AQ823" s="1791"/>
      <c r="AR823" s="1791"/>
      <c r="AS823" s="1791"/>
      <c r="AT823" s="1791"/>
      <c r="AU823" s="1791"/>
      <c r="AV823" s="1791"/>
    </row>
    <row r="824" spans="1:48">
      <c r="A824" s="4133" t="s">
        <v>1133</v>
      </c>
      <c r="B824" s="4111" t="s">
        <v>1248</v>
      </c>
      <c r="C824" s="4111" t="s">
        <v>507</v>
      </c>
      <c r="D824" s="4112"/>
      <c r="E824" s="4113" t="s">
        <v>1947</v>
      </c>
      <c r="F824" s="4114">
        <v>2264</v>
      </c>
      <c r="G824" s="4115" t="s">
        <v>941</v>
      </c>
      <c r="H824" s="4095"/>
      <c r="I824" s="4095">
        <v>400</v>
      </c>
      <c r="J824" s="4093"/>
      <c r="K824" s="4094"/>
      <c r="L824" s="4094"/>
      <c r="M824" s="4094">
        <v>400</v>
      </c>
      <c r="N824" s="71" t="s">
        <v>3568</v>
      </c>
      <c r="O824" s="86"/>
      <c r="P824" s="1817" t="e">
        <f>INDEX(#REF!,MATCH(F824,#REF!,0),2)</f>
        <v>#REF!</v>
      </c>
      <c r="Q824" s="1779"/>
      <c r="R824" s="1779"/>
      <c r="S824" s="1779"/>
      <c r="T824" s="1779"/>
      <c r="U824" s="1779"/>
      <c r="V824" s="1779"/>
      <c r="W824" s="43"/>
      <c r="X824" s="1779"/>
      <c r="Y824" s="1779"/>
      <c r="Z824" s="1779"/>
      <c r="AA824" s="1779"/>
      <c r="AB824" s="1779"/>
      <c r="AC824" s="1779"/>
      <c r="AD824" s="1779"/>
      <c r="AE824" s="1779"/>
      <c r="AF824" s="1779"/>
      <c r="AG824" s="1779"/>
      <c r="AH824" s="1779"/>
      <c r="AI824" s="1779"/>
      <c r="AJ824" s="1779"/>
      <c r="AK824" s="1779"/>
      <c r="AL824" s="1779"/>
      <c r="AM824" s="1779"/>
      <c r="AN824" s="1779"/>
      <c r="AO824" s="1779"/>
      <c r="AP824" s="1779"/>
      <c r="AQ824" s="1779"/>
      <c r="AR824" s="1779"/>
      <c r="AS824" s="1779"/>
      <c r="AT824" s="1779"/>
      <c r="AU824" s="1779"/>
      <c r="AV824" s="1779"/>
    </row>
    <row r="825" spans="1:48">
      <c r="A825" s="854"/>
      <c r="B825" s="1022" t="s">
        <v>1248</v>
      </c>
      <c r="C825" s="1022" t="s">
        <v>507</v>
      </c>
      <c r="D825" s="1600">
        <v>812</v>
      </c>
      <c r="E825" s="2247" t="s">
        <v>1947</v>
      </c>
      <c r="F825" s="756">
        <v>2311</v>
      </c>
      <c r="G825" s="757" t="s">
        <v>245</v>
      </c>
      <c r="H825" s="2604">
        <v>293</v>
      </c>
      <c r="I825" s="2604"/>
      <c r="J825" s="2635">
        <v>292.31</v>
      </c>
      <c r="K825" s="2647"/>
      <c r="L825" s="2604">
        <v>300</v>
      </c>
      <c r="M825" s="2606"/>
      <c r="N825" s="73"/>
      <c r="O825" s="86"/>
      <c r="P825" s="1817" t="e">
        <f>INDEX(#REF!,MATCH(F825,#REF!,0),2)</f>
        <v>#REF!</v>
      </c>
      <c r="Q825" s="1779"/>
      <c r="R825" s="1779"/>
      <c r="S825" s="1779"/>
      <c r="T825" s="1779"/>
      <c r="U825" s="1779"/>
      <c r="V825" s="1779"/>
      <c r="W825" s="43"/>
      <c r="X825" s="1779"/>
      <c r="Y825" s="1779"/>
      <c r="Z825" s="1779"/>
      <c r="AA825" s="1779"/>
      <c r="AB825" s="1779"/>
      <c r="AC825" s="1779"/>
      <c r="AD825" s="1779"/>
      <c r="AE825" s="1779"/>
      <c r="AF825" s="1779"/>
      <c r="AG825" s="1779"/>
      <c r="AH825" s="1779"/>
      <c r="AI825" s="1779"/>
      <c r="AJ825" s="1779"/>
      <c r="AK825" s="1779"/>
      <c r="AL825" s="1779"/>
      <c r="AM825" s="1779"/>
      <c r="AN825" s="1779"/>
      <c r="AO825" s="1779"/>
      <c r="AP825" s="1779"/>
      <c r="AQ825" s="1779"/>
      <c r="AR825" s="1779"/>
      <c r="AS825" s="1779"/>
      <c r="AT825" s="1779"/>
      <c r="AU825" s="1779"/>
      <c r="AV825" s="1779"/>
    </row>
    <row r="826" spans="1:48" ht="22.5">
      <c r="A826" s="768"/>
      <c r="B826" s="762" t="s">
        <v>1248</v>
      </c>
      <c r="C826" s="762" t="s">
        <v>507</v>
      </c>
      <c r="D826" s="1599"/>
      <c r="E826" s="2245" t="s">
        <v>1947</v>
      </c>
      <c r="F826" s="763">
        <v>2311</v>
      </c>
      <c r="G826" s="772" t="s">
        <v>1070</v>
      </c>
      <c r="H826" s="2657"/>
      <c r="I826" s="2592">
        <v>0</v>
      </c>
      <c r="J826" s="2636"/>
      <c r="K826" s="2593"/>
      <c r="L826" s="2660"/>
      <c r="M826" s="2592">
        <v>100</v>
      </c>
      <c r="N826" s="73"/>
      <c r="O826" s="86"/>
      <c r="P826" s="1817" t="e">
        <f>INDEX(#REF!,MATCH(F826,#REF!,0),2)</f>
        <v>#REF!</v>
      </c>
      <c r="Q826" s="1779"/>
      <c r="R826" s="1779"/>
      <c r="S826" s="1779"/>
      <c r="T826" s="1779"/>
      <c r="U826" s="1779"/>
      <c r="V826" s="1779"/>
      <c r="W826" s="43"/>
      <c r="X826" s="1779"/>
      <c r="Y826" s="1779"/>
      <c r="Z826" s="1779"/>
      <c r="AA826" s="1779"/>
      <c r="AB826" s="1779"/>
      <c r="AC826" s="1779"/>
      <c r="AD826" s="1779"/>
      <c r="AE826" s="1779"/>
      <c r="AF826" s="1779"/>
      <c r="AG826" s="1779"/>
      <c r="AH826" s="1779"/>
      <c r="AI826" s="1779"/>
      <c r="AJ826" s="1779"/>
      <c r="AK826" s="1779"/>
      <c r="AL826" s="1779"/>
      <c r="AM826" s="1779"/>
      <c r="AN826" s="1779"/>
      <c r="AO826" s="1779"/>
      <c r="AP826" s="1779"/>
      <c r="AQ826" s="1779"/>
      <c r="AR826" s="1779"/>
      <c r="AS826" s="1779"/>
      <c r="AT826" s="1779"/>
      <c r="AU826" s="1779"/>
      <c r="AV826" s="1779"/>
    </row>
    <row r="827" spans="1:48">
      <c r="A827" s="768"/>
      <c r="B827" s="762" t="s">
        <v>1248</v>
      </c>
      <c r="C827" s="762" t="s">
        <v>507</v>
      </c>
      <c r="D827" s="1599"/>
      <c r="E827" s="2245" t="s">
        <v>1947</v>
      </c>
      <c r="F827" s="763">
        <v>2311</v>
      </c>
      <c r="G827" s="772" t="s">
        <v>315</v>
      </c>
      <c r="H827" s="2657"/>
      <c r="I827" s="2592">
        <v>200</v>
      </c>
      <c r="J827" s="2636"/>
      <c r="K827" s="2593"/>
      <c r="L827" s="2660"/>
      <c r="M827" s="2592">
        <v>200</v>
      </c>
      <c r="N827" s="73"/>
      <c r="O827" s="86"/>
      <c r="P827" s="1817" t="e">
        <f>INDEX(#REF!,MATCH(F827,#REF!,0),2)</f>
        <v>#REF!</v>
      </c>
      <c r="Q827" s="1779"/>
      <c r="R827" s="1779"/>
      <c r="S827" s="1779"/>
      <c r="T827" s="1779"/>
      <c r="U827" s="1779"/>
      <c r="V827" s="1779"/>
      <c r="W827" s="43"/>
      <c r="X827" s="1779"/>
      <c r="Y827" s="1779"/>
      <c r="Z827" s="1779"/>
      <c r="AA827" s="1779"/>
      <c r="AB827" s="1779"/>
      <c r="AC827" s="1779"/>
      <c r="AD827" s="1779"/>
      <c r="AE827" s="1779"/>
      <c r="AF827" s="1779"/>
      <c r="AG827" s="1779"/>
      <c r="AH827" s="1779"/>
      <c r="AI827" s="1779"/>
      <c r="AJ827" s="1779"/>
      <c r="AK827" s="1779"/>
      <c r="AL827" s="1779"/>
      <c r="AM827" s="1779"/>
      <c r="AN827" s="1779"/>
      <c r="AO827" s="1779"/>
      <c r="AP827" s="1779"/>
      <c r="AQ827" s="1779"/>
      <c r="AR827" s="1779"/>
      <c r="AS827" s="1779"/>
      <c r="AT827" s="1779"/>
      <c r="AU827" s="1779"/>
      <c r="AV827" s="1779"/>
    </row>
    <row r="828" spans="1:48">
      <c r="A828" s="854"/>
      <c r="B828" s="755" t="s">
        <v>1248</v>
      </c>
      <c r="C828" s="755" t="s">
        <v>507</v>
      </c>
      <c r="D828" s="1600">
        <v>812</v>
      </c>
      <c r="E828" s="2247" t="s">
        <v>1947</v>
      </c>
      <c r="F828" s="756">
        <v>2312</v>
      </c>
      <c r="G828" s="757" t="s">
        <v>249</v>
      </c>
      <c r="H828" s="2604">
        <v>3470</v>
      </c>
      <c r="I828" s="2604"/>
      <c r="J828" s="2635">
        <v>2374.25</v>
      </c>
      <c r="K828" s="2647"/>
      <c r="L828" s="2604">
        <v>3950</v>
      </c>
      <c r="M828" s="2606"/>
      <c r="N828" s="73"/>
      <c r="O828" s="86"/>
      <c r="P828" s="1817" t="e">
        <f>INDEX(#REF!,MATCH(F828,#REF!,0),2)</f>
        <v>#REF!</v>
      </c>
      <c r="Q828" s="1779"/>
      <c r="R828" s="1779"/>
      <c r="S828" s="1779"/>
      <c r="T828" s="1779"/>
      <c r="U828" s="1779"/>
      <c r="V828" s="1779"/>
      <c r="W828" s="43"/>
      <c r="X828" s="1779"/>
      <c r="Y828" s="1779"/>
      <c r="Z828" s="1779"/>
      <c r="AA828" s="1779"/>
      <c r="AB828" s="1779"/>
      <c r="AC828" s="1779"/>
      <c r="AD828" s="1779"/>
      <c r="AE828" s="1779"/>
      <c r="AF828" s="1779"/>
      <c r="AG828" s="1779"/>
      <c r="AH828" s="1779"/>
      <c r="AI828" s="1779"/>
      <c r="AJ828" s="1779"/>
      <c r="AK828" s="1779"/>
      <c r="AL828" s="1779"/>
      <c r="AM828" s="1779"/>
      <c r="AN828" s="1779"/>
      <c r="AO828" s="1779"/>
      <c r="AP828" s="1779"/>
      <c r="AQ828" s="1779"/>
      <c r="AR828" s="1779"/>
      <c r="AS828" s="1779"/>
      <c r="AT828" s="1779"/>
      <c r="AU828" s="1779"/>
      <c r="AV828" s="1779"/>
    </row>
    <row r="829" spans="1:48">
      <c r="A829" s="768"/>
      <c r="B829" s="762" t="s">
        <v>1248</v>
      </c>
      <c r="C829" s="762" t="s">
        <v>507</v>
      </c>
      <c r="D829" s="1599"/>
      <c r="E829" s="2245" t="s">
        <v>1947</v>
      </c>
      <c r="F829" s="763">
        <v>2312</v>
      </c>
      <c r="G829" s="779" t="s">
        <v>316</v>
      </c>
      <c r="H829" s="2657"/>
      <c r="I829" s="2657">
        <v>300</v>
      </c>
      <c r="J829" s="2658"/>
      <c r="K829" s="2659"/>
      <c r="L829" s="2660"/>
      <c r="M829" s="2657">
        <v>400</v>
      </c>
      <c r="N829" s="73"/>
      <c r="O829" s="86"/>
      <c r="P829" s="1817" t="e">
        <f>INDEX(#REF!,MATCH(F829,#REF!,0),2)</f>
        <v>#REF!</v>
      </c>
      <c r="Q829" s="1779"/>
      <c r="R829" s="1779"/>
      <c r="S829" s="1779"/>
      <c r="T829" s="1779"/>
      <c r="U829" s="1779"/>
      <c r="V829" s="1779"/>
      <c r="W829" s="43"/>
      <c r="X829" s="1779"/>
      <c r="Y829" s="1779"/>
      <c r="Z829" s="1779"/>
      <c r="AA829" s="1779"/>
      <c r="AB829" s="1779"/>
      <c r="AC829" s="1779"/>
      <c r="AD829" s="1779"/>
      <c r="AE829" s="1779"/>
      <c r="AF829" s="1779"/>
      <c r="AG829" s="1779"/>
      <c r="AH829" s="1779"/>
      <c r="AI829" s="1779"/>
      <c r="AJ829" s="1779"/>
      <c r="AK829" s="1779"/>
      <c r="AL829" s="1779"/>
      <c r="AM829" s="1779"/>
      <c r="AN829" s="1779"/>
      <c r="AO829" s="1779"/>
      <c r="AP829" s="1779"/>
      <c r="AQ829" s="1779"/>
      <c r="AR829" s="1779"/>
      <c r="AS829" s="1779"/>
      <c r="AT829" s="1779"/>
      <c r="AU829" s="1779"/>
      <c r="AV829" s="1779"/>
    </row>
    <row r="830" spans="1:48">
      <c r="A830" s="768"/>
      <c r="B830" s="762" t="s">
        <v>1248</v>
      </c>
      <c r="C830" s="762" t="s">
        <v>507</v>
      </c>
      <c r="D830" s="1599"/>
      <c r="E830" s="2245" t="s">
        <v>1947</v>
      </c>
      <c r="F830" s="763">
        <v>2312</v>
      </c>
      <c r="G830" s="772" t="s">
        <v>3572</v>
      </c>
      <c r="H830" s="2657"/>
      <c r="I830" s="2657">
        <v>0</v>
      </c>
      <c r="J830" s="2658"/>
      <c r="K830" s="2659"/>
      <c r="L830" s="2660"/>
      <c r="M830" s="2657">
        <v>250</v>
      </c>
      <c r="N830" s="73"/>
      <c r="O830" s="86"/>
      <c r="P830" s="1817" t="e">
        <f>INDEX(#REF!,MATCH(F830,#REF!,0),2)</f>
        <v>#REF!</v>
      </c>
      <c r="Q830" s="1779"/>
      <c r="R830" s="1779"/>
      <c r="S830" s="1779"/>
      <c r="T830" s="1779"/>
      <c r="U830" s="1779"/>
      <c r="V830" s="1779"/>
      <c r="W830" s="43"/>
      <c r="X830" s="1779"/>
      <c r="Y830" s="1779"/>
      <c r="Z830" s="1779"/>
      <c r="AA830" s="1779"/>
      <c r="AB830" s="1779"/>
      <c r="AC830" s="1779"/>
      <c r="AD830" s="1779"/>
      <c r="AE830" s="1779"/>
      <c r="AF830" s="1779"/>
      <c r="AG830" s="1779"/>
      <c r="AH830" s="1779"/>
      <c r="AI830" s="1779"/>
      <c r="AJ830" s="1779"/>
      <c r="AK830" s="1779"/>
      <c r="AL830" s="1779"/>
      <c r="AM830" s="1779"/>
      <c r="AN830" s="1779"/>
      <c r="AO830" s="1779"/>
      <c r="AP830" s="1779"/>
      <c r="AQ830" s="1779"/>
      <c r="AR830" s="1779"/>
      <c r="AS830" s="1779"/>
      <c r="AT830" s="1779"/>
      <c r="AU830" s="1779"/>
      <c r="AV830" s="1779"/>
    </row>
    <row r="831" spans="1:48">
      <c r="A831" s="768"/>
      <c r="B831" s="762" t="s">
        <v>1248</v>
      </c>
      <c r="C831" s="762" t="s">
        <v>507</v>
      </c>
      <c r="D831" s="1599"/>
      <c r="E831" s="2245" t="s">
        <v>1947</v>
      </c>
      <c r="F831" s="763">
        <v>2312</v>
      </c>
      <c r="G831" s="772" t="s">
        <v>3573</v>
      </c>
      <c r="H831" s="2657"/>
      <c r="I831" s="2657">
        <v>200</v>
      </c>
      <c r="J831" s="2658"/>
      <c r="K831" s="2659"/>
      <c r="L831" s="2660"/>
      <c r="M831" s="2657">
        <v>300</v>
      </c>
      <c r="N831" s="73"/>
      <c r="O831" s="86"/>
      <c r="P831" s="1817" t="e">
        <f>INDEX(#REF!,MATCH(F831,#REF!,0),2)</f>
        <v>#REF!</v>
      </c>
      <c r="Q831" s="1779"/>
      <c r="R831" s="1779"/>
      <c r="S831" s="1779"/>
      <c r="T831" s="1779"/>
      <c r="U831" s="1779"/>
      <c r="V831" s="1779"/>
      <c r="W831" s="43"/>
      <c r="X831" s="1779"/>
      <c r="Y831" s="1779"/>
      <c r="Z831" s="1779"/>
      <c r="AA831" s="1779"/>
      <c r="AB831" s="1779"/>
      <c r="AC831" s="1779"/>
      <c r="AD831" s="1779"/>
      <c r="AE831" s="1779"/>
      <c r="AF831" s="1779"/>
      <c r="AG831" s="1779"/>
      <c r="AH831" s="1779"/>
      <c r="AI831" s="1779"/>
      <c r="AJ831" s="1779"/>
      <c r="AK831" s="1779"/>
      <c r="AL831" s="1779"/>
      <c r="AM831" s="1779"/>
      <c r="AN831" s="1779"/>
      <c r="AO831" s="1779"/>
      <c r="AP831" s="1779"/>
      <c r="AQ831" s="1779"/>
      <c r="AR831" s="1779"/>
      <c r="AS831" s="1779"/>
      <c r="AT831" s="1779"/>
      <c r="AU831" s="1779"/>
      <c r="AV831" s="1779"/>
    </row>
    <row r="832" spans="1:48" ht="22.5">
      <c r="A832" s="768"/>
      <c r="B832" s="762" t="s">
        <v>1248</v>
      </c>
      <c r="C832" s="762" t="s">
        <v>507</v>
      </c>
      <c r="D832" s="1599"/>
      <c r="E832" s="2245" t="s">
        <v>1947</v>
      </c>
      <c r="F832" s="763">
        <v>2312</v>
      </c>
      <c r="G832" s="2590" t="s">
        <v>3574</v>
      </c>
      <c r="H832" s="2657"/>
      <c r="I832" s="2657">
        <v>300</v>
      </c>
      <c r="J832" s="2658"/>
      <c r="K832" s="2659"/>
      <c r="L832" s="2660"/>
      <c r="M832" s="2657">
        <v>400</v>
      </c>
      <c r="N832" s="149"/>
      <c r="O832" s="86"/>
      <c r="P832" s="1817" t="e">
        <f>INDEX(#REF!,MATCH(F832,#REF!,0),2)</f>
        <v>#REF!</v>
      </c>
      <c r="Q832" s="1779"/>
      <c r="R832" s="1779"/>
      <c r="S832" s="1779"/>
      <c r="T832" s="1779"/>
      <c r="U832" s="1779"/>
      <c r="V832" s="1779"/>
      <c r="W832" s="43"/>
      <c r="X832" s="1779"/>
      <c r="Y832" s="1779"/>
      <c r="Z832" s="1779"/>
      <c r="AA832" s="1779"/>
      <c r="AB832" s="1779"/>
      <c r="AC832" s="1779"/>
      <c r="AD832" s="1779"/>
      <c r="AE832" s="1779"/>
      <c r="AF832" s="1779"/>
      <c r="AG832" s="1779"/>
      <c r="AH832" s="1779"/>
      <c r="AI832" s="1779"/>
      <c r="AJ832" s="1779"/>
      <c r="AK832" s="1779"/>
      <c r="AL832" s="1779"/>
      <c r="AM832" s="1779"/>
      <c r="AN832" s="1779"/>
      <c r="AO832" s="1779"/>
      <c r="AP832" s="1779"/>
      <c r="AQ832" s="1779"/>
      <c r="AR832" s="1779"/>
      <c r="AS832" s="1779"/>
      <c r="AT832" s="1779"/>
      <c r="AU832" s="1779"/>
      <c r="AV832" s="1779"/>
    </row>
    <row r="833" spans="1:48" ht="33.75">
      <c r="A833" s="768"/>
      <c r="B833" s="762" t="s">
        <v>1248</v>
      </c>
      <c r="C833" s="762" t="s">
        <v>507</v>
      </c>
      <c r="D833" s="1599"/>
      <c r="E833" s="2245" t="s">
        <v>1947</v>
      </c>
      <c r="F833" s="763">
        <v>2312</v>
      </c>
      <c r="G833" s="772" t="s">
        <v>3576</v>
      </c>
      <c r="H833" s="2657"/>
      <c r="I833" s="2657">
        <v>783</v>
      </c>
      <c r="J833" s="2658"/>
      <c r="K833" s="2659"/>
      <c r="L833" s="2660"/>
      <c r="M833" s="2657">
        <v>1500</v>
      </c>
      <c r="N833" s="154" t="s">
        <v>3575</v>
      </c>
      <c r="O833" s="86"/>
      <c r="P833" s="1817" t="e">
        <f>INDEX(#REF!,MATCH(F833,#REF!,0),2)</f>
        <v>#REF!</v>
      </c>
      <c r="Q833" s="1779"/>
      <c r="R833" s="1779"/>
      <c r="S833" s="1779"/>
      <c r="T833" s="1779"/>
      <c r="U833" s="1779"/>
      <c r="V833" s="1779"/>
      <c r="W833" s="43"/>
      <c r="X833" s="1779"/>
      <c r="Y833" s="1779"/>
      <c r="Z833" s="1779"/>
      <c r="AA833" s="1779"/>
      <c r="AB833" s="1779"/>
      <c r="AC833" s="1779"/>
      <c r="AD833" s="1779"/>
      <c r="AE833" s="1779"/>
      <c r="AF833" s="1779"/>
      <c r="AG833" s="1779"/>
      <c r="AH833" s="1779"/>
      <c r="AI833" s="1779"/>
      <c r="AJ833" s="1779"/>
      <c r="AK833" s="1779"/>
      <c r="AL833" s="1779"/>
      <c r="AM833" s="1779"/>
      <c r="AN833" s="1779"/>
      <c r="AO833" s="1779"/>
      <c r="AP833" s="1779"/>
      <c r="AQ833" s="1779"/>
      <c r="AR833" s="1779"/>
      <c r="AS833" s="1779"/>
      <c r="AT833" s="1779"/>
      <c r="AU833" s="1779"/>
      <c r="AV833" s="1779"/>
    </row>
    <row r="834" spans="1:48">
      <c r="A834" s="768"/>
      <c r="B834" s="762" t="s">
        <v>1248</v>
      </c>
      <c r="C834" s="762" t="s">
        <v>507</v>
      </c>
      <c r="D834" s="1599"/>
      <c r="E834" s="2245" t="s">
        <v>1947</v>
      </c>
      <c r="F834" s="763">
        <v>2312</v>
      </c>
      <c r="G834" s="772" t="s">
        <v>1366</v>
      </c>
      <c r="H834" s="2657"/>
      <c r="I834" s="2657">
        <v>500</v>
      </c>
      <c r="J834" s="2658"/>
      <c r="K834" s="2659"/>
      <c r="L834" s="2660"/>
      <c r="M834" s="2657">
        <v>500</v>
      </c>
      <c r="N834" s="154" t="s">
        <v>3577</v>
      </c>
      <c r="O834" s="86"/>
      <c r="P834" s="1817" t="e">
        <f>INDEX(#REF!,MATCH(F834,#REF!,0),2)</f>
        <v>#REF!</v>
      </c>
      <c r="Q834" s="1779"/>
      <c r="R834" s="1779"/>
      <c r="S834" s="1779"/>
      <c r="T834" s="1779"/>
      <c r="U834" s="1779"/>
      <c r="V834" s="1779"/>
      <c r="W834" s="43"/>
      <c r="X834" s="1779"/>
      <c r="Y834" s="1779"/>
      <c r="Z834" s="1779"/>
      <c r="AA834" s="1779"/>
      <c r="AB834" s="1779"/>
      <c r="AC834" s="1779"/>
      <c r="AD834" s="1779"/>
      <c r="AE834" s="1779"/>
      <c r="AF834" s="1779"/>
      <c r="AG834" s="1779"/>
      <c r="AH834" s="1779"/>
      <c r="AI834" s="1779"/>
      <c r="AJ834" s="1779"/>
      <c r="AK834" s="1779"/>
      <c r="AL834" s="1779"/>
      <c r="AM834" s="1779"/>
      <c r="AN834" s="1779"/>
      <c r="AO834" s="1779"/>
      <c r="AP834" s="1779"/>
      <c r="AQ834" s="1779"/>
      <c r="AR834" s="1779"/>
      <c r="AS834" s="1779"/>
      <c r="AT834" s="1779"/>
      <c r="AU834" s="1779"/>
      <c r="AV834" s="1779"/>
    </row>
    <row r="835" spans="1:48" ht="33.75">
      <c r="A835" s="862"/>
      <c r="B835" s="863" t="s">
        <v>1248</v>
      </c>
      <c r="C835" s="863" t="s">
        <v>654</v>
      </c>
      <c r="D835" s="1609"/>
      <c r="E835" s="2268" t="s">
        <v>1947</v>
      </c>
      <c r="F835" s="864">
        <v>2312</v>
      </c>
      <c r="G835" s="2590" t="s">
        <v>3578</v>
      </c>
      <c r="H835" s="2657"/>
      <c r="I835" s="2657">
        <v>600</v>
      </c>
      <c r="J835" s="2658"/>
      <c r="K835" s="2659"/>
      <c r="L835" s="2660"/>
      <c r="M835" s="2657">
        <v>600</v>
      </c>
      <c r="N835" s="149"/>
      <c r="O835" s="86"/>
      <c r="P835" s="1817" t="e">
        <f>INDEX(#REF!,MATCH(F835,#REF!,0),2)</f>
        <v>#REF!</v>
      </c>
      <c r="Q835" s="1779"/>
      <c r="R835" s="1779"/>
      <c r="S835" s="1779"/>
      <c r="T835" s="1779"/>
      <c r="U835" s="1779"/>
      <c r="V835" s="1779"/>
      <c r="W835" s="43"/>
      <c r="X835" s="1779"/>
      <c r="Y835" s="1779"/>
      <c r="Z835" s="1779"/>
      <c r="AA835" s="1779"/>
      <c r="AB835" s="1779"/>
      <c r="AC835" s="1779"/>
      <c r="AD835" s="1779"/>
      <c r="AE835" s="1779"/>
      <c r="AF835" s="1779"/>
      <c r="AG835" s="1779"/>
      <c r="AH835" s="1779"/>
      <c r="AI835" s="1779"/>
      <c r="AJ835" s="1779"/>
      <c r="AK835" s="1779"/>
      <c r="AL835" s="1779"/>
      <c r="AM835" s="1779"/>
      <c r="AN835" s="1779"/>
      <c r="AO835" s="1779"/>
      <c r="AP835" s="1779"/>
      <c r="AQ835" s="1779"/>
      <c r="AR835" s="1779"/>
      <c r="AS835" s="1779"/>
      <c r="AT835" s="1779"/>
      <c r="AU835" s="1779"/>
      <c r="AV835" s="1779"/>
    </row>
    <row r="836" spans="1:48">
      <c r="A836" s="4144" t="s">
        <v>1133</v>
      </c>
      <c r="B836" s="4145" t="s">
        <v>1248</v>
      </c>
      <c r="C836" s="4111" t="s">
        <v>507</v>
      </c>
      <c r="D836" s="4112"/>
      <c r="E836" s="4113" t="s">
        <v>1947</v>
      </c>
      <c r="F836" s="4114">
        <v>2312</v>
      </c>
      <c r="G836" s="4146" t="s">
        <v>3645</v>
      </c>
      <c r="H836" s="4139"/>
      <c r="I836" s="4139"/>
      <c r="J836" s="4140"/>
      <c r="K836" s="4141"/>
      <c r="L836" s="4141"/>
      <c r="M836" s="4119">
        <v>0</v>
      </c>
      <c r="N836" s="4110" t="s">
        <v>5781</v>
      </c>
      <c r="O836" s="86"/>
      <c r="P836" s="1817"/>
      <c r="Q836" s="1779"/>
      <c r="R836" s="1779"/>
      <c r="S836" s="1779"/>
      <c r="T836" s="1779"/>
      <c r="U836" s="1779"/>
      <c r="V836" s="1779"/>
      <c r="W836" s="43"/>
      <c r="X836" s="1779"/>
      <c r="Y836" s="1779"/>
      <c r="Z836" s="1779"/>
      <c r="AA836" s="1779"/>
      <c r="AB836" s="1779"/>
      <c r="AC836" s="1779"/>
      <c r="AD836" s="1779"/>
      <c r="AE836" s="1779"/>
      <c r="AF836" s="1779"/>
      <c r="AG836" s="1779"/>
      <c r="AH836" s="1779"/>
      <c r="AI836" s="1779"/>
      <c r="AJ836" s="1779"/>
      <c r="AK836" s="1779"/>
      <c r="AL836" s="1779"/>
      <c r="AM836" s="1779"/>
      <c r="AN836" s="1779"/>
      <c r="AO836" s="1779"/>
      <c r="AP836" s="1779"/>
      <c r="AQ836" s="1779"/>
      <c r="AR836" s="1779"/>
      <c r="AS836" s="1779"/>
      <c r="AT836" s="1779"/>
      <c r="AU836" s="1779"/>
      <c r="AV836" s="1779"/>
    </row>
    <row r="837" spans="1:48" ht="56.25">
      <c r="A837" s="1914"/>
      <c r="B837" s="863" t="s">
        <v>1248</v>
      </c>
      <c r="C837" s="762" t="s">
        <v>507</v>
      </c>
      <c r="D837" s="1599"/>
      <c r="E837" s="2245" t="s">
        <v>1947</v>
      </c>
      <c r="F837" s="763">
        <v>2312</v>
      </c>
      <c r="G837" s="1884" t="s">
        <v>3278</v>
      </c>
      <c r="H837" s="2657"/>
      <c r="I837" s="2657">
        <v>1217</v>
      </c>
      <c r="J837" s="2658"/>
      <c r="K837" s="2659"/>
      <c r="L837" s="2660"/>
      <c r="M837" s="2660"/>
      <c r="N837" s="149"/>
      <c r="O837" s="86"/>
      <c r="P837" s="1817" t="e">
        <f>INDEX(#REF!,MATCH(F837,#REF!,0),2)</f>
        <v>#REF!</v>
      </c>
      <c r="Q837" s="1779"/>
      <c r="R837" s="1779"/>
      <c r="S837" s="1779"/>
      <c r="T837" s="1779"/>
      <c r="U837" s="1779"/>
      <c r="V837" s="1779"/>
      <c r="W837" s="43"/>
      <c r="X837" s="1779"/>
      <c r="Y837" s="1779"/>
      <c r="Z837" s="1779"/>
      <c r="AA837" s="1779"/>
      <c r="AB837" s="1779"/>
      <c r="AC837" s="1779"/>
      <c r="AD837" s="1779"/>
      <c r="AE837" s="1779"/>
      <c r="AF837" s="1779"/>
      <c r="AG837" s="1779"/>
      <c r="AH837" s="1779"/>
      <c r="AI837" s="1779"/>
      <c r="AJ837" s="1779"/>
      <c r="AK837" s="1779"/>
      <c r="AL837" s="1779"/>
      <c r="AM837" s="1779"/>
      <c r="AN837" s="1779"/>
      <c r="AO837" s="1779"/>
      <c r="AP837" s="1779"/>
      <c r="AQ837" s="1779"/>
      <c r="AR837" s="1779"/>
      <c r="AS837" s="1779"/>
      <c r="AT837" s="1779"/>
      <c r="AU837" s="1779"/>
      <c r="AV837" s="1779"/>
    </row>
    <row r="838" spans="1:48">
      <c r="A838" s="854"/>
      <c r="B838" s="755" t="s">
        <v>1249</v>
      </c>
      <c r="C838" s="755" t="s">
        <v>507</v>
      </c>
      <c r="D838" s="1600">
        <v>812</v>
      </c>
      <c r="E838" s="2247" t="s">
        <v>1947</v>
      </c>
      <c r="F838" s="756">
        <v>2312</v>
      </c>
      <c r="G838" s="757" t="s">
        <v>249</v>
      </c>
      <c r="H838" s="2604"/>
      <c r="I838" s="2604"/>
      <c r="J838" s="2635"/>
      <c r="K838" s="2647"/>
      <c r="L838" s="2604">
        <v>6300</v>
      </c>
      <c r="M838" s="2606"/>
      <c r="N838" s="73"/>
      <c r="O838" s="86"/>
      <c r="P838" s="1817" t="e">
        <f>INDEX(#REF!,MATCH(F838,#REF!,0),2)</f>
        <v>#REF!</v>
      </c>
      <c r="Q838" s="1779"/>
      <c r="R838" s="1779"/>
      <c r="S838" s="1779"/>
      <c r="T838" s="1779"/>
      <c r="U838" s="1779"/>
      <c r="V838" s="1779"/>
      <c r="W838" s="43"/>
      <c r="X838" s="1779"/>
      <c r="Y838" s="1779"/>
      <c r="Z838" s="1779"/>
      <c r="AA838" s="1779"/>
      <c r="AB838" s="1779"/>
      <c r="AC838" s="1779"/>
      <c r="AD838" s="1779"/>
      <c r="AE838" s="1779"/>
      <c r="AF838" s="1779"/>
      <c r="AG838" s="1779"/>
      <c r="AH838" s="1779"/>
      <c r="AI838" s="1779"/>
      <c r="AJ838" s="1779"/>
      <c r="AK838" s="1779"/>
      <c r="AL838" s="1779"/>
      <c r="AM838" s="1779"/>
      <c r="AN838" s="1779"/>
      <c r="AO838" s="1779"/>
      <c r="AP838" s="1779"/>
      <c r="AQ838" s="1779"/>
      <c r="AR838" s="1779"/>
      <c r="AS838" s="1779"/>
      <c r="AT838" s="1779"/>
      <c r="AU838" s="1779"/>
      <c r="AV838" s="1779"/>
    </row>
    <row r="839" spans="1:48" ht="22.5">
      <c r="A839" s="768"/>
      <c r="B839" s="863" t="s">
        <v>1249</v>
      </c>
      <c r="C839" s="762" t="s">
        <v>507</v>
      </c>
      <c r="D839" s="1599"/>
      <c r="E839" s="2245" t="s">
        <v>1947</v>
      </c>
      <c r="F839" s="763">
        <v>2312</v>
      </c>
      <c r="G839" s="2590" t="s">
        <v>3579</v>
      </c>
      <c r="H839" s="2657"/>
      <c r="I839" s="2657">
        <v>0</v>
      </c>
      <c r="J839" s="2658"/>
      <c r="K839" s="2659"/>
      <c r="L839" s="2660"/>
      <c r="M839" s="4132">
        <v>6300</v>
      </c>
      <c r="N839" s="3125" t="s">
        <v>5782</v>
      </c>
      <c r="O839" s="86"/>
      <c r="P839" s="1817" t="e">
        <f>INDEX(#REF!,MATCH(F839,#REF!,0),2)</f>
        <v>#REF!</v>
      </c>
      <c r="Q839" s="1779"/>
      <c r="R839" s="1779"/>
      <c r="S839" s="1779"/>
      <c r="T839" s="1779"/>
      <c r="U839" s="1779"/>
      <c r="V839" s="1779"/>
      <c r="W839" s="43"/>
      <c r="X839" s="1779"/>
      <c r="Y839" s="1779"/>
      <c r="Z839" s="1779"/>
      <c r="AA839" s="1779"/>
      <c r="AB839" s="1779"/>
      <c r="AC839" s="1779"/>
      <c r="AD839" s="1779"/>
      <c r="AE839" s="1779"/>
      <c r="AF839" s="1779"/>
      <c r="AG839" s="1779"/>
      <c r="AH839" s="1779"/>
      <c r="AI839" s="1779"/>
      <c r="AJ839" s="1779"/>
      <c r="AK839" s="1779"/>
      <c r="AL839" s="1779"/>
      <c r="AM839" s="1779"/>
      <c r="AN839" s="1779"/>
      <c r="AO839" s="1779"/>
      <c r="AP839" s="1779"/>
      <c r="AQ839" s="1779"/>
      <c r="AR839" s="1779"/>
      <c r="AS839" s="1779"/>
      <c r="AT839" s="1779"/>
      <c r="AU839" s="1779"/>
      <c r="AV839" s="1779"/>
    </row>
    <row r="840" spans="1:48">
      <c r="A840" s="854"/>
      <c r="B840" s="755" t="s">
        <v>1248</v>
      </c>
      <c r="C840" s="755" t="s">
        <v>505</v>
      </c>
      <c r="D840" s="1600">
        <v>812</v>
      </c>
      <c r="E840" s="2247" t="s">
        <v>1947</v>
      </c>
      <c r="F840" s="756">
        <v>2321</v>
      </c>
      <c r="G840" s="757" t="s">
        <v>317</v>
      </c>
      <c r="H840" s="2604">
        <v>115000</v>
      </c>
      <c r="I840" s="2604"/>
      <c r="J840" s="2635">
        <v>83808.42</v>
      </c>
      <c r="K840" s="2647"/>
      <c r="L840" s="2604">
        <v>100000</v>
      </c>
      <c r="M840" s="2604"/>
      <c r="N840" s="388" t="s">
        <v>5797</v>
      </c>
      <c r="O840" s="86"/>
      <c r="P840" s="1817" t="e">
        <f>INDEX(#REF!,MATCH(F840,#REF!,0),2)</f>
        <v>#REF!</v>
      </c>
      <c r="Q840" s="1779"/>
      <c r="R840" s="1779"/>
      <c r="S840" s="1779"/>
      <c r="T840" s="1779"/>
      <c r="U840" s="1779"/>
      <c r="V840" s="1779"/>
      <c r="W840" s="43"/>
      <c r="X840" s="1779"/>
      <c r="Y840" s="1779"/>
      <c r="Z840" s="1779"/>
      <c r="AA840" s="1779"/>
      <c r="AB840" s="1779"/>
      <c r="AC840" s="1779"/>
      <c r="AD840" s="1779"/>
      <c r="AE840" s="1779"/>
      <c r="AF840" s="1779"/>
      <c r="AG840" s="1779"/>
      <c r="AH840" s="1779"/>
      <c r="AI840" s="1779"/>
      <c r="AJ840" s="1779"/>
      <c r="AK840" s="1779"/>
      <c r="AL840" s="1779"/>
      <c r="AM840" s="1779"/>
      <c r="AN840" s="1779"/>
      <c r="AO840" s="1779"/>
      <c r="AP840" s="1779"/>
      <c r="AQ840" s="1779"/>
      <c r="AR840" s="1779"/>
      <c r="AS840" s="1779"/>
      <c r="AT840" s="1779"/>
      <c r="AU840" s="1779"/>
      <c r="AV840" s="1779"/>
    </row>
    <row r="841" spans="1:48">
      <c r="A841" s="768"/>
      <c r="B841" s="762" t="s">
        <v>1248</v>
      </c>
      <c r="C841" s="762" t="s">
        <v>505</v>
      </c>
      <c r="D841" s="1599"/>
      <c r="E841" s="2245" t="s">
        <v>1947</v>
      </c>
      <c r="F841" s="763">
        <v>2321</v>
      </c>
      <c r="G841" s="772" t="s">
        <v>318</v>
      </c>
      <c r="H841" s="2657"/>
      <c r="I841" s="2657">
        <v>115000</v>
      </c>
      <c r="J841" s="2658"/>
      <c r="K841" s="2659"/>
      <c r="L841" s="2657"/>
      <c r="M841" s="2657">
        <v>100000</v>
      </c>
      <c r="N841" s="149"/>
      <c r="O841" s="86"/>
      <c r="P841" s="1817" t="e">
        <f>INDEX(#REF!,MATCH(F841,#REF!,0),2)</f>
        <v>#REF!</v>
      </c>
      <c r="Q841" s="11"/>
      <c r="R841" s="11"/>
      <c r="S841" s="11"/>
      <c r="T841" s="11"/>
      <c r="U841" s="11"/>
      <c r="V841" s="11"/>
      <c r="W841" s="4"/>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row>
    <row r="842" spans="1:48" s="2103" customFormat="1">
      <c r="A842" s="2247"/>
      <c r="B842" s="2247" t="s">
        <v>1248</v>
      </c>
      <c r="C842" s="2247" t="s">
        <v>505</v>
      </c>
      <c r="D842" s="4148">
        <v>812</v>
      </c>
      <c r="E842" s="2247" t="s">
        <v>1947</v>
      </c>
      <c r="F842" s="4149">
        <v>2322</v>
      </c>
      <c r="G842" s="4150" t="s">
        <v>319</v>
      </c>
      <c r="H842" s="4151">
        <v>1158.3</v>
      </c>
      <c r="I842" s="4151"/>
      <c r="J842" s="4151">
        <v>890</v>
      </c>
      <c r="K842" s="4152"/>
      <c r="L842" s="4151">
        <v>1600.8</v>
      </c>
      <c r="M842" s="4151"/>
      <c r="N842" s="4153"/>
      <c r="O842" s="2101"/>
      <c r="P842" s="159" t="e">
        <f>INDEX(#REF!,MATCH(F842,#REF!,0),2)</f>
        <v>#REF!</v>
      </c>
      <c r="Q842" s="2102"/>
      <c r="R842" s="2102"/>
      <c r="S842" s="2102"/>
      <c r="T842" s="2102"/>
      <c r="U842" s="2102"/>
      <c r="V842" s="2102"/>
      <c r="W842" s="2102"/>
      <c r="X842" s="2102"/>
      <c r="Y842" s="2102"/>
      <c r="Z842" s="2102"/>
      <c r="AA842" s="2102"/>
      <c r="AB842" s="2102"/>
      <c r="AC842" s="2102"/>
      <c r="AD842" s="2102"/>
      <c r="AE842" s="2102"/>
      <c r="AF842" s="2102"/>
      <c r="AG842" s="2102"/>
      <c r="AH842" s="2102"/>
      <c r="AI842" s="2102"/>
      <c r="AJ842" s="2102"/>
      <c r="AK842" s="2102"/>
      <c r="AL842" s="2102"/>
      <c r="AM842" s="2102"/>
      <c r="AN842" s="2102"/>
      <c r="AO842" s="2102"/>
      <c r="AP842" s="2102"/>
      <c r="AQ842" s="2102"/>
      <c r="AR842" s="2102"/>
      <c r="AS842" s="2102"/>
      <c r="AT842" s="2102"/>
      <c r="AU842" s="2102"/>
      <c r="AV842" s="2102"/>
    </row>
    <row r="843" spans="1:48" ht="22.5">
      <c r="A843" s="768"/>
      <c r="B843" s="762" t="s">
        <v>1248</v>
      </c>
      <c r="C843" s="762" t="s">
        <v>505</v>
      </c>
      <c r="D843" s="1599"/>
      <c r="E843" s="2245" t="s">
        <v>1947</v>
      </c>
      <c r="F843" s="763">
        <v>2322</v>
      </c>
      <c r="G843" s="2590" t="s">
        <v>3580</v>
      </c>
      <c r="H843" s="2657"/>
      <c r="I843" s="2657">
        <v>1158.3</v>
      </c>
      <c r="J843" s="2658"/>
      <c r="K843" s="2659"/>
      <c r="L843" s="2660"/>
      <c r="M843" s="2657">
        <v>1060.8</v>
      </c>
      <c r="N843" s="149"/>
      <c r="O843" s="86"/>
      <c r="P843" s="1817" t="e">
        <f>INDEX(#REF!,MATCH(F843,#REF!,0),2)</f>
        <v>#REF!</v>
      </c>
    </row>
    <row r="844" spans="1:48">
      <c r="A844" s="4144" t="s">
        <v>1133</v>
      </c>
      <c r="B844" s="4111" t="s">
        <v>1248</v>
      </c>
      <c r="C844" s="4111" t="s">
        <v>505</v>
      </c>
      <c r="D844" s="4112"/>
      <c r="E844" s="4113" t="s">
        <v>1947</v>
      </c>
      <c r="F844" s="4114">
        <v>2322</v>
      </c>
      <c r="G844" s="4147" t="s">
        <v>5783</v>
      </c>
      <c r="H844" s="4139"/>
      <c r="I844" s="4139"/>
      <c r="J844" s="4140"/>
      <c r="K844" s="4141"/>
      <c r="L844" s="4141"/>
      <c r="M844" s="4139">
        <v>540</v>
      </c>
      <c r="N844" s="149"/>
      <c r="O844" s="86"/>
      <c r="P844" s="1817"/>
    </row>
    <row r="845" spans="1:48">
      <c r="A845" s="854"/>
      <c r="B845" s="755" t="s">
        <v>1248</v>
      </c>
      <c r="C845" s="755" t="s">
        <v>507</v>
      </c>
      <c r="D845" s="1600">
        <v>812</v>
      </c>
      <c r="E845" s="2247" t="s">
        <v>1947</v>
      </c>
      <c r="F845" s="756">
        <v>2341</v>
      </c>
      <c r="G845" s="757" t="s">
        <v>320</v>
      </c>
      <c r="H845" s="2604">
        <v>152</v>
      </c>
      <c r="I845" s="2604"/>
      <c r="J845" s="2635"/>
      <c r="K845" s="2647"/>
      <c r="L845" s="2604">
        <v>200</v>
      </c>
      <c r="M845" s="2604"/>
      <c r="N845" s="149"/>
      <c r="O845" s="86"/>
      <c r="P845" s="1817" t="e">
        <f>INDEX(#REF!,MATCH(F845,#REF!,0),2)</f>
        <v>#REF!</v>
      </c>
      <c r="Q845" s="1779"/>
      <c r="R845" s="1779"/>
      <c r="S845" s="1779"/>
      <c r="T845" s="1779"/>
      <c r="U845" s="1779"/>
      <c r="V845" s="1779"/>
      <c r="W845" s="43"/>
      <c r="X845" s="1779"/>
      <c r="Y845" s="1779"/>
      <c r="Z845" s="1779"/>
      <c r="AA845" s="1779"/>
      <c r="AB845" s="1779"/>
      <c r="AC845" s="1779"/>
      <c r="AD845" s="1779"/>
      <c r="AE845" s="1779"/>
      <c r="AF845" s="1779"/>
      <c r="AG845" s="1779"/>
      <c r="AH845" s="1779"/>
      <c r="AI845" s="1779"/>
      <c r="AJ845" s="1779"/>
      <c r="AK845" s="1779"/>
      <c r="AL845" s="1779"/>
      <c r="AM845" s="1779"/>
      <c r="AN845" s="1779"/>
      <c r="AO845" s="1779"/>
      <c r="AP845" s="1779"/>
      <c r="AQ845" s="1779"/>
      <c r="AR845" s="1779"/>
      <c r="AS845" s="1779"/>
      <c r="AT845" s="1779"/>
      <c r="AU845" s="1779"/>
      <c r="AV845" s="1779"/>
    </row>
    <row r="846" spans="1:48">
      <c r="A846" s="768"/>
      <c r="B846" s="762" t="s">
        <v>1248</v>
      </c>
      <c r="C846" s="762" t="s">
        <v>507</v>
      </c>
      <c r="D846" s="1599"/>
      <c r="E846" s="2245" t="s">
        <v>1947</v>
      </c>
      <c r="F846" s="763">
        <v>2341</v>
      </c>
      <c r="G846" s="772" t="s">
        <v>321</v>
      </c>
      <c r="H846" s="2657"/>
      <c r="I846" s="2657">
        <v>200</v>
      </c>
      <c r="J846" s="2658"/>
      <c r="K846" s="2659"/>
      <c r="L846" s="2657"/>
      <c r="M846" s="2657">
        <v>200</v>
      </c>
      <c r="N846" s="149"/>
      <c r="O846" s="86"/>
      <c r="P846" s="1817" t="e">
        <f>INDEX(#REF!,MATCH(F846,#REF!,0),2)</f>
        <v>#REF!</v>
      </c>
      <c r="Q846" s="1779"/>
      <c r="R846" s="1779"/>
      <c r="S846" s="1779"/>
      <c r="T846" s="1779"/>
      <c r="U846" s="1779"/>
      <c r="V846" s="1779"/>
      <c r="W846" s="43"/>
      <c r="X846" s="1779"/>
      <c r="Y846" s="1779"/>
      <c r="Z846" s="1779"/>
      <c r="AA846" s="1779"/>
      <c r="AB846" s="1779"/>
      <c r="AC846" s="1779"/>
      <c r="AD846" s="1779"/>
      <c r="AE846" s="1779"/>
      <c r="AF846" s="1779"/>
      <c r="AG846" s="1779"/>
      <c r="AH846" s="1779"/>
      <c r="AI846" s="1779"/>
      <c r="AJ846" s="1779"/>
      <c r="AK846" s="1779"/>
      <c r="AL846" s="1779"/>
      <c r="AM846" s="1779"/>
      <c r="AN846" s="1779"/>
      <c r="AO846" s="1779"/>
      <c r="AP846" s="1779"/>
      <c r="AQ846" s="1779"/>
      <c r="AR846" s="1779"/>
      <c r="AS846" s="1779"/>
      <c r="AT846" s="1779"/>
      <c r="AU846" s="1779"/>
      <c r="AV846" s="1779"/>
    </row>
    <row r="847" spans="1:48">
      <c r="A847" s="854"/>
      <c r="B847" s="755" t="s">
        <v>1248</v>
      </c>
      <c r="C847" s="755" t="s">
        <v>505</v>
      </c>
      <c r="D847" s="1600">
        <v>812</v>
      </c>
      <c r="E847" s="2247" t="s">
        <v>1947</v>
      </c>
      <c r="F847" s="756">
        <v>2350</v>
      </c>
      <c r="G847" s="757" t="s">
        <v>322</v>
      </c>
      <c r="H847" s="2604">
        <v>8363</v>
      </c>
      <c r="I847" s="2604"/>
      <c r="J847" s="2635">
        <v>8379</v>
      </c>
      <c r="K847" s="2647"/>
      <c r="L847" s="2604">
        <v>7600</v>
      </c>
      <c r="M847" s="2604"/>
      <c r="N847" s="73"/>
      <c r="O847" s="86"/>
      <c r="P847" s="1817" t="e">
        <f>INDEX(#REF!,MATCH(F847,#REF!,0),2)</f>
        <v>#REF!</v>
      </c>
      <c r="Q847" s="1779"/>
      <c r="R847" s="1779"/>
      <c r="S847" s="1779"/>
      <c r="T847" s="1779"/>
      <c r="U847" s="1779"/>
      <c r="V847" s="1779"/>
      <c r="W847" s="43"/>
      <c r="X847" s="1779"/>
      <c r="Y847" s="1779"/>
      <c r="Z847" s="1779"/>
      <c r="AA847" s="1779"/>
      <c r="AB847" s="1779"/>
      <c r="AC847" s="1779"/>
      <c r="AD847" s="1779"/>
      <c r="AE847" s="1779"/>
      <c r="AF847" s="1779"/>
      <c r="AG847" s="1779"/>
      <c r="AH847" s="1779"/>
      <c r="AI847" s="1779"/>
      <c r="AJ847" s="1779"/>
      <c r="AK847" s="1779"/>
      <c r="AL847" s="1779"/>
      <c r="AM847" s="1779"/>
      <c r="AN847" s="1779"/>
      <c r="AO847" s="1779"/>
      <c r="AP847" s="1779"/>
      <c r="AQ847" s="1779"/>
      <c r="AR847" s="1779"/>
      <c r="AS847" s="1779"/>
      <c r="AT847" s="1779"/>
      <c r="AU847" s="1779"/>
      <c r="AV847" s="1779"/>
    </row>
    <row r="848" spans="1:48">
      <c r="A848" s="4133" t="s">
        <v>1133</v>
      </c>
      <c r="B848" s="4111" t="s">
        <v>1248</v>
      </c>
      <c r="C848" s="4111" t="s">
        <v>505</v>
      </c>
      <c r="D848" s="4112"/>
      <c r="E848" s="4113" t="s">
        <v>1947</v>
      </c>
      <c r="F848" s="4114">
        <v>2350</v>
      </c>
      <c r="G848" s="4115" t="s">
        <v>323</v>
      </c>
      <c r="H848" s="4117"/>
      <c r="I848" s="4117">
        <v>2000</v>
      </c>
      <c r="J848" s="4121"/>
      <c r="K848" s="4119"/>
      <c r="L848" s="4117"/>
      <c r="M848" s="4117">
        <v>2000</v>
      </c>
      <c r="N848" s="71" t="s">
        <v>3568</v>
      </c>
      <c r="O848" s="86"/>
      <c r="P848" s="1817" t="e">
        <f>INDEX(#REF!,MATCH(F848,#REF!,0),2)</f>
        <v>#REF!</v>
      </c>
      <c r="Q848" s="1779"/>
      <c r="R848" s="1779"/>
      <c r="S848" s="1779"/>
      <c r="T848" s="1779"/>
      <c r="U848" s="1779"/>
      <c r="V848" s="1779"/>
      <c r="W848" s="43"/>
      <c r="X848" s="1779"/>
      <c r="Y848" s="1779"/>
      <c r="Z848" s="1779"/>
      <c r="AA848" s="1779"/>
      <c r="AB848" s="1779"/>
      <c r="AC848" s="1779"/>
      <c r="AD848" s="1779"/>
      <c r="AE848" s="1779"/>
      <c r="AF848" s="1779"/>
      <c r="AG848" s="1779"/>
      <c r="AH848" s="1779"/>
      <c r="AI848" s="1779"/>
      <c r="AJ848" s="1779"/>
      <c r="AK848" s="1779"/>
      <c r="AL848" s="1779"/>
      <c r="AM848" s="1779"/>
      <c r="AN848" s="1779"/>
      <c r="AO848" s="1779"/>
      <c r="AP848" s="1779"/>
      <c r="AQ848" s="1779"/>
      <c r="AR848" s="1779"/>
      <c r="AS848" s="1779"/>
      <c r="AT848" s="1779"/>
      <c r="AU848" s="1779"/>
      <c r="AV848" s="1779"/>
    </row>
    <row r="849" spans="1:48">
      <c r="A849" s="768"/>
      <c r="B849" s="762" t="s">
        <v>1248</v>
      </c>
      <c r="C849" s="762" t="s">
        <v>505</v>
      </c>
      <c r="D849" s="1599"/>
      <c r="E849" s="2245" t="s">
        <v>1947</v>
      </c>
      <c r="F849" s="763">
        <v>2350</v>
      </c>
      <c r="G849" s="772" t="s">
        <v>324</v>
      </c>
      <c r="H849" s="2657"/>
      <c r="I849" s="2657">
        <v>4500</v>
      </c>
      <c r="J849" s="2658"/>
      <c r="K849" s="2659"/>
      <c r="L849" s="2657"/>
      <c r="M849" s="2657">
        <v>1500</v>
      </c>
      <c r="N849" s="73"/>
      <c r="O849" s="86"/>
      <c r="P849" s="1817" t="e">
        <f>INDEX(#REF!,MATCH(F849,#REF!,0),2)</f>
        <v>#REF!</v>
      </c>
      <c r="Q849" s="1779"/>
      <c r="R849" s="1779"/>
      <c r="S849" s="1779"/>
      <c r="T849" s="1779"/>
      <c r="U849" s="1779"/>
      <c r="V849" s="1779"/>
      <c r="W849" s="43"/>
      <c r="X849" s="1779"/>
      <c r="Y849" s="1779"/>
      <c r="Z849" s="1779"/>
      <c r="AA849" s="1779"/>
      <c r="AB849" s="1779"/>
      <c r="AC849" s="1779"/>
      <c r="AD849" s="1779"/>
      <c r="AE849" s="1779"/>
      <c r="AF849" s="1779"/>
      <c r="AG849" s="1779"/>
      <c r="AH849" s="1779"/>
      <c r="AI849" s="1779"/>
      <c r="AJ849" s="1779"/>
      <c r="AK849" s="1779"/>
      <c r="AL849" s="1779"/>
      <c r="AM849" s="1779"/>
      <c r="AN849" s="1779"/>
      <c r="AO849" s="1779"/>
      <c r="AP849" s="1779"/>
      <c r="AQ849" s="1779"/>
      <c r="AR849" s="1779"/>
      <c r="AS849" s="1779"/>
      <c r="AT849" s="1779"/>
      <c r="AU849" s="1779"/>
      <c r="AV849" s="1779"/>
    </row>
    <row r="850" spans="1:48">
      <c r="A850" s="4133" t="s">
        <v>1133</v>
      </c>
      <c r="B850" s="4111" t="s">
        <v>1248</v>
      </c>
      <c r="C850" s="4111" t="s">
        <v>505</v>
      </c>
      <c r="D850" s="4112"/>
      <c r="E850" s="4113" t="s">
        <v>1947</v>
      </c>
      <c r="F850" s="4114">
        <v>2350</v>
      </c>
      <c r="G850" s="4122" t="s">
        <v>324</v>
      </c>
      <c r="H850" s="4117"/>
      <c r="I850" s="4117">
        <v>1000</v>
      </c>
      <c r="J850" s="4121"/>
      <c r="K850" s="4119"/>
      <c r="L850" s="4117"/>
      <c r="M850" s="4117">
        <v>3000</v>
      </c>
      <c r="N850" s="71" t="s">
        <v>3568</v>
      </c>
      <c r="O850" s="86"/>
      <c r="P850" s="1817"/>
      <c r="Q850" s="1779"/>
      <c r="R850" s="1779"/>
      <c r="S850" s="1779"/>
      <c r="T850" s="1779"/>
      <c r="U850" s="1779"/>
      <c r="V850" s="1779"/>
      <c r="W850" s="43"/>
      <c r="X850" s="1779"/>
      <c r="Y850" s="1779"/>
      <c r="Z850" s="1779"/>
      <c r="AA850" s="1779"/>
      <c r="AB850" s="1779"/>
      <c r="AC850" s="1779"/>
      <c r="AD850" s="1779"/>
      <c r="AE850" s="1779"/>
      <c r="AF850" s="1779"/>
      <c r="AG850" s="1779"/>
      <c r="AH850" s="1779"/>
      <c r="AI850" s="1779"/>
      <c r="AJ850" s="1779"/>
      <c r="AK850" s="1779"/>
      <c r="AL850" s="1779"/>
      <c r="AM850" s="1779"/>
      <c r="AN850" s="1779"/>
      <c r="AO850" s="1779"/>
      <c r="AP850" s="1779"/>
      <c r="AQ850" s="1779"/>
      <c r="AR850" s="1779"/>
      <c r="AS850" s="1779"/>
      <c r="AT850" s="1779"/>
      <c r="AU850" s="1779"/>
      <c r="AV850" s="1779"/>
    </row>
    <row r="851" spans="1:48">
      <c r="A851" s="4133" t="s">
        <v>1133</v>
      </c>
      <c r="B851" s="4111" t="s">
        <v>1248</v>
      </c>
      <c r="C851" s="4111" t="s">
        <v>505</v>
      </c>
      <c r="D851" s="4112"/>
      <c r="E851" s="4113" t="s">
        <v>1947</v>
      </c>
      <c r="F851" s="4114">
        <v>2350</v>
      </c>
      <c r="G851" s="4122" t="s">
        <v>2165</v>
      </c>
      <c r="H851" s="4117"/>
      <c r="I851" s="4117">
        <v>1000</v>
      </c>
      <c r="J851" s="4121"/>
      <c r="K851" s="4119"/>
      <c r="L851" s="4117"/>
      <c r="M851" s="4117">
        <v>1000</v>
      </c>
      <c r="N851" s="71" t="s">
        <v>3568</v>
      </c>
      <c r="O851" s="86"/>
      <c r="P851" s="1817" t="e">
        <f>INDEX(#REF!,MATCH(F851,#REF!,0),2)</f>
        <v>#REF!</v>
      </c>
      <c r="Q851" s="1779"/>
      <c r="R851" s="1779"/>
      <c r="S851" s="1779"/>
      <c r="T851" s="1779"/>
      <c r="U851" s="1779"/>
      <c r="V851" s="1779"/>
      <c r="W851" s="43"/>
      <c r="X851" s="1779"/>
      <c r="Y851" s="1779"/>
      <c r="Z851" s="1779"/>
      <c r="AA851" s="1779"/>
      <c r="AB851" s="1779"/>
      <c r="AC851" s="1779"/>
      <c r="AD851" s="1779"/>
      <c r="AE851" s="1779"/>
      <c r="AF851" s="1779"/>
      <c r="AG851" s="1779"/>
      <c r="AH851" s="1779"/>
      <c r="AI851" s="1779"/>
      <c r="AJ851" s="1779"/>
      <c r="AK851" s="1779"/>
      <c r="AL851" s="1779"/>
      <c r="AM851" s="1779"/>
      <c r="AN851" s="1779"/>
      <c r="AO851" s="1779"/>
      <c r="AP851" s="1779"/>
      <c r="AQ851" s="1779"/>
      <c r="AR851" s="1779"/>
      <c r="AS851" s="1779"/>
      <c r="AT851" s="1779"/>
      <c r="AU851" s="1779"/>
      <c r="AV851" s="1779"/>
    </row>
    <row r="852" spans="1:48">
      <c r="A852" s="4133" t="s">
        <v>1133</v>
      </c>
      <c r="B852" s="4111" t="s">
        <v>1248</v>
      </c>
      <c r="C852" s="4111" t="s">
        <v>505</v>
      </c>
      <c r="D852" s="4112"/>
      <c r="E852" s="4113" t="s">
        <v>1947</v>
      </c>
      <c r="F852" s="4114">
        <v>2350</v>
      </c>
      <c r="G852" s="4115" t="s">
        <v>325</v>
      </c>
      <c r="H852" s="4117"/>
      <c r="I852" s="4117">
        <v>100</v>
      </c>
      <c r="J852" s="4121"/>
      <c r="K852" s="4119"/>
      <c r="L852" s="4119"/>
      <c r="M852" s="4117">
        <v>100</v>
      </c>
      <c r="N852" s="71" t="s">
        <v>3568</v>
      </c>
      <c r="O852" s="86"/>
      <c r="P852" s="1817" t="e">
        <f>INDEX(#REF!,MATCH(F852,#REF!,0),2)</f>
        <v>#REF!</v>
      </c>
      <c r="Q852" s="1779"/>
      <c r="R852" s="1779"/>
      <c r="S852" s="1779"/>
      <c r="T852" s="1779"/>
      <c r="U852" s="1779"/>
      <c r="V852" s="1779"/>
      <c r="W852" s="43"/>
      <c r="X852" s="1779"/>
      <c r="Y852" s="1779"/>
      <c r="Z852" s="1779"/>
      <c r="AA852" s="1779"/>
      <c r="AB852" s="1779"/>
      <c r="AC852" s="1779"/>
      <c r="AD852" s="1779"/>
      <c r="AE852" s="1779"/>
      <c r="AF852" s="1779"/>
      <c r="AG852" s="1779"/>
      <c r="AH852" s="1779"/>
      <c r="AI852" s="1779"/>
      <c r="AJ852" s="1779"/>
      <c r="AK852" s="1779"/>
      <c r="AL852" s="1779"/>
      <c r="AM852" s="1779"/>
      <c r="AN852" s="1779"/>
      <c r="AO852" s="1779"/>
      <c r="AP852" s="1779"/>
      <c r="AQ852" s="1779"/>
      <c r="AR852" s="1779"/>
      <c r="AS852" s="1779"/>
      <c r="AT852" s="1779"/>
      <c r="AU852" s="1779"/>
      <c r="AV852" s="1779"/>
    </row>
    <row r="853" spans="1:48">
      <c r="A853" s="854"/>
      <c r="B853" s="755" t="s">
        <v>1248</v>
      </c>
      <c r="C853" s="755" t="s">
        <v>505</v>
      </c>
      <c r="D853" s="1600">
        <v>812</v>
      </c>
      <c r="E853" s="2247" t="s">
        <v>1947</v>
      </c>
      <c r="F853" s="756">
        <v>2390</v>
      </c>
      <c r="G853" s="757" t="s">
        <v>253</v>
      </c>
      <c r="H853" s="2604">
        <v>4000</v>
      </c>
      <c r="I853" s="2604"/>
      <c r="J853" s="2635">
        <v>3439</v>
      </c>
      <c r="K853" s="2647"/>
      <c r="L853" s="2604">
        <v>4000</v>
      </c>
      <c r="M853" s="2604"/>
      <c r="N853" s="149"/>
      <c r="O853" s="86"/>
      <c r="P853" s="1817" t="e">
        <f>INDEX(#REF!,MATCH(F853,#REF!,0),2)</f>
        <v>#REF!</v>
      </c>
      <c r="Q853" s="1779"/>
      <c r="R853" s="1779"/>
      <c r="S853" s="1779"/>
      <c r="T853" s="1779"/>
      <c r="U853" s="1779"/>
      <c r="V853" s="1779"/>
      <c r="W853" s="43"/>
      <c r="X853" s="1779"/>
      <c r="Y853" s="1779"/>
      <c r="Z853" s="1779"/>
      <c r="AA853" s="1779"/>
      <c r="AB853" s="1779"/>
      <c r="AC853" s="1779"/>
      <c r="AD853" s="1779"/>
      <c r="AE853" s="1779"/>
      <c r="AF853" s="1779"/>
      <c r="AG853" s="1779"/>
      <c r="AH853" s="1779"/>
      <c r="AI853" s="1779"/>
      <c r="AJ853" s="1779"/>
      <c r="AK853" s="1779"/>
      <c r="AL853" s="1779"/>
      <c r="AM853" s="1779"/>
      <c r="AN853" s="1779"/>
      <c r="AO853" s="1779"/>
      <c r="AP853" s="1779"/>
      <c r="AQ853" s="1779"/>
      <c r="AR853" s="1779"/>
      <c r="AS853" s="1779"/>
      <c r="AT853" s="1779"/>
      <c r="AU853" s="1779"/>
      <c r="AV853" s="1779"/>
    </row>
    <row r="854" spans="1:48" ht="22.5">
      <c r="A854" s="768"/>
      <c r="B854" s="762" t="s">
        <v>1248</v>
      </c>
      <c r="C854" s="762" t="s">
        <v>505</v>
      </c>
      <c r="D854" s="1599"/>
      <c r="E854" s="2245" t="s">
        <v>1947</v>
      </c>
      <c r="F854" s="763">
        <v>2390</v>
      </c>
      <c r="G854" s="772" t="s">
        <v>2677</v>
      </c>
      <c r="H854" s="2657"/>
      <c r="I854" s="2657">
        <v>4000</v>
      </c>
      <c r="J854" s="2658"/>
      <c r="K854" s="2659"/>
      <c r="L854" s="2657"/>
      <c r="M854" s="2657">
        <v>4000</v>
      </c>
      <c r="N854" s="73"/>
      <c r="O854" s="86"/>
      <c r="P854" s="1817" t="e">
        <f>INDEX(#REF!,MATCH(F854,#REF!,0),2)</f>
        <v>#REF!</v>
      </c>
      <c r="Q854" s="1779"/>
      <c r="R854" s="1779"/>
      <c r="S854" s="1779"/>
      <c r="T854" s="1779"/>
      <c r="U854" s="1779"/>
      <c r="V854" s="1779"/>
      <c r="W854" s="43"/>
      <c r="X854" s="1779"/>
      <c r="Y854" s="1779"/>
      <c r="Z854" s="1779"/>
      <c r="AA854" s="1779"/>
      <c r="AB854" s="1779"/>
      <c r="AC854" s="1779"/>
      <c r="AD854" s="1779"/>
      <c r="AE854" s="1779"/>
      <c r="AF854" s="1779"/>
      <c r="AG854" s="1779"/>
      <c r="AH854" s="1779"/>
      <c r="AI854" s="1779"/>
      <c r="AJ854" s="1779"/>
      <c r="AK854" s="1779"/>
      <c r="AL854" s="1779"/>
      <c r="AM854" s="1779"/>
      <c r="AN854" s="1779"/>
      <c r="AO854" s="1779"/>
      <c r="AP854" s="1779"/>
      <c r="AQ854" s="1779"/>
      <c r="AR854" s="1779"/>
      <c r="AS854" s="1779"/>
      <c r="AT854" s="1779"/>
      <c r="AU854" s="1779"/>
      <c r="AV854" s="1779"/>
    </row>
    <row r="855" spans="1:48" ht="22.5">
      <c r="A855" s="755" t="s">
        <v>1085</v>
      </c>
      <c r="B855" s="775" t="s">
        <v>1249</v>
      </c>
      <c r="C855" s="755" t="s">
        <v>505</v>
      </c>
      <c r="D855" s="1600">
        <v>812</v>
      </c>
      <c r="E855" s="2247" t="s">
        <v>1947</v>
      </c>
      <c r="F855" s="756">
        <v>3263</v>
      </c>
      <c r="G855" s="757" t="s">
        <v>314</v>
      </c>
      <c r="H855" s="2604">
        <v>61395</v>
      </c>
      <c r="I855" s="2604"/>
      <c r="J855" s="2635">
        <v>61395</v>
      </c>
      <c r="K855" s="2659"/>
      <c r="L855" s="2604">
        <v>80075</v>
      </c>
      <c r="M855" s="2604"/>
      <c r="N855" s="73"/>
      <c r="O855" s="86"/>
      <c r="P855" s="1817" t="e">
        <f>INDEX(#REF!,MATCH(F855,#REF!,0),2)</f>
        <v>#REF!</v>
      </c>
      <c r="Q855" s="1779"/>
      <c r="R855" s="1779"/>
      <c r="S855" s="1779"/>
      <c r="T855" s="1779"/>
      <c r="U855" s="1779"/>
      <c r="V855" s="1779"/>
      <c r="W855" s="43"/>
      <c r="X855" s="1779"/>
      <c r="Y855" s="1779"/>
      <c r="Z855" s="1779"/>
      <c r="AA855" s="1779"/>
      <c r="AB855" s="1779"/>
      <c r="AC855" s="1779"/>
      <c r="AD855" s="1779"/>
      <c r="AE855" s="1779"/>
      <c r="AF855" s="1779"/>
      <c r="AG855" s="1779"/>
      <c r="AH855" s="1779"/>
      <c r="AI855" s="1779"/>
      <c r="AJ855" s="1779"/>
      <c r="AK855" s="1779"/>
      <c r="AL855" s="1779"/>
      <c r="AM855" s="1779"/>
      <c r="AN855" s="1779"/>
      <c r="AO855" s="1779"/>
      <c r="AP855" s="1779"/>
      <c r="AQ855" s="1779"/>
      <c r="AR855" s="1779"/>
      <c r="AS855" s="1779"/>
      <c r="AT855" s="1779"/>
      <c r="AU855" s="1779"/>
      <c r="AV855" s="1779"/>
    </row>
    <row r="856" spans="1:48" ht="22.5">
      <c r="A856" s="768"/>
      <c r="B856" s="489" t="s">
        <v>1249</v>
      </c>
      <c r="C856" s="762" t="s">
        <v>505</v>
      </c>
      <c r="D856" s="1599"/>
      <c r="E856" s="2245" t="s">
        <v>1947</v>
      </c>
      <c r="F856" s="763">
        <v>3263</v>
      </c>
      <c r="G856" s="846" t="s">
        <v>3586</v>
      </c>
      <c r="H856" s="2657"/>
      <c r="I856" s="2657">
        <v>60595</v>
      </c>
      <c r="J856" s="2658"/>
      <c r="K856" s="2659"/>
      <c r="L856" s="2657"/>
      <c r="M856" s="2657">
        <v>80075</v>
      </c>
      <c r="N856" s="13" t="s">
        <v>3585</v>
      </c>
      <c r="O856" s="86"/>
      <c r="P856" s="1817" t="e">
        <f>INDEX(#REF!,MATCH(F856,#REF!,0),2)</f>
        <v>#REF!</v>
      </c>
      <c r="Q856" s="1779"/>
      <c r="R856" s="1779"/>
      <c r="S856" s="1779"/>
      <c r="T856" s="1779"/>
      <c r="U856" s="1779"/>
      <c r="V856" s="1779"/>
      <c r="W856" s="43"/>
      <c r="X856" s="1779"/>
      <c r="Y856" s="1779"/>
      <c r="Z856" s="1779"/>
      <c r="AA856" s="1779"/>
      <c r="AB856" s="1779"/>
      <c r="AC856" s="1779"/>
      <c r="AD856" s="1779"/>
      <c r="AE856" s="1779"/>
      <c r="AF856" s="1779"/>
      <c r="AG856" s="1779"/>
      <c r="AH856" s="1779"/>
      <c r="AI856" s="1779"/>
      <c r="AJ856" s="1779"/>
      <c r="AK856" s="1779"/>
      <c r="AL856" s="1779"/>
      <c r="AM856" s="1779"/>
      <c r="AN856" s="1779"/>
      <c r="AO856" s="1779"/>
      <c r="AP856" s="1779"/>
      <c r="AQ856" s="1779"/>
      <c r="AR856" s="1779"/>
      <c r="AS856" s="1779"/>
      <c r="AT856" s="1779"/>
      <c r="AU856" s="1779"/>
      <c r="AV856" s="1779"/>
    </row>
    <row r="857" spans="1:48">
      <c r="A857" s="854"/>
      <c r="B857" s="755" t="s">
        <v>1250</v>
      </c>
      <c r="C857" s="755" t="s">
        <v>509</v>
      </c>
      <c r="D857" s="1600"/>
      <c r="E857" s="2247" t="s">
        <v>1947</v>
      </c>
      <c r="F857" s="756">
        <v>5218</v>
      </c>
      <c r="G857" s="757" t="s">
        <v>2026</v>
      </c>
      <c r="H857" s="2604">
        <v>1359</v>
      </c>
      <c r="I857" s="2604"/>
      <c r="J857" s="2604">
        <v>1359</v>
      </c>
      <c r="K857" s="2659"/>
      <c r="L857" s="2604">
        <v>0</v>
      </c>
      <c r="M857" s="2604"/>
      <c r="N857" s="13"/>
      <c r="O857" s="86"/>
      <c r="P857" s="1817" t="e">
        <f>INDEX(#REF!,MATCH(F857,#REF!,0),2)</f>
        <v>#REF!</v>
      </c>
      <c r="Q857" s="1779"/>
      <c r="R857" s="1779"/>
      <c r="S857" s="43"/>
      <c r="T857" s="1779"/>
      <c r="U857" s="1779"/>
      <c r="V857" s="1779"/>
      <c r="W857" s="1779"/>
      <c r="X857" s="1779"/>
      <c r="Y857" s="1779"/>
      <c r="Z857" s="1779"/>
      <c r="AA857" s="1779"/>
      <c r="AB857" s="1779"/>
      <c r="AC857" s="1779"/>
      <c r="AD857" s="1779"/>
      <c r="AE857" s="1779"/>
      <c r="AF857" s="1779"/>
      <c r="AG857" s="1779"/>
      <c r="AH857" s="1779"/>
      <c r="AI857" s="1779"/>
      <c r="AJ857" s="1779"/>
      <c r="AK857" s="1779"/>
      <c r="AL857" s="1779"/>
      <c r="AM857" s="1779"/>
      <c r="AN857" s="1779"/>
      <c r="AO857" s="1779"/>
      <c r="AP857" s="1779"/>
      <c r="AQ857" s="1779"/>
      <c r="AR857" s="1779"/>
    </row>
    <row r="858" spans="1:48" ht="33.75">
      <c r="A858" s="1914"/>
      <c r="B858" s="2072" t="s">
        <v>1250</v>
      </c>
      <c r="C858" s="1882" t="s">
        <v>509</v>
      </c>
      <c r="D858" s="1935"/>
      <c r="E858" s="2229" t="s">
        <v>1947</v>
      </c>
      <c r="F858" s="1936">
        <v>5218</v>
      </c>
      <c r="G858" s="1529" t="s">
        <v>3210</v>
      </c>
      <c r="H858" s="2657"/>
      <c r="I858" s="2657">
        <v>1359</v>
      </c>
      <c r="J858" s="2658"/>
      <c r="K858" s="2659"/>
      <c r="L858" s="2657"/>
      <c r="M858" s="2657"/>
      <c r="N858" s="73"/>
      <c r="O858" s="86"/>
      <c r="P858" s="1817" t="e">
        <f>INDEX(#REF!,MATCH(F858,#REF!,0),2)</f>
        <v>#REF!</v>
      </c>
      <c r="Q858" s="1779"/>
      <c r="R858" s="1779"/>
      <c r="S858" s="1779"/>
      <c r="T858" s="1779"/>
      <c r="U858" s="1779"/>
      <c r="V858" s="1779"/>
      <c r="W858" s="43"/>
      <c r="X858" s="1779"/>
      <c r="Y858" s="1779"/>
      <c r="Z858" s="1779"/>
      <c r="AA858" s="1779"/>
      <c r="AB858" s="1779"/>
      <c r="AC858" s="1779"/>
      <c r="AD858" s="1779"/>
      <c r="AE858" s="1779"/>
      <c r="AF858" s="1779"/>
      <c r="AG858" s="1779"/>
      <c r="AI858" s="1779"/>
      <c r="AJ858" s="43"/>
      <c r="AK858" s="43"/>
      <c r="AL858" s="43"/>
      <c r="AM858" s="1773"/>
      <c r="AN858" s="1789"/>
      <c r="AO858" s="1787"/>
      <c r="AQ858" s="1790"/>
      <c r="AR858" s="1788"/>
      <c r="AS858" s="1779"/>
      <c r="AT858" s="1779"/>
      <c r="AU858" s="1779"/>
      <c r="AV858" s="1779"/>
    </row>
    <row r="859" spans="1:48">
      <c r="A859" s="854"/>
      <c r="B859" s="755" t="s">
        <v>1250</v>
      </c>
      <c r="C859" s="755" t="s">
        <v>509</v>
      </c>
      <c r="D859" s="1600">
        <v>812</v>
      </c>
      <c r="E859" s="2247" t="s">
        <v>1947</v>
      </c>
      <c r="F859" s="756">
        <v>5238</v>
      </c>
      <c r="G859" s="757" t="s">
        <v>257</v>
      </c>
      <c r="H859" s="2604">
        <v>1618</v>
      </c>
      <c r="I859" s="2604"/>
      <c r="J859" s="2635">
        <v>1618</v>
      </c>
      <c r="K859" s="2647"/>
      <c r="L859" s="2604">
        <v>1500</v>
      </c>
      <c r="M859" s="2604"/>
      <c r="N859" s="73"/>
      <c r="O859" s="86"/>
      <c r="P859" s="1817" t="e">
        <f>INDEX(#REF!,MATCH(F859,#REF!,0),2)</f>
        <v>#REF!</v>
      </c>
      <c r="Q859" s="1779"/>
      <c r="R859" s="1779"/>
      <c r="S859" s="1779"/>
      <c r="T859" s="1779"/>
      <c r="U859" s="1779"/>
      <c r="V859" s="1779"/>
      <c r="W859" s="43"/>
      <c r="X859" s="1779"/>
      <c r="Y859" s="1779"/>
      <c r="Z859" s="1779"/>
      <c r="AA859" s="1779"/>
      <c r="AB859" s="1779"/>
      <c r="AC859" s="1779"/>
      <c r="AD859" s="1779"/>
      <c r="AE859" s="1779"/>
      <c r="AF859" s="1779"/>
      <c r="AG859" s="1779"/>
      <c r="AH859" s="1779"/>
      <c r="AI859" s="1779"/>
      <c r="AJ859" s="1779"/>
      <c r="AK859" s="1779"/>
      <c r="AL859" s="1779"/>
      <c r="AM859" s="1779"/>
      <c r="AN859" s="1779"/>
      <c r="AO859" s="1779"/>
      <c r="AP859" s="1779"/>
      <c r="AQ859" s="1779"/>
      <c r="AR859" s="1779"/>
      <c r="AS859" s="1779"/>
      <c r="AT859" s="1779"/>
      <c r="AU859" s="1779"/>
      <c r="AV859" s="1779"/>
    </row>
    <row r="860" spans="1:48" ht="33.75">
      <c r="A860" s="768"/>
      <c r="B860" s="762" t="s">
        <v>1250</v>
      </c>
      <c r="C860" s="762" t="s">
        <v>509</v>
      </c>
      <c r="D860" s="1599"/>
      <c r="E860" s="2245" t="s">
        <v>1947</v>
      </c>
      <c r="F860" s="763">
        <v>5238</v>
      </c>
      <c r="G860" s="2590" t="s">
        <v>3588</v>
      </c>
      <c r="H860" s="2657"/>
      <c r="I860" s="2657">
        <v>1500</v>
      </c>
      <c r="J860" s="2658"/>
      <c r="K860" s="2659"/>
      <c r="L860" s="2657"/>
      <c r="M860" s="2657">
        <v>1500</v>
      </c>
      <c r="N860" s="154" t="s">
        <v>3587</v>
      </c>
      <c r="O860" s="86"/>
      <c r="P860" s="1817" t="e">
        <f>INDEX(#REF!,MATCH(F860,#REF!,0),2)</f>
        <v>#REF!</v>
      </c>
      <c r="Q860" s="1779"/>
      <c r="R860" s="1779"/>
      <c r="S860" s="1779"/>
      <c r="T860" s="1779"/>
      <c r="U860" s="1779"/>
      <c r="V860" s="1779"/>
      <c r="W860" s="43"/>
      <c r="X860" s="1779"/>
      <c r="Y860" s="1779"/>
      <c r="Z860" s="1779"/>
      <c r="AA860" s="1779"/>
      <c r="AB860" s="1779"/>
      <c r="AC860" s="1779"/>
      <c r="AD860" s="1779"/>
      <c r="AE860" s="1779"/>
      <c r="AF860" s="1779"/>
      <c r="AG860" s="1779"/>
      <c r="AH860" s="1779"/>
      <c r="AI860" s="1779"/>
      <c r="AJ860" s="1779"/>
      <c r="AK860" s="1779"/>
      <c r="AL860" s="1779"/>
      <c r="AM860" s="1779"/>
      <c r="AN860" s="1779"/>
      <c r="AO860" s="1779"/>
      <c r="AP860" s="1779"/>
      <c r="AQ860" s="1779"/>
      <c r="AR860" s="1779"/>
      <c r="AS860" s="1779"/>
      <c r="AT860" s="1779"/>
      <c r="AU860" s="1779"/>
      <c r="AV860" s="1779"/>
    </row>
    <row r="861" spans="1:48">
      <c r="A861" s="854"/>
      <c r="B861" s="755" t="s">
        <v>1249</v>
      </c>
      <c r="C861" s="755" t="s">
        <v>509</v>
      </c>
      <c r="D861" s="1600">
        <v>812</v>
      </c>
      <c r="E861" s="2247" t="s">
        <v>1947</v>
      </c>
      <c r="F861" s="756">
        <v>5239</v>
      </c>
      <c r="G861" s="757" t="s">
        <v>996</v>
      </c>
      <c r="H861" s="2604"/>
      <c r="I861" s="2604"/>
      <c r="J861" s="2635"/>
      <c r="K861" s="2647"/>
      <c r="L861" s="2604">
        <v>3689</v>
      </c>
      <c r="M861" s="2606"/>
      <c r="N861" s="73"/>
      <c r="O861" s="86"/>
      <c r="P861" s="1817" t="e">
        <f>INDEX(#REF!,MATCH(F861,#REF!,0),2)</f>
        <v>#REF!</v>
      </c>
      <c r="Q861" s="1779"/>
      <c r="R861" s="1779"/>
      <c r="S861" s="1779"/>
      <c r="T861" s="1779"/>
      <c r="U861" s="1779"/>
      <c r="V861" s="1779"/>
      <c r="W861" s="43"/>
      <c r="X861" s="1779"/>
      <c r="Y861" s="1779"/>
      <c r="Z861" s="1779"/>
      <c r="AA861" s="1779"/>
      <c r="AB861" s="1779"/>
      <c r="AC861" s="1779"/>
      <c r="AD861" s="1779"/>
      <c r="AE861" s="1779"/>
      <c r="AF861" s="1779"/>
      <c r="AG861" s="1779"/>
      <c r="AH861" s="1779"/>
      <c r="AI861" s="1779"/>
      <c r="AJ861" s="1779"/>
      <c r="AK861" s="1779"/>
      <c r="AL861" s="1779"/>
      <c r="AM861" s="1779"/>
      <c r="AN861" s="1779"/>
      <c r="AO861" s="1779"/>
      <c r="AP861" s="1779"/>
      <c r="AQ861" s="1779"/>
      <c r="AR861" s="1779"/>
      <c r="AS861" s="1779"/>
      <c r="AT861" s="1779"/>
      <c r="AU861" s="1779"/>
      <c r="AV861" s="1779"/>
    </row>
    <row r="862" spans="1:48" ht="22.5">
      <c r="A862" s="768"/>
      <c r="B862" s="762" t="s">
        <v>1249</v>
      </c>
      <c r="C862" s="762" t="s">
        <v>509</v>
      </c>
      <c r="D862" s="1599"/>
      <c r="E862" s="2245" t="s">
        <v>1947</v>
      </c>
      <c r="F862" s="763">
        <v>5239</v>
      </c>
      <c r="G862" s="2590" t="s">
        <v>3589</v>
      </c>
      <c r="H862" s="2657"/>
      <c r="I862" s="2657"/>
      <c r="J862" s="2658"/>
      <c r="K862" s="2659"/>
      <c r="L862" s="2660"/>
      <c r="M862" s="2657">
        <v>3689</v>
      </c>
      <c r="N862" s="13" t="s">
        <v>5037</v>
      </c>
      <c r="O862" s="86"/>
      <c r="P862" s="1817"/>
      <c r="Q862" s="1779"/>
      <c r="R862" s="1779"/>
      <c r="S862" s="1779"/>
      <c r="T862" s="1779"/>
      <c r="U862" s="1779"/>
      <c r="V862" s="1779"/>
      <c r="W862" s="43"/>
      <c r="X862" s="1779"/>
      <c r="Y862" s="1779"/>
      <c r="Z862" s="1779"/>
      <c r="AA862" s="1779"/>
      <c r="AB862" s="1779"/>
      <c r="AC862" s="1779"/>
      <c r="AD862" s="1779"/>
      <c r="AE862" s="1779"/>
      <c r="AF862" s="1779"/>
      <c r="AG862" s="1779"/>
      <c r="AH862" s="1779"/>
      <c r="AI862" s="1779"/>
      <c r="AJ862" s="1779"/>
      <c r="AK862" s="1779"/>
      <c r="AL862" s="1779"/>
      <c r="AM862" s="1779"/>
      <c r="AN862" s="1779"/>
      <c r="AO862" s="1779"/>
      <c r="AP862" s="1779"/>
      <c r="AQ862" s="1779"/>
      <c r="AR862" s="1779"/>
      <c r="AS862" s="1779"/>
      <c r="AT862" s="1779"/>
      <c r="AU862" s="1779"/>
      <c r="AV862" s="1779"/>
    </row>
    <row r="863" spans="1:48">
      <c r="A863" s="854"/>
      <c r="B863" s="755" t="s">
        <v>1250</v>
      </c>
      <c r="C863" s="755" t="s">
        <v>509</v>
      </c>
      <c r="D863" s="1600">
        <v>812</v>
      </c>
      <c r="E863" s="2247" t="s">
        <v>1947</v>
      </c>
      <c r="F863" s="756">
        <v>5239</v>
      </c>
      <c r="G863" s="757" t="s">
        <v>996</v>
      </c>
      <c r="H863" s="2604">
        <v>16016</v>
      </c>
      <c r="I863" s="2604"/>
      <c r="J863" s="2635"/>
      <c r="K863" s="2647"/>
      <c r="L863" s="2604">
        <v>3300</v>
      </c>
      <c r="M863" s="2606"/>
      <c r="N863" s="73"/>
      <c r="O863" s="86"/>
      <c r="P863" s="1817" t="e">
        <f>INDEX(#REF!,MATCH(F863,#REF!,0),2)</f>
        <v>#REF!</v>
      </c>
      <c r="Q863" s="1779"/>
      <c r="R863" s="1779"/>
      <c r="S863" s="1779"/>
      <c r="T863" s="1779"/>
      <c r="U863" s="1779"/>
      <c r="V863" s="1779"/>
      <c r="W863" s="43"/>
      <c r="X863" s="1779"/>
      <c r="Y863" s="1779"/>
      <c r="Z863" s="1779"/>
      <c r="AA863" s="1779"/>
      <c r="AB863" s="1779"/>
      <c r="AC863" s="1779"/>
      <c r="AD863" s="1779"/>
      <c r="AE863" s="1779"/>
      <c r="AF863" s="1779"/>
      <c r="AG863" s="1779"/>
      <c r="AH863" s="1779"/>
      <c r="AI863" s="1779"/>
      <c r="AJ863" s="1779"/>
      <c r="AK863" s="1779"/>
      <c r="AL863" s="1779"/>
      <c r="AM863" s="1779"/>
      <c r="AN863" s="1779"/>
      <c r="AO863" s="1779"/>
      <c r="AP863" s="1779"/>
      <c r="AQ863" s="1779"/>
      <c r="AR863" s="1779"/>
      <c r="AS863" s="1779"/>
      <c r="AT863" s="1779"/>
      <c r="AU863" s="1779"/>
      <c r="AV863" s="1779"/>
    </row>
    <row r="864" spans="1:48">
      <c r="A864" s="768"/>
      <c r="B864" s="762" t="s">
        <v>1250</v>
      </c>
      <c r="C864" s="762" t="s">
        <v>509</v>
      </c>
      <c r="D864" s="1599"/>
      <c r="E864" s="2245" t="s">
        <v>1947</v>
      </c>
      <c r="F864" s="763">
        <v>5239</v>
      </c>
      <c r="G864" s="772" t="s">
        <v>3590</v>
      </c>
      <c r="H864" s="2657"/>
      <c r="I864" s="2657">
        <v>800</v>
      </c>
      <c r="J864" s="2658"/>
      <c r="K864" s="2659"/>
      <c r="L864" s="2660"/>
      <c r="M864" s="2657">
        <v>800</v>
      </c>
      <c r="N864" s="73"/>
      <c r="O864" s="86"/>
      <c r="P864" s="1817" t="e">
        <f>INDEX(#REF!,MATCH(F864,#REF!,0),2)</f>
        <v>#REF!</v>
      </c>
      <c r="Q864" s="1779"/>
      <c r="R864" s="1779"/>
      <c r="S864" s="1779"/>
      <c r="T864" s="1779"/>
      <c r="U864" s="1779"/>
      <c r="V864" s="1779"/>
      <c r="W864" s="43"/>
      <c r="X864" s="1779"/>
      <c r="Y864" s="1779"/>
      <c r="Z864" s="1779"/>
      <c r="AA864" s="1779"/>
      <c r="AB864" s="1779"/>
      <c r="AC864" s="1779"/>
      <c r="AD864" s="1779"/>
      <c r="AE864" s="1779"/>
      <c r="AF864" s="1779"/>
      <c r="AG864" s="1779"/>
      <c r="AH864" s="1779"/>
      <c r="AI864" s="1779"/>
      <c r="AJ864" s="1779"/>
      <c r="AK864" s="1779"/>
      <c r="AL864" s="1779"/>
      <c r="AM864" s="1779"/>
      <c r="AN864" s="1779"/>
      <c r="AO864" s="1779"/>
      <c r="AP864" s="1779"/>
      <c r="AQ864" s="1779"/>
      <c r="AR864" s="1779"/>
      <c r="AS864" s="1779"/>
      <c r="AT864" s="1779"/>
      <c r="AU864" s="1779"/>
      <c r="AV864" s="1779"/>
    </row>
    <row r="865" spans="1:48" ht="22.5">
      <c r="A865" s="2589"/>
      <c r="B865" s="762" t="s">
        <v>1250</v>
      </c>
      <c r="C865" s="762" t="s">
        <v>509</v>
      </c>
      <c r="D865" s="1599"/>
      <c r="E865" s="2245" t="s">
        <v>1947</v>
      </c>
      <c r="F865" s="763">
        <v>5239</v>
      </c>
      <c r="G865" s="2590" t="s">
        <v>3591</v>
      </c>
      <c r="H865" s="2657"/>
      <c r="I865" s="2657"/>
      <c r="J865" s="2658"/>
      <c r="K865" s="2659"/>
      <c r="L865" s="2660"/>
      <c r="M865" s="2657">
        <v>2500</v>
      </c>
      <c r="N865" s="73"/>
      <c r="O865" s="86"/>
      <c r="P865" s="1817"/>
      <c r="Q865" s="1779"/>
      <c r="R865" s="1779"/>
      <c r="S865" s="1779"/>
      <c r="T865" s="1779"/>
      <c r="U865" s="1779"/>
      <c r="V865" s="1779"/>
      <c r="W865" s="43"/>
      <c r="X865" s="1779"/>
      <c r="Y865" s="1779"/>
      <c r="Z865" s="1779"/>
      <c r="AA865" s="1779"/>
      <c r="AB865" s="1779"/>
      <c r="AC865" s="1779"/>
      <c r="AD865" s="1779"/>
      <c r="AE865" s="1779"/>
      <c r="AF865" s="1779"/>
      <c r="AG865" s="1779"/>
      <c r="AH865" s="1779"/>
      <c r="AI865" s="1779"/>
      <c r="AJ865" s="1779"/>
      <c r="AK865" s="1779"/>
      <c r="AL865" s="1779"/>
      <c r="AM865" s="1779"/>
      <c r="AN865" s="1779"/>
      <c r="AO865" s="1779"/>
      <c r="AP865" s="1779"/>
      <c r="AQ865" s="1779"/>
      <c r="AR865" s="1779"/>
      <c r="AS865" s="1779"/>
      <c r="AT865" s="1779"/>
      <c r="AU865" s="1779"/>
      <c r="AV865" s="1779"/>
    </row>
    <row r="866" spans="1:48" ht="33.75">
      <c r="A866" s="768"/>
      <c r="B866" s="762" t="s">
        <v>1250</v>
      </c>
      <c r="C866" s="762" t="s">
        <v>509</v>
      </c>
      <c r="D866" s="1599"/>
      <c r="E866" s="2245" t="s">
        <v>1947</v>
      </c>
      <c r="F866" s="763">
        <v>5239</v>
      </c>
      <c r="G866" s="1529" t="s">
        <v>3210</v>
      </c>
      <c r="H866" s="2657"/>
      <c r="I866" s="2657">
        <v>141</v>
      </c>
      <c r="J866" s="2658"/>
      <c r="K866" s="2659"/>
      <c r="L866" s="2660"/>
      <c r="M866" s="2660"/>
      <c r="N866" s="73"/>
      <c r="O866" s="86"/>
      <c r="P866" s="1817" t="e">
        <f>INDEX(#REF!,MATCH(F866,#REF!,0),2)</f>
        <v>#REF!</v>
      </c>
      <c r="Q866" s="1779"/>
      <c r="R866" s="1779"/>
      <c r="S866" s="1779"/>
      <c r="T866" s="1779"/>
      <c r="U866" s="1779"/>
      <c r="V866" s="1779"/>
      <c r="W866" s="43"/>
      <c r="X866" s="1779"/>
      <c r="Y866" s="1779"/>
      <c r="Z866" s="1779"/>
      <c r="AA866" s="1779"/>
      <c r="AB866" s="1779"/>
      <c r="AC866" s="1779"/>
      <c r="AD866" s="1779"/>
      <c r="AE866" s="1779"/>
      <c r="AF866" s="1779"/>
      <c r="AG866" s="1779"/>
      <c r="AH866" s="1779"/>
      <c r="AI866" s="1779"/>
      <c r="AJ866" s="1779"/>
      <c r="AK866" s="1779"/>
      <c r="AL866" s="1779"/>
      <c r="AM866" s="1779"/>
      <c r="AN866" s="1779"/>
      <c r="AO866" s="1779"/>
      <c r="AP866" s="1779"/>
      <c r="AQ866" s="1779"/>
      <c r="AR866" s="1779"/>
      <c r="AS866" s="1779"/>
      <c r="AT866" s="1779"/>
      <c r="AU866" s="1779"/>
      <c r="AV866" s="1779"/>
    </row>
    <row r="867" spans="1:48" ht="56.25">
      <c r="A867" s="1914"/>
      <c r="B867" s="762" t="s">
        <v>1250</v>
      </c>
      <c r="C867" s="762" t="s">
        <v>509</v>
      </c>
      <c r="D867" s="1599"/>
      <c r="E867" s="2245" t="s">
        <v>1947</v>
      </c>
      <c r="F867" s="763">
        <v>5239</v>
      </c>
      <c r="G867" s="1884" t="s">
        <v>3278</v>
      </c>
      <c r="H867" s="2657"/>
      <c r="I867" s="2657">
        <v>-800</v>
      </c>
      <c r="J867" s="2658"/>
      <c r="K867" s="2659"/>
      <c r="L867" s="2660"/>
      <c r="M867" s="2660"/>
      <c r="N867" s="73"/>
      <c r="O867" s="86"/>
      <c r="P867" s="1817" t="e">
        <f>INDEX(#REF!,MATCH(F867,#REF!,0),2)</f>
        <v>#REF!</v>
      </c>
      <c r="Q867" s="1779"/>
      <c r="R867" s="1779"/>
      <c r="S867" s="1779"/>
      <c r="T867" s="1779"/>
      <c r="U867" s="1779"/>
      <c r="V867" s="1779"/>
      <c r="W867" s="43"/>
      <c r="X867" s="1779"/>
      <c r="Y867" s="1779"/>
      <c r="Z867" s="1779"/>
      <c r="AA867" s="1779"/>
      <c r="AB867" s="1779"/>
      <c r="AC867" s="1779"/>
      <c r="AD867" s="1779"/>
      <c r="AE867" s="1779"/>
      <c r="AF867" s="1779"/>
      <c r="AG867" s="1779"/>
      <c r="AH867" s="1779"/>
      <c r="AI867" s="1779"/>
      <c r="AJ867" s="1779"/>
      <c r="AK867" s="1779"/>
      <c r="AL867" s="1779"/>
      <c r="AM867" s="1779"/>
      <c r="AN867" s="1779"/>
      <c r="AO867" s="1779"/>
      <c r="AP867" s="1779"/>
      <c r="AQ867" s="1779"/>
      <c r="AR867" s="1779"/>
      <c r="AS867" s="1779"/>
      <c r="AT867" s="1779"/>
      <c r="AU867" s="1779"/>
      <c r="AV867" s="1779"/>
    </row>
    <row r="868" spans="1:48" ht="22.5">
      <c r="A868" s="1000"/>
      <c r="B868" s="762" t="s">
        <v>1250</v>
      </c>
      <c r="C868" s="762" t="s">
        <v>509</v>
      </c>
      <c r="D868" s="1599"/>
      <c r="E868" s="2245" t="s">
        <v>1947</v>
      </c>
      <c r="F868" s="763">
        <v>5239</v>
      </c>
      <c r="G868" s="996" t="s">
        <v>1863</v>
      </c>
      <c r="H868" s="2657"/>
      <c r="I868" s="2657">
        <v>1500</v>
      </c>
      <c r="J868" s="2658"/>
      <c r="K868" s="2659"/>
      <c r="L868" s="2660"/>
      <c r="M868" s="2660"/>
      <c r="N868" s="73"/>
      <c r="O868" s="86"/>
      <c r="P868" s="1817" t="e">
        <f>INDEX(#REF!,MATCH(F868,#REF!,0),2)</f>
        <v>#REF!</v>
      </c>
      <c r="Q868" s="1779"/>
      <c r="R868" s="1779"/>
      <c r="S868" s="1779"/>
      <c r="T868" s="1779"/>
      <c r="U868" s="1779"/>
      <c r="V868" s="1779"/>
      <c r="W868" s="43"/>
      <c r="X868" s="1779"/>
      <c r="Y868" s="1779"/>
      <c r="Z868" s="1779"/>
      <c r="AA868" s="1779"/>
      <c r="AB868" s="1779"/>
      <c r="AC868" s="1779"/>
      <c r="AD868" s="1779"/>
      <c r="AE868" s="1779"/>
      <c r="AF868" s="1779"/>
      <c r="AG868" s="1779"/>
      <c r="AH868" s="1779"/>
      <c r="AI868" s="1779"/>
      <c r="AJ868" s="1779"/>
      <c r="AK868" s="1779"/>
      <c r="AL868" s="1779"/>
      <c r="AM868" s="1779"/>
      <c r="AN868" s="1779"/>
      <c r="AO868" s="1779"/>
      <c r="AP868" s="1779"/>
      <c r="AQ868" s="1779"/>
      <c r="AR868" s="1779"/>
      <c r="AS868" s="1779"/>
      <c r="AT868" s="1779"/>
      <c r="AU868" s="1779"/>
      <c r="AV868" s="1779"/>
    </row>
    <row r="869" spans="1:48" ht="22.5">
      <c r="A869" s="1914"/>
      <c r="B869" s="762" t="s">
        <v>1250</v>
      </c>
      <c r="C869" s="762" t="s">
        <v>509</v>
      </c>
      <c r="D869" s="1599"/>
      <c r="E869" s="2245" t="s">
        <v>1947</v>
      </c>
      <c r="F869" s="763">
        <v>5239</v>
      </c>
      <c r="G869" s="1884" t="s">
        <v>3294</v>
      </c>
      <c r="H869" s="2657"/>
      <c r="I869" s="2657">
        <v>60</v>
      </c>
      <c r="J869" s="2658"/>
      <c r="K869" s="2659"/>
      <c r="L869" s="2660"/>
      <c r="M869" s="2660"/>
      <c r="N869" s="73"/>
      <c r="O869" s="86"/>
      <c r="P869" s="1817" t="e">
        <f>INDEX(#REF!,MATCH(F869,#REF!,0),2)</f>
        <v>#REF!</v>
      </c>
      <c r="Q869" s="1779"/>
      <c r="R869" s="1779"/>
      <c r="S869" s="1779"/>
      <c r="T869" s="1779"/>
      <c r="U869" s="1779"/>
      <c r="V869" s="1779"/>
      <c r="W869" s="43"/>
      <c r="X869" s="1779"/>
      <c r="Y869" s="1779"/>
      <c r="Z869" s="1779"/>
      <c r="AA869" s="1779"/>
      <c r="AB869" s="1779"/>
      <c r="AC869" s="1779"/>
      <c r="AD869" s="1779"/>
      <c r="AE869" s="1779"/>
      <c r="AF869" s="1779"/>
      <c r="AG869" s="1779"/>
      <c r="AH869" s="1779"/>
      <c r="AI869" s="1779"/>
      <c r="AJ869" s="1779"/>
      <c r="AK869" s="1779"/>
      <c r="AL869" s="1779"/>
      <c r="AM869" s="1779"/>
      <c r="AN869" s="1779"/>
      <c r="AO869" s="1779"/>
      <c r="AP869" s="1779"/>
      <c r="AQ869" s="1779"/>
      <c r="AR869" s="1779"/>
      <c r="AS869" s="1779"/>
      <c r="AT869" s="1779"/>
      <c r="AU869" s="1779"/>
      <c r="AV869" s="1779"/>
    </row>
    <row r="870" spans="1:48">
      <c r="A870" s="1914"/>
      <c r="B870" s="762" t="s">
        <v>1250</v>
      </c>
      <c r="C870" s="762" t="s">
        <v>509</v>
      </c>
      <c r="D870" s="1599"/>
      <c r="E870" s="2245" t="s">
        <v>1947</v>
      </c>
      <c r="F870" s="763">
        <v>5239</v>
      </c>
      <c r="G870" s="1884" t="s">
        <v>3077</v>
      </c>
      <c r="H870" s="2657"/>
      <c r="I870" s="2657">
        <v>6000</v>
      </c>
      <c r="J870" s="2658"/>
      <c r="K870" s="2659"/>
      <c r="L870" s="2660"/>
      <c r="M870" s="2660"/>
      <c r="N870" s="73"/>
      <c r="O870" s="86"/>
      <c r="P870" s="1817" t="e">
        <f>INDEX(#REF!,MATCH(F870,#REF!,0),2)</f>
        <v>#REF!</v>
      </c>
      <c r="Q870" s="1779"/>
      <c r="R870" s="1779"/>
      <c r="S870" s="1779"/>
      <c r="T870" s="1779"/>
      <c r="U870" s="1779"/>
      <c r="V870" s="1779"/>
      <c r="W870" s="43"/>
      <c r="X870" s="1779"/>
      <c r="Y870" s="1779"/>
      <c r="Z870" s="1779"/>
      <c r="AA870" s="1779"/>
      <c r="AB870" s="1779"/>
      <c r="AC870" s="1779"/>
      <c r="AD870" s="1779"/>
      <c r="AE870" s="1779"/>
      <c r="AF870" s="1779"/>
      <c r="AG870" s="1779"/>
      <c r="AH870" s="1779"/>
      <c r="AI870" s="1779"/>
      <c r="AJ870" s="1779"/>
      <c r="AK870" s="1779"/>
      <c r="AL870" s="1779"/>
      <c r="AM870" s="1779"/>
      <c r="AN870" s="1779"/>
      <c r="AO870" s="1779"/>
      <c r="AP870" s="1779"/>
      <c r="AQ870" s="1779"/>
      <c r="AR870" s="1779"/>
      <c r="AS870" s="1779"/>
      <c r="AT870" s="1779"/>
      <c r="AU870" s="1779"/>
      <c r="AV870" s="1779"/>
    </row>
    <row r="871" spans="1:48" ht="22.5">
      <c r="A871" s="1914"/>
      <c r="B871" s="762" t="s">
        <v>1250</v>
      </c>
      <c r="C871" s="762" t="s">
        <v>509</v>
      </c>
      <c r="D871" s="1599"/>
      <c r="E871" s="2245" t="s">
        <v>1947</v>
      </c>
      <c r="F871" s="763">
        <v>5239</v>
      </c>
      <c r="G871" s="1885" t="s">
        <v>3140</v>
      </c>
      <c r="H871" s="2657"/>
      <c r="I871" s="2657">
        <v>500</v>
      </c>
      <c r="J871" s="2658"/>
      <c r="K871" s="2659"/>
      <c r="L871" s="2660"/>
      <c r="M871" s="2660"/>
      <c r="N871" s="73"/>
      <c r="O871" s="86"/>
      <c r="P871" s="1817" t="e">
        <f>INDEX(#REF!,MATCH(F871,#REF!,0),2)</f>
        <v>#REF!</v>
      </c>
      <c r="Q871" s="1779"/>
      <c r="R871" s="1779"/>
      <c r="S871" s="1779"/>
      <c r="T871" s="1779"/>
      <c r="U871" s="1779"/>
      <c r="V871" s="1779"/>
      <c r="W871" s="43"/>
      <c r="X871" s="1779"/>
      <c r="Y871" s="1779"/>
      <c r="Z871" s="1779"/>
      <c r="AA871" s="1779"/>
      <c r="AB871" s="1779"/>
      <c r="AC871" s="1779"/>
      <c r="AD871" s="1779"/>
      <c r="AE871" s="1779"/>
      <c r="AF871" s="1779"/>
      <c r="AG871" s="1779"/>
      <c r="AH871" s="1779"/>
      <c r="AI871" s="1779"/>
      <c r="AJ871" s="1779"/>
      <c r="AK871" s="1779"/>
      <c r="AL871" s="1779"/>
      <c r="AM871" s="1779"/>
      <c r="AN871" s="1779"/>
      <c r="AO871" s="1779"/>
      <c r="AP871" s="1779"/>
      <c r="AQ871" s="1779"/>
      <c r="AR871" s="1779"/>
      <c r="AS871" s="1779"/>
      <c r="AT871" s="1779"/>
      <c r="AU871" s="1779"/>
      <c r="AV871" s="1779"/>
    </row>
    <row r="872" spans="1:48" ht="33.75">
      <c r="A872" s="1914"/>
      <c r="B872" s="762" t="s">
        <v>1250</v>
      </c>
      <c r="C872" s="762" t="s">
        <v>509</v>
      </c>
      <c r="D872" s="1599"/>
      <c r="E872" s="2245" t="s">
        <v>1947</v>
      </c>
      <c r="F872" s="763">
        <v>5239</v>
      </c>
      <c r="G872" s="1529" t="s">
        <v>3205</v>
      </c>
      <c r="H872" s="2657"/>
      <c r="I872" s="2657">
        <v>2500</v>
      </c>
      <c r="J872" s="2658"/>
      <c r="K872" s="2659"/>
      <c r="L872" s="2660"/>
      <c r="M872" s="2660"/>
      <c r="N872" s="73"/>
      <c r="O872" s="86"/>
      <c r="P872" s="1817" t="e">
        <f>INDEX(#REF!,MATCH(F872,#REF!,0),2)</f>
        <v>#REF!</v>
      </c>
      <c r="Q872" s="1779"/>
      <c r="R872" s="1779"/>
      <c r="S872" s="1779"/>
      <c r="T872" s="1779"/>
      <c r="U872" s="1779"/>
      <c r="V872" s="1779"/>
      <c r="W872" s="43"/>
      <c r="X872" s="1779"/>
      <c r="Y872" s="1779"/>
      <c r="Z872" s="1779"/>
      <c r="AA872" s="1779"/>
      <c r="AB872" s="1779"/>
      <c r="AC872" s="1779"/>
      <c r="AD872" s="1779"/>
      <c r="AE872" s="1779"/>
      <c r="AF872" s="1779"/>
      <c r="AG872" s="1779"/>
      <c r="AH872" s="1779"/>
      <c r="AI872" s="1779"/>
      <c r="AJ872" s="1779"/>
      <c r="AK872" s="1779"/>
      <c r="AL872" s="1779"/>
      <c r="AM872" s="1779"/>
      <c r="AN872" s="1779"/>
      <c r="AO872" s="1779"/>
      <c r="AP872" s="1779"/>
      <c r="AQ872" s="1779"/>
      <c r="AR872" s="1779"/>
      <c r="AS872" s="1779"/>
      <c r="AT872" s="1779"/>
      <c r="AU872" s="1779"/>
      <c r="AV872" s="1779"/>
    </row>
    <row r="873" spans="1:48" ht="22.5">
      <c r="A873" s="1914"/>
      <c r="B873" s="762" t="s">
        <v>1250</v>
      </c>
      <c r="C873" s="762" t="s">
        <v>509</v>
      </c>
      <c r="D873" s="1599"/>
      <c r="E873" s="2245" t="s">
        <v>1947</v>
      </c>
      <c r="F873" s="763">
        <v>5239</v>
      </c>
      <c r="G873" s="1884" t="s">
        <v>3212</v>
      </c>
      <c r="H873" s="2657"/>
      <c r="I873" s="2657">
        <v>5315</v>
      </c>
      <c r="J873" s="2658"/>
      <c r="K873" s="2659"/>
      <c r="L873" s="2660"/>
      <c r="M873" s="2660"/>
      <c r="N873" s="73"/>
      <c r="O873" s="86"/>
      <c r="P873" s="1817" t="e">
        <f>INDEX(#REF!,MATCH(F873,#REF!,0),2)</f>
        <v>#REF!</v>
      </c>
      <c r="Q873" s="1779"/>
      <c r="R873" s="1779"/>
      <c r="S873" s="1779"/>
      <c r="T873" s="1779"/>
      <c r="U873" s="1779"/>
      <c r="V873" s="1779"/>
      <c r="W873" s="43"/>
      <c r="X873" s="1779"/>
      <c r="Y873" s="1779"/>
      <c r="Z873" s="1779"/>
      <c r="AA873" s="1779"/>
      <c r="AB873" s="1779"/>
      <c r="AC873" s="1779"/>
      <c r="AD873" s="1779"/>
      <c r="AE873" s="1779"/>
      <c r="AF873" s="1779"/>
      <c r="AG873" s="1779"/>
      <c r="AH873" s="1779"/>
      <c r="AI873" s="1779"/>
      <c r="AJ873" s="1779"/>
      <c r="AK873" s="1779"/>
      <c r="AL873" s="1779"/>
      <c r="AM873" s="1779"/>
      <c r="AN873" s="1779"/>
      <c r="AO873" s="1779"/>
      <c r="AP873" s="1779"/>
      <c r="AQ873" s="1779"/>
      <c r="AR873" s="1779"/>
      <c r="AS873" s="1779"/>
      <c r="AT873" s="1779"/>
      <c r="AU873" s="1779"/>
      <c r="AV873" s="1779"/>
    </row>
    <row r="874" spans="1:48">
      <c r="A874" s="854"/>
      <c r="B874" s="755" t="s">
        <v>1249</v>
      </c>
      <c r="C874" s="755" t="s">
        <v>534</v>
      </c>
      <c r="D874" s="1600">
        <v>812</v>
      </c>
      <c r="E874" s="2247" t="s">
        <v>1947</v>
      </c>
      <c r="F874" s="756">
        <v>5239</v>
      </c>
      <c r="G874" s="757" t="s">
        <v>996</v>
      </c>
      <c r="H874" s="2604">
        <v>34799.1</v>
      </c>
      <c r="I874" s="2604"/>
      <c r="J874" s="2635"/>
      <c r="K874" s="2647"/>
      <c r="L874" s="2604">
        <v>153105</v>
      </c>
      <c r="M874" s="2606"/>
      <c r="N874" s="73"/>
      <c r="O874" s="86"/>
      <c r="P874" s="1817" t="e">
        <f>INDEX(#REF!,MATCH(F874,#REF!,0),2)</f>
        <v>#REF!</v>
      </c>
      <c r="Q874" s="1779"/>
      <c r="R874" s="1779"/>
      <c r="S874" s="1779"/>
      <c r="T874" s="1779"/>
      <c r="U874" s="1779"/>
      <c r="V874" s="1779"/>
      <c r="W874" s="43"/>
      <c r="X874" s="1779"/>
      <c r="Y874" s="1779"/>
      <c r="Z874" s="1779"/>
      <c r="AA874" s="1779"/>
      <c r="AB874" s="1779"/>
      <c r="AC874" s="1779"/>
      <c r="AD874" s="1779"/>
      <c r="AE874" s="1779"/>
      <c r="AF874" s="1779"/>
      <c r="AG874" s="1779"/>
      <c r="AH874" s="1779"/>
      <c r="AI874" s="1779"/>
      <c r="AJ874" s="1779"/>
      <c r="AK874" s="1779"/>
      <c r="AL874" s="1779"/>
      <c r="AM874" s="1779"/>
      <c r="AN874" s="1779"/>
      <c r="AO874" s="1779"/>
      <c r="AP874" s="1779"/>
      <c r="AQ874" s="1779"/>
      <c r="AR874" s="1779"/>
      <c r="AS874" s="1779"/>
      <c r="AT874" s="1779"/>
      <c r="AU874" s="1779"/>
      <c r="AV874" s="1779"/>
    </row>
    <row r="875" spans="1:48" ht="19.149999999999999" customHeight="1">
      <c r="A875" s="1484"/>
      <c r="B875" s="1465" t="s">
        <v>1249</v>
      </c>
      <c r="C875" s="762" t="s">
        <v>534</v>
      </c>
      <c r="D875" s="1599"/>
      <c r="E875" s="2245" t="s">
        <v>1947</v>
      </c>
      <c r="F875" s="763">
        <v>5239</v>
      </c>
      <c r="G875" s="1466" t="s">
        <v>6155</v>
      </c>
      <c r="H875" s="2657"/>
      <c r="I875" s="2657">
        <v>0</v>
      </c>
      <c r="J875" s="2658"/>
      <c r="K875" s="2659"/>
      <c r="L875" s="2660"/>
      <c r="M875" s="2657">
        <v>35000</v>
      </c>
      <c r="N875" s="154" t="s">
        <v>3593</v>
      </c>
      <c r="O875" s="86"/>
      <c r="P875" s="1817" t="e">
        <f>INDEX(#REF!,MATCH(F875,#REF!,0),2)</f>
        <v>#REF!</v>
      </c>
      <c r="Q875" s="1779"/>
      <c r="R875" s="1779"/>
      <c r="S875" s="1779"/>
      <c r="T875" s="1779"/>
      <c r="U875" s="1779"/>
      <c r="V875" s="1779"/>
      <c r="W875" s="43"/>
      <c r="X875" s="1779"/>
      <c r="Y875" s="1779"/>
      <c r="Z875" s="1779"/>
      <c r="AA875" s="1779"/>
      <c r="AB875" s="1779"/>
      <c r="AC875" s="1779"/>
      <c r="AD875" s="1779"/>
      <c r="AE875" s="1779"/>
      <c r="AF875" s="1779"/>
      <c r="AG875" s="1779"/>
      <c r="AH875" s="1779"/>
      <c r="AI875" s="1779"/>
      <c r="AJ875" s="1779"/>
      <c r="AK875" s="1779"/>
      <c r="AL875" s="1779"/>
      <c r="AM875" s="1779"/>
      <c r="AN875" s="1779"/>
      <c r="AO875" s="1779"/>
      <c r="AP875" s="1779"/>
      <c r="AQ875" s="1779"/>
      <c r="AR875" s="1779"/>
      <c r="AS875" s="1779"/>
      <c r="AT875" s="1779"/>
      <c r="AU875" s="1779"/>
      <c r="AV875" s="1779"/>
    </row>
    <row r="876" spans="1:48" ht="19.149999999999999" customHeight="1">
      <c r="A876" s="4449"/>
      <c r="B876" s="1465" t="s">
        <v>1249</v>
      </c>
      <c r="C876" s="762" t="s">
        <v>534</v>
      </c>
      <c r="D876" s="1599"/>
      <c r="E876" s="2245" t="s">
        <v>1947</v>
      </c>
      <c r="F876" s="763">
        <v>5239</v>
      </c>
      <c r="G876" s="1466" t="s">
        <v>2166</v>
      </c>
      <c r="H876" s="2657"/>
      <c r="I876" s="2657">
        <v>0</v>
      </c>
      <c r="J876" s="2658"/>
      <c r="K876" s="2659"/>
      <c r="L876" s="2660"/>
      <c r="M876" s="2657">
        <v>42500</v>
      </c>
      <c r="N876" s="154" t="s">
        <v>3593</v>
      </c>
      <c r="O876" s="86"/>
      <c r="P876" s="1817"/>
      <c r="Q876" s="1779"/>
      <c r="R876" s="1779"/>
      <c r="S876" s="1779"/>
      <c r="T876" s="1779"/>
      <c r="U876" s="1779"/>
      <c r="V876" s="1779"/>
      <c r="W876" s="43"/>
      <c r="X876" s="1779"/>
      <c r="Y876" s="1779"/>
      <c r="Z876" s="1779"/>
      <c r="AA876" s="1779"/>
      <c r="AB876" s="1779"/>
      <c r="AC876" s="1779"/>
      <c r="AD876" s="1779"/>
      <c r="AE876" s="1779"/>
      <c r="AF876" s="1779"/>
      <c r="AG876" s="1779"/>
      <c r="AH876" s="1779"/>
      <c r="AI876" s="1779"/>
      <c r="AJ876" s="1779"/>
      <c r="AK876" s="1779"/>
      <c r="AL876" s="1779"/>
      <c r="AM876" s="1779"/>
      <c r="AN876" s="1779"/>
      <c r="AO876" s="1779"/>
      <c r="AP876" s="1779"/>
      <c r="AQ876" s="1779"/>
      <c r="AR876" s="1779"/>
      <c r="AS876" s="1779"/>
      <c r="AT876" s="1779"/>
      <c r="AU876" s="1779"/>
      <c r="AV876" s="1779"/>
    </row>
    <row r="877" spans="1:48" ht="94.15" customHeight="1">
      <c r="A877" s="1484"/>
      <c r="B877" s="1465" t="s">
        <v>1249</v>
      </c>
      <c r="C877" s="762" t="s">
        <v>534</v>
      </c>
      <c r="D877" s="1602"/>
      <c r="E877" s="2245" t="s">
        <v>1947</v>
      </c>
      <c r="F877" s="763">
        <v>5239</v>
      </c>
      <c r="G877" s="2646" t="s">
        <v>3592</v>
      </c>
      <c r="H877" s="2657"/>
      <c r="I877" s="2657">
        <v>0</v>
      </c>
      <c r="J877" s="2658"/>
      <c r="K877" s="2659"/>
      <c r="L877" s="2660"/>
      <c r="M877" s="2657">
        <v>60000</v>
      </c>
      <c r="N877" s="154" t="s">
        <v>3594</v>
      </c>
      <c r="O877" s="86"/>
      <c r="P877" s="1817" t="e">
        <f>INDEX(#REF!,MATCH(F877,#REF!,0),2)</f>
        <v>#REF!</v>
      </c>
      <c r="Q877" s="1779"/>
      <c r="R877" s="1779"/>
      <c r="S877" s="1779"/>
      <c r="T877" s="1779"/>
      <c r="U877" s="1779"/>
      <c r="V877" s="1779"/>
      <c r="W877" s="43"/>
      <c r="X877" s="1779"/>
      <c r="Y877" s="1779"/>
      <c r="Z877" s="1779"/>
      <c r="AA877" s="1779"/>
      <c r="AB877" s="1779"/>
      <c r="AC877" s="1779"/>
      <c r="AD877" s="1779"/>
      <c r="AE877" s="1779"/>
      <c r="AF877" s="1779"/>
      <c r="AG877" s="1779"/>
      <c r="AH877" s="1779"/>
      <c r="AI877" s="1779"/>
      <c r="AJ877" s="1779"/>
      <c r="AK877" s="1779"/>
      <c r="AL877" s="1779"/>
      <c r="AM877" s="1779"/>
      <c r="AN877" s="1779"/>
      <c r="AO877" s="1779"/>
      <c r="AP877" s="1779"/>
      <c r="AQ877" s="1779"/>
      <c r="AR877" s="1779"/>
      <c r="AS877" s="1779"/>
      <c r="AT877" s="1779"/>
      <c r="AU877" s="1779"/>
      <c r="AV877" s="1779"/>
    </row>
    <row r="878" spans="1:48" ht="16.899999999999999" customHeight="1">
      <c r="A878" s="4449"/>
      <c r="B878" s="1465" t="s">
        <v>1249</v>
      </c>
      <c r="C878" s="762" t="s">
        <v>534</v>
      </c>
      <c r="D878" s="1602"/>
      <c r="E878" s="2245" t="s">
        <v>1947</v>
      </c>
      <c r="F878" s="763">
        <v>5239</v>
      </c>
      <c r="G878" s="4454" t="s">
        <v>6143</v>
      </c>
      <c r="H878" s="4450"/>
      <c r="I878" s="4450"/>
      <c r="J878" s="4451"/>
      <c r="K878" s="4452"/>
      <c r="L878" s="4453"/>
      <c r="M878" s="4132">
        <v>15605</v>
      </c>
      <c r="N878" s="3125" t="s">
        <v>6144</v>
      </c>
      <c r="O878" s="86"/>
      <c r="P878" s="1817"/>
      <c r="Q878" s="1779"/>
      <c r="R878" s="1779"/>
      <c r="S878" s="1779"/>
      <c r="T878" s="1779"/>
      <c r="U878" s="1779"/>
      <c r="V878" s="1779"/>
      <c r="W878" s="43"/>
      <c r="X878" s="1779"/>
      <c r="Y878" s="1779"/>
      <c r="Z878" s="1779"/>
      <c r="AA878" s="1779"/>
      <c r="AB878" s="1779"/>
      <c r="AC878" s="1779"/>
      <c r="AD878" s="1779"/>
      <c r="AE878" s="1779"/>
      <c r="AF878" s="1779"/>
      <c r="AG878" s="1779"/>
      <c r="AH878" s="1779"/>
      <c r="AI878" s="1779"/>
      <c r="AJ878" s="1779"/>
      <c r="AK878" s="1779"/>
      <c r="AL878" s="1779"/>
      <c r="AM878" s="1779"/>
      <c r="AN878" s="1779"/>
      <c r="AO878" s="1779"/>
      <c r="AP878" s="1779"/>
      <c r="AQ878" s="1779"/>
      <c r="AR878" s="1779"/>
      <c r="AS878" s="1779"/>
      <c r="AT878" s="1779"/>
      <c r="AU878" s="1779"/>
      <c r="AV878" s="1779"/>
    </row>
    <row r="879" spans="1:48">
      <c r="A879" s="854"/>
      <c r="B879" s="755" t="s">
        <v>1249</v>
      </c>
      <c r="C879" s="755" t="s">
        <v>510</v>
      </c>
      <c r="D879" s="1600">
        <v>812</v>
      </c>
      <c r="E879" s="2247" t="s">
        <v>1947</v>
      </c>
      <c r="F879" s="756">
        <v>5240</v>
      </c>
      <c r="G879" s="757" t="s">
        <v>328</v>
      </c>
      <c r="H879" s="2604">
        <v>29874.9</v>
      </c>
      <c r="I879" s="2604"/>
      <c r="J879" s="2635"/>
      <c r="K879" s="2647"/>
      <c r="L879" s="2604">
        <v>0</v>
      </c>
      <c r="M879" s="2604"/>
      <c r="N879" s="73"/>
      <c r="O879" s="86"/>
      <c r="P879" s="1817" t="e">
        <f>INDEX(#REF!,MATCH(F879,#REF!,0),2)</f>
        <v>#REF!</v>
      </c>
      <c r="Q879" s="1779"/>
      <c r="R879" s="1779"/>
      <c r="S879" s="1779"/>
      <c r="T879" s="1779"/>
      <c r="U879" s="1779"/>
      <c r="V879" s="1779"/>
      <c r="W879" s="43"/>
      <c r="X879" s="1779"/>
      <c r="Y879" s="1779"/>
      <c r="Z879" s="1779"/>
      <c r="AA879" s="1779"/>
      <c r="AB879" s="1779"/>
      <c r="AC879" s="1779"/>
      <c r="AD879" s="1779"/>
      <c r="AE879" s="1779"/>
      <c r="AF879" s="1779"/>
      <c r="AG879" s="1779"/>
      <c r="AH879" s="1779"/>
      <c r="AI879" s="1779"/>
      <c r="AJ879" s="1779"/>
      <c r="AK879" s="1779"/>
      <c r="AL879" s="1779"/>
      <c r="AM879" s="1779"/>
      <c r="AN879" s="1779"/>
      <c r="AO879" s="1779"/>
      <c r="AP879" s="1779"/>
      <c r="AQ879" s="1779"/>
      <c r="AR879" s="1779"/>
      <c r="AS879" s="1779"/>
      <c r="AT879" s="1779"/>
      <c r="AU879" s="1779"/>
      <c r="AV879" s="1779"/>
    </row>
    <row r="880" spans="1:48" ht="22.5">
      <c r="A880" s="762"/>
      <c r="B880" s="762" t="s">
        <v>1249</v>
      </c>
      <c r="C880" s="762" t="s">
        <v>510</v>
      </c>
      <c r="D880" s="1599"/>
      <c r="E880" s="2245" t="s">
        <v>1947</v>
      </c>
      <c r="F880" s="763">
        <v>5240</v>
      </c>
      <c r="G880" s="772" t="s">
        <v>3198</v>
      </c>
      <c r="H880" s="2657"/>
      <c r="I880" s="2657">
        <v>29874.9</v>
      </c>
      <c r="J880" s="2658"/>
      <c r="K880" s="2659"/>
      <c r="L880" s="2657"/>
      <c r="M880" s="2657"/>
      <c r="N880" s="73"/>
      <c r="O880" s="86"/>
      <c r="P880" s="1817" t="e">
        <f>INDEX(#REF!,MATCH(F880,#REF!,0),2)</f>
        <v>#REF!</v>
      </c>
      <c r="Q880" s="1779"/>
      <c r="R880" s="1779"/>
      <c r="S880" s="1779"/>
      <c r="T880" s="1779"/>
      <c r="U880" s="1779"/>
      <c r="V880" s="1779"/>
      <c r="W880" s="43"/>
      <c r="X880" s="1779"/>
      <c r="Y880" s="1779"/>
      <c r="Z880" s="1779"/>
      <c r="AA880" s="1779"/>
      <c r="AB880" s="1779"/>
      <c r="AC880" s="1779"/>
      <c r="AD880" s="1779"/>
      <c r="AE880" s="1779"/>
      <c r="AF880" s="1779"/>
      <c r="AG880" s="1779"/>
      <c r="AH880" s="1779"/>
      <c r="AI880" s="1779"/>
      <c r="AJ880" s="1779"/>
      <c r="AK880" s="1779"/>
      <c r="AL880" s="1779"/>
      <c r="AM880" s="1779"/>
      <c r="AN880" s="1779"/>
      <c r="AO880" s="1779"/>
      <c r="AP880" s="1779"/>
      <c r="AQ880" s="1779"/>
      <c r="AR880" s="1779"/>
      <c r="AS880" s="1779"/>
      <c r="AT880" s="1779"/>
      <c r="AU880" s="1779"/>
      <c r="AV880" s="1779"/>
    </row>
    <row r="881" spans="1:48">
      <c r="A881" s="854" t="s">
        <v>997</v>
      </c>
      <c r="B881" s="2717" t="s">
        <v>2649</v>
      </c>
      <c r="C881" s="755" t="s">
        <v>510</v>
      </c>
      <c r="D881" s="1600"/>
      <c r="E881" s="2247" t="s">
        <v>1947</v>
      </c>
      <c r="F881" s="756">
        <v>7230</v>
      </c>
      <c r="G881" s="757" t="s">
        <v>1848</v>
      </c>
      <c r="H881" s="2604"/>
      <c r="I881" s="2604"/>
      <c r="J881" s="2635"/>
      <c r="K881" s="2647"/>
      <c r="L881" s="2604">
        <v>0</v>
      </c>
      <c r="M881" s="2604"/>
      <c r="N881" s="73"/>
      <c r="O881" s="86"/>
      <c r="P881" s="1817" t="e">
        <f>INDEX(#REF!,MATCH(F881,#REF!,0),2)</f>
        <v>#REF!</v>
      </c>
      <c r="Q881" s="1779"/>
      <c r="R881" s="1779"/>
      <c r="S881" s="1779"/>
      <c r="T881" s="1779"/>
      <c r="U881" s="1779"/>
      <c r="V881" s="1779"/>
      <c r="W881" s="43"/>
      <c r="X881" s="1779"/>
      <c r="Y881" s="1779"/>
      <c r="Z881" s="1779"/>
      <c r="AA881" s="1779"/>
      <c r="AB881" s="1779"/>
      <c r="AC881" s="1779"/>
      <c r="AD881" s="1779"/>
      <c r="AE881" s="1779"/>
      <c r="AF881" s="1779"/>
      <c r="AG881" s="1779"/>
      <c r="AH881" s="1779"/>
      <c r="AI881" s="1779"/>
      <c r="AJ881" s="1779"/>
      <c r="AK881" s="1779"/>
      <c r="AL881" s="1779"/>
      <c r="AM881" s="1779"/>
      <c r="AN881" s="1779"/>
      <c r="AO881" s="1779"/>
      <c r="AP881" s="1779"/>
      <c r="AQ881" s="1779"/>
      <c r="AR881" s="1779"/>
      <c r="AS881" s="1779"/>
      <c r="AT881" s="1779"/>
      <c r="AU881" s="1779"/>
      <c r="AV881" s="1779"/>
    </row>
    <row r="882" spans="1:48">
      <c r="A882" s="762" t="s">
        <v>997</v>
      </c>
      <c r="B882" s="2716" t="s">
        <v>2649</v>
      </c>
      <c r="C882" s="762" t="s">
        <v>510</v>
      </c>
      <c r="D882" s="1599"/>
      <c r="E882" s="2245" t="s">
        <v>1947</v>
      </c>
      <c r="F882" s="763">
        <v>7230</v>
      </c>
      <c r="G882" s="772" t="s">
        <v>3595</v>
      </c>
      <c r="H882" s="2657"/>
      <c r="I882" s="2657"/>
      <c r="J882" s="2658"/>
      <c r="K882" s="2659"/>
      <c r="L882" s="2657"/>
      <c r="M882" s="2657"/>
      <c r="N882" s="73"/>
      <c r="O882" s="86"/>
      <c r="P882" s="1817" t="e">
        <f>INDEX(#REF!,MATCH(F882,#REF!,0),2)</f>
        <v>#REF!</v>
      </c>
      <c r="Q882" s="1779"/>
      <c r="R882" s="1779"/>
      <c r="S882" s="1779"/>
      <c r="T882" s="1779"/>
      <c r="U882" s="1779"/>
      <c r="V882" s="1779"/>
      <c r="W882" s="43"/>
      <c r="X882" s="1779"/>
      <c r="Y882" s="1779"/>
      <c r="Z882" s="1779"/>
      <c r="AA882" s="1779"/>
      <c r="AB882" s="1779"/>
      <c r="AC882" s="1779"/>
      <c r="AD882" s="1779"/>
      <c r="AE882" s="1779"/>
      <c r="AF882" s="1779"/>
      <c r="AG882" s="1779"/>
      <c r="AH882" s="1779"/>
      <c r="AI882" s="1779"/>
      <c r="AJ882" s="1779"/>
      <c r="AK882" s="1779"/>
      <c r="AL882" s="1779"/>
      <c r="AM882" s="1779"/>
      <c r="AN882" s="1779"/>
      <c r="AO882" s="1779"/>
      <c r="AP882" s="1779"/>
      <c r="AQ882" s="1779"/>
      <c r="AR882" s="1779"/>
      <c r="AS882" s="1779"/>
      <c r="AT882" s="1779"/>
      <c r="AU882" s="1779"/>
      <c r="AV882" s="1779"/>
    </row>
    <row r="883" spans="1:48">
      <c r="A883" s="5"/>
      <c r="B883" s="5" t="s">
        <v>663</v>
      </c>
      <c r="C883" s="5" t="s">
        <v>652</v>
      </c>
      <c r="D883" s="1592">
        <v>830</v>
      </c>
      <c r="E883" s="2218" t="s">
        <v>1899</v>
      </c>
      <c r="F883" s="6">
        <v>1119</v>
      </c>
      <c r="G883" s="7" t="s">
        <v>224</v>
      </c>
      <c r="H883" s="2653">
        <v>56760</v>
      </c>
      <c r="I883" s="2653"/>
      <c r="J883" s="4156">
        <v>42101</v>
      </c>
      <c r="K883" s="2338"/>
      <c r="L883" s="2653">
        <v>60165.600000000006</v>
      </c>
      <c r="M883" s="2653"/>
      <c r="N883" s="73"/>
      <c r="O883" s="86"/>
      <c r="P883" s="1817" t="e">
        <f>INDEX(#REF!,MATCH(F883,#REF!,0),2)</f>
        <v>#REF!</v>
      </c>
      <c r="Q883" s="1779"/>
      <c r="R883" s="1779"/>
      <c r="S883" s="1779"/>
      <c r="T883" s="1779"/>
      <c r="U883" s="1779"/>
      <c r="V883" s="1779"/>
      <c r="W883" s="43"/>
      <c r="X883" s="1779"/>
      <c r="Y883" s="1779"/>
      <c r="Z883" s="1779"/>
      <c r="AA883" s="1779"/>
      <c r="AB883" s="1779"/>
      <c r="AC883" s="1779"/>
      <c r="AD883" s="1779"/>
      <c r="AE883" s="1779"/>
      <c r="AF883" s="1779"/>
      <c r="AG883" s="1779"/>
      <c r="AH883" s="1779"/>
      <c r="AI883" s="1779"/>
      <c r="AJ883" s="1779"/>
      <c r="AK883" s="1779"/>
      <c r="AL883" s="1779"/>
      <c r="AM883" s="1779"/>
      <c r="AN883" s="1779"/>
      <c r="AO883" s="1779"/>
      <c r="AP883" s="1779"/>
      <c r="AQ883" s="1779"/>
      <c r="AR883" s="1779"/>
      <c r="AS883" s="1779"/>
      <c r="AT883" s="1779"/>
      <c r="AU883" s="1779"/>
      <c r="AV883" s="1779"/>
    </row>
    <row r="884" spans="1:48">
      <c r="A884" s="246"/>
      <c r="B884" s="12" t="s">
        <v>663</v>
      </c>
      <c r="C884" s="12" t="s">
        <v>652</v>
      </c>
      <c r="D884" s="1593"/>
      <c r="E884" s="2222" t="s">
        <v>1899</v>
      </c>
      <c r="F884" s="23">
        <v>1119</v>
      </c>
      <c r="G884" s="200" t="s">
        <v>663</v>
      </c>
      <c r="H884" s="263"/>
      <c r="I884" s="263">
        <v>56760</v>
      </c>
      <c r="J884" s="264"/>
      <c r="K884" s="1877"/>
      <c r="L884" s="2603"/>
      <c r="M884" s="2603">
        <v>60165.600000000006</v>
      </c>
      <c r="N884" s="73"/>
      <c r="O884" s="86"/>
      <c r="P884" s="1817" t="e">
        <f>INDEX(#REF!,MATCH(F884,#REF!,0),2)</f>
        <v>#REF!</v>
      </c>
      <c r="Q884" s="1779"/>
      <c r="R884" s="1779"/>
      <c r="S884" s="1779"/>
      <c r="T884" s="1779"/>
      <c r="U884" s="1779"/>
      <c r="V884" s="1779"/>
      <c r="W884" s="43"/>
      <c r="X884" s="1779"/>
      <c r="Y884" s="1779"/>
      <c r="Z884" s="1779"/>
      <c r="AA884" s="1779"/>
      <c r="AB884" s="1779"/>
      <c r="AC884" s="1779"/>
      <c r="AD884" s="1779"/>
      <c r="AE884" s="1779"/>
      <c r="AF884" s="1779"/>
      <c r="AG884" s="1779"/>
      <c r="AH884" s="1779"/>
      <c r="AI884" s="1779"/>
      <c r="AJ884" s="1779"/>
      <c r="AK884" s="1779"/>
      <c r="AL884" s="1779"/>
      <c r="AM884" s="1779"/>
      <c r="AN884" s="1779"/>
      <c r="AO884" s="1779"/>
      <c r="AP884" s="1779"/>
      <c r="AQ884" s="1779"/>
      <c r="AR884" s="1779"/>
      <c r="AS884" s="1779"/>
      <c r="AT884" s="1779"/>
      <c r="AU884" s="1779"/>
      <c r="AV884" s="1779"/>
    </row>
    <row r="885" spans="1:48">
      <c r="A885" s="325"/>
      <c r="B885" s="12" t="s">
        <v>663</v>
      </c>
      <c r="C885" s="12" t="s">
        <v>652</v>
      </c>
      <c r="D885" s="1593"/>
      <c r="E885" s="2222" t="s">
        <v>1899</v>
      </c>
      <c r="F885" s="23">
        <v>1119</v>
      </c>
      <c r="G885" s="1878" t="s">
        <v>1180</v>
      </c>
      <c r="H885" s="329"/>
      <c r="I885" s="329"/>
      <c r="J885" s="4157"/>
      <c r="K885" s="1879"/>
      <c r="L885" s="2603"/>
      <c r="M885" s="2603"/>
      <c r="N885" s="73"/>
      <c r="O885" s="86"/>
      <c r="P885" s="1817" t="e">
        <f>INDEX(#REF!,MATCH(F885,#REF!,0),2)</f>
        <v>#REF!</v>
      </c>
      <c r="Q885" s="1779"/>
      <c r="R885" s="1779"/>
      <c r="S885" s="1779"/>
      <c r="T885" s="1779"/>
      <c r="U885" s="1779"/>
      <c r="V885" s="1779"/>
      <c r="W885" s="43"/>
      <c r="X885" s="1779"/>
      <c r="Y885" s="1779"/>
      <c r="Z885" s="1779"/>
      <c r="AA885" s="1779"/>
      <c r="AB885" s="1779"/>
      <c r="AC885" s="1779"/>
      <c r="AD885" s="1779"/>
      <c r="AE885" s="1779"/>
      <c r="AF885" s="1779"/>
      <c r="AG885" s="1779"/>
      <c r="AH885" s="1779"/>
      <c r="AI885" s="1779"/>
      <c r="AJ885" s="1779"/>
      <c r="AK885" s="1779"/>
      <c r="AL885" s="1779"/>
      <c r="AM885" s="1779"/>
      <c r="AN885" s="1779"/>
      <c r="AO885" s="1779"/>
      <c r="AP885" s="1779"/>
      <c r="AQ885" s="1779"/>
      <c r="AR885" s="1779"/>
      <c r="AS885" s="1779"/>
      <c r="AT885" s="1779"/>
      <c r="AU885" s="1779"/>
      <c r="AV885" s="1779"/>
    </row>
    <row r="886" spans="1:48">
      <c r="A886" s="5"/>
      <c r="B886" s="5" t="s">
        <v>663</v>
      </c>
      <c r="C886" s="5" t="s">
        <v>652</v>
      </c>
      <c r="D886" s="1592">
        <v>830</v>
      </c>
      <c r="E886" s="2220" t="s">
        <v>1899</v>
      </c>
      <c r="F886" s="6">
        <v>1147</v>
      </c>
      <c r="G886" s="7" t="s">
        <v>226</v>
      </c>
      <c r="H886" s="37">
        <v>6111</v>
      </c>
      <c r="I886" s="37"/>
      <c r="J886" s="267">
        <v>2619</v>
      </c>
      <c r="K886" s="51"/>
      <c r="L886" s="2602">
        <v>7112.6</v>
      </c>
      <c r="M886" s="2602"/>
      <c r="N886" s="73"/>
      <c r="O886" s="86"/>
      <c r="P886" s="1817" t="e">
        <f>INDEX(#REF!,MATCH(F886,#REF!,0),2)</f>
        <v>#REF!</v>
      </c>
      <c r="Q886" s="1779"/>
      <c r="R886" s="1779"/>
      <c r="S886" s="1779"/>
      <c r="T886" s="1779"/>
      <c r="U886" s="1779"/>
      <c r="V886" s="1779"/>
      <c r="W886" s="43"/>
      <c r="X886" s="1779"/>
      <c r="Y886" s="1779"/>
      <c r="Z886" s="1779"/>
      <c r="AA886" s="1779"/>
      <c r="AB886" s="1779"/>
      <c r="AC886" s="1779"/>
      <c r="AD886" s="1779"/>
      <c r="AE886" s="1779"/>
      <c r="AF886" s="1779"/>
      <c r="AG886" s="1779"/>
      <c r="AH886" s="1779"/>
      <c r="AI886" s="1779"/>
      <c r="AJ886" s="1779"/>
      <c r="AK886" s="1779"/>
      <c r="AL886" s="1779"/>
      <c r="AM886" s="1779"/>
      <c r="AN886" s="1779"/>
      <c r="AO886" s="1779"/>
      <c r="AP886" s="1779"/>
      <c r="AQ886" s="1779"/>
      <c r="AR886" s="1779"/>
      <c r="AS886" s="1779"/>
      <c r="AT886" s="1779"/>
      <c r="AU886" s="1779"/>
      <c r="AV886" s="1779"/>
    </row>
    <row r="887" spans="1:48">
      <c r="A887" s="246"/>
      <c r="B887" s="12" t="s">
        <v>663</v>
      </c>
      <c r="C887" s="12" t="s">
        <v>652</v>
      </c>
      <c r="D887" s="1593"/>
      <c r="E887" s="2222" t="s">
        <v>1899</v>
      </c>
      <c r="F887" s="23">
        <v>1147</v>
      </c>
      <c r="G887" s="200" t="s">
        <v>663</v>
      </c>
      <c r="H887" s="263"/>
      <c r="I887" s="263">
        <v>6710</v>
      </c>
      <c r="J887" s="264"/>
      <c r="K887" s="1877"/>
      <c r="L887" s="2603"/>
      <c r="M887" s="2603">
        <v>7112.6</v>
      </c>
      <c r="N887" s="73"/>
      <c r="O887" s="86"/>
      <c r="P887" s="1817" t="e">
        <f>INDEX(#REF!,MATCH(F887,#REF!,0),2)</f>
        <v>#REF!</v>
      </c>
      <c r="Q887" s="1779"/>
      <c r="R887" s="1779"/>
      <c r="S887" s="1779"/>
      <c r="T887" s="1779"/>
      <c r="U887" s="1779"/>
      <c r="V887" s="1779"/>
      <c r="W887" s="43"/>
      <c r="X887" s="1779"/>
      <c r="Y887" s="1779"/>
      <c r="Z887" s="1779"/>
      <c r="AA887" s="1779"/>
      <c r="AB887" s="1779"/>
      <c r="AC887" s="1779"/>
      <c r="AD887" s="1779"/>
      <c r="AE887" s="1779"/>
      <c r="AF887" s="1779"/>
      <c r="AG887" s="1779"/>
      <c r="AH887" s="1779"/>
      <c r="AI887" s="1779"/>
      <c r="AJ887" s="1779"/>
      <c r="AK887" s="1779"/>
      <c r="AL887" s="1779"/>
      <c r="AM887" s="1779"/>
      <c r="AN887" s="1779"/>
      <c r="AO887" s="1779"/>
      <c r="AP887" s="1779"/>
      <c r="AQ887" s="1779"/>
      <c r="AR887" s="1779"/>
      <c r="AS887" s="1779"/>
      <c r="AT887" s="1779"/>
      <c r="AU887" s="1779"/>
      <c r="AV887" s="1779"/>
    </row>
    <row r="888" spans="1:48" ht="22.5">
      <c r="A888" s="246"/>
      <c r="B888" s="12" t="s">
        <v>663</v>
      </c>
      <c r="C888" s="12" t="s">
        <v>652</v>
      </c>
      <c r="D888" s="1593"/>
      <c r="E888" s="2222" t="s">
        <v>1899</v>
      </c>
      <c r="F888" s="23">
        <v>1147</v>
      </c>
      <c r="G888" s="1878" t="s">
        <v>3292</v>
      </c>
      <c r="H888" s="263"/>
      <c r="I888" s="263">
        <v>-200</v>
      </c>
      <c r="J888" s="264"/>
      <c r="K888" s="1877"/>
      <c r="L888" s="2603"/>
      <c r="M888" s="2603"/>
      <c r="N888" s="73"/>
      <c r="O888" s="86"/>
      <c r="P888" s="1817" t="e">
        <f>INDEX(#REF!,MATCH(F888,#REF!,0),2)</f>
        <v>#REF!</v>
      </c>
      <c r="Q888" s="1779"/>
      <c r="R888" s="1779"/>
      <c r="S888" s="1779"/>
      <c r="T888" s="1779"/>
      <c r="U888" s="1779"/>
      <c r="V888" s="1779"/>
      <c r="W888" s="43"/>
      <c r="X888" s="1779"/>
      <c r="Y888" s="1779"/>
      <c r="Z888" s="1779"/>
      <c r="AA888" s="1779"/>
      <c r="AB888" s="1779"/>
      <c r="AC888" s="1779"/>
      <c r="AD888" s="1779"/>
      <c r="AE888" s="1779"/>
      <c r="AF888" s="1779"/>
      <c r="AG888" s="1779"/>
      <c r="AH888" s="1779"/>
      <c r="AI888" s="1779"/>
      <c r="AJ888" s="1779"/>
      <c r="AK888" s="1779"/>
      <c r="AL888" s="1779"/>
      <c r="AM888" s="1779"/>
      <c r="AN888" s="1779"/>
      <c r="AO888" s="1779"/>
      <c r="AP888" s="1779"/>
      <c r="AQ888" s="1779"/>
      <c r="AR888" s="1779"/>
      <c r="AS888" s="1779"/>
      <c r="AT888" s="1779"/>
      <c r="AU888" s="1779"/>
      <c r="AV888" s="1779"/>
    </row>
    <row r="889" spans="1:48">
      <c r="A889" s="5"/>
      <c r="B889" s="5" t="s">
        <v>663</v>
      </c>
      <c r="C889" s="5" t="s">
        <v>652</v>
      </c>
      <c r="D889" s="1592">
        <v>830</v>
      </c>
      <c r="E889" s="2220" t="s">
        <v>1899</v>
      </c>
      <c r="F889" s="6">
        <v>1148</v>
      </c>
      <c r="G889" s="7" t="s">
        <v>227</v>
      </c>
      <c r="H889" s="37">
        <v>0</v>
      </c>
      <c r="I889" s="37"/>
      <c r="J889" s="267"/>
      <c r="K889" s="51"/>
      <c r="L889" s="2602">
        <v>0</v>
      </c>
      <c r="M889" s="2602"/>
      <c r="N889" s="73"/>
      <c r="O889" s="86"/>
      <c r="P889" s="1817" t="e">
        <f>INDEX(#REF!,MATCH(F889,#REF!,0),2)</f>
        <v>#REF!</v>
      </c>
      <c r="Q889" s="1779"/>
      <c r="R889" s="1779"/>
      <c r="S889" s="1779"/>
      <c r="T889" s="1779"/>
      <c r="U889" s="1779"/>
      <c r="V889" s="1779"/>
      <c r="W889" s="43"/>
      <c r="X889" s="1779"/>
      <c r="Y889" s="1779"/>
      <c r="Z889" s="1779"/>
      <c r="AA889" s="1779"/>
      <c r="AB889" s="1779"/>
      <c r="AC889" s="1779"/>
      <c r="AD889" s="1779"/>
      <c r="AE889" s="1779"/>
      <c r="AF889" s="1779"/>
      <c r="AG889" s="1779"/>
      <c r="AH889" s="1779"/>
      <c r="AI889" s="1779"/>
      <c r="AJ889" s="1779"/>
      <c r="AK889" s="1779"/>
      <c r="AL889" s="1779"/>
      <c r="AM889" s="1779"/>
      <c r="AN889" s="1779"/>
      <c r="AO889" s="1779"/>
      <c r="AP889" s="1779"/>
      <c r="AQ889" s="1779"/>
      <c r="AR889" s="1779"/>
      <c r="AS889" s="1779"/>
      <c r="AT889" s="1779"/>
      <c r="AU889" s="1779"/>
      <c r="AV889" s="1779"/>
    </row>
    <row r="890" spans="1:48">
      <c r="A890" s="246"/>
      <c r="B890" s="12" t="s">
        <v>663</v>
      </c>
      <c r="C890" s="12" t="s">
        <v>652</v>
      </c>
      <c r="D890" s="1593"/>
      <c r="E890" s="2222" t="s">
        <v>1899</v>
      </c>
      <c r="F890" s="23">
        <v>1148</v>
      </c>
      <c r="G890" s="1878"/>
      <c r="H890" s="263"/>
      <c r="I890" s="263"/>
      <c r="J890" s="264"/>
      <c r="K890" s="1877"/>
      <c r="L890" s="2603"/>
      <c r="M890" s="2603"/>
      <c r="N890" s="73"/>
      <c r="O890" s="86"/>
      <c r="P890" s="1817" t="e">
        <f>INDEX(#REF!,MATCH(F890,#REF!,0),2)</f>
        <v>#REF!</v>
      </c>
      <c r="Q890" s="1779"/>
      <c r="R890" s="1779"/>
      <c r="S890" s="1779"/>
      <c r="T890" s="1779"/>
      <c r="U890" s="1779"/>
      <c r="V890" s="1779"/>
      <c r="W890" s="43"/>
      <c r="X890" s="1779"/>
      <c r="Y890" s="1779"/>
      <c r="Z890" s="1779"/>
      <c r="AA890" s="1779"/>
      <c r="AB890" s="1779"/>
      <c r="AC890" s="1779"/>
      <c r="AD890" s="1779"/>
      <c r="AE890" s="1779"/>
      <c r="AF890" s="1779"/>
      <c r="AG890" s="1779"/>
      <c r="AH890" s="1779"/>
      <c r="AI890" s="1779"/>
      <c r="AJ890" s="1779"/>
      <c r="AK890" s="1779"/>
      <c r="AL890" s="1779"/>
      <c r="AM890" s="1779"/>
      <c r="AN890" s="1779"/>
      <c r="AO890" s="1779"/>
      <c r="AP890" s="1779"/>
      <c r="AQ890" s="1779"/>
      <c r="AR890" s="1779"/>
      <c r="AS890" s="1779"/>
      <c r="AT890" s="1779"/>
      <c r="AU890" s="1779"/>
      <c r="AV890" s="1779"/>
    </row>
    <row r="891" spans="1:48">
      <c r="A891" s="203"/>
      <c r="B891" s="5" t="s">
        <v>663</v>
      </c>
      <c r="C891" s="5" t="s">
        <v>507</v>
      </c>
      <c r="D891" s="1592">
        <v>830</v>
      </c>
      <c r="E891" s="2220" t="s">
        <v>1899</v>
      </c>
      <c r="F891" s="6">
        <v>1150</v>
      </c>
      <c r="G891" s="204" t="s">
        <v>726</v>
      </c>
      <c r="H891" s="35">
        <v>140</v>
      </c>
      <c r="I891" s="35"/>
      <c r="J891" s="267">
        <v>140</v>
      </c>
      <c r="K891" s="51"/>
      <c r="L891" s="2602">
        <v>50</v>
      </c>
      <c r="M891" s="2602"/>
      <c r="N891" s="73"/>
      <c r="O891" s="86"/>
      <c r="P891" s="1817" t="e">
        <f>INDEX(#REF!,MATCH(F891,#REF!,0),2)</f>
        <v>#REF!</v>
      </c>
      <c r="Q891" s="1779"/>
      <c r="R891" s="1779"/>
      <c r="S891" s="1779"/>
      <c r="T891" s="1779"/>
      <c r="U891" s="1779"/>
      <c r="V891" s="1779"/>
      <c r="W891" s="43"/>
      <c r="X891" s="1779"/>
      <c r="Y891" s="1779"/>
      <c r="Z891" s="1779"/>
      <c r="AA891" s="1779"/>
      <c r="AB891" s="1779"/>
      <c r="AC891" s="1779"/>
      <c r="AD891" s="1779"/>
      <c r="AE891" s="1779"/>
      <c r="AF891" s="1779"/>
      <c r="AG891" s="1779"/>
      <c r="AH891" s="1779"/>
      <c r="AI891" s="1779"/>
      <c r="AJ891" s="1779"/>
      <c r="AK891" s="1779"/>
      <c r="AL891" s="1779"/>
      <c r="AM891" s="1779"/>
      <c r="AN891" s="1779"/>
      <c r="AO891" s="1779"/>
      <c r="AP891" s="1779"/>
      <c r="AQ891" s="1779"/>
      <c r="AR891" s="1779"/>
      <c r="AS891" s="1779"/>
      <c r="AT891" s="1779"/>
      <c r="AU891" s="1779"/>
      <c r="AV891" s="1779"/>
    </row>
    <row r="892" spans="1:48">
      <c r="A892" s="246"/>
      <c r="B892" s="12" t="s">
        <v>663</v>
      </c>
      <c r="C892" s="12" t="s">
        <v>507</v>
      </c>
      <c r="D892" s="1593">
        <v>830</v>
      </c>
      <c r="E892" s="2222" t="s">
        <v>1899</v>
      </c>
      <c r="F892" s="23">
        <v>1150</v>
      </c>
      <c r="G892" s="1878"/>
      <c r="H892" s="263"/>
      <c r="I892" s="263">
        <v>50</v>
      </c>
      <c r="J892" s="264"/>
      <c r="K892" s="1877"/>
      <c r="L892" s="2603"/>
      <c r="M892" s="2603">
        <v>50</v>
      </c>
      <c r="N892" s="73"/>
      <c r="O892" s="86"/>
      <c r="P892" s="1817"/>
      <c r="Q892" s="1779"/>
      <c r="R892" s="1779"/>
      <c r="S892" s="1779"/>
      <c r="T892" s="1779"/>
      <c r="U892" s="1779"/>
      <c r="V892" s="1779"/>
      <c r="W892" s="43"/>
      <c r="X892" s="1779"/>
      <c r="Y892" s="1779"/>
      <c r="Z892" s="1779"/>
      <c r="AA892" s="1779"/>
      <c r="AB892" s="1779"/>
      <c r="AC892" s="1779"/>
      <c r="AD892" s="1779"/>
      <c r="AE892" s="1779"/>
      <c r="AF892" s="1779"/>
      <c r="AG892" s="1779"/>
      <c r="AH892" s="1779"/>
      <c r="AI892" s="1779"/>
      <c r="AJ892" s="1779"/>
      <c r="AK892" s="1779"/>
      <c r="AL892" s="1779"/>
      <c r="AM892" s="1779"/>
      <c r="AN892" s="1779"/>
      <c r="AO892" s="1779"/>
      <c r="AP892" s="1779"/>
      <c r="AQ892" s="1779"/>
      <c r="AR892" s="1779"/>
      <c r="AS892" s="1779"/>
      <c r="AT892" s="1779"/>
      <c r="AU892" s="1779"/>
      <c r="AV892" s="1779"/>
    </row>
    <row r="893" spans="1:48">
      <c r="A893" s="5"/>
      <c r="B893" s="5" t="s">
        <v>663</v>
      </c>
      <c r="C893" s="5" t="s">
        <v>652</v>
      </c>
      <c r="D893" s="1592">
        <v>830</v>
      </c>
      <c r="E893" s="2220" t="s">
        <v>1899</v>
      </c>
      <c r="F893" s="6">
        <v>1170</v>
      </c>
      <c r="G893" s="7" t="s">
        <v>724</v>
      </c>
      <c r="H893" s="8">
        <v>60</v>
      </c>
      <c r="I893" s="8"/>
      <c r="J893" s="17">
        <v>60</v>
      </c>
      <c r="K893" s="10"/>
      <c r="L893" s="2602">
        <v>60</v>
      </c>
      <c r="M893" s="2602"/>
      <c r="N893" s="73"/>
      <c r="O893" s="86"/>
      <c r="P893" s="1817" t="e">
        <f>INDEX(#REF!,MATCH(F893,#REF!,0),2)</f>
        <v>#REF!</v>
      </c>
      <c r="Q893" s="1779"/>
      <c r="R893" s="1779"/>
      <c r="S893" s="1779"/>
      <c r="T893" s="1779"/>
      <c r="U893" s="1779"/>
      <c r="V893" s="1779"/>
      <c r="W893" s="43"/>
      <c r="X893" s="1779"/>
      <c r="Y893" s="1779"/>
      <c r="Z893" s="1779"/>
      <c r="AA893" s="1779"/>
      <c r="AB893" s="1779"/>
      <c r="AC893" s="1779"/>
      <c r="AD893" s="1779"/>
      <c r="AE893" s="1779"/>
      <c r="AF893" s="1779"/>
      <c r="AG893" s="1779"/>
      <c r="AH893" s="1779"/>
      <c r="AI893" s="1779"/>
      <c r="AJ893" s="1779"/>
      <c r="AK893" s="1779"/>
      <c r="AL893" s="1779"/>
      <c r="AM893" s="1779"/>
      <c r="AN893" s="1779"/>
      <c r="AO893" s="1779"/>
      <c r="AP893" s="1779"/>
      <c r="AQ893" s="1779"/>
      <c r="AR893" s="1779"/>
      <c r="AS893" s="1779"/>
      <c r="AT893" s="1779"/>
      <c r="AU893" s="1779"/>
      <c r="AV893" s="1779"/>
    </row>
    <row r="894" spans="1:48" ht="22.5">
      <c r="A894" s="246"/>
      <c r="B894" s="12" t="s">
        <v>663</v>
      </c>
      <c r="C894" s="12" t="s">
        <v>652</v>
      </c>
      <c r="D894" s="1593"/>
      <c r="E894" s="2222" t="s">
        <v>1899</v>
      </c>
      <c r="F894" s="23">
        <v>1170</v>
      </c>
      <c r="G894" s="200" t="s">
        <v>937</v>
      </c>
      <c r="H894" s="263"/>
      <c r="I894" s="263">
        <v>60</v>
      </c>
      <c r="J894" s="264"/>
      <c r="K894" s="1877"/>
      <c r="L894" s="2603"/>
      <c r="M894" s="2603">
        <v>60</v>
      </c>
      <c r="N894" s="73"/>
      <c r="O894" s="86"/>
      <c r="P894" s="1817" t="e">
        <f>INDEX(#REF!,MATCH(F894,#REF!,0),2)</f>
        <v>#REF!</v>
      </c>
      <c r="Q894" s="1779"/>
      <c r="R894" s="1779"/>
      <c r="S894" s="1779"/>
      <c r="T894" s="1779"/>
      <c r="U894" s="1779"/>
      <c r="V894" s="1779"/>
      <c r="W894" s="43"/>
      <c r="X894" s="1779"/>
      <c r="Y894" s="1779"/>
      <c r="Z894" s="1779"/>
      <c r="AA894" s="1779"/>
      <c r="AB894" s="1779"/>
      <c r="AC894" s="1779"/>
      <c r="AD894" s="1779"/>
      <c r="AE894" s="1779"/>
      <c r="AF894" s="1779"/>
      <c r="AG894" s="1779"/>
      <c r="AH894" s="1779"/>
      <c r="AI894" s="1779"/>
      <c r="AJ894" s="1779"/>
      <c r="AK894" s="1779"/>
      <c r="AL894" s="1779"/>
      <c r="AM894" s="1779"/>
      <c r="AN894" s="1779"/>
      <c r="AO894" s="1779"/>
      <c r="AP894" s="1779"/>
      <c r="AQ894" s="1779"/>
      <c r="AR894" s="1779"/>
      <c r="AS894" s="1779"/>
      <c r="AT894" s="1779"/>
      <c r="AU894" s="1779"/>
      <c r="AV894" s="1779"/>
    </row>
    <row r="895" spans="1:48">
      <c r="A895" s="5"/>
      <c r="B895" s="5" t="s">
        <v>663</v>
      </c>
      <c r="C895" s="5" t="s">
        <v>652</v>
      </c>
      <c r="D895" s="1592">
        <v>830</v>
      </c>
      <c r="E895" s="2220" t="s">
        <v>1899</v>
      </c>
      <c r="F895" s="6">
        <v>1210</v>
      </c>
      <c r="G895" s="7" t="s">
        <v>228</v>
      </c>
      <c r="H895" s="35">
        <v>14753.952675</v>
      </c>
      <c r="I895" s="35"/>
      <c r="J895" s="267">
        <v>10088</v>
      </c>
      <c r="K895" s="51"/>
      <c r="L895" s="2602">
        <v>15639.189835500001</v>
      </c>
      <c r="M895" s="2602"/>
      <c r="N895" s="73"/>
      <c r="O895" s="86"/>
      <c r="P895" s="1817" t="e">
        <f>INDEX(#REF!,MATCH(F895,#REF!,0),2)</f>
        <v>#REF!</v>
      </c>
      <c r="Q895" s="1779"/>
      <c r="R895" s="1779"/>
      <c r="S895" s="1779"/>
      <c r="T895" s="1779"/>
      <c r="U895" s="1779"/>
      <c r="V895" s="1779"/>
      <c r="W895" s="43"/>
      <c r="X895" s="1779"/>
      <c r="Y895" s="1779"/>
      <c r="Z895" s="1779"/>
      <c r="AA895" s="1779"/>
      <c r="AB895" s="1779"/>
      <c r="AC895" s="1779"/>
      <c r="AD895" s="1779"/>
      <c r="AE895" s="1779"/>
      <c r="AF895" s="1779"/>
      <c r="AG895" s="1779"/>
      <c r="AH895" s="1779"/>
      <c r="AI895" s="1779"/>
      <c r="AJ895" s="1779"/>
      <c r="AK895" s="1779"/>
      <c r="AL895" s="1779"/>
      <c r="AM895" s="1779"/>
      <c r="AN895" s="1779"/>
      <c r="AO895" s="1779"/>
      <c r="AP895" s="1779"/>
      <c r="AQ895" s="1779"/>
      <c r="AR895" s="1779"/>
      <c r="AS895" s="1779"/>
      <c r="AT895" s="1779"/>
      <c r="AU895" s="1779"/>
      <c r="AV895" s="1779"/>
    </row>
    <row r="896" spans="1:48">
      <c r="A896" s="246"/>
      <c r="B896" s="12" t="s">
        <v>663</v>
      </c>
      <c r="C896" s="12" t="s">
        <v>652</v>
      </c>
      <c r="D896" s="1593"/>
      <c r="E896" s="2222" t="s">
        <v>1899</v>
      </c>
      <c r="F896" s="23">
        <v>1210</v>
      </c>
      <c r="G896" s="200" t="s">
        <v>663</v>
      </c>
      <c r="H896" s="263"/>
      <c r="I896" s="263">
        <v>14753.952675</v>
      </c>
      <c r="J896" s="264"/>
      <c r="K896" s="1877"/>
      <c r="L896" s="2603"/>
      <c r="M896" s="2603">
        <v>15639.189835500001</v>
      </c>
      <c r="N896" s="73"/>
      <c r="O896" s="86"/>
      <c r="P896" s="1817" t="e">
        <f>INDEX(#REF!,MATCH(F896,#REF!,0),2)</f>
        <v>#REF!</v>
      </c>
      <c r="Q896" s="1779"/>
      <c r="R896" s="1779"/>
      <c r="S896" s="1779"/>
      <c r="T896" s="1779"/>
      <c r="U896" s="1779"/>
      <c r="V896" s="1779"/>
      <c r="W896" s="43"/>
      <c r="X896" s="1779"/>
      <c r="Y896" s="1779"/>
      <c r="Z896" s="1779"/>
      <c r="AA896" s="1779"/>
      <c r="AB896" s="1779"/>
      <c r="AC896" s="1779"/>
      <c r="AD896" s="1779"/>
      <c r="AE896" s="1779"/>
      <c r="AF896" s="1779"/>
      <c r="AG896" s="1779"/>
      <c r="AH896" s="1779"/>
      <c r="AI896" s="1779"/>
      <c r="AJ896" s="1779"/>
      <c r="AK896" s="1779"/>
      <c r="AL896" s="1779"/>
      <c r="AM896" s="1779"/>
      <c r="AN896" s="1779"/>
      <c r="AO896" s="1779"/>
      <c r="AP896" s="1779"/>
      <c r="AQ896" s="1779"/>
      <c r="AR896" s="1779"/>
      <c r="AS896" s="1779"/>
      <c r="AT896" s="1779"/>
      <c r="AU896" s="1779"/>
      <c r="AV896" s="1779"/>
    </row>
    <row r="897" spans="1:48">
      <c r="A897" s="246"/>
      <c r="B897" s="12" t="s">
        <v>663</v>
      </c>
      <c r="C897" s="12" t="s">
        <v>652</v>
      </c>
      <c r="D897" s="1593"/>
      <c r="E897" s="2222" t="s">
        <v>1899</v>
      </c>
      <c r="F897" s="23">
        <v>1210</v>
      </c>
      <c r="G897" s="1878" t="s">
        <v>1180</v>
      </c>
      <c r="H897" s="263"/>
      <c r="I897" s="263"/>
      <c r="J897" s="264"/>
      <c r="K897" s="1877"/>
      <c r="L897" s="2603"/>
      <c r="M897" s="2603"/>
      <c r="N897" s="73"/>
      <c r="O897" s="86"/>
      <c r="P897" s="1817" t="e">
        <f>INDEX(#REF!,MATCH(F897,#REF!,0),2)</f>
        <v>#REF!</v>
      </c>
      <c r="Q897" s="1779"/>
      <c r="R897" s="1779"/>
      <c r="S897" s="1779"/>
      <c r="T897" s="1779"/>
      <c r="U897" s="1779"/>
      <c r="V897" s="1779"/>
      <c r="W897" s="43"/>
      <c r="X897" s="1779"/>
      <c r="Y897" s="1779"/>
      <c r="Z897" s="1779"/>
      <c r="AA897" s="1779"/>
      <c r="AB897" s="1779"/>
      <c r="AC897" s="1779"/>
      <c r="AD897" s="1779"/>
      <c r="AE897" s="1779"/>
      <c r="AF897" s="1779"/>
      <c r="AG897" s="1779"/>
      <c r="AH897" s="1779"/>
      <c r="AI897" s="1779"/>
      <c r="AJ897" s="1779"/>
      <c r="AK897" s="1779"/>
      <c r="AL897" s="1779"/>
      <c r="AM897" s="1779"/>
      <c r="AN897" s="1779"/>
      <c r="AO897" s="1779"/>
      <c r="AP897" s="1779"/>
      <c r="AQ897" s="1779"/>
      <c r="AR897" s="1779"/>
      <c r="AS897" s="1779"/>
      <c r="AT897" s="1779"/>
      <c r="AU897" s="1779"/>
      <c r="AV897" s="1779"/>
    </row>
    <row r="898" spans="1:48">
      <c r="A898" s="5"/>
      <c r="B898" s="5" t="s">
        <v>663</v>
      </c>
      <c r="C898" s="5" t="s">
        <v>652</v>
      </c>
      <c r="D898" s="1592">
        <v>830</v>
      </c>
      <c r="E898" s="2220" t="s">
        <v>1899</v>
      </c>
      <c r="F898" s="6">
        <v>1221</v>
      </c>
      <c r="G898" s="7" t="s">
        <v>229</v>
      </c>
      <c r="H898" s="37">
        <v>3451</v>
      </c>
      <c r="I898" s="37"/>
      <c r="J898" s="267">
        <v>3450</v>
      </c>
      <c r="K898" s="51"/>
      <c r="L898" s="2602">
        <v>3330.0152545000001</v>
      </c>
      <c r="M898" s="2602"/>
      <c r="N898" s="73"/>
      <c r="O898" s="86"/>
      <c r="P898" s="1817" t="e">
        <f>INDEX(#REF!,MATCH(F898,#REF!,0),2)</f>
        <v>#REF!</v>
      </c>
      <c r="Q898" s="11"/>
      <c r="R898" s="11"/>
      <c r="S898" s="11"/>
      <c r="T898" s="11"/>
      <c r="U898" s="11"/>
      <c r="V898" s="11"/>
      <c r="W898" s="4"/>
      <c r="X898" s="11"/>
      <c r="Y898" s="11"/>
      <c r="Z898" s="11"/>
      <c r="AA898" s="11"/>
      <c r="AB898" s="11"/>
      <c r="AC898" s="11"/>
      <c r="AD898" s="11"/>
      <c r="AE898" s="11"/>
      <c r="AF898" s="11"/>
      <c r="AG898" s="11"/>
      <c r="AH898" s="1779"/>
      <c r="AI898" s="1779"/>
      <c r="AJ898" s="1779"/>
      <c r="AK898" s="1779"/>
      <c r="AL898" s="1779"/>
      <c r="AM898" s="1779"/>
      <c r="AN898" s="1779"/>
      <c r="AO898" s="1779"/>
      <c r="AP898" s="1779"/>
      <c r="AQ898" s="1779"/>
      <c r="AR898" s="1779"/>
      <c r="AS898" s="1779"/>
      <c r="AT898" s="1779"/>
      <c r="AU898" s="1779"/>
      <c r="AV898" s="1779"/>
    </row>
    <row r="899" spans="1:48">
      <c r="A899" s="412"/>
      <c r="B899" s="412" t="s">
        <v>663</v>
      </c>
      <c r="C899" s="412" t="s">
        <v>652</v>
      </c>
      <c r="D899" s="1590">
        <v>830</v>
      </c>
      <c r="E899" s="2224" t="s">
        <v>1899</v>
      </c>
      <c r="F899" s="505">
        <v>1221</v>
      </c>
      <c r="G899" s="1374" t="s">
        <v>1989</v>
      </c>
      <c r="H899" s="433"/>
      <c r="I899" s="433">
        <v>3141.5238250000002</v>
      </c>
      <c r="J899" s="441"/>
      <c r="K899" s="580"/>
      <c r="L899" s="2592"/>
      <c r="M899" s="2592">
        <v>3330.0152545000001</v>
      </c>
      <c r="N899" s="73"/>
      <c r="O899" s="86"/>
      <c r="P899" s="1817" t="e">
        <f>INDEX(#REF!,MATCH(F899,#REF!,0),2)</f>
        <v>#REF!</v>
      </c>
      <c r="Q899" s="11"/>
      <c r="R899" s="11"/>
      <c r="S899" s="11"/>
      <c r="T899" s="11"/>
      <c r="U899" s="11"/>
      <c r="V899" s="11"/>
      <c r="W899" s="4"/>
      <c r="X899" s="11"/>
      <c r="Y899" s="11"/>
      <c r="Z899" s="11"/>
      <c r="AA899" s="11"/>
      <c r="AB899" s="11"/>
      <c r="AC899" s="11"/>
      <c r="AD899" s="11"/>
      <c r="AE899" s="11"/>
      <c r="AF899" s="11"/>
      <c r="AG899" s="11"/>
      <c r="AH899" s="1779"/>
      <c r="AI899" s="1779"/>
      <c r="AJ899" s="1779"/>
      <c r="AK899" s="1779"/>
      <c r="AL899" s="1779"/>
      <c r="AM899" s="1779"/>
      <c r="AN899" s="1779"/>
      <c r="AO899" s="1779"/>
      <c r="AP899" s="1779"/>
      <c r="AQ899" s="1779"/>
      <c r="AR899" s="1779"/>
      <c r="AS899" s="1779"/>
      <c r="AT899" s="1779"/>
      <c r="AU899" s="1779"/>
      <c r="AV899" s="1779"/>
    </row>
    <row r="900" spans="1:48">
      <c r="A900" s="1370"/>
      <c r="B900" s="412" t="s">
        <v>663</v>
      </c>
      <c r="C900" s="412" t="s">
        <v>652</v>
      </c>
      <c r="D900" s="1590">
        <v>830</v>
      </c>
      <c r="E900" s="2224" t="s">
        <v>1899</v>
      </c>
      <c r="F900" s="505">
        <v>1221</v>
      </c>
      <c r="G900" s="1374"/>
      <c r="H900" s="1436"/>
      <c r="I900" s="1436"/>
      <c r="J900" s="1437"/>
      <c r="K900" s="1880"/>
      <c r="L900" s="2592"/>
      <c r="M900" s="2592"/>
      <c r="N900" s="73"/>
      <c r="O900" s="86"/>
      <c r="P900" s="1817" t="e">
        <f>INDEX(#REF!,MATCH(F900,#REF!,0),2)</f>
        <v>#REF!</v>
      </c>
      <c r="Q900" s="1779"/>
      <c r="R900" s="1779"/>
      <c r="S900" s="1779"/>
      <c r="T900" s="1779"/>
      <c r="U900" s="1779"/>
      <c r="V900" s="1779"/>
      <c r="W900" s="43"/>
      <c r="X900" s="1779"/>
      <c r="Y900" s="1779"/>
      <c r="Z900" s="1779"/>
      <c r="AA900" s="1779"/>
      <c r="AB900" s="1779"/>
      <c r="AC900" s="1779"/>
      <c r="AD900" s="1779"/>
      <c r="AE900" s="1779"/>
      <c r="AF900" s="1779"/>
      <c r="AG900" s="1779"/>
      <c r="AH900" s="1779"/>
      <c r="AI900" s="1779"/>
      <c r="AJ900" s="1779"/>
      <c r="AK900" s="1779"/>
      <c r="AL900" s="1779"/>
      <c r="AM900" s="1779"/>
      <c r="AN900" s="1779"/>
      <c r="AO900" s="1779"/>
      <c r="AP900" s="1779"/>
      <c r="AQ900" s="1779"/>
      <c r="AR900" s="1779"/>
      <c r="AS900" s="1779"/>
      <c r="AT900" s="1779"/>
      <c r="AU900" s="1779"/>
      <c r="AV900" s="1779"/>
    </row>
    <row r="901" spans="1:48" ht="22.5">
      <c r="A901" s="506"/>
      <c r="B901" s="506" t="s">
        <v>1248</v>
      </c>
      <c r="C901" s="506" t="s">
        <v>652</v>
      </c>
      <c r="D901" s="1589">
        <v>830</v>
      </c>
      <c r="E901" s="2223" t="s">
        <v>1899</v>
      </c>
      <c r="F901" s="6">
        <v>1227</v>
      </c>
      <c r="G901" s="411" t="s">
        <v>1257</v>
      </c>
      <c r="H901" s="936">
        <v>0</v>
      </c>
      <c r="I901" s="608"/>
      <c r="J901" s="509"/>
      <c r="K901" s="510"/>
      <c r="L901" s="2604">
        <v>0</v>
      </c>
      <c r="M901" s="2604"/>
      <c r="N901" s="73"/>
      <c r="O901" s="86"/>
      <c r="P901" s="1817" t="e">
        <f>INDEX(#REF!,MATCH(F901,#REF!,0),2)</f>
        <v>#REF!</v>
      </c>
      <c r="Q901" s="11"/>
      <c r="R901" s="11"/>
      <c r="S901" s="11"/>
      <c r="T901" s="11"/>
      <c r="U901" s="11"/>
      <c r="V901" s="11"/>
      <c r="W901" s="4"/>
      <c r="X901" s="11"/>
      <c r="Y901" s="11"/>
      <c r="Z901" s="11"/>
      <c r="AA901" s="11"/>
      <c r="AB901" s="11"/>
      <c r="AC901" s="11"/>
      <c r="AD901" s="11"/>
      <c r="AE901" s="11"/>
      <c r="AF901" s="11"/>
      <c r="AG901" s="11"/>
      <c r="AH901" s="1779"/>
      <c r="AI901" s="1779"/>
      <c r="AJ901" s="1779"/>
      <c r="AK901" s="1779"/>
      <c r="AL901" s="1779"/>
      <c r="AM901" s="1779"/>
      <c r="AN901" s="1779"/>
      <c r="AO901" s="1779"/>
      <c r="AP901" s="1779"/>
      <c r="AQ901" s="1779"/>
      <c r="AR901" s="1779"/>
      <c r="AS901" s="1779"/>
      <c r="AT901" s="1779"/>
      <c r="AU901" s="1779"/>
      <c r="AV901" s="1779"/>
    </row>
    <row r="902" spans="1:48">
      <c r="A902" s="412"/>
      <c r="B902" s="412" t="s">
        <v>1248</v>
      </c>
      <c r="C902" s="412" t="s">
        <v>652</v>
      </c>
      <c r="D902" s="1590"/>
      <c r="E902" s="2224" t="s">
        <v>1899</v>
      </c>
      <c r="F902" s="505">
        <v>1227</v>
      </c>
      <c r="G902" s="553"/>
      <c r="H902" s="925"/>
      <c r="I902" s="433">
        <v>0</v>
      </c>
      <c r="J902" s="441"/>
      <c r="K902" s="421"/>
      <c r="L902" s="2592"/>
      <c r="M902" s="2592">
        <v>0</v>
      </c>
      <c r="N902" s="73"/>
      <c r="O902" s="86"/>
      <c r="P902" s="1817" t="e">
        <f>INDEX(#REF!,MATCH(F902,#REF!,0),2)</f>
        <v>#REF!</v>
      </c>
      <c r="Q902" s="1779"/>
      <c r="R902" s="1779"/>
      <c r="S902" s="1779"/>
      <c r="T902" s="1779"/>
      <c r="U902" s="1779"/>
      <c r="V902" s="1779"/>
      <c r="W902" s="43"/>
      <c r="X902" s="1779"/>
      <c r="Y902" s="1779"/>
      <c r="Z902" s="1779"/>
      <c r="AA902" s="1779"/>
      <c r="AB902" s="1779"/>
      <c r="AC902" s="1779"/>
      <c r="AD902" s="1779"/>
      <c r="AE902" s="1779"/>
      <c r="AF902" s="1779"/>
      <c r="AG902" s="1779"/>
      <c r="AH902" s="1779"/>
      <c r="AI902" s="1779"/>
      <c r="AJ902" s="1779"/>
      <c r="AK902" s="1779"/>
      <c r="AL902" s="1779"/>
      <c r="AM902" s="1779"/>
      <c r="AN902" s="1779"/>
      <c r="AO902" s="1779"/>
      <c r="AP902" s="1779"/>
      <c r="AQ902" s="1779"/>
      <c r="AR902" s="1779"/>
      <c r="AS902" s="1779"/>
      <c r="AT902" s="1779"/>
      <c r="AU902" s="1779"/>
      <c r="AV902" s="1779"/>
    </row>
    <row r="903" spans="1:48">
      <c r="A903" s="506"/>
      <c r="B903" s="755" t="s">
        <v>1248</v>
      </c>
      <c r="C903" s="755" t="s">
        <v>652</v>
      </c>
      <c r="D903" s="1589">
        <v>830</v>
      </c>
      <c r="E903" s="2223" t="s">
        <v>1899</v>
      </c>
      <c r="F903" s="6">
        <v>1228</v>
      </c>
      <c r="G903" s="411" t="s">
        <v>235</v>
      </c>
      <c r="H903" s="936">
        <v>0</v>
      </c>
      <c r="I903" s="608"/>
      <c r="J903" s="509"/>
      <c r="K903" s="510"/>
      <c r="L903" s="2604">
        <v>0</v>
      </c>
      <c r="M903" s="2604"/>
      <c r="N903" s="73"/>
      <c r="O903" s="86"/>
      <c r="P903" s="1817" t="e">
        <f>INDEX(#REF!,MATCH(F903,#REF!,0),2)</f>
        <v>#REF!</v>
      </c>
      <c r="Q903" s="11"/>
      <c r="R903" s="11"/>
      <c r="S903" s="11"/>
      <c r="T903" s="11"/>
      <c r="U903" s="11"/>
      <c r="V903" s="11"/>
      <c r="W903" s="4"/>
      <c r="X903" s="11"/>
      <c r="Y903" s="11"/>
      <c r="Z903" s="11"/>
      <c r="AA903" s="11"/>
      <c r="AB903" s="11"/>
      <c r="AC903" s="11"/>
      <c r="AD903" s="11"/>
      <c r="AE903" s="11"/>
      <c r="AF903" s="11"/>
      <c r="AG903" s="11"/>
      <c r="AH903" s="1779"/>
      <c r="AI903" s="1779"/>
      <c r="AJ903" s="1779"/>
      <c r="AK903" s="1779"/>
      <c r="AL903" s="1779"/>
      <c r="AM903" s="1779"/>
      <c r="AN903" s="1779"/>
      <c r="AO903" s="1779"/>
      <c r="AP903" s="1779"/>
      <c r="AQ903" s="1779"/>
      <c r="AR903" s="1779"/>
      <c r="AS903" s="1779"/>
      <c r="AT903" s="1779"/>
      <c r="AU903" s="1779"/>
      <c r="AV903" s="1779"/>
    </row>
    <row r="904" spans="1:48" ht="22.5">
      <c r="A904" s="412"/>
      <c r="B904" s="762" t="s">
        <v>1248</v>
      </c>
      <c r="C904" s="762" t="s">
        <v>652</v>
      </c>
      <c r="D904" s="1590"/>
      <c r="E904" s="2224" t="s">
        <v>1899</v>
      </c>
      <c r="F904" s="505">
        <v>1228</v>
      </c>
      <c r="G904" s="553" t="s">
        <v>3489</v>
      </c>
      <c r="H904" s="925"/>
      <c r="I904" s="433">
        <v>0</v>
      </c>
      <c r="J904" s="441"/>
      <c r="K904" s="421"/>
      <c r="L904" s="2592"/>
      <c r="M904" s="2592">
        <v>0</v>
      </c>
      <c r="N904" s="73"/>
      <c r="O904" s="86"/>
      <c r="P904" s="1817" t="e">
        <f>INDEX(#REF!,MATCH(F904,#REF!,0),2)</f>
        <v>#REF!</v>
      </c>
      <c r="Q904" s="11"/>
      <c r="R904" s="11"/>
      <c r="S904" s="11"/>
      <c r="T904" s="11"/>
      <c r="U904" s="11"/>
      <c r="V904" s="11"/>
      <c r="W904" s="4"/>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row>
    <row r="905" spans="1:48">
      <c r="A905" s="5"/>
      <c r="B905" s="5" t="s">
        <v>1248</v>
      </c>
      <c r="C905" s="5" t="s">
        <v>507</v>
      </c>
      <c r="D905" s="1592">
        <v>830</v>
      </c>
      <c r="E905" s="2220" t="s">
        <v>1899</v>
      </c>
      <c r="F905" s="6">
        <v>2210</v>
      </c>
      <c r="G905" s="7" t="s">
        <v>879</v>
      </c>
      <c r="H905" s="930">
        <v>2030</v>
      </c>
      <c r="I905" s="35"/>
      <c r="J905" s="267">
        <v>1731</v>
      </c>
      <c r="K905" s="51"/>
      <c r="L905" s="2602">
        <v>2035.44</v>
      </c>
      <c r="M905" s="2602"/>
      <c r="N905" s="83"/>
      <c r="O905" s="86"/>
      <c r="P905" s="1817" t="e">
        <f>INDEX(#REF!,MATCH(F905,#REF!,0),2)</f>
        <v>#REF!</v>
      </c>
      <c r="Q905" s="1779"/>
      <c r="R905" s="1779"/>
      <c r="S905" s="1779"/>
      <c r="T905" s="1779"/>
      <c r="U905" s="1779"/>
      <c r="V905" s="1779"/>
      <c r="W905" s="43"/>
      <c r="X905" s="1779"/>
      <c r="Y905" s="1779"/>
      <c r="Z905" s="1779"/>
      <c r="AA905" s="1779"/>
      <c r="AB905" s="1779"/>
      <c r="AC905" s="1779"/>
      <c r="AD905" s="1779"/>
      <c r="AE905" s="1779"/>
      <c r="AF905" s="1779"/>
      <c r="AG905" s="1779"/>
      <c r="AH905" s="1779"/>
      <c r="AI905" s="1779"/>
      <c r="AJ905" s="1779"/>
      <c r="AK905" s="1779"/>
      <c r="AL905" s="1779"/>
      <c r="AM905" s="1779"/>
      <c r="AN905" s="1779"/>
      <c r="AO905" s="1779"/>
      <c r="AP905" s="1779"/>
      <c r="AQ905" s="1779"/>
      <c r="AR905" s="1779"/>
      <c r="AS905" s="1779"/>
      <c r="AT905" s="1779"/>
      <c r="AU905" s="1779"/>
      <c r="AV905" s="1779"/>
    </row>
    <row r="906" spans="1:48">
      <c r="A906" s="12"/>
      <c r="B906" s="12" t="s">
        <v>1248</v>
      </c>
      <c r="C906" s="12" t="s">
        <v>507</v>
      </c>
      <c r="D906" s="1593"/>
      <c r="E906" s="2222" t="s">
        <v>1899</v>
      </c>
      <c r="F906" s="23">
        <v>2210</v>
      </c>
      <c r="G906" s="26" t="s">
        <v>1368</v>
      </c>
      <c r="H906" s="931"/>
      <c r="I906" s="52">
        <v>468</v>
      </c>
      <c r="J906" s="46"/>
      <c r="K906" s="45"/>
      <c r="L906" s="2605"/>
      <c r="M906" s="2605">
        <v>468</v>
      </c>
      <c r="N906" s="149"/>
      <c r="O906" s="86"/>
      <c r="P906" s="1817" t="e">
        <f>INDEX(#REF!,MATCH(F906,#REF!,0),2)</f>
        <v>#REF!</v>
      </c>
      <c r="Q906" s="1779"/>
      <c r="R906" s="1779"/>
      <c r="S906" s="1779"/>
      <c r="T906" s="1779"/>
      <c r="U906" s="1779"/>
      <c r="V906" s="1779"/>
      <c r="W906" s="43"/>
      <c r="X906" s="1779"/>
      <c r="Y906" s="1779"/>
      <c r="Z906" s="1779"/>
      <c r="AA906" s="1779"/>
      <c r="AB906" s="1779"/>
      <c r="AC906" s="1779"/>
      <c r="AD906" s="1779"/>
      <c r="AE906" s="1779"/>
      <c r="AF906" s="1779"/>
      <c r="AG906" s="1779"/>
      <c r="AH906" s="1779"/>
      <c r="AI906" s="1779"/>
      <c r="AJ906" s="1779"/>
      <c r="AK906" s="1779"/>
      <c r="AL906" s="1779"/>
      <c r="AM906" s="1779"/>
      <c r="AN906" s="1779"/>
      <c r="AO906" s="1779"/>
      <c r="AP906" s="1779"/>
      <c r="AQ906" s="1779"/>
      <c r="AR906" s="1779"/>
      <c r="AS906" s="1779"/>
      <c r="AT906" s="1779"/>
      <c r="AU906" s="1779"/>
      <c r="AV906" s="1779"/>
    </row>
    <row r="907" spans="1:48" ht="22.5">
      <c r="A907" s="1563"/>
      <c r="B907" s="12" t="s">
        <v>1248</v>
      </c>
      <c r="C907" s="12" t="s">
        <v>507</v>
      </c>
      <c r="D907" s="1593"/>
      <c r="E907" s="2222" t="s">
        <v>1899</v>
      </c>
      <c r="F907" s="23">
        <v>2210</v>
      </c>
      <c r="G907" s="1853" t="s">
        <v>3475</v>
      </c>
      <c r="H907" s="1863"/>
      <c r="I907" s="1864">
        <v>110</v>
      </c>
      <c r="J907" s="1865"/>
      <c r="K907" s="1866"/>
      <c r="L907" s="2605"/>
      <c r="M907" s="2605">
        <v>115.44</v>
      </c>
      <c r="N907" s="149"/>
      <c r="O907" s="86"/>
      <c r="P907" s="1817" t="e">
        <f>INDEX(#REF!,MATCH(F907,#REF!,0),2)</f>
        <v>#REF!</v>
      </c>
      <c r="Q907" s="1779"/>
      <c r="R907" s="1779"/>
      <c r="S907" s="1779"/>
      <c r="T907" s="1779"/>
      <c r="U907" s="1779"/>
      <c r="V907" s="1779"/>
      <c r="W907" s="43"/>
      <c r="X907" s="1779"/>
      <c r="Y907" s="1779"/>
      <c r="Z907" s="1779"/>
      <c r="AA907" s="1779"/>
      <c r="AB907" s="1779"/>
      <c r="AC907" s="1779"/>
      <c r="AD907" s="1779"/>
      <c r="AE907" s="1779"/>
      <c r="AF907" s="1779"/>
      <c r="AG907" s="1779"/>
      <c r="AH907" s="1779"/>
      <c r="AI907" s="1779"/>
      <c r="AJ907" s="1779"/>
      <c r="AK907" s="1779"/>
      <c r="AL907" s="1779"/>
      <c r="AM907" s="1779"/>
      <c r="AN907" s="1779"/>
      <c r="AO907" s="1779"/>
      <c r="AP907" s="1779"/>
      <c r="AQ907" s="1779"/>
      <c r="AR907" s="1779"/>
      <c r="AS907" s="1779"/>
      <c r="AT907" s="1779"/>
      <c r="AU907" s="1779"/>
      <c r="AV907" s="1779"/>
    </row>
    <row r="908" spans="1:48" ht="22.5">
      <c r="A908" s="325"/>
      <c r="B908" s="12" t="s">
        <v>1248</v>
      </c>
      <c r="C908" s="12" t="s">
        <v>507</v>
      </c>
      <c r="D908" s="1593"/>
      <c r="E908" s="2222" t="s">
        <v>1899</v>
      </c>
      <c r="F908" s="23">
        <v>2210</v>
      </c>
      <c r="G908" s="1071" t="s">
        <v>1120</v>
      </c>
      <c r="H908" s="932"/>
      <c r="I908" s="306">
        <v>1452</v>
      </c>
      <c r="J908" s="301"/>
      <c r="K908" s="302"/>
      <c r="L908" s="2605"/>
      <c r="M908" s="2605">
        <v>1452</v>
      </c>
      <c r="N908" s="73"/>
      <c r="O908" s="86"/>
      <c r="P908" s="1817" t="e">
        <f>INDEX(#REF!,MATCH(F908,#REF!,0),2)</f>
        <v>#REF!</v>
      </c>
      <c r="Q908" s="1779"/>
      <c r="R908" s="1779"/>
      <c r="S908" s="1779"/>
      <c r="T908" s="1779"/>
      <c r="U908" s="1779"/>
      <c r="V908" s="43"/>
      <c r="W908" s="1779"/>
      <c r="X908" s="1779"/>
      <c r="Y908" s="1779"/>
      <c r="Z908" s="1779"/>
      <c r="AA908" s="1779"/>
      <c r="AB908" s="1779"/>
      <c r="AC908" s="1779"/>
      <c r="AD908" s="1779"/>
      <c r="AE908" s="1779"/>
      <c r="AF908" s="1779"/>
      <c r="AG908" s="1779"/>
      <c r="AH908" s="1779"/>
      <c r="AI908" s="1779"/>
      <c r="AJ908" s="1779"/>
      <c r="AK908" s="1779"/>
      <c r="AL908" s="1779"/>
      <c r="AM908" s="1779"/>
      <c r="AN908" s="1779"/>
      <c r="AO908" s="1779"/>
      <c r="AP908" s="1779"/>
      <c r="AQ908" s="1779"/>
      <c r="AR908" s="1779"/>
      <c r="AS908" s="1779"/>
      <c r="AT908" s="1779"/>
      <c r="AU908" s="1779"/>
    </row>
    <row r="909" spans="1:48">
      <c r="A909" s="506"/>
      <c r="B909" s="506" t="s">
        <v>1248</v>
      </c>
      <c r="C909" s="506" t="s">
        <v>505</v>
      </c>
      <c r="D909" s="1589">
        <v>830</v>
      </c>
      <c r="E909" s="2223" t="s">
        <v>1899</v>
      </c>
      <c r="F909" s="540">
        <v>2224</v>
      </c>
      <c r="G909" s="411" t="s">
        <v>2025</v>
      </c>
      <c r="H909" s="936">
        <v>240</v>
      </c>
      <c r="I909" s="508"/>
      <c r="J909" s="509">
        <v>181</v>
      </c>
      <c r="K909" s="510"/>
      <c r="L909" s="2604">
        <v>240</v>
      </c>
      <c r="M909" s="2604"/>
      <c r="N909" s="2389"/>
      <c r="O909" s="86"/>
      <c r="P909" s="1817" t="e">
        <f>INDEX(#REF!,MATCH(F909,#REF!,0),2)</f>
        <v>#REF!</v>
      </c>
      <c r="Q909" s="1779"/>
      <c r="R909" s="1779"/>
      <c r="S909" s="1779"/>
      <c r="T909" s="1779"/>
      <c r="U909" s="1779"/>
      <c r="V909" s="1779"/>
      <c r="W909" s="43"/>
      <c r="X909" s="1779"/>
      <c r="Y909" s="1779"/>
      <c r="Z909" s="1779"/>
      <c r="AA909" s="1779"/>
      <c r="AB909" s="1779"/>
      <c r="AC909" s="1779"/>
      <c r="AD909" s="1779"/>
      <c r="AE909" s="1779"/>
      <c r="AF909" s="1779"/>
      <c r="AG909" s="1779"/>
      <c r="AH909" s="1779"/>
      <c r="AI909" s="1779"/>
      <c r="AJ909" s="1779"/>
      <c r="AK909" s="1779"/>
      <c r="AL909" s="1779"/>
      <c r="AM909" s="1779"/>
      <c r="AN909" s="1779"/>
      <c r="AO909" s="1779"/>
      <c r="AP909" s="1779"/>
      <c r="AQ909" s="1779"/>
      <c r="AR909" s="1779"/>
      <c r="AS909" s="1779"/>
      <c r="AT909" s="1779"/>
      <c r="AU909" s="1779"/>
      <c r="AV909" s="1779"/>
    </row>
    <row r="910" spans="1:48" ht="22.5">
      <c r="A910" s="1882"/>
      <c r="B910" s="412" t="s">
        <v>1248</v>
      </c>
      <c r="C910" s="412" t="s">
        <v>505</v>
      </c>
      <c r="D910" s="1590"/>
      <c r="E910" s="2224" t="s">
        <v>1899</v>
      </c>
      <c r="F910" s="505">
        <v>2224</v>
      </c>
      <c r="G910" s="2043" t="s">
        <v>3136</v>
      </c>
      <c r="H910" s="2322"/>
      <c r="I910" s="2323">
        <v>240</v>
      </c>
      <c r="J910" s="2324"/>
      <c r="K910" s="2325"/>
      <c r="L910" s="2605"/>
      <c r="M910" s="2605">
        <v>240</v>
      </c>
      <c r="N910" s="73"/>
      <c r="O910" s="86"/>
      <c r="P910" s="1817" t="e">
        <f>INDEX(#REF!,MATCH(F910,#REF!,0),2)</f>
        <v>#REF!</v>
      </c>
      <c r="Q910" s="1779"/>
      <c r="R910" s="1779"/>
      <c r="S910" s="1779"/>
      <c r="T910" s="1779"/>
      <c r="U910" s="1779"/>
      <c r="V910" s="1779"/>
      <c r="W910" s="43"/>
      <c r="X910" s="1779"/>
      <c r="Y910" s="1779"/>
      <c r="Z910" s="1779"/>
      <c r="AA910" s="1779"/>
      <c r="AB910" s="1779"/>
      <c r="AC910" s="1779"/>
      <c r="AD910" s="1779"/>
      <c r="AE910" s="1779"/>
      <c r="AF910" s="1779"/>
      <c r="AG910" s="1779"/>
      <c r="AH910" s="1779"/>
      <c r="AI910" s="1779"/>
      <c r="AJ910" s="1779"/>
      <c r="AK910" s="1779"/>
      <c r="AL910" s="1779"/>
      <c r="AM910" s="1779"/>
      <c r="AN910" s="1779"/>
      <c r="AO910" s="1779"/>
      <c r="AP910" s="1779"/>
      <c r="AQ910" s="1779"/>
      <c r="AR910" s="1779"/>
      <c r="AS910" s="1779"/>
      <c r="AT910" s="1779"/>
      <c r="AU910" s="1779"/>
      <c r="AV910" s="1779"/>
    </row>
    <row r="911" spans="1:48" ht="63" customHeight="1">
      <c r="A911" s="506"/>
      <c r="B911" s="506" t="s">
        <v>1248</v>
      </c>
      <c r="C911" s="506" t="s">
        <v>505</v>
      </c>
      <c r="D911" s="1589">
        <v>830</v>
      </c>
      <c r="E911" s="2223" t="s">
        <v>1899</v>
      </c>
      <c r="F911" s="540">
        <v>2233</v>
      </c>
      <c r="G911" s="411" t="s">
        <v>397</v>
      </c>
      <c r="H911" s="936">
        <v>327</v>
      </c>
      <c r="I911" s="508"/>
      <c r="J911" s="509">
        <v>327</v>
      </c>
      <c r="K911" s="510"/>
      <c r="L911" s="2604">
        <v>400</v>
      </c>
      <c r="M911" s="2604"/>
      <c r="N911" s="73"/>
      <c r="O911" s="86"/>
      <c r="P911" s="1817" t="e">
        <f>INDEX(#REF!,MATCH(F911,#REF!,0),2)</f>
        <v>#REF!</v>
      </c>
      <c r="Q911" s="11"/>
      <c r="R911" s="11"/>
      <c r="S911" s="11"/>
      <c r="T911" s="11"/>
      <c r="U911" s="11"/>
      <c r="V911" s="11"/>
      <c r="W911" s="4"/>
      <c r="X911" s="11"/>
      <c r="Y911" s="11"/>
      <c r="Z911" s="11"/>
      <c r="AA911" s="11"/>
      <c r="AB911" s="11"/>
      <c r="AC911" s="11"/>
      <c r="AD911" s="11"/>
      <c r="AE911" s="11"/>
      <c r="AF911" s="11"/>
      <c r="AG911" s="11"/>
      <c r="AH911" s="1779"/>
      <c r="AI911" s="1779"/>
      <c r="AJ911" s="1779"/>
      <c r="AK911" s="1779"/>
      <c r="AL911" s="1779"/>
      <c r="AM911" s="1779"/>
      <c r="AN911" s="1779"/>
      <c r="AO911" s="1779"/>
      <c r="AP911" s="1779"/>
      <c r="AQ911" s="1779"/>
      <c r="AR911" s="1779"/>
      <c r="AS911" s="1779"/>
      <c r="AT911" s="1779"/>
      <c r="AU911" s="1779"/>
      <c r="AV911" s="1779"/>
    </row>
    <row r="912" spans="1:48" ht="67.5">
      <c r="A912" s="412"/>
      <c r="B912" s="412" t="s">
        <v>1248</v>
      </c>
      <c r="C912" s="412" t="s">
        <v>505</v>
      </c>
      <c r="D912" s="1590"/>
      <c r="E912" s="2224" t="s">
        <v>1899</v>
      </c>
      <c r="F912" s="505">
        <v>2233</v>
      </c>
      <c r="G912" s="1884" t="s">
        <v>3507</v>
      </c>
      <c r="H912" s="925"/>
      <c r="I912" s="433">
        <v>300</v>
      </c>
      <c r="J912" s="441"/>
      <c r="K912" s="421"/>
      <c r="L912" s="2592"/>
      <c r="M912" s="2592">
        <v>400</v>
      </c>
      <c r="N912" s="73" t="s">
        <v>3476</v>
      </c>
      <c r="O912" s="86"/>
      <c r="P912" s="1817" t="e">
        <f>INDEX(#REF!,MATCH(F912,#REF!,0),2)</f>
        <v>#REF!</v>
      </c>
      <c r="Q912" s="11"/>
      <c r="R912" s="11"/>
      <c r="S912" s="11"/>
      <c r="T912" s="11"/>
      <c r="U912" s="11"/>
      <c r="V912" s="11"/>
      <c r="W912" s="4"/>
      <c r="X912" s="11"/>
      <c r="Y912" s="11"/>
      <c r="Z912" s="11"/>
      <c r="AA912" s="11"/>
      <c r="AB912" s="11"/>
      <c r="AC912" s="11"/>
      <c r="AD912" s="11"/>
      <c r="AE912" s="11"/>
      <c r="AF912" s="11"/>
      <c r="AG912" s="11"/>
      <c r="AH912" s="1779"/>
      <c r="AI912" s="1779"/>
      <c r="AJ912" s="1779"/>
      <c r="AK912" s="1779"/>
      <c r="AL912" s="1779"/>
      <c r="AM912" s="1779"/>
      <c r="AN912" s="1779"/>
      <c r="AO912" s="1779"/>
      <c r="AP912" s="1779"/>
      <c r="AQ912" s="1779"/>
      <c r="AR912" s="1779"/>
      <c r="AS912" s="1779"/>
      <c r="AT912" s="1779"/>
      <c r="AU912" s="1779"/>
      <c r="AV912" s="1779"/>
    </row>
    <row r="913" spans="1:48">
      <c r="A913" s="1882"/>
      <c r="B913" s="412" t="s">
        <v>1248</v>
      </c>
      <c r="C913" s="412" t="s">
        <v>505</v>
      </c>
      <c r="D913" s="1590"/>
      <c r="E913" s="2224" t="s">
        <v>1899</v>
      </c>
      <c r="F913" s="505">
        <v>2233</v>
      </c>
      <c r="G913" s="1884" t="s">
        <v>3213</v>
      </c>
      <c r="H913" s="2356"/>
      <c r="I913" s="2357">
        <v>27</v>
      </c>
      <c r="J913" s="2358"/>
      <c r="K913" s="2359"/>
      <c r="L913" s="2594"/>
      <c r="M913" s="2594"/>
      <c r="N913" s="149"/>
      <c r="O913" s="86"/>
      <c r="P913" s="1817" t="e">
        <f>INDEX(#REF!,MATCH(F913,#REF!,0),2)</f>
        <v>#REF!</v>
      </c>
      <c r="Q913" s="1779"/>
      <c r="R913" s="1779"/>
      <c r="S913" s="1779"/>
      <c r="T913" s="1779"/>
      <c r="U913" s="1779"/>
      <c r="V913" s="1779"/>
      <c r="W913" s="43"/>
      <c r="X913" s="1779"/>
      <c r="Y913" s="1779"/>
      <c r="Z913" s="1779"/>
      <c r="AA913" s="1779"/>
      <c r="AB913" s="1779"/>
      <c r="AC913" s="1779"/>
      <c r="AD913" s="1779"/>
      <c r="AE913" s="1779"/>
      <c r="AF913" s="1779"/>
      <c r="AG913" s="1779"/>
      <c r="AH913" s="1779"/>
      <c r="AI913" s="1779"/>
      <c r="AJ913" s="1779"/>
      <c r="AK913" s="1779"/>
      <c r="AL913" s="1779"/>
      <c r="AM913" s="1779"/>
      <c r="AN913" s="1779"/>
      <c r="AO913" s="1779"/>
      <c r="AP913" s="1779"/>
      <c r="AQ913" s="1779"/>
      <c r="AR913" s="1779"/>
      <c r="AS913" s="1779"/>
      <c r="AT913" s="1779"/>
      <c r="AU913" s="1779"/>
      <c r="AV913" s="1779"/>
    </row>
    <row r="914" spans="1:48" ht="12" customHeight="1">
      <c r="A914" s="506"/>
      <c r="B914" s="506" t="s">
        <v>1248</v>
      </c>
      <c r="C914" s="506" t="s">
        <v>505</v>
      </c>
      <c r="D914" s="1589">
        <v>830</v>
      </c>
      <c r="E914" s="2223" t="s">
        <v>1899</v>
      </c>
      <c r="F914" s="540">
        <v>2235</v>
      </c>
      <c r="G914" s="411" t="s">
        <v>2431</v>
      </c>
      <c r="H914" s="936">
        <v>200</v>
      </c>
      <c r="I914" s="508"/>
      <c r="J914" s="509"/>
      <c r="K914" s="510"/>
      <c r="L914" s="2604">
        <v>200</v>
      </c>
      <c r="M914" s="2604"/>
      <c r="N914" s="73"/>
      <c r="O914" s="86"/>
      <c r="P914" s="1817" t="e">
        <f>INDEX(#REF!,MATCH(F914,#REF!,0),2)</f>
        <v>#REF!</v>
      </c>
      <c r="Q914" s="11"/>
      <c r="R914" s="11"/>
      <c r="S914" s="11"/>
      <c r="T914" s="11"/>
      <c r="U914" s="11"/>
      <c r="V914" s="11"/>
      <c r="W914" s="4"/>
      <c r="X914" s="11"/>
      <c r="Y914" s="11"/>
      <c r="Z914" s="11"/>
      <c r="AA914" s="11"/>
      <c r="AB914" s="11"/>
      <c r="AC914" s="11"/>
      <c r="AD914" s="11"/>
      <c r="AE914" s="11"/>
      <c r="AF914" s="11"/>
      <c r="AG914" s="11"/>
      <c r="AH914" s="1779"/>
      <c r="AI914" s="1779"/>
      <c r="AJ914" s="1779"/>
      <c r="AK914" s="1779"/>
      <c r="AL914" s="1779"/>
      <c r="AM914" s="1779"/>
      <c r="AN914" s="1779"/>
      <c r="AO914" s="1779"/>
      <c r="AP914" s="1779"/>
      <c r="AQ914" s="1779"/>
      <c r="AR914" s="1779"/>
      <c r="AS914" s="1779"/>
      <c r="AT914" s="1779"/>
      <c r="AU914" s="1779"/>
      <c r="AV914" s="1779"/>
    </row>
    <row r="915" spans="1:48">
      <c r="A915" s="412"/>
      <c r="B915" s="412" t="s">
        <v>1248</v>
      </c>
      <c r="C915" s="412" t="s">
        <v>505</v>
      </c>
      <c r="D915" s="1590"/>
      <c r="E915" s="2224" t="s">
        <v>1899</v>
      </c>
      <c r="F915" s="505">
        <v>2235</v>
      </c>
      <c r="G915" s="410" t="s">
        <v>3477</v>
      </c>
      <c r="H915" s="940"/>
      <c r="I915" s="609">
        <v>200</v>
      </c>
      <c r="J915" s="531"/>
      <c r="K915" s="610"/>
      <c r="L915" s="2597"/>
      <c r="M915" s="2597">
        <v>200</v>
      </c>
      <c r="N915" s="73"/>
      <c r="O915" s="86"/>
      <c r="P915" s="1817" t="e">
        <f>INDEX(#REF!,MATCH(F915,#REF!,0),2)</f>
        <v>#REF!</v>
      </c>
      <c r="Q915" s="1779"/>
      <c r="R915" s="1779"/>
      <c r="S915" s="1779"/>
      <c r="T915" s="1779"/>
      <c r="U915" s="1779"/>
      <c r="V915" s="1779"/>
      <c r="W915" s="43"/>
      <c r="X915" s="1779"/>
      <c r="Y915" s="1779"/>
      <c r="Z915" s="1779"/>
      <c r="AA915" s="1779"/>
      <c r="AB915" s="1779"/>
      <c r="AC915" s="1779"/>
      <c r="AD915" s="1779"/>
      <c r="AE915" s="1779"/>
      <c r="AF915" s="1779"/>
      <c r="AG915" s="1779"/>
      <c r="AH915" s="1779"/>
      <c r="AI915" s="1779"/>
      <c r="AJ915" s="1779"/>
      <c r="AK915" s="1779"/>
      <c r="AL915" s="1779"/>
      <c r="AM915" s="1779"/>
      <c r="AN915" s="1779"/>
      <c r="AO915" s="1779"/>
      <c r="AP915" s="1779"/>
      <c r="AQ915" s="1779"/>
      <c r="AR915" s="1779"/>
      <c r="AS915" s="1779"/>
      <c r="AT915" s="1779"/>
      <c r="AU915" s="1779"/>
      <c r="AV915" s="1779"/>
    </row>
    <row r="916" spans="1:48" ht="33.75">
      <c r="A916" s="506"/>
      <c r="B916" s="506" t="s">
        <v>1248</v>
      </c>
      <c r="C916" s="506" t="s">
        <v>507</v>
      </c>
      <c r="D916" s="1589">
        <v>830</v>
      </c>
      <c r="E916" s="2223" t="s">
        <v>1899</v>
      </c>
      <c r="F916" s="540">
        <v>2239</v>
      </c>
      <c r="G916" s="411" t="s">
        <v>237</v>
      </c>
      <c r="H916" s="936">
        <v>455</v>
      </c>
      <c r="I916" s="601"/>
      <c r="J916" s="509">
        <v>227</v>
      </c>
      <c r="K916" s="510"/>
      <c r="L916" s="2604">
        <v>785</v>
      </c>
      <c r="M916" s="2604"/>
      <c r="N916" s="73"/>
      <c r="O916" s="86"/>
      <c r="P916" s="1817" t="e">
        <f>INDEX(#REF!,MATCH(F916,#REF!,0),2)</f>
        <v>#REF!</v>
      </c>
      <c r="Q916" s="11"/>
      <c r="R916" s="11"/>
      <c r="S916" s="11"/>
      <c r="T916" s="11"/>
      <c r="U916" s="11"/>
      <c r="V916" s="11"/>
      <c r="W916" s="4"/>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row>
    <row r="917" spans="1:48" ht="22.5">
      <c r="A917" s="412"/>
      <c r="B917" s="412" t="s">
        <v>1248</v>
      </c>
      <c r="C917" s="412" t="s">
        <v>507</v>
      </c>
      <c r="D917" s="1590"/>
      <c r="E917" s="2224" t="s">
        <v>1899</v>
      </c>
      <c r="F917" s="505">
        <v>2239</v>
      </c>
      <c r="G917" s="410" t="s">
        <v>3508</v>
      </c>
      <c r="H917" s="940"/>
      <c r="I917" s="609">
        <v>60</v>
      </c>
      <c r="J917" s="531"/>
      <c r="K917" s="610"/>
      <c r="L917" s="2597"/>
      <c r="M917" s="2597">
        <v>75</v>
      </c>
      <c r="N917" s="73"/>
      <c r="O917" s="86"/>
      <c r="P917" s="1817" t="e">
        <f>INDEX(#REF!,MATCH(F917,#REF!,0),2)</f>
        <v>#REF!</v>
      </c>
      <c r="Q917" s="11"/>
      <c r="R917" s="11"/>
      <c r="S917" s="11"/>
      <c r="T917" s="11"/>
      <c r="U917" s="11"/>
      <c r="V917" s="11"/>
      <c r="W917" s="4"/>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row>
    <row r="918" spans="1:48">
      <c r="A918" s="412"/>
      <c r="B918" s="412" t="s">
        <v>1248</v>
      </c>
      <c r="C918" s="412" t="s">
        <v>507</v>
      </c>
      <c r="D918" s="1590"/>
      <c r="E918" s="2224" t="s">
        <v>1899</v>
      </c>
      <c r="F918" s="505">
        <v>2239</v>
      </c>
      <c r="G918" s="410" t="s">
        <v>938</v>
      </c>
      <c r="H918" s="942"/>
      <c r="I918" s="613">
        <v>10</v>
      </c>
      <c r="J918" s="614"/>
      <c r="K918" s="615"/>
      <c r="L918" s="2597"/>
      <c r="M918" s="2597">
        <v>10</v>
      </c>
      <c r="N918" s="149"/>
      <c r="O918" s="86"/>
      <c r="P918" s="1817" t="e">
        <f>INDEX(#REF!,MATCH(F918,#REF!,0),2)</f>
        <v>#REF!</v>
      </c>
      <c r="Q918" s="11"/>
      <c r="R918" s="11"/>
      <c r="S918" s="11"/>
      <c r="T918" s="11"/>
      <c r="U918" s="11"/>
      <c r="V918" s="11"/>
      <c r="W918" s="4"/>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row>
    <row r="919" spans="1:48">
      <c r="A919" s="412"/>
      <c r="B919" s="412" t="s">
        <v>1248</v>
      </c>
      <c r="C919" s="412" t="s">
        <v>507</v>
      </c>
      <c r="D919" s="1590"/>
      <c r="E919" s="2224" t="s">
        <v>1899</v>
      </c>
      <c r="F919" s="505">
        <v>2239</v>
      </c>
      <c r="G919" s="410" t="s">
        <v>287</v>
      </c>
      <c r="H919" s="942"/>
      <c r="I919" s="609">
        <v>60</v>
      </c>
      <c r="J919" s="614"/>
      <c r="K919" s="615"/>
      <c r="L919" s="2597"/>
      <c r="M919" s="2597">
        <v>100</v>
      </c>
      <c r="N919" s="149"/>
      <c r="O919" s="86"/>
      <c r="P919" s="1817" t="e">
        <f>INDEX(#REF!,MATCH(F919,#REF!,0),2)</f>
        <v>#REF!</v>
      </c>
      <c r="Q919" s="11"/>
      <c r="R919" s="11"/>
      <c r="S919" s="11"/>
      <c r="T919" s="11"/>
      <c r="U919" s="11"/>
      <c r="V919" s="11"/>
      <c r="W919" s="4"/>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row>
    <row r="920" spans="1:48">
      <c r="A920" s="412"/>
      <c r="B920" s="412" t="s">
        <v>1248</v>
      </c>
      <c r="C920" s="412" t="s">
        <v>507</v>
      </c>
      <c r="D920" s="1590"/>
      <c r="E920" s="2224" t="s">
        <v>1899</v>
      </c>
      <c r="F920" s="505">
        <v>2239</v>
      </c>
      <c r="G920" s="410" t="s">
        <v>1207</v>
      </c>
      <c r="H920" s="942"/>
      <c r="I920" s="609">
        <v>110</v>
      </c>
      <c r="J920" s="614"/>
      <c r="K920" s="615"/>
      <c r="L920" s="2597"/>
      <c r="M920" s="2597"/>
      <c r="N920" s="149"/>
      <c r="O920" s="86"/>
      <c r="P920" s="1817" t="e">
        <f>INDEX(#REF!,MATCH(F920,#REF!,0),2)</f>
        <v>#REF!</v>
      </c>
      <c r="Q920" s="11"/>
      <c r="R920" s="11"/>
      <c r="S920" s="11"/>
      <c r="T920" s="11"/>
      <c r="U920" s="11"/>
      <c r="V920" s="11"/>
      <c r="W920" s="4"/>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row>
    <row r="921" spans="1:48" ht="56.25">
      <c r="A921" s="412"/>
      <c r="B921" s="412" t="s">
        <v>1248</v>
      </c>
      <c r="C921" s="412" t="s">
        <v>507</v>
      </c>
      <c r="D921" s="1590"/>
      <c r="E921" s="2224" t="s">
        <v>1899</v>
      </c>
      <c r="F921" s="505">
        <v>2239</v>
      </c>
      <c r="G921" s="410" t="s">
        <v>3478</v>
      </c>
      <c r="H921" s="942"/>
      <c r="I921" s="609">
        <v>500</v>
      </c>
      <c r="J921" s="614"/>
      <c r="K921" s="615"/>
      <c r="L921" s="2597"/>
      <c r="M921" s="2597">
        <v>600</v>
      </c>
      <c r="N921" s="149"/>
      <c r="O921" s="86"/>
      <c r="P921" s="1817" t="e">
        <f>INDEX(#REF!,MATCH(F921,#REF!,0),2)</f>
        <v>#REF!</v>
      </c>
      <c r="Q921" s="1779"/>
      <c r="R921" s="1779"/>
      <c r="S921" s="1779"/>
      <c r="T921" s="1779"/>
      <c r="U921" s="1779"/>
      <c r="V921" s="1779"/>
      <c r="W921" s="43"/>
      <c r="X921" s="1779"/>
      <c r="Y921" s="1779"/>
      <c r="Z921" s="1779"/>
      <c r="AA921" s="1779"/>
      <c r="AB921" s="1779"/>
      <c r="AC921" s="1779"/>
      <c r="AD921" s="1779"/>
      <c r="AE921" s="1779"/>
      <c r="AF921" s="1779"/>
      <c r="AG921" s="1779"/>
      <c r="AH921" s="1779"/>
      <c r="AI921" s="1779"/>
      <c r="AJ921" s="1779"/>
      <c r="AK921" s="1779"/>
      <c r="AL921" s="1779"/>
      <c r="AM921" s="1779"/>
      <c r="AN921" s="1779"/>
      <c r="AO921" s="1779"/>
      <c r="AP921" s="1779"/>
      <c r="AQ921" s="1779"/>
      <c r="AR921" s="1779"/>
      <c r="AS921" s="1779"/>
      <c r="AT921" s="1779"/>
      <c r="AU921" s="1779"/>
      <c r="AV921" s="1779"/>
    </row>
    <row r="922" spans="1:48" ht="67.900000000000006" customHeight="1">
      <c r="A922" s="506"/>
      <c r="B922" s="506" t="s">
        <v>1248</v>
      </c>
      <c r="C922" s="506" t="s">
        <v>505</v>
      </c>
      <c r="D922" s="1589">
        <v>830</v>
      </c>
      <c r="E922" s="2223" t="s">
        <v>1899</v>
      </c>
      <c r="F922" s="540">
        <v>2243</v>
      </c>
      <c r="G922" s="411" t="s">
        <v>329</v>
      </c>
      <c r="H922" s="936">
        <v>250</v>
      </c>
      <c r="I922" s="601"/>
      <c r="J922" s="509">
        <v>151</v>
      </c>
      <c r="K922" s="510"/>
      <c r="L922" s="2604">
        <v>250</v>
      </c>
      <c r="M922" s="2606"/>
      <c r="N922" s="73"/>
      <c r="O922" s="86"/>
      <c r="P922" s="1817" t="e">
        <f>INDEX(#REF!,MATCH(F922,#REF!,0),2)</f>
        <v>#REF!</v>
      </c>
      <c r="Q922" s="1779"/>
      <c r="R922" s="1779"/>
      <c r="S922" s="1779"/>
      <c r="T922" s="1779"/>
      <c r="U922" s="1779"/>
      <c r="V922" s="1779"/>
      <c r="W922" s="43"/>
      <c r="X922" s="1779"/>
      <c r="Y922" s="1779"/>
      <c r="Z922" s="1779"/>
      <c r="AA922" s="1779"/>
      <c r="AB922" s="1779"/>
      <c r="AC922" s="1779"/>
      <c r="AD922" s="1779"/>
      <c r="AE922" s="1779"/>
      <c r="AF922" s="1779"/>
      <c r="AG922" s="1779"/>
      <c r="AH922" s="1779"/>
      <c r="AI922" s="1779"/>
      <c r="AJ922" s="1779"/>
      <c r="AK922" s="1779"/>
      <c r="AL922" s="1779"/>
      <c r="AM922" s="1779"/>
      <c r="AN922" s="1779"/>
      <c r="AO922" s="1779"/>
      <c r="AP922" s="1779"/>
      <c r="AQ922" s="1779"/>
      <c r="AR922" s="1779"/>
      <c r="AS922" s="1779"/>
      <c r="AT922" s="1779"/>
      <c r="AU922" s="1779"/>
      <c r="AV922" s="1779"/>
    </row>
    <row r="923" spans="1:48" ht="78.75">
      <c r="A923" s="412"/>
      <c r="B923" s="412" t="s">
        <v>1248</v>
      </c>
      <c r="C923" s="412" t="s">
        <v>505</v>
      </c>
      <c r="D923" s="1590"/>
      <c r="E923" s="2224" t="s">
        <v>1899</v>
      </c>
      <c r="F923" s="505">
        <v>2243</v>
      </c>
      <c r="G923" s="410" t="s">
        <v>1369</v>
      </c>
      <c r="H923" s="940"/>
      <c r="I923" s="609">
        <v>250</v>
      </c>
      <c r="J923" s="531"/>
      <c r="K923" s="610"/>
      <c r="L923" s="2600"/>
      <c r="M923" s="2597">
        <v>250</v>
      </c>
      <c r="N923" s="73"/>
      <c r="O923" s="86"/>
      <c r="P923" s="1817" t="e">
        <f>INDEX(#REF!,MATCH(F923,#REF!,0),2)</f>
        <v>#REF!</v>
      </c>
      <c r="Q923" s="11"/>
      <c r="R923" s="11"/>
      <c r="S923" s="11"/>
      <c r="T923" s="11"/>
      <c r="U923" s="11"/>
      <c r="V923" s="11"/>
      <c r="W923" s="4"/>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row>
    <row r="924" spans="1:48" ht="68.45" customHeight="1">
      <c r="A924" s="616"/>
      <c r="B924" s="616" t="s">
        <v>1248</v>
      </c>
      <c r="C924" s="616" t="s">
        <v>513</v>
      </c>
      <c r="D924" s="1610">
        <v>830</v>
      </c>
      <c r="E924" s="2269" t="s">
        <v>1899</v>
      </c>
      <c r="F924" s="617">
        <v>2244</v>
      </c>
      <c r="G924" s="618" t="s">
        <v>280</v>
      </c>
      <c r="H924" s="936">
        <v>309.32</v>
      </c>
      <c r="I924" s="601"/>
      <c r="J924" s="509">
        <v>153</v>
      </c>
      <c r="K924" s="510"/>
      <c r="L924" s="2604">
        <v>309.32</v>
      </c>
      <c r="M924" s="2604"/>
      <c r="N924" s="73"/>
      <c r="O924" s="86"/>
      <c r="P924" s="1817" t="e">
        <f>INDEX(#REF!,MATCH(F924,#REF!,0),2)</f>
        <v>#REF!</v>
      </c>
      <c r="Q924" s="11"/>
      <c r="R924" s="11"/>
      <c r="S924" s="11"/>
      <c r="T924" s="11"/>
      <c r="U924" s="11"/>
      <c r="V924" s="11"/>
      <c r="W924" s="4"/>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row>
    <row r="925" spans="1:48" ht="78.75">
      <c r="A925" s="412"/>
      <c r="B925" s="412" t="s">
        <v>1248</v>
      </c>
      <c r="C925" s="412" t="s">
        <v>513</v>
      </c>
      <c r="D925" s="1590"/>
      <c r="E925" s="2224" t="s">
        <v>1899</v>
      </c>
      <c r="F925" s="505">
        <v>2244</v>
      </c>
      <c r="G925" s="410" t="s">
        <v>3509</v>
      </c>
      <c r="H925" s="941"/>
      <c r="I925" s="609">
        <v>309.32</v>
      </c>
      <c r="J925" s="531"/>
      <c r="K925" s="612"/>
      <c r="L925" s="2607"/>
      <c r="M925" s="2597">
        <v>309.32</v>
      </c>
      <c r="N925" s="73"/>
      <c r="O925" s="86"/>
      <c r="P925" s="1817" t="e">
        <f>INDEX(#REF!,MATCH(F925,#REF!,0),2)</f>
        <v>#REF!</v>
      </c>
      <c r="Q925" s="11"/>
      <c r="R925" s="11"/>
      <c r="S925" s="11"/>
      <c r="T925" s="11"/>
      <c r="U925" s="11"/>
      <c r="V925" s="11"/>
      <c r="W925" s="4"/>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row>
    <row r="926" spans="1:48">
      <c r="A926" s="616"/>
      <c r="B926" s="616" t="s">
        <v>1248</v>
      </c>
      <c r="C926" s="616" t="s">
        <v>513</v>
      </c>
      <c r="D926" s="1610">
        <v>830</v>
      </c>
      <c r="E926" s="2269" t="s">
        <v>1899</v>
      </c>
      <c r="F926" s="617">
        <v>2247</v>
      </c>
      <c r="G926" s="618" t="s">
        <v>2581</v>
      </c>
      <c r="H926" s="936">
        <v>800</v>
      </c>
      <c r="I926" s="601"/>
      <c r="J926" s="509"/>
      <c r="K926" s="510"/>
      <c r="L926" s="2604">
        <v>800</v>
      </c>
      <c r="M926" s="2604"/>
      <c r="N926" s="73"/>
      <c r="O926" s="86"/>
      <c r="P926" s="1817" t="e">
        <f>INDEX(#REF!,MATCH(F926,#REF!,0),2)</f>
        <v>#REF!</v>
      </c>
      <c r="Q926" s="11"/>
      <c r="R926" s="11"/>
      <c r="S926" s="11"/>
      <c r="T926" s="11"/>
      <c r="U926" s="11"/>
      <c r="V926" s="11"/>
      <c r="W926" s="4"/>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row>
    <row r="927" spans="1:48">
      <c r="A927" s="412"/>
      <c r="B927" s="412" t="s">
        <v>1248</v>
      </c>
      <c r="C927" s="412" t="s">
        <v>513</v>
      </c>
      <c r="D927" s="1590"/>
      <c r="E927" s="2224" t="s">
        <v>1899</v>
      </c>
      <c r="F927" s="505">
        <v>2247</v>
      </c>
      <c r="G927" s="410" t="s">
        <v>3479</v>
      </c>
      <c r="H927" s="941"/>
      <c r="I927" s="609">
        <v>600</v>
      </c>
      <c r="J927" s="531"/>
      <c r="K927" s="612"/>
      <c r="L927" s="2607"/>
      <c r="M927" s="2597">
        <v>800</v>
      </c>
      <c r="N927" s="73"/>
      <c r="O927" s="86"/>
      <c r="P927" s="1817" t="e">
        <f>INDEX(#REF!,MATCH(F927,#REF!,0),2)</f>
        <v>#REF!</v>
      </c>
      <c r="Q927" s="11"/>
      <c r="R927" s="11"/>
      <c r="S927" s="11"/>
      <c r="T927" s="11"/>
      <c r="U927" s="11"/>
      <c r="V927" s="11"/>
      <c r="W927" s="4"/>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row>
    <row r="928" spans="1:48" ht="22.5">
      <c r="A928" s="1882"/>
      <c r="B928" s="412" t="s">
        <v>1248</v>
      </c>
      <c r="C928" s="412" t="s">
        <v>513</v>
      </c>
      <c r="D928" s="1590"/>
      <c r="E928" s="2224" t="s">
        <v>1899</v>
      </c>
      <c r="F928" s="505">
        <v>2247</v>
      </c>
      <c r="G928" s="1884" t="s">
        <v>3292</v>
      </c>
      <c r="H928" s="2378"/>
      <c r="I928" s="2327">
        <v>200</v>
      </c>
      <c r="J928" s="2328"/>
      <c r="K928" s="2379"/>
      <c r="L928" s="2608"/>
      <c r="M928" s="2600"/>
      <c r="N928" s="73"/>
      <c r="O928" s="86"/>
      <c r="P928" s="1817" t="e">
        <f>INDEX(#REF!,MATCH(F928,#REF!,0),2)</f>
        <v>#REF!</v>
      </c>
      <c r="Q928" s="11"/>
      <c r="R928" s="11"/>
      <c r="S928" s="11"/>
      <c r="T928" s="11"/>
      <c r="U928" s="11"/>
      <c r="V928" s="11"/>
      <c r="W928" s="4"/>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row>
    <row r="929" spans="1:48">
      <c r="A929" s="616"/>
      <c r="B929" s="616" t="s">
        <v>1248</v>
      </c>
      <c r="C929" s="616" t="s">
        <v>513</v>
      </c>
      <c r="D929" s="1610">
        <v>830</v>
      </c>
      <c r="E929" s="2269" t="s">
        <v>1899</v>
      </c>
      <c r="F929" s="617">
        <v>2250</v>
      </c>
      <c r="G929" s="618" t="s">
        <v>1254</v>
      </c>
      <c r="H929" s="936">
        <v>472</v>
      </c>
      <c r="I929" s="601"/>
      <c r="J929" s="509">
        <v>472</v>
      </c>
      <c r="K929" s="510"/>
      <c r="L929" s="2604">
        <v>472</v>
      </c>
      <c r="M929" s="2604"/>
      <c r="N929" s="73"/>
      <c r="O929" s="86"/>
      <c r="P929" s="1817" t="e">
        <f>INDEX(#REF!,MATCH(F929,#REF!,0),2)</f>
        <v>#REF!</v>
      </c>
      <c r="Q929" s="1779"/>
      <c r="R929" s="1779"/>
      <c r="S929" s="1779"/>
      <c r="T929" s="1779"/>
      <c r="U929" s="1779"/>
      <c r="V929" s="1779"/>
      <c r="W929" s="43"/>
      <c r="X929" s="1779"/>
      <c r="Y929" s="1779"/>
      <c r="Z929" s="1779"/>
      <c r="AA929" s="1779"/>
      <c r="AB929" s="1779"/>
      <c r="AC929" s="1779"/>
      <c r="AD929" s="1779"/>
      <c r="AE929" s="1779"/>
      <c r="AF929" s="1779"/>
      <c r="AG929" s="1779"/>
      <c r="AH929" s="1779"/>
      <c r="AI929" s="1779"/>
      <c r="AJ929" s="1779"/>
      <c r="AK929" s="1779"/>
      <c r="AL929" s="1779"/>
      <c r="AM929" s="1779"/>
      <c r="AN929" s="1779"/>
      <c r="AO929" s="1779"/>
      <c r="AP929" s="1779"/>
      <c r="AQ929" s="1779"/>
      <c r="AR929" s="1779"/>
      <c r="AS929" s="1779"/>
      <c r="AT929" s="1779"/>
      <c r="AU929" s="1779"/>
      <c r="AV929" s="1779"/>
    </row>
    <row r="930" spans="1:48" ht="22.5">
      <c r="A930" s="412"/>
      <c r="B930" s="412" t="s">
        <v>1248</v>
      </c>
      <c r="C930" s="412" t="s">
        <v>507</v>
      </c>
      <c r="D930" s="1590"/>
      <c r="E930" s="2224" t="s">
        <v>1899</v>
      </c>
      <c r="F930" s="505">
        <v>2250</v>
      </c>
      <c r="G930" s="2590" t="s">
        <v>3044</v>
      </c>
      <c r="H930" s="941"/>
      <c r="I930" s="609">
        <v>472</v>
      </c>
      <c r="J930" s="531"/>
      <c r="K930" s="612"/>
      <c r="L930" s="2607"/>
      <c r="M930" s="2597">
        <v>472</v>
      </c>
      <c r="N930" s="149"/>
      <c r="O930" s="86"/>
      <c r="P930" s="1817" t="e">
        <f>INDEX(#REF!,MATCH(F930,#REF!,0),2)</f>
        <v>#REF!</v>
      </c>
      <c r="Q930" s="1779"/>
      <c r="R930" s="1779"/>
      <c r="S930" s="1779"/>
      <c r="T930" s="1779"/>
      <c r="U930" s="1779"/>
      <c r="V930" s="1779"/>
      <c r="W930" s="43"/>
      <c r="X930" s="1779"/>
      <c r="Y930" s="1779"/>
      <c r="Z930" s="1779"/>
      <c r="AA930" s="1779"/>
      <c r="AB930" s="1779"/>
      <c r="AC930" s="1779"/>
      <c r="AD930" s="1779"/>
      <c r="AE930" s="1779"/>
      <c r="AF930" s="1779"/>
      <c r="AG930" s="1779"/>
      <c r="AH930" s="1779"/>
      <c r="AI930" s="1779"/>
      <c r="AJ930" s="1779"/>
      <c r="AK930" s="1779"/>
      <c r="AL930" s="1779"/>
      <c r="AM930" s="1779"/>
      <c r="AN930" s="1779"/>
      <c r="AO930" s="1779"/>
      <c r="AP930" s="1779"/>
      <c r="AQ930" s="1779"/>
      <c r="AR930" s="1779"/>
      <c r="AS930" s="1779"/>
      <c r="AT930" s="1779"/>
      <c r="AU930" s="1779"/>
      <c r="AV930" s="1779"/>
    </row>
    <row r="931" spans="1:48" ht="31.9" customHeight="1">
      <c r="A931" s="506"/>
      <c r="B931" s="506" t="s">
        <v>1248</v>
      </c>
      <c r="C931" s="506" t="s">
        <v>505</v>
      </c>
      <c r="D931" s="1610">
        <v>830</v>
      </c>
      <c r="E931" s="2269" t="s">
        <v>1899</v>
      </c>
      <c r="F931" s="617">
        <v>2261</v>
      </c>
      <c r="G931" s="411" t="s">
        <v>330</v>
      </c>
      <c r="H931" s="936">
        <v>33328.239999999998</v>
      </c>
      <c r="I931" s="601"/>
      <c r="J931" s="509">
        <v>26344</v>
      </c>
      <c r="K931" s="510"/>
      <c r="L931" s="2604">
        <v>43322.207999999999</v>
      </c>
      <c r="M931" s="2604"/>
      <c r="N931" s="388">
        <f>L931-H931</f>
        <v>9993.9680000000008</v>
      </c>
      <c r="O931" s="86"/>
      <c r="P931" s="1817" t="e">
        <f>INDEX(#REF!,MATCH(F931,#REF!,0),2)</f>
        <v>#REF!</v>
      </c>
      <c r="Q931" s="11"/>
      <c r="R931" s="11"/>
      <c r="S931" s="11"/>
      <c r="T931" s="11"/>
      <c r="U931" s="11"/>
      <c r="V931" s="11"/>
      <c r="W931" s="4"/>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row>
    <row r="932" spans="1:48" ht="22.5">
      <c r="A932" s="412"/>
      <c r="B932" s="412" t="s">
        <v>1248</v>
      </c>
      <c r="C932" s="412" t="s">
        <v>505</v>
      </c>
      <c r="D932" s="1590"/>
      <c r="E932" s="2224" t="s">
        <v>1899</v>
      </c>
      <c r="F932" s="505">
        <v>2261</v>
      </c>
      <c r="G932" s="410" t="s">
        <v>3533</v>
      </c>
      <c r="H932" s="942"/>
      <c r="I932" s="613">
        <v>13274.16</v>
      </c>
      <c r="J932" s="614"/>
      <c r="K932" s="615"/>
      <c r="L932" s="2597"/>
      <c r="M932" s="2597">
        <v>13274.16</v>
      </c>
      <c r="N932" s="154" t="s">
        <v>3536</v>
      </c>
      <c r="O932" s="86"/>
      <c r="P932" s="1817" t="e">
        <f>INDEX(#REF!,MATCH(F932,#REF!,0),2)</f>
        <v>#REF!</v>
      </c>
      <c r="Q932" s="11"/>
      <c r="R932" s="11"/>
      <c r="S932" s="11"/>
      <c r="T932" s="11"/>
      <c r="U932" s="11"/>
      <c r="V932" s="11"/>
      <c r="W932" s="4"/>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row>
    <row r="933" spans="1:48" ht="22.5">
      <c r="A933" s="412"/>
      <c r="B933" s="412" t="s">
        <v>1248</v>
      </c>
      <c r="C933" s="412" t="s">
        <v>505</v>
      </c>
      <c r="D933" s="1590"/>
      <c r="E933" s="2224" t="s">
        <v>1899</v>
      </c>
      <c r="F933" s="505">
        <v>2261</v>
      </c>
      <c r="G933" s="410" t="s">
        <v>3534</v>
      </c>
      <c r="H933" s="942"/>
      <c r="I933" s="613">
        <v>6637.08</v>
      </c>
      <c r="J933" s="614"/>
      <c r="K933" s="615"/>
      <c r="L933" s="2597"/>
      <c r="M933" s="2597">
        <v>6636</v>
      </c>
      <c r="N933" s="149"/>
      <c r="O933" s="86"/>
      <c r="P933" s="1817" t="e">
        <f>INDEX(#REF!,MATCH(F933,#REF!,0),2)</f>
        <v>#REF!</v>
      </c>
      <c r="Q933" s="11"/>
      <c r="R933" s="11"/>
      <c r="S933" s="11"/>
      <c r="T933" s="11"/>
      <c r="U933" s="11"/>
      <c r="V933" s="11"/>
      <c r="W933" s="4"/>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row>
    <row r="934" spans="1:48" ht="22.5">
      <c r="A934" s="1882"/>
      <c r="B934" s="412" t="s">
        <v>1248</v>
      </c>
      <c r="C934" s="412" t="s">
        <v>505</v>
      </c>
      <c r="D934" s="1590"/>
      <c r="E934" s="2224" t="s">
        <v>1899</v>
      </c>
      <c r="F934" s="505">
        <v>2261</v>
      </c>
      <c r="G934" s="410" t="s">
        <v>3537</v>
      </c>
      <c r="H934" s="2346"/>
      <c r="I934" s="2347">
        <v>13657</v>
      </c>
      <c r="J934" s="2348"/>
      <c r="K934" s="2349"/>
      <c r="L934" s="2597"/>
      <c r="M934" s="2597">
        <v>15810.828</v>
      </c>
      <c r="N934" s="154" t="s">
        <v>3538</v>
      </c>
      <c r="O934" s="86"/>
      <c r="P934" s="1817" t="e">
        <f>INDEX(#REF!,MATCH(F934,#REF!,0),2)</f>
        <v>#REF!</v>
      </c>
      <c r="Q934" s="11"/>
      <c r="R934" s="11"/>
      <c r="S934" s="11"/>
      <c r="T934" s="11"/>
      <c r="U934" s="11"/>
      <c r="V934" s="11"/>
      <c r="W934" s="4"/>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row>
    <row r="935" spans="1:48" ht="33.75">
      <c r="A935" s="2587"/>
      <c r="B935" s="412" t="s">
        <v>1248</v>
      </c>
      <c r="C935" s="412" t="s">
        <v>505</v>
      </c>
      <c r="D935" s="1590"/>
      <c r="E935" s="2224" t="s">
        <v>1899</v>
      </c>
      <c r="F935" s="505">
        <v>2261</v>
      </c>
      <c r="G935" s="410" t="s">
        <v>3535</v>
      </c>
      <c r="H935" s="2346"/>
      <c r="I935" s="2347"/>
      <c r="J935" s="2348"/>
      <c r="K935" s="2349"/>
      <c r="L935" s="2597"/>
      <c r="M935" s="2597">
        <v>7601.2199999999993</v>
      </c>
      <c r="N935" s="154" t="s">
        <v>3532</v>
      </c>
      <c r="O935" s="86"/>
      <c r="P935" s="1817"/>
      <c r="Q935" s="11"/>
      <c r="R935" s="11"/>
      <c r="S935" s="11"/>
      <c r="T935" s="11"/>
      <c r="U935" s="11"/>
      <c r="V935" s="11"/>
      <c r="W935" s="4"/>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row>
    <row r="936" spans="1:48" ht="22.5">
      <c r="A936" s="1882"/>
      <c r="B936" s="412" t="s">
        <v>1248</v>
      </c>
      <c r="C936" s="412" t="s">
        <v>505</v>
      </c>
      <c r="D936" s="1590"/>
      <c r="E936" s="2224" t="s">
        <v>1899</v>
      </c>
      <c r="F936" s="505">
        <v>2261</v>
      </c>
      <c r="G936" s="2043" t="s">
        <v>3136</v>
      </c>
      <c r="H936" s="2326"/>
      <c r="I936" s="2327">
        <v>-240</v>
      </c>
      <c r="J936" s="2328"/>
      <c r="K936" s="2329"/>
      <c r="L936" s="2597"/>
      <c r="M936" s="2597"/>
      <c r="N936" s="149"/>
      <c r="O936" s="86"/>
      <c r="P936" s="1817" t="e">
        <f>INDEX(#REF!,MATCH(F936,#REF!,0),2)</f>
        <v>#REF!</v>
      </c>
      <c r="Q936" s="11"/>
      <c r="R936" s="11"/>
      <c r="S936" s="11"/>
      <c r="T936" s="11"/>
      <c r="U936" s="11"/>
      <c r="V936" s="11"/>
      <c r="W936" s="4"/>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row>
    <row r="937" spans="1:48" ht="12.6" customHeight="1">
      <c r="A937" s="506"/>
      <c r="B937" s="506" t="s">
        <v>1248</v>
      </c>
      <c r="C937" s="506" t="s">
        <v>507</v>
      </c>
      <c r="D937" s="1589">
        <v>830</v>
      </c>
      <c r="E937" s="2223" t="s">
        <v>1899</v>
      </c>
      <c r="F937" s="540">
        <v>2264</v>
      </c>
      <c r="G937" s="411" t="s">
        <v>240</v>
      </c>
      <c r="H937" s="936">
        <v>442</v>
      </c>
      <c r="I937" s="601"/>
      <c r="J937" s="509">
        <v>94</v>
      </c>
      <c r="K937" s="510"/>
      <c r="L937" s="2604">
        <v>442</v>
      </c>
      <c r="M937" s="2604"/>
      <c r="N937" s="149"/>
      <c r="O937" s="86"/>
      <c r="P937" s="1817" t="e">
        <f>INDEX(#REF!,MATCH(F937,#REF!,0),2)</f>
        <v>#REF!</v>
      </c>
      <c r="Q937" s="11"/>
      <c r="R937" s="11"/>
      <c r="S937" s="11"/>
      <c r="T937" s="11"/>
      <c r="U937" s="11"/>
      <c r="V937" s="11"/>
      <c r="W937" s="4"/>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row>
    <row r="938" spans="1:48" ht="34.15" customHeight="1">
      <c r="A938" s="412"/>
      <c r="B938" s="412" t="s">
        <v>1248</v>
      </c>
      <c r="C938" s="412" t="s">
        <v>507</v>
      </c>
      <c r="D938" s="1590"/>
      <c r="E938" s="2224" t="s">
        <v>1899</v>
      </c>
      <c r="F938" s="505">
        <v>2264</v>
      </c>
      <c r="G938" s="410" t="s">
        <v>3510</v>
      </c>
      <c r="H938" s="940"/>
      <c r="I938" s="609">
        <v>42</v>
      </c>
      <c r="J938" s="531"/>
      <c r="K938" s="610"/>
      <c r="L938" s="2597"/>
      <c r="M938" s="2597">
        <v>42</v>
      </c>
      <c r="N938" s="149"/>
      <c r="O938" s="86"/>
      <c r="P938" s="1817" t="e">
        <f>INDEX(#REF!,MATCH(F938,#REF!,0),2)</f>
        <v>#REF!</v>
      </c>
      <c r="Q938" s="11"/>
      <c r="R938" s="11"/>
      <c r="S938" s="11"/>
      <c r="T938" s="11"/>
      <c r="U938" s="11"/>
      <c r="V938" s="11"/>
      <c r="W938" s="4"/>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row>
    <row r="939" spans="1:48" ht="33.75">
      <c r="A939" s="412"/>
      <c r="B939" s="412" t="s">
        <v>1248</v>
      </c>
      <c r="C939" s="412" t="s">
        <v>507</v>
      </c>
      <c r="D939" s="1590"/>
      <c r="E939" s="2224" t="s">
        <v>1899</v>
      </c>
      <c r="F939" s="505">
        <v>2264</v>
      </c>
      <c r="G939" s="410" t="s">
        <v>3511</v>
      </c>
      <c r="H939" s="942"/>
      <c r="I939" s="613">
        <v>400</v>
      </c>
      <c r="J939" s="614"/>
      <c r="K939" s="615"/>
      <c r="L939" s="2597"/>
      <c r="M939" s="2597">
        <v>400</v>
      </c>
      <c r="N939" s="73"/>
      <c r="O939" s="86"/>
      <c r="P939" s="1817" t="e">
        <f>INDEX(#REF!,MATCH(F939,#REF!,0),2)</f>
        <v>#REF!</v>
      </c>
      <c r="Q939" s="11"/>
      <c r="R939" s="11"/>
      <c r="S939" s="11"/>
      <c r="T939" s="11"/>
      <c r="U939" s="11"/>
      <c r="V939" s="11"/>
      <c r="W939" s="4"/>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row>
    <row r="940" spans="1:48">
      <c r="A940" s="506"/>
      <c r="B940" s="506" t="s">
        <v>1248</v>
      </c>
      <c r="C940" s="506" t="s">
        <v>507</v>
      </c>
      <c r="D940" s="1589">
        <v>830</v>
      </c>
      <c r="E940" s="2223" t="s">
        <v>1899</v>
      </c>
      <c r="F940" s="540">
        <v>2311</v>
      </c>
      <c r="G940" s="411" t="s">
        <v>245</v>
      </c>
      <c r="H940" s="936">
        <v>504</v>
      </c>
      <c r="I940" s="608"/>
      <c r="J940" s="509">
        <v>276</v>
      </c>
      <c r="K940" s="510"/>
      <c r="L940" s="2604">
        <v>558</v>
      </c>
      <c r="M940" s="2604"/>
      <c r="N940" s="149"/>
      <c r="O940" s="86"/>
      <c r="P940" s="1817" t="e">
        <f>INDEX(#REF!,MATCH(F940,#REF!,0),2)</f>
        <v>#REF!</v>
      </c>
      <c r="Q940" s="11"/>
      <c r="R940" s="11"/>
      <c r="S940" s="11"/>
      <c r="T940" s="11"/>
      <c r="U940" s="11"/>
      <c r="V940" s="11"/>
      <c r="W940" s="4"/>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row>
    <row r="941" spans="1:48" ht="22.5">
      <c r="A941" s="412"/>
      <c r="B941" s="412" t="s">
        <v>1248</v>
      </c>
      <c r="C941" s="412" t="s">
        <v>507</v>
      </c>
      <c r="D941" s="1590"/>
      <c r="E941" s="2224" t="s">
        <v>1899</v>
      </c>
      <c r="F941" s="505">
        <v>2311</v>
      </c>
      <c r="G941" s="410" t="s">
        <v>3512</v>
      </c>
      <c r="H941" s="940"/>
      <c r="I941" s="609">
        <v>250</v>
      </c>
      <c r="J941" s="531"/>
      <c r="K941" s="610"/>
      <c r="L941" s="2597"/>
      <c r="M941" s="2597">
        <v>250</v>
      </c>
      <c r="N941" s="149"/>
      <c r="O941" s="86"/>
      <c r="P941" s="1817" t="e">
        <f>INDEX(#REF!,MATCH(F941,#REF!,0),2)</f>
        <v>#REF!</v>
      </c>
      <c r="Q941" s="11"/>
      <c r="R941" s="11"/>
      <c r="S941" s="11"/>
      <c r="T941" s="11"/>
      <c r="U941" s="11"/>
      <c r="V941" s="11"/>
      <c r="W941" s="4"/>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row>
    <row r="942" spans="1:48">
      <c r="A942" s="412"/>
      <c r="B942" s="412" t="s">
        <v>1248</v>
      </c>
      <c r="C942" s="412" t="s">
        <v>507</v>
      </c>
      <c r="D942" s="1590"/>
      <c r="E942" s="2224" t="s">
        <v>1899</v>
      </c>
      <c r="F942" s="505">
        <v>2311</v>
      </c>
      <c r="G942" s="410" t="s">
        <v>3481</v>
      </c>
      <c r="H942" s="940"/>
      <c r="I942" s="609">
        <v>80</v>
      </c>
      <c r="J942" s="531"/>
      <c r="K942" s="610"/>
      <c r="L942" s="2597"/>
      <c r="M942" s="2597">
        <v>100</v>
      </c>
      <c r="N942" s="13" t="s">
        <v>3480</v>
      </c>
      <c r="O942" s="86"/>
      <c r="P942" s="1817" t="e">
        <f>INDEX(#REF!,MATCH(F942,#REF!,0),2)</f>
        <v>#REF!</v>
      </c>
      <c r="Q942" s="1779"/>
      <c r="R942" s="1779"/>
      <c r="S942" s="1779"/>
      <c r="T942" s="1779"/>
      <c r="U942" s="1779"/>
      <c r="V942" s="1779"/>
      <c r="W942" s="43"/>
      <c r="X942" s="1779"/>
      <c r="Y942" s="1779"/>
      <c r="Z942" s="1779"/>
      <c r="AA942" s="1779"/>
      <c r="AB942" s="1779"/>
      <c r="AC942" s="1779"/>
      <c r="AD942" s="1779"/>
      <c r="AE942" s="1779"/>
      <c r="AF942" s="1779"/>
      <c r="AG942" s="1779"/>
      <c r="AH942" s="1779"/>
      <c r="AI942" s="1779"/>
      <c r="AJ942" s="1779"/>
      <c r="AK942" s="1779"/>
      <c r="AL942" s="1779"/>
      <c r="AM942" s="1779"/>
      <c r="AN942" s="1779"/>
      <c r="AO942" s="1779"/>
      <c r="AP942" s="1779"/>
      <c r="AQ942" s="1779"/>
      <c r="AR942" s="1779"/>
      <c r="AS942" s="1779"/>
      <c r="AT942" s="1779"/>
      <c r="AU942" s="1779"/>
      <c r="AV942" s="1779"/>
    </row>
    <row r="943" spans="1:48" ht="22.5">
      <c r="A943" s="412"/>
      <c r="B943" s="412" t="s">
        <v>1248</v>
      </c>
      <c r="C943" s="412" t="s">
        <v>507</v>
      </c>
      <c r="D943" s="1590"/>
      <c r="E943" s="2224" t="s">
        <v>1899</v>
      </c>
      <c r="F943" s="505">
        <v>2311</v>
      </c>
      <c r="G943" s="410" t="s">
        <v>3513</v>
      </c>
      <c r="H943" s="940"/>
      <c r="I943" s="609">
        <v>208</v>
      </c>
      <c r="J943" s="531"/>
      <c r="K943" s="610"/>
      <c r="L943" s="2597"/>
      <c r="M943" s="2597">
        <v>208</v>
      </c>
      <c r="N943" s="73"/>
      <c r="O943" s="86"/>
      <c r="P943" s="1817" t="e">
        <f>INDEX(#REF!,MATCH(F943,#REF!,0),2)</f>
        <v>#REF!</v>
      </c>
      <c r="Q943" s="1779"/>
      <c r="R943" s="1779"/>
      <c r="S943" s="1779"/>
      <c r="T943" s="1779"/>
      <c r="U943" s="1779"/>
      <c r="V943" s="1779"/>
      <c r="W943" s="43"/>
      <c r="X943" s="1779"/>
      <c r="Y943" s="1779"/>
      <c r="Z943" s="1779"/>
      <c r="AA943" s="1779"/>
      <c r="AB943" s="1779"/>
      <c r="AC943" s="1779"/>
      <c r="AD943" s="1779"/>
      <c r="AE943" s="1779"/>
      <c r="AF943" s="1779"/>
      <c r="AG943" s="1779"/>
      <c r="AH943" s="1779"/>
      <c r="AI943" s="1779"/>
      <c r="AJ943" s="1779"/>
      <c r="AK943" s="1779"/>
      <c r="AL943" s="1779"/>
      <c r="AM943" s="1779"/>
      <c r="AN943" s="1779"/>
      <c r="AO943" s="1779"/>
      <c r="AP943" s="1779"/>
      <c r="AQ943" s="1779"/>
      <c r="AR943" s="1779"/>
      <c r="AS943" s="1779"/>
      <c r="AT943" s="1779"/>
      <c r="AU943" s="1779"/>
      <c r="AV943" s="1779"/>
    </row>
    <row r="944" spans="1:48">
      <c r="A944" s="506"/>
      <c r="B944" s="506" t="s">
        <v>1248</v>
      </c>
      <c r="C944" s="506" t="s">
        <v>505</v>
      </c>
      <c r="D944" s="1589">
        <v>830</v>
      </c>
      <c r="E944" s="2223" t="s">
        <v>1899</v>
      </c>
      <c r="F944" s="540">
        <v>2312</v>
      </c>
      <c r="G944" s="411" t="s">
        <v>331</v>
      </c>
      <c r="H944" s="936">
        <v>3431</v>
      </c>
      <c r="I944" s="608"/>
      <c r="J944" s="509">
        <v>3146</v>
      </c>
      <c r="K944" s="510"/>
      <c r="L944" s="2604">
        <v>844</v>
      </c>
      <c r="M944" s="2604"/>
      <c r="N944" s="149"/>
      <c r="O944" s="86"/>
      <c r="P944" s="1817" t="e">
        <f>INDEX(#REF!,MATCH(F944,#REF!,0),2)</f>
        <v>#REF!</v>
      </c>
      <c r="Q944" s="1779"/>
      <c r="R944" s="1779"/>
      <c r="S944" s="1779"/>
      <c r="T944" s="1779"/>
      <c r="U944" s="1779"/>
      <c r="V944" s="1779"/>
      <c r="W944" s="43"/>
      <c r="X944" s="1779"/>
      <c r="Y944" s="1779"/>
      <c r="Z944" s="1779"/>
      <c r="AA944" s="1779"/>
      <c r="AB944" s="1779"/>
      <c r="AC944" s="1779"/>
      <c r="AD944" s="1779"/>
      <c r="AE944" s="1779"/>
      <c r="AF944" s="1779"/>
      <c r="AG944" s="1779"/>
      <c r="AH944" s="1779"/>
      <c r="AI944" s="1779"/>
      <c r="AJ944" s="1779"/>
      <c r="AK944" s="1779"/>
      <c r="AL944" s="1779"/>
      <c r="AM944" s="1779"/>
      <c r="AN944" s="1779"/>
      <c r="AO944" s="1779"/>
      <c r="AP944" s="1779"/>
      <c r="AQ944" s="1779"/>
      <c r="AR944" s="1779"/>
      <c r="AS944" s="1779"/>
      <c r="AT944" s="1779"/>
      <c r="AU944" s="1779"/>
      <c r="AV944" s="1779"/>
    </row>
    <row r="945" spans="1:48">
      <c r="A945" s="412"/>
      <c r="B945" s="412" t="s">
        <v>1248</v>
      </c>
      <c r="C945" s="412" t="s">
        <v>505</v>
      </c>
      <c r="D945" s="1590"/>
      <c r="E945" s="2224" t="s">
        <v>1899</v>
      </c>
      <c r="F945" s="505">
        <v>2312</v>
      </c>
      <c r="G945" s="410" t="s">
        <v>3482</v>
      </c>
      <c r="H945" s="942"/>
      <c r="I945" s="613">
        <v>200</v>
      </c>
      <c r="J945" s="614"/>
      <c r="K945" s="615"/>
      <c r="L945" s="2597"/>
      <c r="M945" s="2597">
        <v>110</v>
      </c>
      <c r="N945" s="149"/>
      <c r="O945" s="86"/>
      <c r="P945" s="1817" t="e">
        <f>INDEX(#REF!,MATCH(F945,#REF!,0),2)</f>
        <v>#REF!</v>
      </c>
      <c r="Q945" s="1779"/>
      <c r="R945" s="1779"/>
      <c r="S945" s="1779"/>
      <c r="T945" s="1779"/>
      <c r="U945" s="1779"/>
      <c r="V945" s="1779"/>
      <c r="W945" s="43"/>
      <c r="X945" s="1779"/>
      <c r="Y945" s="1779"/>
      <c r="Z945" s="1779"/>
      <c r="AA945" s="1779"/>
      <c r="AB945" s="1779"/>
      <c r="AC945" s="1779"/>
      <c r="AD945" s="1779"/>
      <c r="AE945" s="1779"/>
      <c r="AF945" s="1779"/>
      <c r="AG945" s="1779"/>
      <c r="AH945" s="1779"/>
      <c r="AI945" s="1779"/>
      <c r="AJ945" s="1779"/>
      <c r="AK945" s="1779"/>
      <c r="AL945" s="1779"/>
      <c r="AM945" s="1779"/>
      <c r="AN945" s="1779"/>
      <c r="AO945" s="1779"/>
      <c r="AP945" s="1779"/>
      <c r="AQ945" s="1779"/>
      <c r="AR945" s="1779"/>
      <c r="AS945" s="1779"/>
      <c r="AT945" s="1779"/>
      <c r="AU945" s="1779"/>
      <c r="AV945" s="1779"/>
    </row>
    <row r="946" spans="1:48">
      <c r="A946" s="412"/>
      <c r="B946" s="412" t="s">
        <v>1248</v>
      </c>
      <c r="C946" s="412" t="s">
        <v>505</v>
      </c>
      <c r="D946" s="1590"/>
      <c r="E946" s="2224" t="s">
        <v>1899</v>
      </c>
      <c r="F946" s="505">
        <v>2312</v>
      </c>
      <c r="G946" s="1884" t="s">
        <v>3514</v>
      </c>
      <c r="H946" s="2346"/>
      <c r="I946" s="2347"/>
      <c r="J946" s="2348"/>
      <c r="K946" s="2349"/>
      <c r="L946" s="2597"/>
      <c r="M946" s="2597">
        <v>450</v>
      </c>
      <c r="N946" s="149"/>
      <c r="O946" s="86"/>
      <c r="P946" s="1817"/>
      <c r="Q946" s="1779"/>
      <c r="R946" s="1779"/>
      <c r="S946" s="1779"/>
      <c r="T946" s="1779"/>
      <c r="U946" s="1779"/>
      <c r="V946" s="1779"/>
      <c r="W946" s="43"/>
      <c r="X946" s="1779"/>
      <c r="Y946" s="1779"/>
      <c r="Z946" s="1779"/>
      <c r="AA946" s="1779"/>
      <c r="AB946" s="1779"/>
      <c r="AC946" s="1779"/>
      <c r="AD946" s="1779"/>
      <c r="AE946" s="1779"/>
      <c r="AF946" s="1779"/>
      <c r="AG946" s="1779"/>
      <c r="AH946" s="1779"/>
      <c r="AI946" s="1779"/>
      <c r="AJ946" s="1779"/>
      <c r="AK946" s="1779"/>
      <c r="AL946" s="1779"/>
      <c r="AM946" s="1779"/>
      <c r="AN946" s="1779"/>
      <c r="AO946" s="1779"/>
      <c r="AP946" s="1779"/>
      <c r="AQ946" s="1779"/>
      <c r="AR946" s="1779"/>
      <c r="AS946" s="1779"/>
      <c r="AT946" s="1779"/>
      <c r="AU946" s="1779"/>
      <c r="AV946" s="1779"/>
    </row>
    <row r="947" spans="1:48">
      <c r="A947" s="2587"/>
      <c r="B947" s="412" t="s">
        <v>1248</v>
      </c>
      <c r="C947" s="412" t="s">
        <v>505</v>
      </c>
      <c r="D947" s="1590"/>
      <c r="E947" s="2224" t="s">
        <v>1899</v>
      </c>
      <c r="F947" s="505">
        <v>2312</v>
      </c>
      <c r="G947" s="2590" t="s">
        <v>3515</v>
      </c>
      <c r="H947" s="2346"/>
      <c r="I947" s="2347"/>
      <c r="J947" s="2348"/>
      <c r="K947" s="2349"/>
      <c r="L947" s="2597"/>
      <c r="M947" s="2597">
        <v>284</v>
      </c>
      <c r="N947" s="149"/>
      <c r="O947" s="86"/>
      <c r="P947" s="1817"/>
      <c r="Q947" s="1779"/>
      <c r="R947" s="1779"/>
      <c r="S947" s="1779"/>
      <c r="T947" s="1779"/>
      <c r="U947" s="1779"/>
      <c r="V947" s="1779"/>
      <c r="W947" s="43"/>
      <c r="X947" s="1779"/>
      <c r="Y947" s="1779"/>
      <c r="Z947" s="1779"/>
      <c r="AA947" s="1779"/>
      <c r="AB947" s="1779"/>
      <c r="AC947" s="1779"/>
      <c r="AD947" s="1779"/>
      <c r="AE947" s="1779"/>
      <c r="AF947" s="1779"/>
      <c r="AG947" s="1779"/>
      <c r="AH947" s="1779"/>
      <c r="AI947" s="1779"/>
      <c r="AJ947" s="1779"/>
      <c r="AK947" s="1779"/>
      <c r="AL947" s="1779"/>
      <c r="AM947" s="1779"/>
      <c r="AN947" s="1779"/>
      <c r="AO947" s="1779"/>
      <c r="AP947" s="1779"/>
      <c r="AQ947" s="1779"/>
      <c r="AR947" s="1779"/>
      <c r="AS947" s="1779"/>
      <c r="AT947" s="1779"/>
      <c r="AU947" s="1779"/>
      <c r="AV947" s="1779"/>
    </row>
    <row r="948" spans="1:48" ht="22.5">
      <c r="A948" s="1882"/>
      <c r="B948" s="412" t="s">
        <v>1248</v>
      </c>
      <c r="C948" s="412" t="s">
        <v>505</v>
      </c>
      <c r="D948" s="1590"/>
      <c r="E948" s="2224" t="s">
        <v>1899</v>
      </c>
      <c r="F948" s="505">
        <v>2312</v>
      </c>
      <c r="G948" s="1884" t="s">
        <v>3193</v>
      </c>
      <c r="H948" s="2346"/>
      <c r="I948" s="2347">
        <v>2550</v>
      </c>
      <c r="J948" s="2348"/>
      <c r="K948" s="2349"/>
      <c r="L948" s="2600"/>
      <c r="M948" s="2600"/>
      <c r="N948" s="149"/>
      <c r="O948" s="86"/>
      <c r="P948" s="1817" t="e">
        <f>INDEX(#REF!,MATCH(F948,#REF!,0),2)</f>
        <v>#REF!</v>
      </c>
      <c r="Q948" s="1779"/>
      <c r="R948" s="1779"/>
      <c r="S948" s="1779"/>
      <c r="T948" s="1779"/>
      <c r="U948" s="1779"/>
      <c r="V948" s="1779"/>
      <c r="W948" s="43"/>
      <c r="X948" s="1779"/>
      <c r="Y948" s="1779"/>
      <c r="Z948" s="1779"/>
      <c r="AA948" s="1779"/>
      <c r="AB948" s="1779"/>
      <c r="AC948" s="1779"/>
      <c r="AD948" s="1779"/>
      <c r="AE948" s="1779"/>
      <c r="AF948" s="1779"/>
      <c r="AG948" s="1779"/>
      <c r="AH948" s="1779"/>
      <c r="AI948" s="1779"/>
      <c r="AJ948" s="1779"/>
      <c r="AK948" s="1779"/>
      <c r="AL948" s="1779"/>
      <c r="AM948" s="1779"/>
      <c r="AN948" s="1779"/>
      <c r="AO948" s="1779"/>
      <c r="AP948" s="1779"/>
      <c r="AQ948" s="1779"/>
      <c r="AR948" s="1779"/>
      <c r="AS948" s="1779"/>
      <c r="AT948" s="1779"/>
      <c r="AU948" s="1779"/>
      <c r="AV948" s="1779"/>
    </row>
    <row r="949" spans="1:48" ht="22.5">
      <c r="A949" s="1882"/>
      <c r="B949" s="412" t="s">
        <v>1248</v>
      </c>
      <c r="C949" s="412" t="s">
        <v>505</v>
      </c>
      <c r="D949" s="1590"/>
      <c r="E949" s="2224" t="s">
        <v>1899</v>
      </c>
      <c r="F949" s="505">
        <v>2312</v>
      </c>
      <c r="G949" s="1884" t="s">
        <v>3194</v>
      </c>
      <c r="H949" s="2346"/>
      <c r="I949" s="2347">
        <v>500</v>
      </c>
      <c r="J949" s="2348"/>
      <c r="K949" s="2349"/>
      <c r="L949" s="2600"/>
      <c r="M949" s="2600"/>
      <c r="N949" s="149"/>
      <c r="O949" s="86"/>
      <c r="P949" s="1817" t="e">
        <f>INDEX(#REF!,MATCH(F949,#REF!,0),2)</f>
        <v>#REF!</v>
      </c>
      <c r="Q949" s="1779"/>
      <c r="R949" s="1779"/>
      <c r="S949" s="1779"/>
      <c r="T949" s="1779"/>
      <c r="U949" s="1779"/>
      <c r="V949" s="1779"/>
      <c r="W949" s="43"/>
      <c r="X949" s="1779"/>
      <c r="Y949" s="1779"/>
      <c r="Z949" s="1779"/>
      <c r="AA949" s="1779"/>
      <c r="AB949" s="1779"/>
      <c r="AC949" s="1779"/>
      <c r="AD949" s="1779"/>
      <c r="AE949" s="1779"/>
      <c r="AF949" s="1779"/>
      <c r="AG949" s="1779"/>
      <c r="AH949" s="1779"/>
      <c r="AI949" s="1779"/>
      <c r="AJ949" s="1779"/>
      <c r="AK949" s="1779"/>
      <c r="AL949" s="1779"/>
      <c r="AM949" s="1779"/>
      <c r="AN949" s="1779"/>
      <c r="AO949" s="1779"/>
      <c r="AP949" s="1779"/>
      <c r="AQ949" s="1779"/>
      <c r="AR949" s="1779"/>
      <c r="AS949" s="1779"/>
      <c r="AT949" s="1779"/>
      <c r="AU949" s="1779"/>
      <c r="AV949" s="1779"/>
    </row>
    <row r="950" spans="1:48">
      <c r="A950" s="506"/>
      <c r="B950" s="506" t="s">
        <v>1248</v>
      </c>
      <c r="C950" s="506" t="s">
        <v>505</v>
      </c>
      <c r="D950" s="1589">
        <v>830</v>
      </c>
      <c r="E950" s="2223" t="s">
        <v>1899</v>
      </c>
      <c r="F950" s="540">
        <v>2350</v>
      </c>
      <c r="G950" s="411" t="s">
        <v>251</v>
      </c>
      <c r="H950" s="936">
        <v>488</v>
      </c>
      <c r="I950" s="601"/>
      <c r="J950" s="509">
        <v>488</v>
      </c>
      <c r="K950" s="510"/>
      <c r="L950" s="2604">
        <v>800</v>
      </c>
      <c r="M950" s="2604"/>
      <c r="N950" s="149"/>
      <c r="O950" s="86"/>
      <c r="P950" s="1817" t="e">
        <f>INDEX(#REF!,MATCH(F950,#REF!,0),2)</f>
        <v>#REF!</v>
      </c>
      <c r="Q950" s="1779"/>
      <c r="R950" s="1779"/>
      <c r="S950" s="1779"/>
      <c r="T950" s="1779"/>
      <c r="U950" s="1779"/>
      <c r="V950" s="1779"/>
      <c r="W950" s="43"/>
      <c r="X950" s="1779"/>
      <c r="Y950" s="1779"/>
      <c r="Z950" s="1779"/>
      <c r="AA950" s="1779"/>
      <c r="AB950" s="1779"/>
      <c r="AC950" s="1779"/>
      <c r="AD950" s="1779"/>
      <c r="AE950" s="1779"/>
      <c r="AF950" s="1779"/>
      <c r="AG950" s="1779"/>
      <c r="AH950" s="1779"/>
      <c r="AI950" s="1779"/>
      <c r="AJ950" s="1779"/>
      <c r="AK950" s="1779"/>
      <c r="AL950" s="1779"/>
      <c r="AM950" s="1779"/>
      <c r="AN950" s="1779"/>
      <c r="AO950" s="1779"/>
      <c r="AP950" s="1779"/>
      <c r="AQ950" s="1779"/>
      <c r="AR950" s="1779"/>
      <c r="AS950" s="1779"/>
      <c r="AT950" s="1779"/>
      <c r="AU950" s="1779"/>
      <c r="AV950" s="1779"/>
    </row>
    <row r="951" spans="1:48">
      <c r="A951" s="412"/>
      <c r="B951" s="412" t="s">
        <v>1248</v>
      </c>
      <c r="C951" s="412" t="s">
        <v>505</v>
      </c>
      <c r="D951" s="1590"/>
      <c r="E951" s="2224" t="s">
        <v>1899</v>
      </c>
      <c r="F951" s="505">
        <v>2350</v>
      </c>
      <c r="G951" s="410" t="s">
        <v>332</v>
      </c>
      <c r="H951" s="940"/>
      <c r="I951" s="609">
        <v>50</v>
      </c>
      <c r="J951" s="531"/>
      <c r="K951" s="610"/>
      <c r="L951" s="2597"/>
      <c r="M951" s="2597">
        <v>50</v>
      </c>
      <c r="N951" s="73"/>
      <c r="O951" s="86"/>
      <c r="P951" s="1817" t="e">
        <f>INDEX(#REF!,MATCH(F951,#REF!,0),2)</f>
        <v>#REF!</v>
      </c>
      <c r="Q951" s="1779"/>
      <c r="R951" s="1779"/>
      <c r="S951" s="1779"/>
      <c r="T951" s="1779"/>
      <c r="U951" s="1779"/>
      <c r="V951" s="1779"/>
      <c r="W951" s="43"/>
      <c r="X951" s="1779"/>
      <c r="Y951" s="1779"/>
      <c r="Z951" s="1779"/>
      <c r="AA951" s="1779"/>
      <c r="AB951" s="1779"/>
      <c r="AC951" s="1779"/>
      <c r="AD951" s="1779"/>
      <c r="AE951" s="1779"/>
      <c r="AF951" s="1779"/>
      <c r="AG951" s="1779"/>
      <c r="AH951" s="1779"/>
      <c r="AI951" s="1779"/>
      <c r="AJ951" s="1779"/>
      <c r="AK951" s="1779"/>
      <c r="AL951" s="1779"/>
      <c r="AM951" s="1779"/>
      <c r="AN951" s="1779"/>
      <c r="AO951" s="1779"/>
      <c r="AP951" s="1779"/>
      <c r="AQ951" s="1779"/>
      <c r="AR951" s="1779"/>
      <c r="AS951" s="1779"/>
      <c r="AT951" s="1779"/>
      <c r="AU951" s="1779"/>
      <c r="AV951" s="1779"/>
    </row>
    <row r="952" spans="1:48">
      <c r="A952" s="2587"/>
      <c r="B952" s="412" t="s">
        <v>1248</v>
      </c>
      <c r="C952" s="412" t="s">
        <v>505</v>
      </c>
      <c r="D952" s="1590"/>
      <c r="E952" s="2224" t="s">
        <v>1899</v>
      </c>
      <c r="F952" s="505">
        <v>2350</v>
      </c>
      <c r="G952" s="410" t="s">
        <v>3517</v>
      </c>
      <c r="H952" s="2346"/>
      <c r="I952" s="2347"/>
      <c r="J952" s="2348"/>
      <c r="K952" s="2349"/>
      <c r="L952" s="2597"/>
      <c r="M952" s="2597">
        <v>400</v>
      </c>
      <c r="N952" s="73"/>
      <c r="O952" s="86"/>
      <c r="P952" s="1817"/>
      <c r="Q952" s="1779"/>
      <c r="R952" s="1779"/>
      <c r="S952" s="1779"/>
      <c r="T952" s="1779"/>
      <c r="U952" s="1779"/>
      <c r="V952" s="1779"/>
      <c r="W952" s="43"/>
      <c r="X952" s="1779"/>
      <c r="Y952" s="1779"/>
      <c r="Z952" s="1779"/>
      <c r="AA952" s="1779"/>
      <c r="AB952" s="1779"/>
      <c r="AC952" s="1779"/>
      <c r="AD952" s="1779"/>
      <c r="AE952" s="1779"/>
      <c r="AF952" s="1779"/>
      <c r="AG952" s="1779"/>
      <c r="AH952" s="1779"/>
      <c r="AI952" s="1779"/>
      <c r="AJ952" s="1779"/>
      <c r="AK952" s="1779"/>
      <c r="AL952" s="1779"/>
      <c r="AM952" s="1779"/>
      <c r="AN952" s="1779"/>
      <c r="AO952" s="1779"/>
      <c r="AP952" s="1779"/>
      <c r="AQ952" s="1779"/>
      <c r="AR952" s="1779"/>
      <c r="AS952" s="1779"/>
      <c r="AT952" s="1779"/>
      <c r="AU952" s="1779"/>
      <c r="AV952" s="1779"/>
    </row>
    <row r="953" spans="1:48" ht="22.5">
      <c r="A953" s="412"/>
      <c r="B953" s="412" t="s">
        <v>1248</v>
      </c>
      <c r="C953" s="412" t="s">
        <v>505</v>
      </c>
      <c r="D953" s="1590"/>
      <c r="E953" s="2224" t="s">
        <v>1899</v>
      </c>
      <c r="F953" s="505">
        <v>2350</v>
      </c>
      <c r="G953" s="410" t="s">
        <v>3516</v>
      </c>
      <c r="H953" s="942"/>
      <c r="I953" s="613">
        <v>300</v>
      </c>
      <c r="J953" s="614"/>
      <c r="K953" s="615"/>
      <c r="L953" s="2597"/>
      <c r="M953" s="2597">
        <v>350</v>
      </c>
      <c r="N953" s="73"/>
      <c r="O953" s="86"/>
      <c r="P953" s="1817" t="e">
        <f>INDEX(#REF!,MATCH(F953,#REF!,0),2)</f>
        <v>#REF!</v>
      </c>
      <c r="Q953" s="1779"/>
      <c r="R953" s="1779"/>
      <c r="S953" s="1779"/>
      <c r="T953" s="1779"/>
      <c r="U953" s="1779"/>
      <c r="V953" s="1779"/>
      <c r="W953" s="43"/>
      <c r="X953" s="1779"/>
      <c r="Y953" s="1779"/>
      <c r="Z953" s="1779"/>
      <c r="AA953" s="1779"/>
      <c r="AB953" s="1779"/>
      <c r="AC953" s="1779"/>
      <c r="AD953" s="1779"/>
      <c r="AE953" s="1779"/>
      <c r="AF953" s="1779"/>
      <c r="AG953" s="1779"/>
      <c r="AH953" s="1779"/>
      <c r="AI953" s="1779"/>
      <c r="AJ953" s="1779"/>
      <c r="AK953" s="1779"/>
      <c r="AL953" s="1779"/>
      <c r="AM953" s="1779"/>
      <c r="AN953" s="1779"/>
      <c r="AO953" s="1779"/>
      <c r="AP953" s="1779"/>
      <c r="AQ953" s="1779"/>
      <c r="AR953" s="1779"/>
      <c r="AS953" s="1779"/>
      <c r="AT953" s="1779"/>
      <c r="AU953" s="1779"/>
      <c r="AV953" s="1779"/>
    </row>
    <row r="954" spans="1:48">
      <c r="A954" s="506"/>
      <c r="B954" s="506" t="s">
        <v>1248</v>
      </c>
      <c r="C954" s="506" t="s">
        <v>505</v>
      </c>
      <c r="D954" s="1589">
        <v>830</v>
      </c>
      <c r="E954" s="2223" t="s">
        <v>1899</v>
      </c>
      <c r="F954" s="540">
        <v>2390</v>
      </c>
      <c r="G954" s="411" t="s">
        <v>253</v>
      </c>
      <c r="H954" s="936">
        <v>623</v>
      </c>
      <c r="I954" s="601"/>
      <c r="J954" s="509">
        <v>196</v>
      </c>
      <c r="K954" s="510"/>
      <c r="L954" s="2604">
        <v>1160</v>
      </c>
      <c r="M954" s="2604"/>
      <c r="N954" s="149"/>
      <c r="O954" s="86"/>
      <c r="P954" s="1817" t="e">
        <f>INDEX(#REF!,MATCH(F954,#REF!,0),2)</f>
        <v>#REF!</v>
      </c>
      <c r="Q954" s="11"/>
      <c r="R954" s="11"/>
      <c r="S954" s="11"/>
      <c r="T954" s="11"/>
      <c r="U954" s="11"/>
      <c r="V954" s="11"/>
      <c r="W954" s="4"/>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row>
    <row r="955" spans="1:48" ht="22.5">
      <c r="A955" s="412"/>
      <c r="B955" s="412" t="s">
        <v>1248</v>
      </c>
      <c r="C955" s="412" t="s">
        <v>505</v>
      </c>
      <c r="D955" s="1590"/>
      <c r="E955" s="2224" t="s">
        <v>1899</v>
      </c>
      <c r="F955" s="505">
        <v>2390</v>
      </c>
      <c r="G955" s="410" t="s">
        <v>3483</v>
      </c>
      <c r="H955" s="940"/>
      <c r="I955" s="609">
        <v>300</v>
      </c>
      <c r="J955" s="531"/>
      <c r="K955" s="610"/>
      <c r="L955" s="2597"/>
      <c r="M955" s="2597">
        <v>300</v>
      </c>
      <c r="N955" s="83"/>
      <c r="O955" s="86"/>
      <c r="P955" s="1817" t="e">
        <f>INDEX(#REF!,MATCH(F955,#REF!,0),2)</f>
        <v>#REF!</v>
      </c>
      <c r="Q955" s="11"/>
      <c r="R955" s="11"/>
      <c r="S955" s="11"/>
      <c r="T955" s="11"/>
      <c r="U955" s="11"/>
      <c r="V955" s="11"/>
      <c r="W955" s="4"/>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row>
    <row r="956" spans="1:48" ht="22.5">
      <c r="A956" s="412"/>
      <c r="B956" s="412" t="s">
        <v>1248</v>
      </c>
      <c r="C956" s="412" t="s">
        <v>505</v>
      </c>
      <c r="D956" s="1590"/>
      <c r="E956" s="2224" t="s">
        <v>1899</v>
      </c>
      <c r="F956" s="505">
        <v>2390</v>
      </c>
      <c r="G956" s="410" t="s">
        <v>3518</v>
      </c>
      <c r="H956" s="940"/>
      <c r="I956" s="609">
        <v>75</v>
      </c>
      <c r="J956" s="531"/>
      <c r="K956" s="610"/>
      <c r="L956" s="2597"/>
      <c r="M956" s="2597">
        <v>100</v>
      </c>
      <c r="N956" s="83"/>
      <c r="O956" s="86"/>
      <c r="P956" s="1817" t="e">
        <f>INDEX(#REF!,MATCH(F956,#REF!,0),2)</f>
        <v>#REF!</v>
      </c>
      <c r="Q956" s="11"/>
      <c r="R956" s="11"/>
      <c r="S956" s="11"/>
      <c r="T956" s="11"/>
      <c r="U956" s="11"/>
      <c r="V956" s="11"/>
      <c r="W956" s="4"/>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row>
    <row r="957" spans="1:48" ht="22.5">
      <c r="A957" s="412"/>
      <c r="B957" s="412" t="s">
        <v>1248</v>
      </c>
      <c r="C957" s="412" t="s">
        <v>505</v>
      </c>
      <c r="D957" s="1590"/>
      <c r="E957" s="2224" t="s">
        <v>1899</v>
      </c>
      <c r="F957" s="505">
        <v>2390</v>
      </c>
      <c r="G957" s="410" t="s">
        <v>3519</v>
      </c>
      <c r="H957" s="942"/>
      <c r="I957" s="613">
        <v>75</v>
      </c>
      <c r="J957" s="614"/>
      <c r="K957" s="615"/>
      <c r="L957" s="2597"/>
      <c r="M957" s="2597">
        <v>100</v>
      </c>
      <c r="N957" s="83"/>
      <c r="O957" s="86"/>
      <c r="P957" s="1817" t="e">
        <f>INDEX(#REF!,MATCH(F957,#REF!,0),2)</f>
        <v>#REF!</v>
      </c>
      <c r="Q957" s="11"/>
      <c r="R957" s="11"/>
      <c r="S957" s="11"/>
      <c r="T957" s="11"/>
      <c r="U957" s="11"/>
      <c r="V957" s="11"/>
      <c r="W957" s="4"/>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row>
    <row r="958" spans="1:48" ht="33.75">
      <c r="A958" s="412"/>
      <c r="B958" s="412" t="s">
        <v>1248</v>
      </c>
      <c r="C958" s="412" t="s">
        <v>505</v>
      </c>
      <c r="D958" s="1590"/>
      <c r="E958" s="2224" t="s">
        <v>1899</v>
      </c>
      <c r="F958" s="505">
        <v>2390</v>
      </c>
      <c r="G958" s="410" t="s">
        <v>3484</v>
      </c>
      <c r="H958" s="942"/>
      <c r="I958" s="613">
        <v>200</v>
      </c>
      <c r="J958" s="614"/>
      <c r="K958" s="615"/>
      <c r="L958" s="2597"/>
      <c r="M958" s="2597">
        <v>250</v>
      </c>
      <c r="N958" s="83"/>
      <c r="O958" s="86"/>
      <c r="P958" s="1817" t="e">
        <f>INDEX(#REF!,MATCH(F958,#REF!,0),2)</f>
        <v>#REF!</v>
      </c>
      <c r="Q958" s="11"/>
      <c r="R958" s="11"/>
      <c r="S958" s="11"/>
      <c r="T958" s="11"/>
      <c r="U958" s="11"/>
      <c r="V958" s="11"/>
      <c r="W958" s="4"/>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row>
    <row r="959" spans="1:48">
      <c r="A959" s="2587"/>
      <c r="B959" s="412" t="s">
        <v>1248</v>
      </c>
      <c r="C959" s="412" t="s">
        <v>505</v>
      </c>
      <c r="D959" s="1590"/>
      <c r="E959" s="2224" t="s">
        <v>1899</v>
      </c>
      <c r="F959" s="505">
        <v>2390</v>
      </c>
      <c r="G959" s="410" t="s">
        <v>3520</v>
      </c>
      <c r="H959" s="2346"/>
      <c r="I959" s="2347"/>
      <c r="J959" s="2348"/>
      <c r="K959" s="2349"/>
      <c r="L959" s="2597"/>
      <c r="M959" s="2597">
        <v>410</v>
      </c>
      <c r="N959" s="83"/>
      <c r="O959" s="86"/>
      <c r="P959" s="1817"/>
      <c r="Q959" s="11"/>
      <c r="R959" s="11"/>
      <c r="S959" s="11"/>
      <c r="T959" s="11"/>
      <c r="U959" s="11"/>
      <c r="V959" s="11"/>
      <c r="W959" s="4"/>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row>
    <row r="960" spans="1:48">
      <c r="A960" s="1882"/>
      <c r="B960" s="412" t="s">
        <v>1248</v>
      </c>
      <c r="C960" s="412" t="s">
        <v>505</v>
      </c>
      <c r="D960" s="1590"/>
      <c r="E960" s="2224" t="s">
        <v>1899</v>
      </c>
      <c r="F960" s="505">
        <v>2390</v>
      </c>
      <c r="G960" s="1884" t="s">
        <v>3213</v>
      </c>
      <c r="H960" s="2346"/>
      <c r="I960" s="2347">
        <v>-27</v>
      </c>
      <c r="J960" s="2348"/>
      <c r="K960" s="2349"/>
      <c r="L960" s="2600"/>
      <c r="M960" s="2600"/>
      <c r="N960" s="83"/>
      <c r="O960" s="86"/>
      <c r="P960" s="1817" t="e">
        <f>INDEX(#REF!,MATCH(F960,#REF!,0),2)</f>
        <v>#REF!</v>
      </c>
      <c r="Q960" s="11"/>
      <c r="R960" s="11"/>
      <c r="S960" s="11"/>
      <c r="T960" s="11"/>
      <c r="U960" s="11"/>
      <c r="V960" s="11"/>
      <c r="W960" s="4"/>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row>
    <row r="961" spans="1:48">
      <c r="A961" s="506"/>
      <c r="B961" s="506" t="s">
        <v>1248</v>
      </c>
      <c r="C961" s="506" t="s">
        <v>507</v>
      </c>
      <c r="D961" s="1589">
        <v>830</v>
      </c>
      <c r="E961" s="2223" t="s">
        <v>1899</v>
      </c>
      <c r="F961" s="540">
        <v>2400</v>
      </c>
      <c r="G961" s="411" t="s">
        <v>333</v>
      </c>
      <c r="H961" s="936">
        <v>1800</v>
      </c>
      <c r="I961" s="608"/>
      <c r="J961" s="509">
        <v>1800</v>
      </c>
      <c r="K961" s="510"/>
      <c r="L961" s="2604">
        <v>1800</v>
      </c>
      <c r="M961" s="2604"/>
      <c r="N961" s="83"/>
      <c r="O961" s="86"/>
      <c r="P961" s="1817" t="e">
        <f>INDEX(#REF!,MATCH(F961,#REF!,0),2)</f>
        <v>#REF!</v>
      </c>
      <c r="Q961" s="11"/>
      <c r="R961" s="11"/>
      <c r="S961" s="11"/>
      <c r="T961" s="11"/>
      <c r="U961" s="11"/>
      <c r="V961" s="11"/>
      <c r="W961" s="4"/>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row>
    <row r="962" spans="1:48" ht="45">
      <c r="A962" s="412"/>
      <c r="B962" s="412" t="s">
        <v>1248</v>
      </c>
      <c r="C962" s="412" t="s">
        <v>507</v>
      </c>
      <c r="D962" s="1590"/>
      <c r="E962" s="2224" t="s">
        <v>1899</v>
      </c>
      <c r="F962" s="505">
        <v>2400</v>
      </c>
      <c r="G962" s="410" t="s">
        <v>3485</v>
      </c>
      <c r="H962" s="940"/>
      <c r="I962" s="532">
        <v>1800</v>
      </c>
      <c r="J962" s="531"/>
      <c r="K962" s="610"/>
      <c r="L962" s="2597"/>
      <c r="M962" s="2597">
        <v>1800</v>
      </c>
      <c r="O962" s="86"/>
      <c r="P962" s="1817" t="e">
        <f>INDEX(#REF!,MATCH(F962,#REF!,0),2)</f>
        <v>#REF!</v>
      </c>
      <c r="Q962" s="1779"/>
      <c r="R962" s="1779"/>
      <c r="S962" s="1779"/>
      <c r="T962" s="1779"/>
      <c r="U962" s="1779"/>
      <c r="V962" s="1779"/>
      <c r="W962" s="43"/>
      <c r="X962" s="1779"/>
      <c r="Y962" s="1779"/>
      <c r="Z962" s="1779"/>
      <c r="AA962" s="1779"/>
      <c r="AB962" s="1779"/>
      <c r="AC962" s="1779"/>
      <c r="AD962" s="1779"/>
      <c r="AE962" s="1779"/>
      <c r="AF962" s="1779"/>
      <c r="AG962" s="1779"/>
      <c r="AH962" s="1779"/>
      <c r="AI962" s="1779"/>
      <c r="AJ962" s="1779"/>
      <c r="AK962" s="1779"/>
      <c r="AL962" s="1779"/>
      <c r="AM962" s="1779"/>
      <c r="AN962" s="1779"/>
      <c r="AO962" s="1779"/>
      <c r="AP962" s="1779"/>
      <c r="AQ962" s="1779"/>
      <c r="AR962" s="1779"/>
      <c r="AS962" s="1779"/>
      <c r="AT962" s="1779"/>
      <c r="AU962" s="1779"/>
      <c r="AV962" s="1779"/>
    </row>
    <row r="963" spans="1:48" ht="81.599999999999994" customHeight="1">
      <c r="A963" s="506"/>
      <c r="B963" s="506" t="s">
        <v>1250</v>
      </c>
      <c r="C963" s="506" t="s">
        <v>509</v>
      </c>
      <c r="D963" s="1589">
        <v>830</v>
      </c>
      <c r="E963" s="2223" t="s">
        <v>1899</v>
      </c>
      <c r="F963" s="540">
        <v>5233</v>
      </c>
      <c r="G963" s="411" t="s">
        <v>334</v>
      </c>
      <c r="H963" s="936">
        <v>5000</v>
      </c>
      <c r="I963" s="508"/>
      <c r="J963" s="509">
        <v>4782</v>
      </c>
      <c r="K963" s="510"/>
      <c r="L963" s="2604">
        <v>5000</v>
      </c>
      <c r="M963" s="2604"/>
      <c r="N963" s="2402"/>
      <c r="O963" s="86"/>
      <c r="P963" s="1817" t="e">
        <f>INDEX(#REF!,MATCH(F963,#REF!,0),2)</f>
        <v>#REF!</v>
      </c>
      <c r="Q963" s="11"/>
      <c r="R963" s="11"/>
      <c r="S963" s="11"/>
      <c r="T963" s="11"/>
      <c r="U963" s="11"/>
      <c r="V963" s="11"/>
      <c r="W963" s="4"/>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row>
    <row r="964" spans="1:48" ht="81.599999999999994" customHeight="1">
      <c r="A964" s="412"/>
      <c r="B964" s="412" t="s">
        <v>1250</v>
      </c>
      <c r="C964" s="412" t="s">
        <v>509</v>
      </c>
      <c r="D964" s="1590"/>
      <c r="E964" s="2224" t="s">
        <v>1899</v>
      </c>
      <c r="F964" s="505">
        <v>5233</v>
      </c>
      <c r="G964" s="410" t="s">
        <v>3486</v>
      </c>
      <c r="H964" s="940"/>
      <c r="I964" s="532">
        <v>5000</v>
      </c>
      <c r="J964" s="531"/>
      <c r="K964" s="610"/>
      <c r="L964" s="2597"/>
      <c r="M964" s="2597">
        <v>5000</v>
      </c>
      <c r="O964" s="86"/>
      <c r="P964" s="1817" t="e">
        <f>INDEX(#REF!,MATCH(F964,#REF!,0),2)</f>
        <v>#REF!</v>
      </c>
      <c r="Q964" s="1779"/>
      <c r="R964" s="1779"/>
      <c r="S964" s="1779"/>
      <c r="T964" s="1779"/>
      <c r="U964" s="1779"/>
      <c r="V964" s="1779"/>
      <c r="W964" s="43"/>
      <c r="X964" s="1779"/>
      <c r="Y964" s="1779"/>
      <c r="Z964" s="1779"/>
      <c r="AA964" s="1779"/>
      <c r="AB964" s="1779"/>
      <c r="AC964" s="1779"/>
      <c r="AD964" s="1779"/>
      <c r="AE964" s="1779"/>
      <c r="AF964" s="1779"/>
      <c r="AG964" s="1779"/>
      <c r="AH964" s="1779"/>
      <c r="AI964" s="1779"/>
      <c r="AJ964" s="1779"/>
      <c r="AK964" s="1779"/>
      <c r="AL964" s="1779"/>
      <c r="AM964" s="1779"/>
      <c r="AN964" s="1779"/>
      <c r="AO964" s="1779"/>
      <c r="AP964" s="1779"/>
      <c r="AQ964" s="1779"/>
      <c r="AR964" s="1779"/>
      <c r="AS964" s="1779"/>
      <c r="AT964" s="1779"/>
      <c r="AU964" s="1779"/>
      <c r="AV964" s="1779"/>
    </row>
    <row r="965" spans="1:48">
      <c r="A965" s="506"/>
      <c r="B965" s="506" t="s">
        <v>1250</v>
      </c>
      <c r="C965" s="506" t="s">
        <v>509</v>
      </c>
      <c r="D965" s="1589">
        <v>830</v>
      </c>
      <c r="E965" s="2223" t="s">
        <v>1899</v>
      </c>
      <c r="F965" s="540">
        <v>5238</v>
      </c>
      <c r="G965" s="411" t="s">
        <v>257</v>
      </c>
      <c r="H965" s="926">
        <v>2400</v>
      </c>
      <c r="I965" s="579"/>
      <c r="J965" s="509">
        <v>2325</v>
      </c>
      <c r="K965" s="510"/>
      <c r="L965" s="2604">
        <v>1200</v>
      </c>
      <c r="M965" s="2604"/>
      <c r="N965" s="73"/>
      <c r="O965" s="86"/>
      <c r="P965" s="1817" t="e">
        <f>INDEX(#REF!,MATCH(F965,#REF!,0),2)</f>
        <v>#REF!</v>
      </c>
      <c r="Q965" s="1779"/>
      <c r="R965" s="1779"/>
      <c r="S965" s="1779"/>
      <c r="T965" s="1779"/>
      <c r="U965" s="1779"/>
      <c r="V965" s="1779"/>
      <c r="W965" s="43"/>
      <c r="X965" s="1779"/>
      <c r="Y965" s="1779"/>
      <c r="Z965" s="1779"/>
      <c r="AA965" s="1779"/>
      <c r="AB965" s="1779"/>
      <c r="AC965" s="1779"/>
      <c r="AD965" s="1779"/>
      <c r="AE965" s="1779"/>
      <c r="AF965" s="1779"/>
      <c r="AG965" s="1779"/>
      <c r="AH965" s="1779"/>
      <c r="AI965" s="1779"/>
      <c r="AJ965" s="1779"/>
      <c r="AK965" s="1779"/>
      <c r="AL965" s="1779"/>
      <c r="AM965" s="1779"/>
      <c r="AN965" s="1779"/>
      <c r="AO965" s="1779"/>
      <c r="AP965" s="1779"/>
      <c r="AQ965" s="1779"/>
      <c r="AR965" s="1779"/>
      <c r="AS965" s="1779"/>
      <c r="AT965" s="1779"/>
      <c r="AU965" s="1779"/>
      <c r="AV965" s="1779"/>
    </row>
    <row r="966" spans="1:48">
      <c r="A966" s="412"/>
      <c r="B966" s="412" t="s">
        <v>1250</v>
      </c>
      <c r="C966" s="412" t="s">
        <v>509</v>
      </c>
      <c r="D966" s="1590"/>
      <c r="E966" s="2224" t="s">
        <v>1899</v>
      </c>
      <c r="F966" s="505">
        <v>5238</v>
      </c>
      <c r="G966" s="410" t="s">
        <v>3487</v>
      </c>
      <c r="H966" s="940"/>
      <c r="I966" s="532">
        <v>2400</v>
      </c>
      <c r="J966" s="614"/>
      <c r="K966" s="615"/>
      <c r="L966" s="2597"/>
      <c r="M966" s="2597">
        <v>1200</v>
      </c>
      <c r="N966" s="73"/>
      <c r="O966" s="86"/>
      <c r="P966" s="1817" t="e">
        <f>INDEX(#REF!,MATCH(F966,#REF!,0),2)</f>
        <v>#REF!</v>
      </c>
      <c r="Q966" s="1779"/>
      <c r="R966" s="1779"/>
      <c r="S966" s="1779"/>
      <c r="T966" s="1779"/>
      <c r="U966" s="1779"/>
      <c r="V966" s="1779"/>
      <c r="W966" s="43"/>
      <c r="X966" s="1779"/>
      <c r="Y966" s="1779"/>
      <c r="Z966" s="1779"/>
      <c r="AA966" s="1779"/>
      <c r="AB966" s="1779"/>
      <c r="AC966" s="1779"/>
      <c r="AD966" s="1779"/>
      <c r="AE966" s="1779"/>
      <c r="AF966" s="1779"/>
      <c r="AG966" s="1779"/>
      <c r="AH966" s="1779"/>
      <c r="AI966" s="1779"/>
      <c r="AJ966" s="1779"/>
      <c r="AK966" s="1779"/>
      <c r="AL966" s="1779"/>
      <c r="AM966" s="1779"/>
      <c r="AN966" s="1779"/>
      <c r="AO966" s="1779"/>
      <c r="AP966" s="1779"/>
      <c r="AQ966" s="1779"/>
      <c r="AR966" s="1779"/>
      <c r="AS966" s="1779"/>
      <c r="AT966" s="1779"/>
      <c r="AU966" s="1779"/>
      <c r="AV966" s="1779"/>
    </row>
    <row r="967" spans="1:48">
      <c r="A967" s="506"/>
      <c r="B967" s="506" t="s">
        <v>1250</v>
      </c>
      <c r="C967" s="506" t="s">
        <v>534</v>
      </c>
      <c r="D967" s="1589">
        <v>830</v>
      </c>
      <c r="E967" s="2223" t="s">
        <v>1899</v>
      </c>
      <c r="F967" s="540">
        <v>5239</v>
      </c>
      <c r="G967" s="411" t="s">
        <v>256</v>
      </c>
      <c r="H967" s="936">
        <v>0</v>
      </c>
      <c r="I967" s="508"/>
      <c r="J967" s="509"/>
      <c r="K967" s="510"/>
      <c r="L967" s="2604">
        <v>5500</v>
      </c>
      <c r="M967" s="2604"/>
      <c r="N967" s="1526"/>
      <c r="O967" s="86"/>
      <c r="P967" s="1817" t="e">
        <f>INDEX(#REF!,MATCH(F967,#REF!,0),2)</f>
        <v>#REF!</v>
      </c>
      <c r="Q967" s="1779"/>
      <c r="R967" s="1779"/>
      <c r="S967" s="1779"/>
      <c r="T967" s="1779"/>
      <c r="U967" s="1779"/>
      <c r="V967" s="1779"/>
      <c r="W967" s="43"/>
      <c r="X967" s="1779"/>
      <c r="Y967" s="1779"/>
      <c r="Z967" s="1779"/>
      <c r="AA967" s="1779"/>
      <c r="AB967" s="1779"/>
      <c r="AC967" s="1779"/>
      <c r="AD967" s="1779"/>
      <c r="AE967" s="1779"/>
      <c r="AF967" s="1779"/>
      <c r="AG967" s="1779"/>
      <c r="AH967" s="1779"/>
      <c r="AI967" s="1779"/>
      <c r="AJ967" s="1779"/>
      <c r="AK967" s="1779"/>
      <c r="AL967" s="1779"/>
      <c r="AM967" s="1779"/>
      <c r="AN967" s="1779"/>
      <c r="AO967" s="1779"/>
      <c r="AP967" s="1779"/>
      <c r="AQ967" s="1779"/>
      <c r="AR967" s="1779"/>
      <c r="AS967" s="1779"/>
      <c r="AT967" s="1779"/>
      <c r="AU967" s="1779"/>
      <c r="AV967" s="1779"/>
    </row>
    <row r="968" spans="1:48" ht="102" customHeight="1">
      <c r="A968" s="412"/>
      <c r="B968" s="412" t="s">
        <v>1250</v>
      </c>
      <c r="C968" s="412" t="s">
        <v>534</v>
      </c>
      <c r="D968" s="1590"/>
      <c r="E968" s="2224" t="s">
        <v>1899</v>
      </c>
      <c r="F968" s="505">
        <v>5239</v>
      </c>
      <c r="G968" s="410" t="s">
        <v>3488</v>
      </c>
      <c r="H968" s="940"/>
      <c r="I968" s="532">
        <v>2550</v>
      </c>
      <c r="J968" s="531"/>
      <c r="K968" s="610"/>
      <c r="L968" s="2597"/>
      <c r="M968" s="2597">
        <v>5500</v>
      </c>
      <c r="N968" s="154" t="s">
        <v>3521</v>
      </c>
      <c r="O968" s="86"/>
      <c r="P968" s="1817" t="e">
        <f>INDEX(#REF!,MATCH(F968,#REF!,0),2)</f>
        <v>#REF!</v>
      </c>
      <c r="Q968" s="1779"/>
      <c r="R968" s="1779"/>
      <c r="S968" s="1779"/>
      <c r="T968" s="1779"/>
      <c r="U968" s="1779"/>
      <c r="V968" s="1779"/>
      <c r="W968" s="43"/>
      <c r="X968" s="1779"/>
      <c r="Y968" s="1779"/>
      <c r="Z968" s="1779"/>
      <c r="AA968" s="1779"/>
      <c r="AB968" s="1779"/>
      <c r="AC968" s="1779"/>
      <c r="AD968" s="1779"/>
      <c r="AE968" s="1779"/>
      <c r="AF968" s="1779"/>
      <c r="AG968" s="1779"/>
      <c r="AH968" s="1779"/>
      <c r="AI968" s="1779"/>
      <c r="AJ968" s="1779"/>
      <c r="AK968" s="1779"/>
      <c r="AL968" s="1779"/>
      <c r="AM968" s="1779"/>
      <c r="AN968" s="1779"/>
      <c r="AO968" s="1779"/>
      <c r="AP968" s="1779"/>
      <c r="AQ968" s="1779"/>
      <c r="AR968" s="1779"/>
      <c r="AS968" s="1779"/>
      <c r="AT968" s="1779"/>
      <c r="AU968" s="1779"/>
      <c r="AV968" s="1779"/>
    </row>
    <row r="969" spans="1:48">
      <c r="A969" s="1882"/>
      <c r="B969" s="412" t="s">
        <v>1250</v>
      </c>
      <c r="C969" s="412" t="s">
        <v>534</v>
      </c>
      <c r="D969" s="1590"/>
      <c r="E969" s="2224" t="s">
        <v>1899</v>
      </c>
      <c r="F969" s="505">
        <v>5239</v>
      </c>
      <c r="G969" s="1884"/>
      <c r="H969" s="2350"/>
      <c r="I969" s="1942">
        <v>-2550</v>
      </c>
      <c r="J969" s="2348"/>
      <c r="K969" s="2349"/>
      <c r="L969" s="2600"/>
      <c r="M969" s="2600"/>
      <c r="N969" s="149"/>
      <c r="O969" s="86"/>
      <c r="P969" s="1817" t="e">
        <f>INDEX(#REF!,MATCH(F969,#REF!,0),2)</f>
        <v>#REF!</v>
      </c>
      <c r="Q969" s="1779"/>
      <c r="R969" s="1779"/>
      <c r="S969" s="1779"/>
      <c r="T969" s="1779"/>
      <c r="U969" s="1779"/>
      <c r="V969" s="1779"/>
      <c r="W969" s="43"/>
      <c r="X969" s="1779"/>
      <c r="Y969" s="1779"/>
      <c r="Z969" s="1779"/>
      <c r="AA969" s="1779"/>
      <c r="AB969" s="1779"/>
      <c r="AC969" s="1779"/>
      <c r="AD969" s="1779"/>
      <c r="AE969" s="1779"/>
      <c r="AF969" s="1779"/>
      <c r="AG969" s="1779"/>
      <c r="AH969" s="1779"/>
      <c r="AI969" s="1779"/>
      <c r="AJ969" s="1779"/>
      <c r="AK969" s="1779"/>
      <c r="AL969" s="1779"/>
      <c r="AM969" s="1779"/>
      <c r="AN969" s="1779"/>
      <c r="AO969" s="1779"/>
      <c r="AP969" s="1779"/>
      <c r="AQ969" s="1779"/>
      <c r="AR969" s="1779"/>
      <c r="AS969" s="1779"/>
      <c r="AT969" s="1779"/>
      <c r="AU969" s="1779"/>
      <c r="AV969" s="1779"/>
    </row>
    <row r="970" spans="1:48">
      <c r="A970" s="506"/>
      <c r="B970" s="506" t="s">
        <v>1248</v>
      </c>
      <c r="C970" s="506" t="s">
        <v>507</v>
      </c>
      <c r="D970" s="1589">
        <v>830</v>
      </c>
      <c r="E970" s="2223" t="s">
        <v>1899</v>
      </c>
      <c r="F970" s="540">
        <v>7210</v>
      </c>
      <c r="G970" s="411" t="s">
        <v>335</v>
      </c>
      <c r="H970" s="926">
        <v>920</v>
      </c>
      <c r="I970" s="579"/>
      <c r="J970" s="509">
        <v>920</v>
      </c>
      <c r="K970" s="510"/>
      <c r="L970" s="2604">
        <v>920</v>
      </c>
      <c r="M970" s="2604"/>
      <c r="N970" s="73"/>
      <c r="O970" s="86"/>
      <c r="P970" s="1817" t="e">
        <f>INDEX(#REF!,MATCH(F970,#REF!,0),2)</f>
        <v>#REF!</v>
      </c>
      <c r="Q970" s="1779"/>
      <c r="R970" s="1779"/>
      <c r="S970" s="1779"/>
      <c r="T970" s="1779"/>
      <c r="U970" s="1779"/>
      <c r="V970" s="1779"/>
      <c r="W970" s="43"/>
      <c r="X970" s="1779"/>
      <c r="Y970" s="1779"/>
      <c r="Z970" s="1779"/>
      <c r="AA970" s="1779"/>
      <c r="AB970" s="1779"/>
      <c r="AC970" s="1779"/>
      <c r="AD970" s="1779"/>
      <c r="AE970" s="1779"/>
      <c r="AF970" s="1779"/>
      <c r="AG970" s="1779"/>
      <c r="AH970" s="1779"/>
      <c r="AI970" s="1779"/>
      <c r="AJ970" s="1779"/>
      <c r="AK970" s="1779"/>
      <c r="AL970" s="1779"/>
      <c r="AM970" s="1779"/>
      <c r="AN970" s="1779"/>
      <c r="AO970" s="1779"/>
      <c r="AP970" s="1779"/>
      <c r="AQ970" s="1779"/>
      <c r="AR970" s="1779"/>
      <c r="AS970" s="1779"/>
      <c r="AT970" s="1779"/>
      <c r="AU970" s="1779"/>
      <c r="AV970" s="1779"/>
    </row>
    <row r="971" spans="1:48" ht="33.75">
      <c r="A971" s="412"/>
      <c r="B971" s="412" t="s">
        <v>1248</v>
      </c>
      <c r="C971" s="412" t="s">
        <v>507</v>
      </c>
      <c r="D971" s="1590"/>
      <c r="E971" s="2224" t="s">
        <v>1899</v>
      </c>
      <c r="F971" s="505">
        <v>7210</v>
      </c>
      <c r="G971" s="410" t="s">
        <v>1036</v>
      </c>
      <c r="H971" s="940"/>
      <c r="I971" s="532">
        <v>920</v>
      </c>
      <c r="J971" s="614"/>
      <c r="K971" s="615"/>
      <c r="L971" s="2597"/>
      <c r="M971" s="2597">
        <v>920</v>
      </c>
      <c r="N971" s="149"/>
      <c r="O971" s="86"/>
      <c r="P971" s="1817" t="e">
        <f>INDEX(#REF!,MATCH(F971,#REF!,0),2)</f>
        <v>#REF!</v>
      </c>
    </row>
    <row r="972" spans="1:48">
      <c r="A972" s="506"/>
      <c r="B972" s="506" t="s">
        <v>663</v>
      </c>
      <c r="C972" s="506" t="s">
        <v>652</v>
      </c>
      <c r="D972" s="1589">
        <v>831</v>
      </c>
      <c r="E972" s="2232" t="s">
        <v>1906</v>
      </c>
      <c r="F972" s="540">
        <v>1119</v>
      </c>
      <c r="G972" s="411" t="s">
        <v>224</v>
      </c>
      <c r="H972" s="508">
        <v>34140</v>
      </c>
      <c r="I972" s="608"/>
      <c r="J972" s="509">
        <v>27720</v>
      </c>
      <c r="K972" s="510"/>
      <c r="L972" s="508">
        <v>36381.600000000006</v>
      </c>
      <c r="M972" s="508"/>
      <c r="N972" s="83"/>
      <c r="O972" s="86"/>
      <c r="P972" s="1817" t="e">
        <f>INDEX(#REF!,MATCH(F972,#REF!,0),2)</f>
        <v>#REF!</v>
      </c>
    </row>
    <row r="973" spans="1:48">
      <c r="A973" s="412"/>
      <c r="B973" s="412" t="s">
        <v>663</v>
      </c>
      <c r="C973" s="412" t="s">
        <v>652</v>
      </c>
      <c r="D973" s="1590"/>
      <c r="E973" s="2224" t="s">
        <v>1906</v>
      </c>
      <c r="F973" s="505">
        <v>1119</v>
      </c>
      <c r="G973" s="516" t="s">
        <v>663</v>
      </c>
      <c r="H973" s="456"/>
      <c r="I973" s="441">
        <v>34140</v>
      </c>
      <c r="J973" s="555"/>
      <c r="K973" s="560"/>
      <c r="L973" s="433"/>
      <c r="M973" s="433">
        <v>36381.600000000006</v>
      </c>
      <c r="N973" s="83"/>
      <c r="O973" s="86"/>
      <c r="P973" s="1817" t="e">
        <f>INDEX(#REF!,MATCH(F973,#REF!,0),2)</f>
        <v>#REF!</v>
      </c>
    </row>
    <row r="974" spans="1:48">
      <c r="A974" s="506"/>
      <c r="B974" s="506" t="s">
        <v>663</v>
      </c>
      <c r="C974" s="506" t="s">
        <v>652</v>
      </c>
      <c r="D974" s="1589">
        <v>831</v>
      </c>
      <c r="E974" s="2223" t="s">
        <v>1906</v>
      </c>
      <c r="F974" s="540">
        <v>1147</v>
      </c>
      <c r="G974" s="411" t="s">
        <v>226</v>
      </c>
      <c r="H974" s="579">
        <v>2845</v>
      </c>
      <c r="I974" s="619"/>
      <c r="J974" s="509">
        <v>655</v>
      </c>
      <c r="K974" s="510"/>
      <c r="L974" s="579">
        <v>3031.8</v>
      </c>
      <c r="M974" s="579"/>
      <c r="N974" s="73"/>
      <c r="O974" s="86"/>
      <c r="P974" s="1817" t="e">
        <f>INDEX(#REF!,MATCH(F974,#REF!,0),2)</f>
        <v>#REF!</v>
      </c>
    </row>
    <row r="975" spans="1:48">
      <c r="A975" s="412"/>
      <c r="B975" s="412" t="s">
        <v>663</v>
      </c>
      <c r="C975" s="412" t="s">
        <v>652</v>
      </c>
      <c r="D975" s="1590"/>
      <c r="E975" s="2224" t="s">
        <v>1906</v>
      </c>
      <c r="F975" s="505">
        <v>1147</v>
      </c>
      <c r="G975" s="516" t="s">
        <v>663</v>
      </c>
      <c r="H975" s="456"/>
      <c r="I975" s="441">
        <v>2845</v>
      </c>
      <c r="J975" s="441"/>
      <c r="K975" s="421"/>
      <c r="L975" s="433"/>
      <c r="M975" s="433">
        <v>3031.8</v>
      </c>
      <c r="N975" s="73"/>
      <c r="O975" s="86"/>
      <c r="P975" s="1817" t="e">
        <f>INDEX(#REF!,MATCH(F975,#REF!,0),2)</f>
        <v>#REF!</v>
      </c>
    </row>
    <row r="976" spans="1:48">
      <c r="A976" s="506"/>
      <c r="B976" s="506" t="s">
        <v>663</v>
      </c>
      <c r="C976" s="506" t="s">
        <v>652</v>
      </c>
      <c r="D976" s="1589">
        <v>831</v>
      </c>
      <c r="E976" s="2223" t="s">
        <v>1906</v>
      </c>
      <c r="F976" s="540">
        <v>1148</v>
      </c>
      <c r="G976" s="411" t="s">
        <v>227</v>
      </c>
      <c r="H976" s="579">
        <v>500</v>
      </c>
      <c r="I976" s="619"/>
      <c r="J976" s="509"/>
      <c r="K976" s="510"/>
      <c r="L976" s="579">
        <v>500</v>
      </c>
      <c r="M976" s="579"/>
      <c r="N976" s="73"/>
      <c r="O976" s="86"/>
      <c r="P976" s="1817" t="e">
        <f>INDEX(#REF!,MATCH(F976,#REF!,0),2)</f>
        <v>#REF!</v>
      </c>
    </row>
    <row r="977" spans="1:16">
      <c r="A977" s="1465"/>
      <c r="B977" s="1465" t="s">
        <v>663</v>
      </c>
      <c r="C977" s="1465" t="s">
        <v>652</v>
      </c>
      <c r="D977" s="1602"/>
      <c r="E977" s="2265" t="s">
        <v>1906</v>
      </c>
      <c r="F977" s="1527">
        <v>1148</v>
      </c>
      <c r="G977" s="1466" t="s">
        <v>663</v>
      </c>
      <c r="H977" s="1377"/>
      <c r="I977" s="1379">
        <v>500</v>
      </c>
      <c r="J977" s="1379"/>
      <c r="K977" s="1380"/>
      <c r="L977" s="1375"/>
      <c r="M977" s="1375">
        <v>500</v>
      </c>
      <c r="N977" s="73"/>
      <c r="O977" s="86"/>
      <c r="P977" s="1817" t="e">
        <f>INDEX(#REF!,MATCH(F977,#REF!,0),2)</f>
        <v>#REF!</v>
      </c>
    </row>
    <row r="978" spans="1:16">
      <c r="A978" s="506"/>
      <c r="B978" s="506" t="s">
        <v>1248</v>
      </c>
      <c r="C978" s="506" t="s">
        <v>507</v>
      </c>
      <c r="D978" s="1589">
        <v>831</v>
      </c>
      <c r="E978" s="2223" t="s">
        <v>1906</v>
      </c>
      <c r="F978" s="540">
        <v>1150</v>
      </c>
      <c r="G978" s="411" t="s">
        <v>726</v>
      </c>
      <c r="H978" s="508">
        <v>450</v>
      </c>
      <c r="I978" s="608"/>
      <c r="J978" s="509">
        <v>67</v>
      </c>
      <c r="K978" s="510"/>
      <c r="L978" s="508">
        <v>1100</v>
      </c>
      <c r="M978" s="508"/>
      <c r="N978" s="286">
        <f>L978-H978</f>
        <v>650</v>
      </c>
      <c r="O978" s="86"/>
      <c r="P978" s="1817" t="e">
        <f>INDEX(#REF!,MATCH(F978,#REF!,0),2)</f>
        <v>#REF!</v>
      </c>
    </row>
    <row r="979" spans="1:16">
      <c r="A979" s="412"/>
      <c r="B979" s="412" t="s">
        <v>1248</v>
      </c>
      <c r="C979" s="412" t="s">
        <v>507</v>
      </c>
      <c r="D979" s="1590"/>
      <c r="E979" s="2224" t="s">
        <v>1906</v>
      </c>
      <c r="F979" s="505">
        <v>1150</v>
      </c>
      <c r="G979" s="516" t="s">
        <v>3434</v>
      </c>
      <c r="H979" s="456"/>
      <c r="I979" s="441">
        <v>500</v>
      </c>
      <c r="J979" s="441"/>
      <c r="K979" s="421"/>
      <c r="L979" s="433"/>
      <c r="M979" s="433">
        <v>700</v>
      </c>
      <c r="N979" s="73"/>
      <c r="O979" s="86"/>
      <c r="P979" s="1817" t="e">
        <f>INDEX(#REF!,MATCH(F979,#REF!,0),2)</f>
        <v>#REF!</v>
      </c>
    </row>
    <row r="980" spans="1:16">
      <c r="A980" s="412"/>
      <c r="B980" s="412" t="s">
        <v>1248</v>
      </c>
      <c r="C980" s="412" t="s">
        <v>507</v>
      </c>
      <c r="D980" s="1590"/>
      <c r="E980" s="2224" t="s">
        <v>1906</v>
      </c>
      <c r="F980" s="505">
        <v>1150</v>
      </c>
      <c r="G980" s="516" t="s">
        <v>3435</v>
      </c>
      <c r="H980" s="456"/>
      <c r="I980" s="441">
        <v>300</v>
      </c>
      <c r="J980" s="441"/>
      <c r="K980" s="421"/>
      <c r="L980" s="433"/>
      <c r="M980" s="433">
        <v>400</v>
      </c>
      <c r="N980" s="73"/>
      <c r="O980" s="86"/>
      <c r="P980" s="1817" t="e">
        <f>INDEX(#REF!,MATCH(F980,#REF!,0),2)</f>
        <v>#REF!</v>
      </c>
    </row>
    <row r="981" spans="1:16">
      <c r="A981" s="506"/>
      <c r="B981" s="506" t="s">
        <v>663</v>
      </c>
      <c r="C981" s="506" t="s">
        <v>652</v>
      </c>
      <c r="D981" s="1589">
        <v>831</v>
      </c>
      <c r="E981" s="2223" t="s">
        <v>1906</v>
      </c>
      <c r="F981" s="540">
        <v>1170</v>
      </c>
      <c r="G981" s="411" t="s">
        <v>724</v>
      </c>
      <c r="H981" s="541">
        <v>45</v>
      </c>
      <c r="I981" s="620"/>
      <c r="J981" s="542">
        <v>45</v>
      </c>
      <c r="K981" s="458"/>
      <c r="L981" s="541">
        <v>45</v>
      </c>
      <c r="M981" s="541"/>
      <c r="N981" s="73"/>
      <c r="O981" s="86"/>
      <c r="P981" s="1817" t="e">
        <f>INDEX(#REF!,MATCH(F981,#REF!,0),2)</f>
        <v>#REF!</v>
      </c>
    </row>
    <row r="982" spans="1:16">
      <c r="A982" s="412"/>
      <c r="B982" s="412" t="s">
        <v>663</v>
      </c>
      <c r="C982" s="412" t="s">
        <v>652</v>
      </c>
      <c r="D982" s="1590"/>
      <c r="E982" s="2224" t="s">
        <v>1906</v>
      </c>
      <c r="F982" s="505">
        <v>1170</v>
      </c>
      <c r="G982" s="180" t="s">
        <v>3437</v>
      </c>
      <c r="H982" s="456"/>
      <c r="I982" s="441">
        <v>45</v>
      </c>
      <c r="J982" s="441"/>
      <c r="K982" s="421"/>
      <c r="L982" s="433"/>
      <c r="M982" s="433">
        <v>45</v>
      </c>
      <c r="N982" s="73"/>
      <c r="O982" s="86"/>
      <c r="P982" s="1817" t="e">
        <f>INDEX(#REF!,MATCH(F982,#REF!,0),2)</f>
        <v>#REF!</v>
      </c>
    </row>
    <row r="983" spans="1:16">
      <c r="A983" s="506"/>
      <c r="B983" s="506" t="s">
        <v>663</v>
      </c>
      <c r="C983" s="506" t="s">
        <v>652</v>
      </c>
      <c r="D983" s="1589">
        <v>831</v>
      </c>
      <c r="E983" s="2223" t="s">
        <v>1906</v>
      </c>
      <c r="F983" s="540">
        <v>1210</v>
      </c>
      <c r="G983" s="411" t="s">
        <v>228</v>
      </c>
      <c r="H983" s="508">
        <v>8607.3127875000009</v>
      </c>
      <c r="I983" s="608"/>
      <c r="J983" s="509">
        <v>6471</v>
      </c>
      <c r="K983" s="510"/>
      <c r="L983" s="508">
        <v>9172.4607765000019</v>
      </c>
      <c r="M983" s="508"/>
      <c r="N983" s="73"/>
      <c r="O983" s="86"/>
      <c r="P983" s="1817" t="e">
        <f>INDEX(#REF!,MATCH(F983,#REF!,0),2)</f>
        <v>#REF!</v>
      </c>
    </row>
    <row r="984" spans="1:16">
      <c r="A984" s="412"/>
      <c r="B984" s="412" t="s">
        <v>663</v>
      </c>
      <c r="C984" s="412" t="s">
        <v>652</v>
      </c>
      <c r="D984" s="1590"/>
      <c r="E984" s="2224" t="s">
        <v>1906</v>
      </c>
      <c r="F984" s="505">
        <v>1210</v>
      </c>
      <c r="G984" s="516" t="s">
        <v>663</v>
      </c>
      <c r="H984" s="456"/>
      <c r="I984" s="441">
        <v>8607.3127875000009</v>
      </c>
      <c r="J984" s="441"/>
      <c r="K984" s="421"/>
      <c r="L984" s="433"/>
      <c r="M984" s="433">
        <v>9172.4607765000019</v>
      </c>
      <c r="N984" s="73"/>
      <c r="O984" s="86"/>
      <c r="P984" s="1817" t="e">
        <f>INDEX(#REF!,MATCH(F984,#REF!,0),2)</f>
        <v>#REF!</v>
      </c>
    </row>
    <row r="985" spans="1:16">
      <c r="A985" s="506"/>
      <c r="B985" s="506" t="s">
        <v>663</v>
      </c>
      <c r="C985" s="506" t="s">
        <v>652</v>
      </c>
      <c r="D985" s="1589">
        <v>831</v>
      </c>
      <c r="E985" s="2223" t="s">
        <v>1906</v>
      </c>
      <c r="F985" s="540">
        <v>1221</v>
      </c>
      <c r="G985" s="411" t="s">
        <v>229</v>
      </c>
      <c r="H985" s="579">
        <v>1875.5164625</v>
      </c>
      <c r="I985" s="619"/>
      <c r="J985" s="509">
        <v>1423</v>
      </c>
      <c r="K985" s="510"/>
      <c r="L985" s="579">
        <v>1998.6610935000001</v>
      </c>
      <c r="M985" s="579"/>
      <c r="N985" s="83"/>
      <c r="O985" s="86"/>
      <c r="P985" s="1817" t="e">
        <f>INDEX(#REF!,MATCH(F985,#REF!,0),2)</f>
        <v>#REF!</v>
      </c>
    </row>
    <row r="986" spans="1:16" ht="19.5" customHeight="1">
      <c r="A986" s="412"/>
      <c r="B986" s="412" t="s">
        <v>663</v>
      </c>
      <c r="C986" s="412" t="s">
        <v>652</v>
      </c>
      <c r="D986" s="1590"/>
      <c r="E986" s="2224" t="s">
        <v>1906</v>
      </c>
      <c r="F986" s="505">
        <v>1221</v>
      </c>
      <c r="G986" s="516" t="s">
        <v>663</v>
      </c>
      <c r="H986" s="456"/>
      <c r="I986" s="441">
        <v>1875.5164625</v>
      </c>
      <c r="J986" s="441"/>
      <c r="K986" s="421"/>
      <c r="L986" s="433"/>
      <c r="M986" s="433">
        <v>1998.6610935000001</v>
      </c>
      <c r="N986" s="73"/>
      <c r="O986" s="86"/>
      <c r="P986" s="1817" t="e">
        <f>INDEX(#REF!,MATCH(F986,#REF!,0),2)</f>
        <v>#REF!</v>
      </c>
    </row>
    <row r="987" spans="1:16" ht="14.25" customHeight="1">
      <c r="A987" s="506"/>
      <c r="B987" s="506" t="s">
        <v>663</v>
      </c>
      <c r="C987" s="506" t="s">
        <v>652</v>
      </c>
      <c r="D987" s="1589">
        <v>831</v>
      </c>
      <c r="E987" s="2223" t="s">
        <v>1906</v>
      </c>
      <c r="F987" s="540">
        <v>1228</v>
      </c>
      <c r="G987" s="411" t="s">
        <v>270</v>
      </c>
      <c r="H987" s="508"/>
      <c r="I987" s="608"/>
      <c r="J987" s="509"/>
      <c r="K987" s="510"/>
      <c r="L987" s="508"/>
      <c r="M987" s="508"/>
      <c r="N987" s="73"/>
      <c r="O987" s="86"/>
      <c r="P987" s="1817" t="e">
        <f>INDEX(#REF!,MATCH(F987,#REF!,0),2)</f>
        <v>#REF!</v>
      </c>
    </row>
    <row r="988" spans="1:16">
      <c r="A988" s="1370"/>
      <c r="B988" s="412" t="s">
        <v>663</v>
      </c>
      <c r="C988" s="412" t="s">
        <v>652</v>
      </c>
      <c r="D988" s="1590">
        <v>831</v>
      </c>
      <c r="E988" s="2224" t="s">
        <v>1906</v>
      </c>
      <c r="F988" s="505">
        <v>1228</v>
      </c>
      <c r="G988" s="1411"/>
      <c r="H988" s="1377"/>
      <c r="I988" s="1379"/>
      <c r="J988" s="1437"/>
      <c r="K988" s="1438"/>
      <c r="L988" s="1377"/>
      <c r="M988" s="1377"/>
      <c r="N988" s="73"/>
      <c r="O988" s="86"/>
      <c r="P988" s="1817" t="e">
        <f>INDEX(#REF!,MATCH(F988,#REF!,0),2)</f>
        <v>#REF!</v>
      </c>
    </row>
    <row r="989" spans="1:16" ht="15" customHeight="1">
      <c r="A989" s="506"/>
      <c r="B989" s="506" t="s">
        <v>1248</v>
      </c>
      <c r="C989" s="506" t="s">
        <v>507</v>
      </c>
      <c r="D989" s="1589">
        <v>831</v>
      </c>
      <c r="E989" s="2223" t="s">
        <v>1906</v>
      </c>
      <c r="F989" s="540">
        <v>2111</v>
      </c>
      <c r="G989" s="411" t="s">
        <v>2599</v>
      </c>
      <c r="H989" s="508">
        <v>32</v>
      </c>
      <c r="I989" s="508"/>
      <c r="J989" s="509">
        <v>32</v>
      </c>
      <c r="K989" s="510"/>
      <c r="L989" s="508">
        <v>32</v>
      </c>
      <c r="M989" s="508"/>
      <c r="N989" s="73"/>
      <c r="O989" s="86"/>
      <c r="P989" s="1817" t="e">
        <f>INDEX(#REF!,MATCH(F989,#REF!,0),2)</f>
        <v>#REF!</v>
      </c>
    </row>
    <row r="990" spans="1:16">
      <c r="A990" s="412"/>
      <c r="B990" s="412" t="s">
        <v>1248</v>
      </c>
      <c r="C990" s="412" t="s">
        <v>507</v>
      </c>
      <c r="D990" s="1590"/>
      <c r="E990" s="2224" t="s">
        <v>1906</v>
      </c>
      <c r="F990" s="505">
        <v>2111</v>
      </c>
      <c r="G990" s="2556" t="s">
        <v>3436</v>
      </c>
      <c r="H990" s="532"/>
      <c r="I990" s="532">
        <v>32</v>
      </c>
      <c r="J990" s="531"/>
      <c r="K990" s="610"/>
      <c r="L990" s="532"/>
      <c r="M990" s="532">
        <v>32</v>
      </c>
      <c r="N990" s="73"/>
      <c r="O990" s="86"/>
      <c r="P990" s="1817" t="e">
        <f>INDEX(#REF!,MATCH(F990,#REF!,0),2)</f>
        <v>#REF!</v>
      </c>
    </row>
    <row r="991" spans="1:16" ht="15" customHeight="1">
      <c r="A991" s="506"/>
      <c r="B991" s="506" t="s">
        <v>1248</v>
      </c>
      <c r="C991" s="506" t="s">
        <v>507</v>
      </c>
      <c r="D991" s="1589">
        <v>831</v>
      </c>
      <c r="E991" s="2223" t="s">
        <v>1906</v>
      </c>
      <c r="F991" s="540">
        <v>2112</v>
      </c>
      <c r="G991" s="411" t="s">
        <v>1982</v>
      </c>
      <c r="H991" s="508">
        <v>70</v>
      </c>
      <c r="I991" s="508"/>
      <c r="J991" s="509">
        <v>70</v>
      </c>
      <c r="K991" s="510"/>
      <c r="L991" s="508">
        <v>100</v>
      </c>
      <c r="M991" s="508"/>
      <c r="N991" s="73"/>
      <c r="O991" s="86"/>
      <c r="P991" s="1817" t="e">
        <f>INDEX(#REF!,MATCH(F991,#REF!,0),2)</f>
        <v>#REF!</v>
      </c>
    </row>
    <row r="992" spans="1:16">
      <c r="A992" s="412"/>
      <c r="B992" s="412" t="s">
        <v>1248</v>
      </c>
      <c r="C992" s="412" t="s">
        <v>507</v>
      </c>
      <c r="D992" s="1590"/>
      <c r="E992" s="2224" t="s">
        <v>1906</v>
      </c>
      <c r="F992" s="505">
        <v>2112</v>
      </c>
      <c r="G992" s="2556" t="s">
        <v>3438</v>
      </c>
      <c r="H992" s="532"/>
      <c r="I992" s="532">
        <v>70</v>
      </c>
      <c r="J992" s="531"/>
      <c r="K992" s="610"/>
      <c r="L992" s="532"/>
      <c r="M992" s="532">
        <v>100</v>
      </c>
      <c r="N992" s="73"/>
      <c r="O992" s="86"/>
      <c r="P992" s="1817" t="e">
        <f>INDEX(#REF!,MATCH(F992,#REF!,0),2)</f>
        <v>#REF!</v>
      </c>
    </row>
    <row r="993" spans="1:16" ht="15" customHeight="1">
      <c r="A993" s="506"/>
      <c r="B993" s="506" t="s">
        <v>1248</v>
      </c>
      <c r="C993" s="506" t="s">
        <v>507</v>
      </c>
      <c r="D993" s="1589">
        <v>831</v>
      </c>
      <c r="E993" s="2223" t="s">
        <v>1906</v>
      </c>
      <c r="F993" s="540">
        <v>2210</v>
      </c>
      <c r="G993" s="411" t="s">
        <v>879</v>
      </c>
      <c r="H993" s="508">
        <v>300</v>
      </c>
      <c r="I993" s="508"/>
      <c r="J993" s="509">
        <v>300</v>
      </c>
      <c r="K993" s="510"/>
      <c r="L993" s="508">
        <v>300</v>
      </c>
      <c r="M993" s="508"/>
      <c r="N993" s="73"/>
      <c r="O993" s="86"/>
      <c r="P993" s="1817" t="e">
        <f>INDEX(#REF!,MATCH(F993,#REF!,0),2)</f>
        <v>#REF!</v>
      </c>
    </row>
    <row r="994" spans="1:16">
      <c r="A994" s="412"/>
      <c r="B994" s="412" t="s">
        <v>1248</v>
      </c>
      <c r="C994" s="412" t="s">
        <v>507</v>
      </c>
      <c r="D994" s="1590"/>
      <c r="E994" s="2224" t="s">
        <v>1906</v>
      </c>
      <c r="F994" s="505">
        <v>2210</v>
      </c>
      <c r="G994" s="516" t="s">
        <v>1536</v>
      </c>
      <c r="H994" s="532"/>
      <c r="I994" s="532"/>
      <c r="J994" s="531"/>
      <c r="K994" s="610"/>
      <c r="L994" s="532"/>
      <c r="M994" s="532"/>
      <c r="N994" s="73"/>
      <c r="O994" s="86"/>
      <c r="P994" s="1817" t="e">
        <f>INDEX(#REF!,MATCH(F994,#REF!,0),2)</f>
        <v>#REF!</v>
      </c>
    </row>
    <row r="995" spans="1:16" ht="22.5">
      <c r="A995" s="412"/>
      <c r="B995" s="412" t="s">
        <v>1248</v>
      </c>
      <c r="C995" s="412" t="s">
        <v>507</v>
      </c>
      <c r="D995" s="1590"/>
      <c r="E995" s="2224" t="s">
        <v>1906</v>
      </c>
      <c r="F995" s="505">
        <v>2210</v>
      </c>
      <c r="G995" s="2556" t="s">
        <v>1537</v>
      </c>
      <c r="H995" s="586"/>
      <c r="I995" s="586">
        <v>300</v>
      </c>
      <c r="J995" s="614"/>
      <c r="K995" s="615"/>
      <c r="L995" s="586"/>
      <c r="M995" s="586">
        <v>300</v>
      </c>
      <c r="O995" s="86"/>
      <c r="P995" s="1817" t="e">
        <f>INDEX(#REF!,MATCH(F995,#REF!,0),2)</f>
        <v>#REF!</v>
      </c>
    </row>
    <row r="996" spans="1:16">
      <c r="A996" s="506"/>
      <c r="B996" s="506" t="s">
        <v>1248</v>
      </c>
      <c r="C996" s="506" t="s">
        <v>507</v>
      </c>
      <c r="D996" s="1589">
        <v>831</v>
      </c>
      <c r="E996" s="2223" t="s">
        <v>1906</v>
      </c>
      <c r="F996" s="540">
        <v>2235</v>
      </c>
      <c r="G996" s="411" t="s">
        <v>1570</v>
      </c>
      <c r="H996" s="601"/>
      <c r="I996" s="601"/>
      <c r="J996" s="509"/>
      <c r="K996" s="510"/>
      <c r="L996" s="508">
        <v>300</v>
      </c>
      <c r="M996" s="508"/>
      <c r="N996" s="286">
        <f>L976+L996-H976-H996</f>
        <v>300</v>
      </c>
      <c r="O996" s="86"/>
      <c r="P996" s="1817" t="e">
        <f>INDEX(#REF!,MATCH(F996,#REF!,0),2)</f>
        <v>#REF!</v>
      </c>
    </row>
    <row r="997" spans="1:16">
      <c r="A997" s="412"/>
      <c r="B997" s="412" t="s">
        <v>1248</v>
      </c>
      <c r="C997" s="412" t="s">
        <v>507</v>
      </c>
      <c r="D997" s="1590"/>
      <c r="E997" s="2224" t="s">
        <v>1906</v>
      </c>
      <c r="F997" s="505">
        <v>2235</v>
      </c>
      <c r="G997" s="516" t="s">
        <v>5789</v>
      </c>
      <c r="H997" s="609"/>
      <c r="I997" s="609"/>
      <c r="J997" s="531"/>
      <c r="K997" s="610"/>
      <c r="L997" s="532"/>
      <c r="M997" s="532">
        <v>300</v>
      </c>
      <c r="N997" s="73"/>
      <c r="O997" s="86"/>
      <c r="P997" s="1817" t="e">
        <f>INDEX(#REF!,MATCH(F997,#REF!,0),2)</f>
        <v>#REF!</v>
      </c>
    </row>
    <row r="998" spans="1:16" ht="33.75">
      <c r="A998" s="506"/>
      <c r="B998" s="506" t="s">
        <v>1248</v>
      </c>
      <c r="C998" s="506" t="s">
        <v>507</v>
      </c>
      <c r="D998" s="1589">
        <v>831</v>
      </c>
      <c r="E998" s="2223" t="s">
        <v>1906</v>
      </c>
      <c r="F998" s="540">
        <v>2239</v>
      </c>
      <c r="G998" s="411" t="s">
        <v>237</v>
      </c>
      <c r="H998" s="601">
        <v>650</v>
      </c>
      <c r="I998" s="601"/>
      <c r="J998" s="509">
        <v>350</v>
      </c>
      <c r="K998" s="510"/>
      <c r="L998" s="508">
        <v>400</v>
      </c>
      <c r="M998" s="508"/>
      <c r="N998" s="286">
        <f>L978+L998-H978-H998</f>
        <v>400</v>
      </c>
      <c r="O998" s="86"/>
      <c r="P998" s="1817" t="e">
        <f>INDEX(#REF!,MATCH(F998,#REF!,0),2)</f>
        <v>#REF!</v>
      </c>
    </row>
    <row r="999" spans="1:16">
      <c r="A999" s="412"/>
      <c r="B999" s="412" t="s">
        <v>1248</v>
      </c>
      <c r="C999" s="412" t="s">
        <v>507</v>
      </c>
      <c r="D999" s="1590"/>
      <c r="E999" s="2224" t="s">
        <v>1906</v>
      </c>
      <c r="F999" s="505">
        <v>2239</v>
      </c>
      <c r="G999" s="516" t="s">
        <v>1538</v>
      </c>
      <c r="H999" s="609"/>
      <c r="I999" s="609">
        <v>300</v>
      </c>
      <c r="J999" s="531"/>
      <c r="K999" s="610"/>
      <c r="L999" s="532"/>
      <c r="M999" s="532">
        <v>400</v>
      </c>
      <c r="N999" s="73"/>
      <c r="O999" s="86"/>
      <c r="P999" s="1817" t="e">
        <f>INDEX(#REF!,MATCH(F999,#REF!,0),2)</f>
        <v>#REF!</v>
      </c>
    </row>
    <row r="1000" spans="1:16" ht="22.5">
      <c r="A1000" s="412"/>
      <c r="B1000" s="412" t="s">
        <v>1248</v>
      </c>
      <c r="C1000" s="412" t="s">
        <v>507</v>
      </c>
      <c r="D1000" s="1590"/>
      <c r="E1000" s="2224" t="s">
        <v>1906</v>
      </c>
      <c r="F1000" s="505">
        <v>2239</v>
      </c>
      <c r="G1000" s="516" t="s">
        <v>3441</v>
      </c>
      <c r="H1000" s="609"/>
      <c r="I1000" s="609"/>
      <c r="J1000" s="531"/>
      <c r="K1000" s="610"/>
      <c r="L1000" s="532"/>
      <c r="M1000" s="532">
        <v>0</v>
      </c>
      <c r="N1000" s="73" t="s">
        <v>5907</v>
      </c>
      <c r="O1000" s="86"/>
      <c r="P1000" s="1817" t="e">
        <f>INDEX(#REF!,MATCH(F1000,#REF!,0),2)</f>
        <v>#REF!</v>
      </c>
    </row>
    <row r="1001" spans="1:16" ht="22.5">
      <c r="A1001" s="506"/>
      <c r="B1001" s="506" t="s">
        <v>1248</v>
      </c>
      <c r="C1001" s="506" t="s">
        <v>505</v>
      </c>
      <c r="D1001" s="1589">
        <v>831</v>
      </c>
      <c r="E1001" s="2223" t="s">
        <v>1906</v>
      </c>
      <c r="F1001" s="540">
        <v>2243</v>
      </c>
      <c r="G1001" s="411" t="s">
        <v>329</v>
      </c>
      <c r="H1001" s="601">
        <v>0</v>
      </c>
      <c r="I1001" s="601"/>
      <c r="J1001" s="509"/>
      <c r="K1001" s="510"/>
      <c r="L1001" s="608">
        <v>0</v>
      </c>
      <c r="M1001" s="608"/>
      <c r="N1001" s="2399"/>
      <c r="O1001" s="86"/>
      <c r="P1001" s="1817" t="e">
        <f>INDEX(#REF!,MATCH(F1001,#REF!,0),2)</f>
        <v>#REF!</v>
      </c>
    </row>
    <row r="1002" spans="1:16">
      <c r="A1002" s="412"/>
      <c r="B1002" s="412" t="s">
        <v>1248</v>
      </c>
      <c r="C1002" s="412" t="s">
        <v>505</v>
      </c>
      <c r="D1002" s="1590"/>
      <c r="E1002" s="2224" t="s">
        <v>1906</v>
      </c>
      <c r="F1002" s="505">
        <v>2243</v>
      </c>
      <c r="G1002" s="410"/>
      <c r="H1002" s="609"/>
      <c r="I1002" s="609"/>
      <c r="J1002" s="531"/>
      <c r="K1002" s="610"/>
      <c r="L1002" s="530"/>
      <c r="M1002" s="530"/>
      <c r="N1002" s="1025"/>
      <c r="O1002" s="86"/>
      <c r="P1002" s="1817" t="e">
        <f>INDEX(#REF!,MATCH(F1002,#REF!,0),2)</f>
        <v>#REF!</v>
      </c>
    </row>
    <row r="1003" spans="1:16">
      <c r="A1003" s="616"/>
      <c r="B1003" s="616" t="s">
        <v>1248</v>
      </c>
      <c r="C1003" s="616" t="s">
        <v>513</v>
      </c>
      <c r="D1003" s="1589">
        <v>831</v>
      </c>
      <c r="E1003" s="2269" t="s">
        <v>1906</v>
      </c>
      <c r="F1003" s="617">
        <v>2244</v>
      </c>
      <c r="G1003" s="618" t="s">
        <v>518</v>
      </c>
      <c r="H1003" s="601">
        <v>579</v>
      </c>
      <c r="I1003" s="601"/>
      <c r="J1003" s="509">
        <v>363</v>
      </c>
      <c r="K1003" s="510"/>
      <c r="L1003" s="508">
        <v>600</v>
      </c>
      <c r="M1003" s="508"/>
      <c r="N1003" s="1025"/>
      <c r="O1003" s="86"/>
      <c r="P1003" s="1817" t="e">
        <f>INDEX(#REF!,MATCH(F1003,#REF!,0),2)</f>
        <v>#REF!</v>
      </c>
    </row>
    <row r="1004" spans="1:16">
      <c r="A1004" s="412"/>
      <c r="B1004" s="412" t="s">
        <v>1248</v>
      </c>
      <c r="C1004" s="412" t="s">
        <v>513</v>
      </c>
      <c r="D1004" s="1590"/>
      <c r="E1004" s="2224" t="s">
        <v>1906</v>
      </c>
      <c r="F1004" s="505">
        <v>2244</v>
      </c>
      <c r="G1004" s="410" t="s">
        <v>1559</v>
      </c>
      <c r="H1004" s="611"/>
      <c r="I1004" s="609">
        <v>600</v>
      </c>
      <c r="J1004" s="531"/>
      <c r="K1004" s="612"/>
      <c r="L1004" s="1525"/>
      <c r="M1004" s="532">
        <v>600</v>
      </c>
      <c r="N1004" s="1025"/>
      <c r="O1004" s="86"/>
      <c r="P1004" s="1817" t="e">
        <f>INDEX(#REF!,MATCH(F1004,#REF!,0),2)</f>
        <v>#REF!</v>
      </c>
    </row>
    <row r="1005" spans="1:16">
      <c r="A1005" s="506"/>
      <c r="B1005" s="506" t="s">
        <v>1248</v>
      </c>
      <c r="C1005" s="506" t="s">
        <v>505</v>
      </c>
      <c r="D1005" s="1589">
        <v>831</v>
      </c>
      <c r="E1005" s="2223" t="s">
        <v>1906</v>
      </c>
      <c r="F1005" s="540">
        <v>2247</v>
      </c>
      <c r="G1005" s="411" t="s">
        <v>2581</v>
      </c>
      <c r="H1005" s="601">
        <v>450</v>
      </c>
      <c r="I1005" s="601"/>
      <c r="J1005" s="509"/>
      <c r="K1005" s="510"/>
      <c r="L1005" s="508">
        <v>600</v>
      </c>
      <c r="M1005" s="508"/>
      <c r="N1005" s="2399"/>
      <c r="O1005" s="86"/>
      <c r="P1005" s="1817" t="e">
        <f>INDEX(#REF!,MATCH(F1005,#REF!,0),2)</f>
        <v>#REF!</v>
      </c>
    </row>
    <row r="1006" spans="1:16">
      <c r="A1006" s="412"/>
      <c r="B1006" s="412" t="s">
        <v>1248</v>
      </c>
      <c r="C1006" s="412" t="s">
        <v>505</v>
      </c>
      <c r="D1006" s="1590"/>
      <c r="E1006" s="2224" t="s">
        <v>1906</v>
      </c>
      <c r="F1006" s="505">
        <v>2247</v>
      </c>
      <c r="G1006" s="410" t="s">
        <v>3439</v>
      </c>
      <c r="H1006" s="609"/>
      <c r="I1006" s="609">
        <v>450</v>
      </c>
      <c r="J1006" s="531"/>
      <c r="K1006" s="610"/>
      <c r="L1006" s="532"/>
      <c r="M1006" s="532">
        <v>600</v>
      </c>
      <c r="N1006" s="1025"/>
      <c r="O1006" s="86"/>
      <c r="P1006" s="1817" t="e">
        <f>INDEX(#REF!,MATCH(F1006,#REF!,0),2)</f>
        <v>#REF!</v>
      </c>
    </row>
    <row r="1007" spans="1:16" ht="12.75">
      <c r="A1007" s="506"/>
      <c r="B1007" s="506" t="s">
        <v>1248</v>
      </c>
      <c r="C1007" s="506" t="s">
        <v>505</v>
      </c>
      <c r="D1007" s="1589">
        <v>831</v>
      </c>
      <c r="E1007" s="2269" t="s">
        <v>1906</v>
      </c>
      <c r="F1007" s="617">
        <v>2250</v>
      </c>
      <c r="G1007" s="411" t="s">
        <v>1199</v>
      </c>
      <c r="H1007" s="601">
        <v>472</v>
      </c>
      <c r="I1007" s="601"/>
      <c r="J1007" s="509">
        <v>472</v>
      </c>
      <c r="K1007" s="510"/>
      <c r="L1007" s="508">
        <v>472</v>
      </c>
      <c r="M1007" s="508"/>
      <c r="N1007" s="2403"/>
      <c r="O1007" s="86"/>
      <c r="P1007" s="1817" t="e">
        <f>INDEX(#REF!,MATCH(F1007,#REF!,0),2)</f>
        <v>#REF!</v>
      </c>
    </row>
    <row r="1008" spans="1:16" ht="22.5">
      <c r="A1008" s="412"/>
      <c r="B1008" s="412" t="s">
        <v>1248</v>
      </c>
      <c r="C1008" s="412" t="s">
        <v>505</v>
      </c>
      <c r="D1008" s="1590"/>
      <c r="E1008" s="2224" t="s">
        <v>1906</v>
      </c>
      <c r="F1008" s="505">
        <v>2250</v>
      </c>
      <c r="G1008" s="2557" t="s">
        <v>3044</v>
      </c>
      <c r="H1008" s="613"/>
      <c r="I1008" s="613">
        <v>472</v>
      </c>
      <c r="J1008" s="614"/>
      <c r="K1008" s="615"/>
      <c r="L1008" s="586"/>
      <c r="M1008" s="586">
        <v>472</v>
      </c>
      <c r="N1008" s="73"/>
      <c r="O1008" s="86"/>
      <c r="P1008" s="1817" t="e">
        <f>INDEX(#REF!,MATCH(F1008,#REF!,0),2)</f>
        <v>#REF!</v>
      </c>
    </row>
    <row r="1009" spans="1:16" ht="12.75">
      <c r="A1009" s="506"/>
      <c r="B1009" s="506" t="s">
        <v>1248</v>
      </c>
      <c r="C1009" s="506" t="s">
        <v>505</v>
      </c>
      <c r="D1009" s="1589">
        <v>831</v>
      </c>
      <c r="E1009" s="2269" t="s">
        <v>1906</v>
      </c>
      <c r="F1009" s="617">
        <v>2264</v>
      </c>
      <c r="G1009" s="411" t="s">
        <v>3045</v>
      </c>
      <c r="H1009" s="601">
        <v>21</v>
      </c>
      <c r="I1009" s="601"/>
      <c r="J1009" s="509">
        <v>15</v>
      </c>
      <c r="K1009" s="510"/>
      <c r="L1009" s="508">
        <v>0</v>
      </c>
      <c r="M1009" s="508"/>
      <c r="N1009" s="2403"/>
      <c r="O1009" s="86"/>
      <c r="P1009" s="1817" t="e">
        <f>INDEX(#REF!,MATCH(F1009,#REF!,0),2)</f>
        <v>#REF!</v>
      </c>
    </row>
    <row r="1010" spans="1:16">
      <c r="A1010" s="412"/>
      <c r="B1010" s="412" t="s">
        <v>1248</v>
      </c>
      <c r="C1010" s="412" t="s">
        <v>505</v>
      </c>
      <c r="D1010" s="1590"/>
      <c r="E1010" s="2224" t="s">
        <v>1906</v>
      </c>
      <c r="F1010" s="505">
        <v>2264</v>
      </c>
      <c r="G1010" s="2557" t="s">
        <v>5786</v>
      </c>
      <c r="H1010" s="613"/>
      <c r="I1010" s="613">
        <v>21</v>
      </c>
      <c r="J1010" s="614"/>
      <c r="K1010" s="615"/>
      <c r="L1010" s="586"/>
      <c r="M1010" s="586"/>
      <c r="N1010" s="73"/>
      <c r="O1010" s="86"/>
      <c r="P1010" s="1817" t="e">
        <f>INDEX(#REF!,MATCH(F1010,#REF!,0),2)</f>
        <v>#REF!</v>
      </c>
    </row>
    <row r="1011" spans="1:16">
      <c r="A1011" s="506"/>
      <c r="B1011" s="506" t="s">
        <v>1248</v>
      </c>
      <c r="C1011" s="506" t="s">
        <v>507</v>
      </c>
      <c r="D1011" s="1589">
        <v>831</v>
      </c>
      <c r="E1011" s="2223" t="s">
        <v>1906</v>
      </c>
      <c r="F1011" s="540">
        <v>2311</v>
      </c>
      <c r="G1011" s="411" t="s">
        <v>245</v>
      </c>
      <c r="H1011" s="601">
        <v>500</v>
      </c>
      <c r="I1011" s="608"/>
      <c r="J1011" s="509">
        <v>437</v>
      </c>
      <c r="K1011" s="510"/>
      <c r="L1011" s="508">
        <v>1500</v>
      </c>
      <c r="M1011" s="508"/>
      <c r="N1011" s="83"/>
      <c r="O1011" s="86"/>
      <c r="P1011" s="1817" t="e">
        <f>INDEX(#REF!,MATCH(F1011,#REF!,0),2)</f>
        <v>#REF!</v>
      </c>
    </row>
    <row r="1012" spans="1:16">
      <c r="A1012" s="412"/>
      <c r="B1012" s="412" t="s">
        <v>1248</v>
      </c>
      <c r="C1012" s="412" t="s">
        <v>507</v>
      </c>
      <c r="D1012" s="1590"/>
      <c r="E1012" s="2224" t="s">
        <v>1906</v>
      </c>
      <c r="F1012" s="505">
        <v>2311</v>
      </c>
      <c r="G1012" s="516" t="s">
        <v>1539</v>
      </c>
      <c r="H1012" s="530"/>
      <c r="I1012" s="609">
        <v>500</v>
      </c>
      <c r="J1012" s="531"/>
      <c r="K1012" s="610"/>
      <c r="L1012" s="532"/>
      <c r="M1012" s="532">
        <v>500</v>
      </c>
      <c r="N1012" s="73"/>
      <c r="O1012" s="86"/>
      <c r="P1012" s="1817" t="e">
        <f>INDEX(#REF!,MATCH(F1012,#REF!,0),2)</f>
        <v>#REF!</v>
      </c>
    </row>
    <row r="1013" spans="1:16">
      <c r="A1013" s="412"/>
      <c r="B1013" s="412" t="s">
        <v>1248</v>
      </c>
      <c r="C1013" s="412" t="s">
        <v>507</v>
      </c>
      <c r="D1013" s="1590"/>
      <c r="E1013" s="2224" t="s">
        <v>1906</v>
      </c>
      <c r="F1013" s="505">
        <v>2311</v>
      </c>
      <c r="G1013" s="516" t="s">
        <v>3113</v>
      </c>
      <c r="H1013" s="530"/>
      <c r="I1013" s="609"/>
      <c r="J1013" s="531"/>
      <c r="K1013" s="610"/>
      <c r="L1013" s="532"/>
      <c r="M1013" s="532">
        <v>1000</v>
      </c>
      <c r="N1013" s="83" t="s">
        <v>5788</v>
      </c>
      <c r="O1013" s="86"/>
      <c r="P1013" s="1817" t="e">
        <f>INDEX(#REF!,MATCH(F1013,#REF!,0),2)</f>
        <v>#REF!</v>
      </c>
    </row>
    <row r="1014" spans="1:16">
      <c r="A1014" s="506"/>
      <c r="B1014" s="506" t="s">
        <v>1248</v>
      </c>
      <c r="C1014" s="506" t="s">
        <v>505</v>
      </c>
      <c r="D1014" s="1589">
        <v>831</v>
      </c>
      <c r="E1014" s="2223" t="s">
        <v>1906</v>
      </c>
      <c r="F1014" s="540">
        <v>2312</v>
      </c>
      <c r="G1014" s="411" t="s">
        <v>331</v>
      </c>
      <c r="H1014" s="508">
        <v>648</v>
      </c>
      <c r="I1014" s="508"/>
      <c r="J1014" s="509">
        <v>340</v>
      </c>
      <c r="K1014" s="510"/>
      <c r="L1014" s="508">
        <v>250</v>
      </c>
      <c r="M1014" s="508"/>
      <c r="N1014" s="1025"/>
      <c r="O1014" s="86"/>
      <c r="P1014" s="1817" t="e">
        <f>INDEX(#REF!,MATCH(F1014,#REF!,0),2)</f>
        <v>#REF!</v>
      </c>
    </row>
    <row r="1015" spans="1:16">
      <c r="A1015" s="412"/>
      <c r="B1015" s="412" t="s">
        <v>1248</v>
      </c>
      <c r="C1015" s="412" t="s">
        <v>505</v>
      </c>
      <c r="D1015" s="1590"/>
      <c r="E1015" s="2224" t="s">
        <v>1906</v>
      </c>
      <c r="F1015" s="505">
        <v>2312</v>
      </c>
      <c r="G1015" s="2557" t="s">
        <v>2943</v>
      </c>
      <c r="H1015" s="586"/>
      <c r="I1015" s="2558">
        <v>500</v>
      </c>
      <c r="J1015" s="614"/>
      <c r="K1015" s="1881"/>
      <c r="L1015" s="586"/>
      <c r="M1015" s="586"/>
      <c r="N1015" s="1025"/>
      <c r="O1015" s="86"/>
      <c r="P1015" s="1817" t="e">
        <f>INDEX(#REF!,MATCH(F1015,#REF!,0),2)</f>
        <v>#REF!</v>
      </c>
    </row>
    <row r="1016" spans="1:16">
      <c r="A1016" s="412"/>
      <c r="B1016" s="412" t="s">
        <v>1248</v>
      </c>
      <c r="C1016" s="412" t="s">
        <v>505</v>
      </c>
      <c r="D1016" s="1590"/>
      <c r="E1016" s="2224" t="s">
        <v>1906</v>
      </c>
      <c r="F1016" s="505">
        <v>2312</v>
      </c>
      <c r="G1016" s="2557" t="s">
        <v>2944</v>
      </c>
      <c r="H1016" s="586"/>
      <c r="I1016" s="2558">
        <v>250</v>
      </c>
      <c r="J1016" s="614"/>
      <c r="K1016" s="1881"/>
      <c r="L1016" s="586"/>
      <c r="M1016" s="586"/>
      <c r="N1016" s="1025"/>
      <c r="O1016" s="86"/>
      <c r="P1016" s="1817" t="e">
        <f>INDEX(#REF!,MATCH(F1016,#REF!,0),2)</f>
        <v>#REF!</v>
      </c>
    </row>
    <row r="1017" spans="1:16">
      <c r="A1017" s="412"/>
      <c r="B1017" s="412" t="s">
        <v>1248</v>
      </c>
      <c r="C1017" s="412" t="s">
        <v>505</v>
      </c>
      <c r="D1017" s="1590"/>
      <c r="E1017" s="2224" t="s">
        <v>1906</v>
      </c>
      <c r="F1017" s="505">
        <v>2312</v>
      </c>
      <c r="G1017" s="410" t="s">
        <v>271</v>
      </c>
      <c r="H1017" s="586"/>
      <c r="I1017" s="586"/>
      <c r="J1017" s="614"/>
      <c r="K1017" s="1881"/>
      <c r="L1017" s="586"/>
      <c r="M1017" s="586">
        <v>250</v>
      </c>
      <c r="N1017" s="1025"/>
      <c r="O1017" s="86"/>
      <c r="P1017" s="1817" t="e">
        <f>INDEX(#REF!,MATCH(F1017,#REF!,0),2)</f>
        <v>#REF!</v>
      </c>
    </row>
    <row r="1018" spans="1:16" ht="14.45" customHeight="1">
      <c r="A1018" s="506"/>
      <c r="B1018" s="506" t="s">
        <v>1248</v>
      </c>
      <c r="C1018" s="506" t="s">
        <v>505</v>
      </c>
      <c r="D1018" s="1589">
        <v>831</v>
      </c>
      <c r="E1018" s="2223" t="s">
        <v>1906</v>
      </c>
      <c r="F1018" s="540">
        <v>2350</v>
      </c>
      <c r="G1018" s="411" t="s">
        <v>251</v>
      </c>
      <c r="H1018" s="601">
        <v>300</v>
      </c>
      <c r="I1018" s="601"/>
      <c r="J1018" s="509">
        <v>24</v>
      </c>
      <c r="K1018" s="510"/>
      <c r="L1018" s="508">
        <v>300</v>
      </c>
      <c r="M1018" s="508"/>
      <c r="N1018" s="73"/>
      <c r="O1018" s="86"/>
      <c r="P1018" s="1817" t="e">
        <f>INDEX(#REF!,MATCH(F1018,#REF!,0),2)</f>
        <v>#REF!</v>
      </c>
    </row>
    <row r="1019" spans="1:16">
      <c r="A1019" s="412"/>
      <c r="B1019" s="412" t="s">
        <v>1248</v>
      </c>
      <c r="C1019" s="412" t="s">
        <v>505</v>
      </c>
      <c r="D1019" s="1590"/>
      <c r="E1019" s="2224" t="s">
        <v>1906</v>
      </c>
      <c r="F1019" s="505">
        <v>2350</v>
      </c>
      <c r="G1019" s="516" t="s">
        <v>1540</v>
      </c>
      <c r="H1019" s="609"/>
      <c r="I1019" s="609">
        <v>300</v>
      </c>
      <c r="J1019" s="531"/>
      <c r="K1019" s="610"/>
      <c r="L1019" s="532"/>
      <c r="M1019" s="532">
        <v>300</v>
      </c>
      <c r="N1019" s="73"/>
      <c r="O1019" s="86"/>
      <c r="P1019" s="1817" t="e">
        <f>INDEX(#REF!,MATCH(F1019,#REF!,0),2)</f>
        <v>#REF!</v>
      </c>
    </row>
    <row r="1020" spans="1:16">
      <c r="A1020" s="506"/>
      <c r="B1020" s="506" t="s">
        <v>1248</v>
      </c>
      <c r="C1020" s="506" t="s">
        <v>505</v>
      </c>
      <c r="D1020" s="1589">
        <v>831</v>
      </c>
      <c r="E1020" s="2223" t="s">
        <v>1906</v>
      </c>
      <c r="F1020" s="540">
        <v>2390</v>
      </c>
      <c r="G1020" s="411" t="s">
        <v>253</v>
      </c>
      <c r="H1020" s="601">
        <v>100</v>
      </c>
      <c r="I1020" s="601"/>
      <c r="J1020" s="509">
        <v>59</v>
      </c>
      <c r="K1020" s="510"/>
      <c r="L1020" s="508">
        <v>100</v>
      </c>
      <c r="M1020" s="508"/>
      <c r="N1020" s="79"/>
      <c r="O1020" s="86"/>
      <c r="P1020" s="1817" t="e">
        <f>INDEX(#REF!,MATCH(F1020,#REF!,0),2)</f>
        <v>#REF!</v>
      </c>
    </row>
    <row r="1021" spans="1:16">
      <c r="A1021" s="412"/>
      <c r="B1021" s="412" t="s">
        <v>1248</v>
      </c>
      <c r="C1021" s="412" t="s">
        <v>505</v>
      </c>
      <c r="D1021" s="1590"/>
      <c r="E1021" s="2224" t="s">
        <v>1906</v>
      </c>
      <c r="F1021" s="505">
        <v>2390</v>
      </c>
      <c r="G1021" s="516" t="s">
        <v>3440</v>
      </c>
      <c r="H1021" s="609"/>
      <c r="I1021" s="609">
        <v>100</v>
      </c>
      <c r="J1021" s="531"/>
      <c r="K1021" s="610"/>
      <c r="L1021" s="532"/>
      <c r="M1021" s="532">
        <v>100</v>
      </c>
      <c r="N1021" s="79"/>
      <c r="O1021" s="86"/>
      <c r="P1021" s="1817" t="e">
        <f>INDEX(#REF!,MATCH(F1021,#REF!,0),2)</f>
        <v>#REF!</v>
      </c>
    </row>
    <row r="1022" spans="1:16">
      <c r="A1022" s="506"/>
      <c r="B1022" s="506" t="s">
        <v>1248</v>
      </c>
      <c r="C1022" s="506" t="s">
        <v>507</v>
      </c>
      <c r="D1022" s="1589">
        <v>831</v>
      </c>
      <c r="E1022" s="2223" t="s">
        <v>1906</v>
      </c>
      <c r="F1022" s="540">
        <v>2400</v>
      </c>
      <c r="G1022" s="411" t="s">
        <v>333</v>
      </c>
      <c r="H1022" s="508">
        <v>1800</v>
      </c>
      <c r="I1022" s="608"/>
      <c r="J1022" s="509">
        <v>822</v>
      </c>
      <c r="K1022" s="510"/>
      <c r="L1022" s="508">
        <v>1800</v>
      </c>
      <c r="M1022" s="508"/>
      <c r="N1022" s="79"/>
      <c r="O1022" s="86"/>
      <c r="P1022" s="1817" t="e">
        <f>INDEX(#REF!,MATCH(F1022,#REF!,0),2)</f>
        <v>#REF!</v>
      </c>
    </row>
    <row r="1023" spans="1:16">
      <c r="A1023" s="412"/>
      <c r="B1023" s="412" t="s">
        <v>1248</v>
      </c>
      <c r="C1023" s="412" t="s">
        <v>507</v>
      </c>
      <c r="D1023" s="1590"/>
      <c r="E1023" s="2224" t="s">
        <v>1906</v>
      </c>
      <c r="F1023" s="505">
        <v>2400</v>
      </c>
      <c r="G1023" s="410"/>
      <c r="H1023" s="530"/>
      <c r="I1023" s="532">
        <v>1800</v>
      </c>
      <c r="J1023" s="531"/>
      <c r="K1023" s="610"/>
      <c r="L1023" s="532"/>
      <c r="M1023" s="532">
        <v>1800</v>
      </c>
      <c r="N1023" s="224"/>
      <c r="O1023" s="86"/>
      <c r="P1023" s="1817" t="e">
        <f>INDEX(#REF!,MATCH(F1023,#REF!,0),2)</f>
        <v>#REF!</v>
      </c>
    </row>
    <row r="1024" spans="1:16">
      <c r="A1024" s="506"/>
      <c r="B1024" s="506" t="s">
        <v>1248</v>
      </c>
      <c r="C1024" s="506" t="s">
        <v>509</v>
      </c>
      <c r="D1024" s="1589">
        <v>831</v>
      </c>
      <c r="E1024" s="2223" t="s">
        <v>1906</v>
      </c>
      <c r="F1024" s="540">
        <v>5233</v>
      </c>
      <c r="G1024" s="411" t="s">
        <v>334</v>
      </c>
      <c r="H1024" s="508">
        <v>4900</v>
      </c>
      <c r="I1024" s="508"/>
      <c r="J1024" s="509">
        <v>4238</v>
      </c>
      <c r="K1024" s="510"/>
      <c r="L1024" s="508">
        <v>5000</v>
      </c>
      <c r="M1024" s="508"/>
      <c r="N1024" s="2049"/>
      <c r="O1024" s="86"/>
      <c r="P1024" s="1817" t="e">
        <f>INDEX(#REF!,MATCH(F1024,#REF!,0),2)</f>
        <v>#REF!</v>
      </c>
    </row>
    <row r="1025" spans="1:16">
      <c r="A1025" s="412"/>
      <c r="B1025" s="412" t="s">
        <v>1248</v>
      </c>
      <c r="C1025" s="412" t="s">
        <v>509</v>
      </c>
      <c r="D1025" s="1590"/>
      <c r="E1025" s="2224" t="s">
        <v>1906</v>
      </c>
      <c r="F1025" s="505">
        <v>5233</v>
      </c>
      <c r="G1025" s="1363"/>
      <c r="H1025" s="532"/>
      <c r="I1025" s="532">
        <v>4900</v>
      </c>
      <c r="J1025" s="531"/>
      <c r="K1025" s="610"/>
      <c r="L1025" s="532"/>
      <c r="M1025" s="4414">
        <v>5000</v>
      </c>
      <c r="N1025" s="13" t="s">
        <v>6103</v>
      </c>
      <c r="O1025" s="86"/>
      <c r="P1025" s="1817" t="e">
        <f>INDEX(#REF!,MATCH(F1025,#REF!,0),2)</f>
        <v>#REF!</v>
      </c>
    </row>
    <row r="1026" spans="1:16">
      <c r="A1026" s="506"/>
      <c r="B1026" s="506" t="s">
        <v>1250</v>
      </c>
      <c r="C1026" s="506" t="s">
        <v>509</v>
      </c>
      <c r="D1026" s="1589">
        <v>831</v>
      </c>
      <c r="E1026" s="2223" t="s">
        <v>1906</v>
      </c>
      <c r="F1026" s="540">
        <v>5238</v>
      </c>
      <c r="G1026" s="411" t="s">
        <v>257</v>
      </c>
      <c r="H1026" s="579">
        <v>0</v>
      </c>
      <c r="I1026" s="579"/>
      <c r="J1026" s="509"/>
      <c r="K1026" s="510"/>
      <c r="L1026" s="579">
        <v>0</v>
      </c>
      <c r="M1026" s="619"/>
      <c r="N1026" s="79"/>
      <c r="O1026" s="86"/>
      <c r="P1026" s="1817" t="e">
        <f>INDEX(#REF!,MATCH(F1026,#REF!,0),2)</f>
        <v>#REF!</v>
      </c>
    </row>
    <row r="1027" spans="1:16">
      <c r="A1027" s="412"/>
      <c r="B1027" s="412" t="s">
        <v>1250</v>
      </c>
      <c r="C1027" s="412" t="s">
        <v>509</v>
      </c>
      <c r="D1027" s="1590"/>
      <c r="E1027" s="2224" t="s">
        <v>1906</v>
      </c>
      <c r="F1027" s="505">
        <v>5238</v>
      </c>
      <c r="G1027" s="410"/>
      <c r="H1027" s="532"/>
      <c r="I1027" s="532"/>
      <c r="J1027" s="614"/>
      <c r="K1027" s="615"/>
      <c r="L1027" s="532"/>
      <c r="M1027" s="530"/>
      <c r="N1027" s="79"/>
      <c r="O1027" s="86"/>
      <c r="P1027" s="1817" t="e">
        <f>INDEX(#REF!,MATCH(F1027,#REF!,0),2)</f>
        <v>#REF!</v>
      </c>
    </row>
    <row r="1028" spans="1:16">
      <c r="A1028" s="506"/>
      <c r="B1028" s="506" t="s">
        <v>1250</v>
      </c>
      <c r="C1028" s="506" t="s">
        <v>534</v>
      </c>
      <c r="D1028" s="1589">
        <v>831</v>
      </c>
      <c r="E1028" s="2223" t="s">
        <v>1906</v>
      </c>
      <c r="F1028" s="540">
        <v>5239</v>
      </c>
      <c r="G1028" s="411" t="s">
        <v>256</v>
      </c>
      <c r="H1028" s="508">
        <v>5445</v>
      </c>
      <c r="I1028" s="508"/>
      <c r="J1028" s="509"/>
      <c r="K1028" s="510"/>
      <c r="L1028" s="508">
        <v>0</v>
      </c>
      <c r="M1028" s="608"/>
      <c r="N1028" s="1539"/>
      <c r="O1028" s="86"/>
      <c r="P1028" s="1817" t="e">
        <f>INDEX(#REF!,MATCH(F1028,#REF!,0),2)</f>
        <v>#REF!</v>
      </c>
    </row>
    <row r="1029" spans="1:16" ht="22.5">
      <c r="A1029" s="412"/>
      <c r="B1029" s="412" t="s">
        <v>1250</v>
      </c>
      <c r="C1029" s="412" t="s">
        <v>534</v>
      </c>
      <c r="D1029" s="1590"/>
      <c r="E1029" s="2224" t="s">
        <v>1906</v>
      </c>
      <c r="F1029" s="505">
        <v>5239</v>
      </c>
      <c r="G1029" s="410" t="s">
        <v>1452</v>
      </c>
      <c r="H1029" s="532"/>
      <c r="I1029" s="532">
        <v>2541</v>
      </c>
      <c r="J1029" s="531"/>
      <c r="K1029" s="610"/>
      <c r="L1029" s="532"/>
      <c r="M1029" s="530"/>
      <c r="N1029" s="224"/>
      <c r="O1029" s="86"/>
      <c r="P1029" s="1817" t="e">
        <f>INDEX(#REF!,MATCH(F1029,#REF!,0),2)</f>
        <v>#REF!</v>
      </c>
    </row>
    <row r="1030" spans="1:16">
      <c r="A1030" s="1882"/>
      <c r="B1030" s="412" t="s">
        <v>1250</v>
      </c>
      <c r="C1030" s="412" t="s">
        <v>534</v>
      </c>
      <c r="D1030" s="1590"/>
      <c r="E1030" s="2224" t="s">
        <v>1906</v>
      </c>
      <c r="F1030" s="505">
        <v>5239</v>
      </c>
      <c r="G1030" s="1884" t="s">
        <v>3262</v>
      </c>
      <c r="H1030" s="1942"/>
      <c r="I1030" s="1942">
        <v>2904</v>
      </c>
      <c r="J1030" s="2348"/>
      <c r="K1030" s="2349"/>
      <c r="L1030" s="1912"/>
      <c r="M1030" s="1912"/>
      <c r="N1030" s="224"/>
      <c r="O1030" s="86"/>
      <c r="P1030" s="1817" t="e">
        <f>INDEX(#REF!,MATCH(F1030,#REF!,0),2)</f>
        <v>#REF!</v>
      </c>
    </row>
    <row r="1031" spans="1:16">
      <c r="A1031" s="506"/>
      <c r="B1031" s="506" t="s">
        <v>1248</v>
      </c>
      <c r="C1031" s="506" t="s">
        <v>507</v>
      </c>
      <c r="D1031" s="1589">
        <v>831</v>
      </c>
      <c r="E1031" s="2223" t="s">
        <v>1906</v>
      </c>
      <c r="F1031" s="540">
        <v>7210</v>
      </c>
      <c r="G1031" s="411" t="s">
        <v>335</v>
      </c>
      <c r="H1031" s="579">
        <v>830</v>
      </c>
      <c r="I1031" s="579"/>
      <c r="J1031" s="509">
        <v>830</v>
      </c>
      <c r="K1031" s="510"/>
      <c r="L1031" s="579">
        <v>830</v>
      </c>
      <c r="M1031" s="579"/>
      <c r="N1031" s="79"/>
      <c r="O1031" s="86"/>
      <c r="P1031" s="1817" t="e">
        <f>INDEX(#REF!,MATCH(F1031,#REF!,0),2)</f>
        <v>#REF!</v>
      </c>
    </row>
    <row r="1032" spans="1:16" ht="33.75">
      <c r="A1032" s="412"/>
      <c r="B1032" s="412" t="s">
        <v>1248</v>
      </c>
      <c r="C1032" s="412" t="s">
        <v>507</v>
      </c>
      <c r="D1032" s="1590"/>
      <c r="E1032" s="2224" t="s">
        <v>1906</v>
      </c>
      <c r="F1032" s="505">
        <v>7210</v>
      </c>
      <c r="G1032" s="549" t="s">
        <v>1453</v>
      </c>
      <c r="H1032" s="532"/>
      <c r="I1032" s="532">
        <v>830</v>
      </c>
      <c r="J1032" s="614"/>
      <c r="K1032" s="615"/>
      <c r="L1032" s="532"/>
      <c r="M1032" s="532">
        <v>830</v>
      </c>
      <c r="N1032" s="79"/>
      <c r="O1032" s="86"/>
      <c r="P1032" s="1817" t="e">
        <f>INDEX(#REF!,MATCH(F1032,#REF!,0),2)</f>
        <v>#REF!</v>
      </c>
    </row>
    <row r="1033" spans="1:16">
      <c r="A1033" s="854"/>
      <c r="B1033" s="755" t="s">
        <v>663</v>
      </c>
      <c r="C1033" s="755" t="s">
        <v>652</v>
      </c>
      <c r="D1033" s="1600">
        <v>965</v>
      </c>
      <c r="E1033" s="2248" t="s">
        <v>1948</v>
      </c>
      <c r="F1033" s="756">
        <v>1119</v>
      </c>
      <c r="G1033" s="658" t="s">
        <v>1228</v>
      </c>
      <c r="H1033" s="759">
        <v>71733.839999999938</v>
      </c>
      <c r="I1033" s="759"/>
      <c r="J1033" s="760">
        <v>67082</v>
      </c>
      <c r="K1033" s="761"/>
      <c r="L1033" s="3621">
        <v>92583.240000000049</v>
      </c>
      <c r="M1033" s="1647"/>
      <c r="N1033" s="79"/>
      <c r="O1033" s="86"/>
      <c r="P1033" s="1817" t="e">
        <f>INDEX(#REF!,MATCH(F1033,#REF!,0),2)</f>
        <v>#REF!</v>
      </c>
    </row>
    <row r="1034" spans="1:16">
      <c r="A1034" s="762"/>
      <c r="B1034" s="762" t="s">
        <v>663</v>
      </c>
      <c r="C1034" s="762" t="s">
        <v>652</v>
      </c>
      <c r="D1034" s="1599"/>
      <c r="E1034" s="2245" t="s">
        <v>1948</v>
      </c>
      <c r="F1034" s="763">
        <v>1119</v>
      </c>
      <c r="G1034" s="437" t="s">
        <v>663</v>
      </c>
      <c r="H1034" s="866"/>
      <c r="I1034" s="867">
        <v>71733.839999999938</v>
      </c>
      <c r="J1034" s="866"/>
      <c r="K1034" s="868"/>
      <c r="L1034" s="3622"/>
      <c r="M1034" s="3623">
        <v>92583.240000000049</v>
      </c>
      <c r="N1034" s="79"/>
      <c r="O1034" s="86"/>
      <c r="P1034" s="1817" t="e">
        <f>INDEX(#REF!,MATCH(F1034,#REF!,0),2)</f>
        <v>#REF!</v>
      </c>
    </row>
    <row r="1035" spans="1:16">
      <c r="A1035" s="762"/>
      <c r="B1035" s="762" t="s">
        <v>663</v>
      </c>
      <c r="C1035" s="762" t="s">
        <v>652</v>
      </c>
      <c r="D1035" s="1599"/>
      <c r="E1035" s="2245" t="s">
        <v>1948</v>
      </c>
      <c r="F1035" s="763">
        <v>1119</v>
      </c>
      <c r="G1035" s="437" t="s">
        <v>1180</v>
      </c>
      <c r="H1035" s="869"/>
      <c r="I1035" s="870"/>
      <c r="J1035" s="869"/>
      <c r="K1035" s="871"/>
      <c r="L1035" s="3622"/>
      <c r="M1035" s="3623"/>
      <c r="N1035" s="79"/>
      <c r="O1035" s="86"/>
      <c r="P1035" s="1817" t="e">
        <f>INDEX(#REF!,MATCH(F1035,#REF!,0),2)</f>
        <v>#REF!</v>
      </c>
    </row>
    <row r="1036" spans="1:16">
      <c r="A1036" s="854"/>
      <c r="B1036" s="755" t="s">
        <v>512</v>
      </c>
      <c r="C1036" s="755" t="s">
        <v>506</v>
      </c>
      <c r="D1036" s="1600">
        <v>965</v>
      </c>
      <c r="E1036" s="2247" t="s">
        <v>1949</v>
      </c>
      <c r="F1036" s="756">
        <v>1119</v>
      </c>
      <c r="G1036" s="658" t="s">
        <v>1229</v>
      </c>
      <c r="H1036" s="806">
        <v>234263.80000000002</v>
      </c>
      <c r="I1036" s="759"/>
      <c r="J1036" s="760"/>
      <c r="K1036" s="761"/>
      <c r="L1036" s="2406">
        <v>246655.68160000001</v>
      </c>
      <c r="M1036" s="2407"/>
      <c r="N1036" s="79"/>
      <c r="O1036" s="86"/>
      <c r="P1036" s="1817" t="e">
        <f>INDEX(#REF!,MATCH(F1036,#REF!,0),2)</f>
        <v>#REF!</v>
      </c>
    </row>
    <row r="1037" spans="1:16">
      <c r="A1037" s="768"/>
      <c r="B1037" s="762" t="s">
        <v>512</v>
      </c>
      <c r="C1037" s="762" t="s">
        <v>506</v>
      </c>
      <c r="D1037" s="1599"/>
      <c r="E1037" s="2245" t="s">
        <v>1949</v>
      </c>
      <c r="F1037" s="763">
        <v>1119</v>
      </c>
      <c r="G1037" s="865"/>
      <c r="H1037" s="866"/>
      <c r="I1037" s="867">
        <v>234243.80000000002</v>
      </c>
      <c r="J1037" s="872"/>
      <c r="K1037" s="868"/>
      <c r="L1037" s="2408"/>
      <c r="M1037" s="2409">
        <v>246635.68160000001</v>
      </c>
      <c r="N1037" s="79"/>
      <c r="O1037" s="86"/>
      <c r="P1037" s="1817" t="e">
        <f>INDEX(#REF!,MATCH(F1037,#REF!,0),2)</f>
        <v>#REF!</v>
      </c>
    </row>
    <row r="1038" spans="1:16">
      <c r="A1038" s="1315"/>
      <c r="B1038" s="762" t="s">
        <v>512</v>
      </c>
      <c r="C1038" s="762" t="s">
        <v>506</v>
      </c>
      <c r="D1038" s="1599"/>
      <c r="E1038" s="2245" t="s">
        <v>1949</v>
      </c>
      <c r="F1038" s="763">
        <v>1119</v>
      </c>
      <c r="G1038" s="1325" t="s">
        <v>3064</v>
      </c>
      <c r="H1038" s="1326"/>
      <c r="I1038" s="1316">
        <v>20</v>
      </c>
      <c r="J1038" s="1327"/>
      <c r="K1038" s="1318"/>
      <c r="L1038" s="2392"/>
      <c r="M1038" s="2410">
        <v>20</v>
      </c>
      <c r="N1038" s="79"/>
      <c r="O1038" s="86"/>
      <c r="P1038" s="1817" t="e">
        <f>INDEX(#REF!,MATCH(F1038,#REF!,0),2)</f>
        <v>#REF!</v>
      </c>
    </row>
    <row r="1039" spans="1:16">
      <c r="A1039" s="1376"/>
      <c r="B1039" s="762" t="s">
        <v>512</v>
      </c>
      <c r="C1039" s="762" t="s">
        <v>506</v>
      </c>
      <c r="D1039" s="1599"/>
      <c r="E1039" s="2245" t="s">
        <v>1949</v>
      </c>
      <c r="F1039" s="763">
        <v>1119</v>
      </c>
      <c r="G1039" s="1325"/>
      <c r="H1039" s="1382"/>
      <c r="I1039" s="1386"/>
      <c r="J1039" s="1387"/>
      <c r="K1039" s="1388"/>
      <c r="L1039" s="2393"/>
      <c r="M1039" s="2411"/>
      <c r="N1039" s="79"/>
      <c r="O1039" s="86"/>
      <c r="P1039" s="1817" t="e">
        <f>INDEX(#REF!,MATCH(F1039,#REF!,0),2)</f>
        <v>#REF!</v>
      </c>
    </row>
    <row r="1040" spans="1:16" ht="33.75">
      <c r="A1040" s="854"/>
      <c r="B1040" s="755" t="s">
        <v>512</v>
      </c>
      <c r="C1040" s="755" t="s">
        <v>506</v>
      </c>
      <c r="D1040" s="1600">
        <v>965</v>
      </c>
      <c r="E1040" s="2247" t="s">
        <v>1949</v>
      </c>
      <c r="F1040" s="756">
        <v>7245</v>
      </c>
      <c r="G1040" s="658" t="s">
        <v>786</v>
      </c>
      <c r="H1040" s="761">
        <v>0</v>
      </c>
      <c r="I1040" s="759"/>
      <c r="J1040" s="760"/>
      <c r="K1040" s="761"/>
      <c r="L1040" s="2407">
        <v>0</v>
      </c>
      <c r="M1040" s="2407"/>
      <c r="N1040" s="79"/>
      <c r="O1040" s="86"/>
      <c r="P1040" s="1817" t="e">
        <f>INDEX(#REF!,MATCH(F1040,#REF!,0),2)</f>
        <v>#REF!</v>
      </c>
    </row>
    <row r="1041" spans="1:16" ht="22.5">
      <c r="A1041" s="768"/>
      <c r="B1041" s="762" t="s">
        <v>512</v>
      </c>
      <c r="C1041" s="762" t="s">
        <v>506</v>
      </c>
      <c r="D1041" s="1599"/>
      <c r="E1041" s="2245" t="s">
        <v>1949</v>
      </c>
      <c r="F1041" s="763">
        <v>7245</v>
      </c>
      <c r="G1041" s="865" t="s">
        <v>2019</v>
      </c>
      <c r="H1041" s="866"/>
      <c r="I1041" s="867"/>
      <c r="J1041" s="872"/>
      <c r="K1041" s="868"/>
      <c r="L1041" s="2412"/>
      <c r="M1041" s="2413"/>
      <c r="N1041" s="79"/>
      <c r="O1041" s="86"/>
      <c r="P1041" s="1817" t="e">
        <f>INDEX(#REF!,MATCH(F1041,#REF!,0),2)</f>
        <v>#REF!</v>
      </c>
    </row>
    <row r="1042" spans="1:16" ht="22.5">
      <c r="A1042" s="854"/>
      <c r="B1042" s="755" t="s">
        <v>512</v>
      </c>
      <c r="C1042" s="755" t="s">
        <v>506</v>
      </c>
      <c r="D1042" s="1600">
        <v>965</v>
      </c>
      <c r="E1042" s="2247" t="s">
        <v>1949</v>
      </c>
      <c r="F1042" s="756">
        <v>1146</v>
      </c>
      <c r="G1042" s="658" t="s">
        <v>889</v>
      </c>
      <c r="H1042" s="761">
        <v>2918</v>
      </c>
      <c r="I1042" s="759"/>
      <c r="J1042" s="760"/>
      <c r="K1042" s="761"/>
      <c r="L1042" s="2407">
        <v>2918</v>
      </c>
      <c r="M1042" s="2407"/>
      <c r="N1042" s="79"/>
      <c r="O1042" s="86"/>
      <c r="P1042" s="1817" t="e">
        <f>INDEX(#REF!,MATCH(F1042,#REF!,0),2)</f>
        <v>#REF!</v>
      </c>
    </row>
    <row r="1043" spans="1:16">
      <c r="A1043" s="768"/>
      <c r="B1043" s="762" t="s">
        <v>512</v>
      </c>
      <c r="C1043" s="762" t="s">
        <v>506</v>
      </c>
      <c r="D1043" s="1599"/>
      <c r="E1043" s="2245" t="s">
        <v>1949</v>
      </c>
      <c r="F1043" s="763">
        <v>1146</v>
      </c>
      <c r="G1043" s="865"/>
      <c r="H1043" s="866"/>
      <c r="I1043" s="867">
        <v>2918</v>
      </c>
      <c r="J1043" s="872"/>
      <c r="K1043" s="868"/>
      <c r="L1043" s="2412"/>
      <c r="M1043" s="2413">
        <v>2918</v>
      </c>
      <c r="N1043" s="79"/>
      <c r="O1043" s="86"/>
      <c r="P1043" s="1817" t="e">
        <f>INDEX(#REF!,MATCH(F1043,#REF!,0),2)</f>
        <v>#REF!</v>
      </c>
    </row>
    <row r="1044" spans="1:16" ht="22.5">
      <c r="A1044" s="854"/>
      <c r="B1044" s="755" t="s">
        <v>663</v>
      </c>
      <c r="C1044" s="755" t="s">
        <v>652</v>
      </c>
      <c r="D1044" s="1600">
        <v>965</v>
      </c>
      <c r="E1044" s="2247" t="s">
        <v>1948</v>
      </c>
      <c r="F1044" s="756">
        <v>1146</v>
      </c>
      <c r="G1044" s="658" t="s">
        <v>889</v>
      </c>
      <c r="H1044" s="759">
        <v>1500</v>
      </c>
      <c r="I1044" s="759"/>
      <c r="J1044" s="760">
        <v>1304</v>
      </c>
      <c r="K1044" s="761"/>
      <c r="L1044" s="3621">
        <v>500</v>
      </c>
      <c r="M1044" s="1647"/>
      <c r="N1044" s="79"/>
      <c r="O1044" s="86"/>
      <c r="P1044" s="1817" t="e">
        <f>INDEX(#REF!,MATCH(F1044,#REF!,0),2)</f>
        <v>#REF!</v>
      </c>
    </row>
    <row r="1045" spans="1:16" ht="26.45" customHeight="1">
      <c r="A1045" s="768"/>
      <c r="B1045" s="762" t="s">
        <v>663</v>
      </c>
      <c r="C1045" s="762" t="s">
        <v>652</v>
      </c>
      <c r="D1045" s="1599"/>
      <c r="E1045" s="2245" t="s">
        <v>1948</v>
      </c>
      <c r="F1045" s="763">
        <v>1146</v>
      </c>
      <c r="G1045" s="865"/>
      <c r="H1045" s="866"/>
      <c r="I1045" s="867">
        <v>500</v>
      </c>
      <c r="J1045" s="872"/>
      <c r="K1045" s="868"/>
      <c r="L1045" s="3622"/>
      <c r="M1045" s="3623">
        <v>500</v>
      </c>
      <c r="N1045" s="79"/>
      <c r="O1045" s="86"/>
      <c r="P1045" s="1817" t="e">
        <f>INDEX(#REF!,MATCH(F1045,#REF!,0),2)</f>
        <v>#REF!</v>
      </c>
    </row>
    <row r="1046" spans="1:16">
      <c r="A1046" s="854"/>
      <c r="B1046" s="755" t="s">
        <v>663</v>
      </c>
      <c r="C1046" s="755" t="s">
        <v>652</v>
      </c>
      <c r="D1046" s="1600">
        <v>965</v>
      </c>
      <c r="E1046" s="2247" t="s">
        <v>1948</v>
      </c>
      <c r="F1046" s="756">
        <v>1147</v>
      </c>
      <c r="G1046" s="658" t="s">
        <v>574</v>
      </c>
      <c r="H1046" s="759">
        <v>28237</v>
      </c>
      <c r="I1046" s="759"/>
      <c r="J1046" s="760">
        <v>1369</v>
      </c>
      <c r="K1046" s="761"/>
      <c r="L1046" s="3621">
        <v>43392.1152</v>
      </c>
      <c r="M1046" s="1647"/>
      <c r="N1046" s="79"/>
      <c r="O1046" s="86"/>
      <c r="P1046" s="1817" t="e">
        <f>INDEX(#REF!,MATCH(F1046,#REF!,0),2)</f>
        <v>#REF!</v>
      </c>
    </row>
    <row r="1047" spans="1:16" ht="25.15" customHeight="1">
      <c r="A1047" s="768"/>
      <c r="B1047" s="762" t="s">
        <v>663</v>
      </c>
      <c r="C1047" s="762" t="s">
        <v>652</v>
      </c>
      <c r="D1047" s="1599"/>
      <c r="E1047" s="2245" t="s">
        <v>1948</v>
      </c>
      <c r="F1047" s="763">
        <v>1147</v>
      </c>
      <c r="G1047" s="437"/>
      <c r="H1047" s="869"/>
      <c r="I1047" s="870">
        <v>39236.955000000009</v>
      </c>
      <c r="J1047" s="873"/>
      <c r="K1047" s="871"/>
      <c r="L1047" s="3622"/>
      <c r="M1047" s="3623">
        <v>43392.1152</v>
      </c>
      <c r="N1047" s="79"/>
      <c r="O1047" s="86"/>
      <c r="P1047" s="1817" t="e">
        <f>INDEX(#REF!,MATCH(F1047,#REF!,0),2)</f>
        <v>#REF!</v>
      </c>
    </row>
    <row r="1048" spans="1:16">
      <c r="A1048" s="854"/>
      <c r="B1048" s="755" t="s">
        <v>512</v>
      </c>
      <c r="C1048" s="755" t="s">
        <v>506</v>
      </c>
      <c r="D1048" s="1600">
        <v>965</v>
      </c>
      <c r="E1048" s="2247" t="s">
        <v>1949</v>
      </c>
      <c r="F1048" s="756">
        <v>1147</v>
      </c>
      <c r="G1048" s="658" t="s">
        <v>574</v>
      </c>
      <c r="H1048" s="761">
        <v>5000</v>
      </c>
      <c r="I1048" s="759"/>
      <c r="J1048" s="760"/>
      <c r="K1048" s="761"/>
      <c r="L1048" s="2406">
        <v>5000</v>
      </c>
      <c r="M1048" s="2407"/>
      <c r="N1048" s="79"/>
      <c r="O1048" s="86"/>
      <c r="P1048" s="1817" t="e">
        <f>INDEX(#REF!,MATCH(F1048,#REF!,0),2)</f>
        <v>#REF!</v>
      </c>
    </row>
    <row r="1049" spans="1:16">
      <c r="A1049" s="768"/>
      <c r="B1049" s="762" t="s">
        <v>512</v>
      </c>
      <c r="C1049" s="762" t="s">
        <v>506</v>
      </c>
      <c r="D1049" s="1599">
        <v>965</v>
      </c>
      <c r="E1049" s="2245" t="s">
        <v>1949</v>
      </c>
      <c r="F1049" s="763">
        <v>1147</v>
      </c>
      <c r="G1049" s="437"/>
      <c r="H1049" s="869"/>
      <c r="I1049" s="870">
        <v>5000</v>
      </c>
      <c r="J1049" s="873"/>
      <c r="K1049" s="871"/>
      <c r="L1049" s="1749"/>
      <c r="M1049" s="2405">
        <v>5000</v>
      </c>
      <c r="N1049" s="79"/>
      <c r="O1049" s="86"/>
      <c r="P1049" s="1817"/>
    </row>
    <row r="1050" spans="1:16">
      <c r="A1050" s="854"/>
      <c r="B1050" s="755" t="s">
        <v>663</v>
      </c>
      <c r="C1050" s="755" t="s">
        <v>652</v>
      </c>
      <c r="D1050" s="1600">
        <v>965</v>
      </c>
      <c r="E1050" s="2247" t="s">
        <v>1948</v>
      </c>
      <c r="F1050" s="756">
        <v>1148</v>
      </c>
      <c r="G1050" s="658" t="s">
        <v>1230</v>
      </c>
      <c r="H1050" s="759">
        <v>5000</v>
      </c>
      <c r="I1050" s="759"/>
      <c r="J1050" s="760"/>
      <c r="K1050" s="761"/>
      <c r="L1050" s="3621">
        <v>5000</v>
      </c>
      <c r="M1050" s="1647"/>
      <c r="N1050" s="79"/>
      <c r="O1050" s="86"/>
      <c r="P1050" s="1817" t="e">
        <f>INDEX(#REF!,MATCH(F1050,#REF!,0),2)</f>
        <v>#REF!</v>
      </c>
    </row>
    <row r="1051" spans="1:16">
      <c r="A1051" s="762"/>
      <c r="B1051" s="762" t="s">
        <v>663</v>
      </c>
      <c r="C1051" s="762" t="s">
        <v>652</v>
      </c>
      <c r="D1051" s="1599"/>
      <c r="E1051" s="2245" t="s">
        <v>1948</v>
      </c>
      <c r="F1051" s="763">
        <v>1148</v>
      </c>
      <c r="G1051" s="437" t="s">
        <v>663</v>
      </c>
      <c r="H1051" s="866"/>
      <c r="I1051" s="867">
        <v>5000</v>
      </c>
      <c r="J1051" s="866"/>
      <c r="K1051" s="868"/>
      <c r="L1051" s="1906"/>
      <c r="M1051" s="1727">
        <v>5000</v>
      </c>
      <c r="N1051" s="79"/>
      <c r="O1051" s="86"/>
      <c r="P1051" s="1817" t="e">
        <f>INDEX(#REF!,MATCH(F1051,#REF!,0),2)</f>
        <v>#REF!</v>
      </c>
    </row>
    <row r="1052" spans="1:16">
      <c r="A1052" s="762"/>
      <c r="B1052" s="762" t="s">
        <v>663</v>
      </c>
      <c r="C1052" s="762" t="s">
        <v>652</v>
      </c>
      <c r="D1052" s="1599"/>
      <c r="E1052" s="2245" t="s">
        <v>1948</v>
      </c>
      <c r="F1052" s="763">
        <v>1148</v>
      </c>
      <c r="G1052" s="437"/>
      <c r="H1052" s="866"/>
      <c r="I1052" s="867"/>
      <c r="J1052" s="866"/>
      <c r="K1052" s="868"/>
      <c r="L1052" s="1906"/>
      <c r="M1052" s="1727"/>
      <c r="N1052" s="79"/>
      <c r="O1052" s="86"/>
      <c r="P1052" s="1817" t="e">
        <f>INDEX(#REF!,MATCH(F1052,#REF!,0),2)</f>
        <v>#REF!</v>
      </c>
    </row>
    <row r="1053" spans="1:16">
      <c r="A1053" s="854"/>
      <c r="B1053" s="755" t="s">
        <v>512</v>
      </c>
      <c r="C1053" s="755" t="s">
        <v>506</v>
      </c>
      <c r="D1053" s="1600">
        <v>965</v>
      </c>
      <c r="E1053" s="2247" t="s">
        <v>1949</v>
      </c>
      <c r="F1053" s="756">
        <v>1148</v>
      </c>
      <c r="G1053" s="658" t="s">
        <v>1230</v>
      </c>
      <c r="H1053" s="761"/>
      <c r="I1053" s="759"/>
      <c r="J1053" s="760"/>
      <c r="K1053" s="761"/>
      <c r="L1053" s="2407"/>
      <c r="M1053" s="2407"/>
      <c r="N1053" s="79"/>
      <c r="O1053" s="86"/>
      <c r="P1053" s="1817" t="e">
        <f>INDEX(#REF!,MATCH(F1053,#REF!,0),2)</f>
        <v>#REF!</v>
      </c>
    </row>
    <row r="1054" spans="1:16">
      <c r="A1054" s="854"/>
      <c r="B1054" s="755" t="s">
        <v>663</v>
      </c>
      <c r="C1054" s="755" t="s">
        <v>652</v>
      </c>
      <c r="D1054" s="1600">
        <v>965</v>
      </c>
      <c r="E1054" s="2247" t="s">
        <v>1948</v>
      </c>
      <c r="F1054" s="756">
        <v>1210</v>
      </c>
      <c r="G1054" s="658" t="s">
        <v>228</v>
      </c>
      <c r="H1054" s="759">
        <v>22012.811582474998</v>
      </c>
      <c r="I1054" s="759"/>
      <c r="J1054" s="760">
        <v>18269</v>
      </c>
      <c r="K1054" s="761"/>
      <c r="L1054" s="3621">
        <v>27470.296302623989</v>
      </c>
      <c r="M1054" s="1647"/>
      <c r="N1054" s="79"/>
      <c r="O1054" s="86"/>
      <c r="P1054" s="1817" t="e">
        <f>INDEX(#REF!,MATCH(F1054,#REF!,0),2)</f>
        <v>#REF!</v>
      </c>
    </row>
    <row r="1055" spans="1:16">
      <c r="A1055" s="762"/>
      <c r="B1055" s="762" t="s">
        <v>663</v>
      </c>
      <c r="C1055" s="762" t="s">
        <v>652</v>
      </c>
      <c r="D1055" s="1599"/>
      <c r="E1055" s="2245" t="s">
        <v>1948</v>
      </c>
      <c r="F1055" s="763">
        <v>1210</v>
      </c>
      <c r="G1055" s="437" t="s">
        <v>663</v>
      </c>
      <c r="H1055" s="866"/>
      <c r="I1055" s="867">
        <v>22012.811582474998</v>
      </c>
      <c r="J1055" s="866"/>
      <c r="K1055" s="868"/>
      <c r="L1055" s="3622"/>
      <c r="M1055" s="3623">
        <v>27470.296302623989</v>
      </c>
      <c r="N1055" s="79"/>
      <c r="O1055" s="86"/>
      <c r="P1055" s="1817" t="e">
        <f>INDEX(#REF!,MATCH(F1055,#REF!,0),2)</f>
        <v>#REF!</v>
      </c>
    </row>
    <row r="1056" spans="1:16">
      <c r="A1056" s="762"/>
      <c r="B1056" s="762" t="s">
        <v>663</v>
      </c>
      <c r="C1056" s="762" t="s">
        <v>652</v>
      </c>
      <c r="D1056" s="1599"/>
      <c r="E1056" s="2245" t="s">
        <v>1948</v>
      </c>
      <c r="F1056" s="763">
        <v>1210</v>
      </c>
      <c r="G1056" s="437" t="s">
        <v>1180</v>
      </c>
      <c r="H1056" s="866"/>
      <c r="I1056" s="867"/>
      <c r="J1056" s="866"/>
      <c r="K1056" s="868"/>
      <c r="L1056" s="3622"/>
      <c r="M1056" s="3623"/>
      <c r="N1056" s="79"/>
      <c r="O1056" s="86"/>
      <c r="P1056" s="1817" t="e">
        <f>INDEX(#REF!,MATCH(F1056,#REF!,0),2)</f>
        <v>#REF!</v>
      </c>
    </row>
    <row r="1057" spans="1:48">
      <c r="A1057" s="762"/>
      <c r="B1057" s="762" t="s">
        <v>663</v>
      </c>
      <c r="C1057" s="762" t="s">
        <v>652</v>
      </c>
      <c r="D1057" s="1599"/>
      <c r="E1057" s="2245" t="s">
        <v>1948</v>
      </c>
      <c r="F1057" s="763">
        <v>1210</v>
      </c>
      <c r="G1057" s="437"/>
      <c r="H1057" s="866"/>
      <c r="I1057" s="867"/>
      <c r="J1057" s="866"/>
      <c r="K1057" s="868"/>
      <c r="L1057" s="3622"/>
      <c r="M1057" s="3623"/>
      <c r="N1057" s="79"/>
      <c r="O1057" s="86"/>
      <c r="P1057" s="1817" t="e">
        <f>INDEX(#REF!,MATCH(F1057,#REF!,0),2)</f>
        <v>#REF!</v>
      </c>
    </row>
    <row r="1058" spans="1:48">
      <c r="A1058" s="854"/>
      <c r="B1058" s="874" t="s">
        <v>512</v>
      </c>
      <c r="C1058" s="874" t="s">
        <v>506</v>
      </c>
      <c r="D1058" s="1600">
        <v>965</v>
      </c>
      <c r="E1058" s="2247" t="s">
        <v>1949</v>
      </c>
      <c r="F1058" s="756">
        <v>1210</v>
      </c>
      <c r="G1058" s="658" t="s">
        <v>1231</v>
      </c>
      <c r="H1058" s="806">
        <v>53125.968620000007</v>
      </c>
      <c r="I1058" s="759"/>
      <c r="J1058" s="760"/>
      <c r="K1058" s="761"/>
      <c r="L1058" s="2406">
        <v>56049.213489440001</v>
      </c>
      <c r="M1058" s="2407"/>
      <c r="N1058" s="79"/>
      <c r="O1058" s="86"/>
      <c r="P1058" s="1817" t="e">
        <f>INDEX(#REF!,MATCH(F1058,#REF!,0),2)</f>
        <v>#REF!</v>
      </c>
    </row>
    <row r="1059" spans="1:48">
      <c r="A1059" s="854"/>
      <c r="B1059" s="755" t="s">
        <v>663</v>
      </c>
      <c r="C1059" s="755" t="s">
        <v>652</v>
      </c>
      <c r="D1059" s="1600">
        <v>965</v>
      </c>
      <c r="E1059" s="2247" t="s">
        <v>1948</v>
      </c>
      <c r="F1059" s="756">
        <v>1221</v>
      </c>
      <c r="G1059" s="658" t="s">
        <v>1232</v>
      </c>
      <c r="H1059" s="759">
        <v>14165.198958024999</v>
      </c>
      <c r="I1059" s="759"/>
      <c r="J1059" s="760">
        <v>11912</v>
      </c>
      <c r="K1059" s="761"/>
      <c r="L1059" s="3621">
        <v>4606.2899890559993</v>
      </c>
      <c r="M1059" s="1647"/>
      <c r="N1059" s="79"/>
      <c r="O1059" s="86"/>
      <c r="P1059" s="1817" t="e">
        <f>INDEX(#REF!,MATCH(F1059,#REF!,0),2)</f>
        <v>#REF!</v>
      </c>
    </row>
    <row r="1060" spans="1:48">
      <c r="A1060" s="768"/>
      <c r="B1060" s="762" t="s">
        <v>663</v>
      </c>
      <c r="C1060" s="762" t="s">
        <v>652</v>
      </c>
      <c r="D1060" s="1599"/>
      <c r="E1060" s="2245" t="s">
        <v>1948</v>
      </c>
      <c r="F1060" s="763">
        <v>1221</v>
      </c>
      <c r="G1060" s="875"/>
      <c r="H1060" s="866"/>
      <c r="I1060" s="867">
        <v>4165.1989580250001</v>
      </c>
      <c r="J1060" s="872"/>
      <c r="K1060" s="868"/>
      <c r="L1060" s="3622"/>
      <c r="M1060" s="3623">
        <v>4606.2899890559993</v>
      </c>
      <c r="N1060" s="79"/>
      <c r="O1060" s="86"/>
      <c r="P1060" s="1817" t="e">
        <f>INDEX(#REF!,MATCH(F1060,#REF!,0),2)</f>
        <v>#REF!</v>
      </c>
    </row>
    <row r="1061" spans="1:48">
      <c r="A1061" s="768"/>
      <c r="B1061" s="762" t="s">
        <v>663</v>
      </c>
      <c r="C1061" s="762" t="s">
        <v>652</v>
      </c>
      <c r="D1061" s="1599"/>
      <c r="E1061" s="2245" t="s">
        <v>1948</v>
      </c>
      <c r="F1061" s="763">
        <v>1221</v>
      </c>
      <c r="G1061" s="1325" t="s">
        <v>2018</v>
      </c>
      <c r="H1061" s="866"/>
      <c r="I1061" s="867"/>
      <c r="J1061" s="872"/>
      <c r="K1061" s="868"/>
      <c r="L1061" s="3622"/>
      <c r="M1061" s="3623"/>
      <c r="N1061" s="79"/>
      <c r="O1061" s="86"/>
      <c r="P1061" s="1817" t="e">
        <f>INDEX(#REF!,MATCH(F1061,#REF!,0),2)</f>
        <v>#REF!</v>
      </c>
    </row>
    <row r="1062" spans="1:48">
      <c r="A1062" s="854"/>
      <c r="B1062" s="755" t="s">
        <v>512</v>
      </c>
      <c r="C1062" s="755" t="s">
        <v>506</v>
      </c>
      <c r="D1062" s="1600">
        <v>965</v>
      </c>
      <c r="E1062" s="2247" t="s">
        <v>1949</v>
      </c>
      <c r="F1062" s="756">
        <v>1221</v>
      </c>
      <c r="G1062" s="658" t="s">
        <v>1232</v>
      </c>
      <c r="H1062" s="806">
        <v>4000</v>
      </c>
      <c r="I1062" s="759"/>
      <c r="J1062" s="760"/>
      <c r="K1062" s="761"/>
      <c r="L1062" s="2406">
        <v>4000</v>
      </c>
      <c r="M1062" s="2407"/>
      <c r="N1062" s="79"/>
      <c r="O1062" s="86"/>
      <c r="P1062" s="1817" t="e">
        <f>INDEX(#REF!,MATCH(F1062,#REF!,0),2)</f>
        <v>#REF!</v>
      </c>
    </row>
    <row r="1063" spans="1:48">
      <c r="A1063" s="768"/>
      <c r="B1063" s="762" t="s">
        <v>512</v>
      </c>
      <c r="C1063" s="762" t="s">
        <v>506</v>
      </c>
      <c r="D1063" s="1599"/>
      <c r="E1063" s="2245" t="s">
        <v>1949</v>
      </c>
      <c r="F1063" s="763">
        <v>1221</v>
      </c>
      <c r="G1063" s="865"/>
      <c r="H1063" s="866"/>
      <c r="I1063" s="867">
        <v>4000</v>
      </c>
      <c r="J1063" s="872"/>
      <c r="K1063" s="868"/>
      <c r="L1063" s="2412"/>
      <c r="M1063" s="2413">
        <v>4000</v>
      </c>
      <c r="N1063" s="79"/>
      <c r="O1063" s="86"/>
      <c r="P1063" s="1817" t="e">
        <f>INDEX(#REF!,MATCH(F1063,#REF!,0),2)</f>
        <v>#REF!</v>
      </c>
    </row>
    <row r="1064" spans="1:48">
      <c r="A1064" s="854"/>
      <c r="B1064" s="506" t="s">
        <v>663</v>
      </c>
      <c r="C1064" s="506" t="s">
        <v>652</v>
      </c>
      <c r="D1064" s="1600">
        <v>965</v>
      </c>
      <c r="E1064" s="2247" t="s">
        <v>1948</v>
      </c>
      <c r="F1064" s="756">
        <v>1227</v>
      </c>
      <c r="G1064" s="658" t="s">
        <v>230</v>
      </c>
      <c r="H1064" s="759">
        <v>700</v>
      </c>
      <c r="I1064" s="759"/>
      <c r="J1064" s="760"/>
      <c r="K1064" s="761"/>
      <c r="L1064" s="2404">
        <v>0</v>
      </c>
      <c r="M1064" s="1662"/>
      <c r="N1064" s="79"/>
      <c r="O1064" s="86"/>
      <c r="P1064" s="1817" t="e">
        <f>INDEX(#REF!,MATCH(F1064,#REF!,0),2)</f>
        <v>#REF!</v>
      </c>
      <c r="Q1064" s="43"/>
      <c r="R1064" s="43"/>
      <c r="S1064" s="43"/>
      <c r="T1064" s="43"/>
      <c r="U1064" s="43"/>
      <c r="V1064" s="43"/>
      <c r="W1064" s="43"/>
      <c r="X1064" s="43"/>
      <c r="Y1064" s="43"/>
      <c r="Z1064" s="43"/>
      <c r="AA1064" s="43"/>
      <c r="AB1064" s="43"/>
      <c r="AC1064" s="43"/>
      <c r="AD1064" s="43"/>
      <c r="AE1064" s="43"/>
      <c r="AF1064" s="43"/>
      <c r="AG1064" s="43"/>
      <c r="AH1064" s="43"/>
      <c r="AI1064" s="43"/>
      <c r="AJ1064" s="43"/>
      <c r="AK1064" s="43"/>
      <c r="AL1064" s="43"/>
      <c r="AM1064" s="43"/>
      <c r="AN1064" s="43"/>
      <c r="AO1064" s="43"/>
      <c r="AP1064" s="43"/>
      <c r="AQ1064" s="43"/>
      <c r="AR1064" s="43"/>
      <c r="AS1064" s="43"/>
      <c r="AT1064" s="43"/>
      <c r="AU1064" s="43"/>
      <c r="AV1064" s="43"/>
    </row>
    <row r="1065" spans="1:48" ht="11.45" customHeight="1">
      <c r="A1065" s="768"/>
      <c r="B1065" s="412" t="s">
        <v>663</v>
      </c>
      <c r="C1065" s="412" t="s">
        <v>652</v>
      </c>
      <c r="D1065" s="1599"/>
      <c r="E1065" s="2245" t="s">
        <v>1948</v>
      </c>
      <c r="F1065" s="763">
        <v>1227</v>
      </c>
      <c r="G1065" s="880"/>
      <c r="H1065" s="869"/>
      <c r="I1065" s="870">
        <v>1000</v>
      </c>
      <c r="J1065" s="873"/>
      <c r="K1065" s="871"/>
      <c r="L1065" s="1749"/>
      <c r="M1065" s="2405"/>
      <c r="N1065" s="149"/>
      <c r="O1065" s="86"/>
      <c r="P1065" s="1817" t="e">
        <f>INDEX(#REF!,MATCH(F1065,#REF!,0),2)</f>
        <v>#REF!</v>
      </c>
      <c r="Q1065" s="1779"/>
      <c r="R1065" s="1779"/>
      <c r="S1065" s="1779"/>
      <c r="T1065" s="1779"/>
      <c r="U1065" s="1779"/>
      <c r="V1065" s="1779"/>
      <c r="W1065" s="43"/>
      <c r="X1065" s="1779"/>
      <c r="Y1065" s="1779"/>
      <c r="Z1065" s="1779"/>
      <c r="AA1065" s="1779"/>
      <c r="AB1065" s="1779"/>
      <c r="AC1065" s="1779"/>
      <c r="AD1065" s="1779"/>
      <c r="AE1065" s="1779"/>
      <c r="AF1065" s="1779"/>
      <c r="AG1065" s="1779"/>
      <c r="AH1065" s="1779"/>
      <c r="AI1065" s="1779"/>
      <c r="AJ1065" s="1779"/>
      <c r="AK1065" s="1779"/>
      <c r="AL1065" s="1779"/>
      <c r="AM1065" s="1779"/>
      <c r="AN1065" s="1779"/>
      <c r="AO1065" s="1779"/>
      <c r="AP1065" s="1779"/>
      <c r="AQ1065" s="1779"/>
      <c r="AR1065" s="1779"/>
      <c r="AS1065" s="1779"/>
      <c r="AT1065" s="1779"/>
      <c r="AU1065" s="1779"/>
      <c r="AV1065" s="1779"/>
    </row>
    <row r="1066" spans="1:48" ht="17.25" customHeight="1">
      <c r="A1066" s="854"/>
      <c r="B1066" s="506" t="s">
        <v>1248</v>
      </c>
      <c r="C1066" s="506" t="s">
        <v>652</v>
      </c>
      <c r="D1066" s="1600">
        <v>965</v>
      </c>
      <c r="E1066" s="2247" t="s">
        <v>1948</v>
      </c>
      <c r="F1066" s="756">
        <v>1228</v>
      </c>
      <c r="G1066" s="658" t="s">
        <v>235</v>
      </c>
      <c r="H1066" s="759">
        <v>900</v>
      </c>
      <c r="I1066" s="759"/>
      <c r="J1066" s="760">
        <v>900</v>
      </c>
      <c r="K1066" s="761"/>
      <c r="L1066" s="3621">
        <v>600</v>
      </c>
      <c r="M1066" s="1647"/>
      <c r="N1066" s="149"/>
      <c r="O1066" s="86"/>
      <c r="P1066" s="1817" t="e">
        <f>INDEX(#REF!,MATCH(F1066,#REF!,0),2)</f>
        <v>#REF!</v>
      </c>
      <c r="Q1066" s="43"/>
      <c r="R1066" s="43"/>
      <c r="S1066" s="43"/>
      <c r="T1066" s="43"/>
      <c r="U1066" s="43"/>
      <c r="V1066" s="43"/>
      <c r="W1066" s="43"/>
      <c r="X1066" s="43"/>
      <c r="Y1066" s="43"/>
      <c r="Z1066" s="43"/>
      <c r="AA1066" s="43"/>
      <c r="AB1066" s="43"/>
      <c r="AC1066" s="43"/>
      <c r="AD1066" s="43"/>
      <c r="AE1066" s="43"/>
      <c r="AF1066" s="43"/>
      <c r="AG1066" s="43"/>
      <c r="AH1066" s="43"/>
      <c r="AI1066" s="43"/>
      <c r="AJ1066" s="43"/>
      <c r="AK1066" s="43"/>
      <c r="AL1066" s="43"/>
      <c r="AM1066" s="43"/>
      <c r="AN1066" s="43"/>
      <c r="AO1066" s="43"/>
      <c r="AP1066" s="43"/>
      <c r="AQ1066" s="43"/>
      <c r="AR1066" s="43"/>
      <c r="AS1066" s="43"/>
      <c r="AT1066" s="43"/>
      <c r="AU1066" s="43"/>
      <c r="AV1066" s="43"/>
    </row>
    <row r="1067" spans="1:48">
      <c r="A1067" s="768"/>
      <c r="B1067" s="762" t="s">
        <v>1248</v>
      </c>
      <c r="C1067" s="762" t="s">
        <v>652</v>
      </c>
      <c r="D1067" s="1599"/>
      <c r="E1067" s="2245" t="s">
        <v>1948</v>
      </c>
      <c r="F1067" s="763">
        <v>1228</v>
      </c>
      <c r="G1067" s="3620" t="s">
        <v>2407</v>
      </c>
      <c r="H1067" s="869"/>
      <c r="I1067" s="870">
        <v>600</v>
      </c>
      <c r="J1067" s="873"/>
      <c r="K1067" s="871"/>
      <c r="L1067" s="3622"/>
      <c r="M1067" s="3623">
        <v>600</v>
      </c>
      <c r="N1067" s="149"/>
      <c r="O1067" s="86"/>
      <c r="P1067" s="1817" t="e">
        <f>INDEX(#REF!,MATCH(F1067,#REF!,0),2)</f>
        <v>#REF!</v>
      </c>
    </row>
    <row r="1068" spans="1:48" ht="17.25" customHeight="1">
      <c r="A1068" s="854"/>
      <c r="B1068" s="755" t="s">
        <v>1248</v>
      </c>
      <c r="C1068" s="755" t="s">
        <v>507</v>
      </c>
      <c r="D1068" s="1600">
        <v>965</v>
      </c>
      <c r="E1068" s="2247" t="s">
        <v>1948</v>
      </c>
      <c r="F1068" s="756">
        <v>2111</v>
      </c>
      <c r="G1068" s="658" t="s">
        <v>1233</v>
      </c>
      <c r="H1068" s="759">
        <v>800</v>
      </c>
      <c r="I1068" s="759"/>
      <c r="J1068" s="760">
        <v>176</v>
      </c>
      <c r="K1068" s="761"/>
      <c r="L1068" s="3621">
        <v>1000</v>
      </c>
      <c r="M1068" s="1647"/>
      <c r="N1068" s="149"/>
      <c r="O1068" s="86"/>
      <c r="P1068" s="1817" t="e">
        <f>INDEX(#REF!,MATCH(F1068,#REF!,0),2)</f>
        <v>#REF!</v>
      </c>
      <c r="Q1068" s="43"/>
      <c r="R1068" s="43"/>
      <c r="S1068" s="43"/>
      <c r="T1068" s="43"/>
      <c r="U1068" s="43"/>
      <c r="V1068" s="43"/>
      <c r="W1068" s="43"/>
      <c r="X1068" s="43"/>
      <c r="Y1068" s="43"/>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c r="AT1068" s="43"/>
      <c r="AU1068" s="43"/>
      <c r="AV1068" s="43"/>
    </row>
    <row r="1069" spans="1:48">
      <c r="A1069" s="768"/>
      <c r="B1069" s="762" t="s">
        <v>1248</v>
      </c>
      <c r="C1069" s="762" t="s">
        <v>507</v>
      </c>
      <c r="D1069" s="1599"/>
      <c r="E1069" s="2245" t="s">
        <v>1948</v>
      </c>
      <c r="F1069" s="763">
        <v>2111</v>
      </c>
      <c r="G1069" s="880" t="s">
        <v>411</v>
      </c>
      <c r="H1069" s="869"/>
      <c r="I1069" s="870">
        <v>800</v>
      </c>
      <c r="J1069" s="873"/>
      <c r="K1069" s="871"/>
      <c r="L1069" s="3622"/>
      <c r="M1069" s="3623">
        <v>1000</v>
      </c>
      <c r="N1069" s="149"/>
      <c r="O1069" s="86"/>
      <c r="P1069" s="1817" t="e">
        <f>INDEX(#REF!,MATCH(F1069,#REF!,0),2)</f>
        <v>#REF!</v>
      </c>
    </row>
    <row r="1070" spans="1:48" ht="17.25" customHeight="1">
      <c r="A1070" s="854"/>
      <c r="B1070" s="755" t="s">
        <v>1248</v>
      </c>
      <c r="C1070" s="755" t="s">
        <v>507</v>
      </c>
      <c r="D1070" s="1600">
        <v>965</v>
      </c>
      <c r="E1070" s="2247" t="s">
        <v>1948</v>
      </c>
      <c r="F1070" s="756">
        <v>2112</v>
      </c>
      <c r="G1070" s="658" t="s">
        <v>1241</v>
      </c>
      <c r="H1070" s="759">
        <v>0</v>
      </c>
      <c r="I1070" s="759"/>
      <c r="J1070" s="760"/>
      <c r="K1070" s="761"/>
      <c r="L1070" s="3621">
        <v>0</v>
      </c>
      <c r="M1070" s="1647"/>
      <c r="N1070" s="149"/>
      <c r="O1070" s="86"/>
      <c r="P1070" s="1817" t="e">
        <f>INDEX(#REF!,MATCH(F1070,#REF!,0),2)</f>
        <v>#REF!</v>
      </c>
      <c r="Q1070" s="43"/>
      <c r="R1070" s="43"/>
      <c r="S1070" s="43"/>
      <c r="T1070" s="43"/>
      <c r="U1070" s="43"/>
      <c r="V1070" s="43"/>
      <c r="W1070" s="43"/>
      <c r="X1070" s="43"/>
      <c r="Y1070" s="43"/>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c r="AT1070" s="43"/>
      <c r="AU1070" s="43"/>
      <c r="AV1070" s="43"/>
    </row>
    <row r="1071" spans="1:48">
      <c r="A1071" s="768"/>
      <c r="B1071" s="762" t="s">
        <v>1248</v>
      </c>
      <c r="C1071" s="762" t="s">
        <v>507</v>
      </c>
      <c r="D1071" s="1599"/>
      <c r="E1071" s="2245" t="s">
        <v>1948</v>
      </c>
      <c r="F1071" s="763">
        <v>2112</v>
      </c>
      <c r="G1071" s="880" t="s">
        <v>1237</v>
      </c>
      <c r="H1071" s="869"/>
      <c r="I1071" s="870"/>
      <c r="J1071" s="873"/>
      <c r="K1071" s="871"/>
      <c r="L1071" s="3622"/>
      <c r="M1071" s="3623"/>
      <c r="N1071" s="149"/>
      <c r="O1071" s="86"/>
      <c r="P1071" s="1817" t="e">
        <f>INDEX(#REF!,MATCH(F1071,#REF!,0),2)</f>
        <v>#REF!</v>
      </c>
    </row>
    <row r="1072" spans="1:48">
      <c r="A1072" s="854"/>
      <c r="B1072" s="755" t="s">
        <v>1248</v>
      </c>
      <c r="C1072" s="755" t="s">
        <v>507</v>
      </c>
      <c r="D1072" s="1600">
        <v>965</v>
      </c>
      <c r="E1072" s="2247" t="s">
        <v>1948</v>
      </c>
      <c r="F1072" s="756">
        <v>2121</v>
      </c>
      <c r="G1072" s="658" t="s">
        <v>1234</v>
      </c>
      <c r="H1072" s="759">
        <v>3000</v>
      </c>
      <c r="I1072" s="759"/>
      <c r="J1072" s="760">
        <v>1283</v>
      </c>
      <c r="K1072" s="761"/>
      <c r="L1072" s="3621">
        <v>3600</v>
      </c>
      <c r="M1072" s="1647"/>
      <c r="N1072" s="149"/>
      <c r="O1072" s="86"/>
      <c r="P1072" s="1817" t="e">
        <f>INDEX(#REF!,MATCH(F1072,#REF!,0),2)</f>
        <v>#REF!</v>
      </c>
    </row>
    <row r="1073" spans="1:48" ht="22.5">
      <c r="A1073" s="768"/>
      <c r="B1073" s="762" t="s">
        <v>1248</v>
      </c>
      <c r="C1073" s="762" t="s">
        <v>507</v>
      </c>
      <c r="D1073" s="1599"/>
      <c r="E1073" s="2245" t="s">
        <v>1948</v>
      </c>
      <c r="F1073" s="763">
        <v>2121</v>
      </c>
      <c r="G1073" s="3625" t="s">
        <v>1235</v>
      </c>
      <c r="H1073" s="866"/>
      <c r="I1073" s="867">
        <v>3000</v>
      </c>
      <c r="J1073" s="872"/>
      <c r="K1073" s="868"/>
      <c r="L1073" s="3622"/>
      <c r="M1073" s="3623">
        <v>3600</v>
      </c>
      <c r="N1073" s="149"/>
      <c r="O1073" s="86"/>
      <c r="P1073" s="1817" t="e">
        <f>INDEX(#REF!,MATCH(F1073,#REF!,0),2)</f>
        <v>#REF!</v>
      </c>
    </row>
    <row r="1074" spans="1:48">
      <c r="A1074" s="854"/>
      <c r="B1074" s="755" t="s">
        <v>1248</v>
      </c>
      <c r="C1074" s="755" t="s">
        <v>507</v>
      </c>
      <c r="D1074" s="1600">
        <v>965</v>
      </c>
      <c r="E1074" s="2247" t="s">
        <v>1948</v>
      </c>
      <c r="F1074" s="756">
        <v>2122</v>
      </c>
      <c r="G1074" s="658" t="s">
        <v>1236</v>
      </c>
      <c r="H1074" s="759">
        <v>3000</v>
      </c>
      <c r="I1074" s="876"/>
      <c r="J1074" s="877">
        <v>3</v>
      </c>
      <c r="K1074" s="878"/>
      <c r="L1074" s="3621">
        <v>3000</v>
      </c>
      <c r="M1074" s="3626"/>
      <c r="N1074" s="149"/>
      <c r="O1074" s="86"/>
      <c r="P1074" s="1817" t="e">
        <f>INDEX(#REF!,MATCH(F1074,#REF!,0),2)</f>
        <v>#REF!</v>
      </c>
    </row>
    <row r="1075" spans="1:48">
      <c r="A1075" s="768"/>
      <c r="B1075" s="762" t="s">
        <v>1248</v>
      </c>
      <c r="C1075" s="762" t="s">
        <v>507</v>
      </c>
      <c r="D1075" s="1599"/>
      <c r="E1075" s="2245" t="s">
        <v>1948</v>
      </c>
      <c r="F1075" s="763">
        <v>2122</v>
      </c>
      <c r="G1075" s="875" t="s">
        <v>1237</v>
      </c>
      <c r="H1075" s="866"/>
      <c r="I1075" s="867">
        <v>3000</v>
      </c>
      <c r="J1075" s="872"/>
      <c r="K1075" s="868"/>
      <c r="L1075" s="3622"/>
      <c r="M1075" s="3623">
        <v>3000</v>
      </c>
      <c r="N1075" s="149"/>
      <c r="O1075" s="86"/>
      <c r="P1075" s="1817" t="e">
        <f>INDEX(#REF!,MATCH(F1075,#REF!,0),2)</f>
        <v>#REF!</v>
      </c>
    </row>
    <row r="1076" spans="1:48">
      <c r="A1076" s="854"/>
      <c r="B1076" s="755" t="s">
        <v>1248</v>
      </c>
      <c r="C1076" s="755" t="s">
        <v>505</v>
      </c>
      <c r="D1076" s="1600">
        <v>965</v>
      </c>
      <c r="E1076" s="2247" t="s">
        <v>1948</v>
      </c>
      <c r="F1076" s="756">
        <v>2210</v>
      </c>
      <c r="G1076" s="757" t="s">
        <v>879</v>
      </c>
      <c r="H1076" s="759">
        <v>1600</v>
      </c>
      <c r="I1076" s="759"/>
      <c r="J1076" s="760">
        <v>955</v>
      </c>
      <c r="K1076" s="761"/>
      <c r="L1076" s="3621">
        <v>170</v>
      </c>
      <c r="M1076" s="1662"/>
      <c r="N1076" s="149"/>
      <c r="O1076" s="86"/>
      <c r="P1076" s="1817" t="e">
        <f>INDEX(#REF!,MATCH(F1076,#REF!,0),2)</f>
        <v>#REF!</v>
      </c>
    </row>
    <row r="1077" spans="1:48">
      <c r="A1077" s="768"/>
      <c r="B1077" s="762" t="s">
        <v>1248</v>
      </c>
      <c r="C1077" s="762" t="s">
        <v>505</v>
      </c>
      <c r="D1077" s="1599"/>
      <c r="E1077" s="2245" t="s">
        <v>1948</v>
      </c>
      <c r="F1077" s="763">
        <v>2210</v>
      </c>
      <c r="G1077" s="880" t="s">
        <v>1238</v>
      </c>
      <c r="H1077" s="866"/>
      <c r="I1077" s="867">
        <v>120</v>
      </c>
      <c r="J1077" s="881"/>
      <c r="K1077" s="868"/>
      <c r="L1077" s="1749"/>
      <c r="M1077" s="1727">
        <v>120</v>
      </c>
      <c r="N1077" s="149"/>
      <c r="O1077" s="86"/>
      <c r="P1077" s="1817" t="e">
        <f>INDEX(#REF!,MATCH(F1077,#REF!,0),2)</f>
        <v>#REF!</v>
      </c>
    </row>
    <row r="1078" spans="1:48">
      <c r="A1078" s="768"/>
      <c r="B1078" s="762" t="s">
        <v>1248</v>
      </c>
      <c r="C1078" s="762" t="s">
        <v>505</v>
      </c>
      <c r="D1078" s="1599"/>
      <c r="E1078" s="2245" t="s">
        <v>1948</v>
      </c>
      <c r="F1078" s="763">
        <v>2210</v>
      </c>
      <c r="G1078" s="880" t="s">
        <v>1239</v>
      </c>
      <c r="H1078" s="866"/>
      <c r="I1078" s="867">
        <v>50</v>
      </c>
      <c r="J1078" s="881"/>
      <c r="K1078" s="868"/>
      <c r="L1078" s="1749"/>
      <c r="M1078" s="1727">
        <v>50</v>
      </c>
      <c r="N1078" s="149"/>
      <c r="O1078" s="86"/>
      <c r="P1078" s="1817" t="e">
        <f>INDEX(#REF!,MATCH(F1078,#REF!,0),2)</f>
        <v>#REF!</v>
      </c>
    </row>
    <row r="1079" spans="1:48">
      <c r="A1079" s="854"/>
      <c r="B1079" s="755" t="s">
        <v>1248</v>
      </c>
      <c r="C1079" s="755" t="s">
        <v>507</v>
      </c>
      <c r="D1079" s="1600">
        <v>965</v>
      </c>
      <c r="E1079" s="2247" t="s">
        <v>1948</v>
      </c>
      <c r="F1079" s="756">
        <v>2233</v>
      </c>
      <c r="G1079" s="658" t="s">
        <v>373</v>
      </c>
      <c r="H1079" s="759">
        <v>420</v>
      </c>
      <c r="I1079" s="759"/>
      <c r="J1079" s="760"/>
      <c r="K1079" s="761"/>
      <c r="L1079" s="3621">
        <v>420</v>
      </c>
      <c r="M1079" s="1647"/>
      <c r="N1079" s="149"/>
      <c r="O1079" s="86"/>
      <c r="P1079" s="1817" t="e">
        <f>INDEX(#REF!,MATCH(F1079,#REF!,0),2)</f>
        <v>#REF!</v>
      </c>
    </row>
    <row r="1080" spans="1:48">
      <c r="A1080" s="768"/>
      <c r="B1080" s="762" t="s">
        <v>1248</v>
      </c>
      <c r="C1080" s="762" t="s">
        <v>507</v>
      </c>
      <c r="D1080" s="1599"/>
      <c r="E1080" s="2245" t="s">
        <v>1948</v>
      </c>
      <c r="F1080" s="763">
        <v>2233</v>
      </c>
      <c r="G1080" s="880" t="s">
        <v>1240</v>
      </c>
      <c r="H1080" s="866"/>
      <c r="I1080" s="882">
        <v>420</v>
      </c>
      <c r="J1080" s="881"/>
      <c r="K1080" s="868"/>
      <c r="L1080" s="3622"/>
      <c r="M1080" s="1733">
        <v>420</v>
      </c>
      <c r="N1080" s="149"/>
      <c r="O1080" s="86"/>
      <c r="P1080" s="1817" t="e">
        <f>INDEX(#REF!,MATCH(F1080,#REF!,0),2)</f>
        <v>#REF!</v>
      </c>
    </row>
    <row r="1081" spans="1:48">
      <c r="A1081" s="854"/>
      <c r="B1081" s="755" t="s">
        <v>1248</v>
      </c>
      <c r="C1081" s="755" t="s">
        <v>507</v>
      </c>
      <c r="D1081" s="1600">
        <v>965</v>
      </c>
      <c r="E1081" s="2247" t="s">
        <v>1948</v>
      </c>
      <c r="F1081" s="756">
        <v>2233</v>
      </c>
      <c r="G1081" s="658" t="s">
        <v>2411</v>
      </c>
      <c r="H1081" s="883">
        <v>73400</v>
      </c>
      <c r="I1081" s="759"/>
      <c r="J1081" s="760">
        <v>41346</v>
      </c>
      <c r="K1081" s="761"/>
      <c r="L1081" s="3640">
        <v>79800</v>
      </c>
      <c r="M1081" s="1662"/>
      <c r="N1081" s="388">
        <f t="shared" ref="N1081:N1086" si="0">L1081-H1081</f>
        <v>6400</v>
      </c>
      <c r="O1081" s="86"/>
      <c r="P1081" s="1817" t="e">
        <f>INDEX(#REF!,MATCH(F1081,#REF!,0),2)</f>
        <v>#REF!</v>
      </c>
    </row>
    <row r="1082" spans="1:48">
      <c r="A1082" s="854"/>
      <c r="B1082" s="755" t="s">
        <v>1248</v>
      </c>
      <c r="C1082" s="755" t="s">
        <v>507</v>
      </c>
      <c r="D1082" s="1600">
        <v>965</v>
      </c>
      <c r="E1082" s="2247" t="s">
        <v>1948</v>
      </c>
      <c r="F1082" s="756">
        <v>2261</v>
      </c>
      <c r="G1082" s="658" t="s">
        <v>2412</v>
      </c>
      <c r="H1082" s="884">
        <v>11000</v>
      </c>
      <c r="I1082" s="759"/>
      <c r="J1082" s="760">
        <v>660</v>
      </c>
      <c r="K1082" s="761"/>
      <c r="L1082" s="3641">
        <v>11000</v>
      </c>
      <c r="M1082" s="1662"/>
      <c r="N1082" s="388">
        <f t="shared" si="0"/>
        <v>0</v>
      </c>
      <c r="O1082" s="86"/>
      <c r="P1082" s="1817" t="e">
        <f>INDEX(#REF!,MATCH(F1082,#REF!,0),2)</f>
        <v>#REF!</v>
      </c>
    </row>
    <row r="1083" spans="1:48">
      <c r="A1083" s="854"/>
      <c r="B1083" s="755" t="s">
        <v>1248</v>
      </c>
      <c r="C1083" s="755" t="s">
        <v>507</v>
      </c>
      <c r="D1083" s="1600">
        <v>965</v>
      </c>
      <c r="E1083" s="2247" t="s">
        <v>1948</v>
      </c>
      <c r="F1083" s="756">
        <v>2264</v>
      </c>
      <c r="G1083" s="658" t="s">
        <v>2413</v>
      </c>
      <c r="H1083" s="885">
        <v>650</v>
      </c>
      <c r="I1083" s="759"/>
      <c r="J1083" s="760"/>
      <c r="K1083" s="761"/>
      <c r="L1083" s="3642">
        <v>650</v>
      </c>
      <c r="M1083" s="1662"/>
      <c r="N1083" s="388">
        <f t="shared" si="0"/>
        <v>0</v>
      </c>
      <c r="O1083" s="86"/>
      <c r="P1083" s="1817" t="e">
        <f>INDEX(#REF!,MATCH(F1083,#REF!,0),2)</f>
        <v>#REF!</v>
      </c>
      <c r="Q1083" s="1779"/>
      <c r="R1083" s="1779"/>
      <c r="S1083" s="1779"/>
      <c r="T1083" s="1779"/>
      <c r="U1083" s="1779"/>
      <c r="V1083" s="1779"/>
      <c r="W1083" s="43"/>
      <c r="X1083" s="1779"/>
      <c r="Y1083" s="1779"/>
      <c r="Z1083" s="1779"/>
      <c r="AA1083" s="1779"/>
      <c r="AB1083" s="1779"/>
      <c r="AC1083" s="1779"/>
      <c r="AD1083" s="1779"/>
      <c r="AE1083" s="1779"/>
      <c r="AF1083" s="1779"/>
      <c r="AG1083" s="1779"/>
      <c r="AH1083" s="1779"/>
      <c r="AI1083" s="1779"/>
      <c r="AJ1083" s="1779"/>
      <c r="AK1083" s="1779"/>
      <c r="AL1083" s="1779"/>
      <c r="AM1083" s="1779"/>
      <c r="AN1083" s="1779"/>
      <c r="AO1083" s="1779"/>
      <c r="AP1083" s="1779"/>
      <c r="AQ1083" s="1779"/>
      <c r="AR1083" s="1779"/>
      <c r="AS1083" s="1779"/>
      <c r="AT1083" s="1779"/>
      <c r="AU1083" s="1779"/>
      <c r="AV1083" s="1779"/>
    </row>
    <row r="1084" spans="1:48" ht="11.45" customHeight="1">
      <c r="A1084" s="854"/>
      <c r="B1084" s="755" t="s">
        <v>1248</v>
      </c>
      <c r="C1084" s="755" t="s">
        <v>507</v>
      </c>
      <c r="D1084" s="1600">
        <v>965</v>
      </c>
      <c r="E1084" s="2247" t="s">
        <v>1948</v>
      </c>
      <c r="F1084" s="756">
        <v>2239</v>
      </c>
      <c r="G1084" s="658" t="s">
        <v>2416</v>
      </c>
      <c r="H1084" s="835">
        <v>60550</v>
      </c>
      <c r="I1084" s="759"/>
      <c r="J1084" s="760">
        <v>54914</v>
      </c>
      <c r="K1084" s="761"/>
      <c r="L1084" s="3643">
        <v>71200</v>
      </c>
      <c r="M1084" s="1662"/>
      <c r="N1084" s="388">
        <f t="shared" si="0"/>
        <v>10650</v>
      </c>
      <c r="O1084" s="86"/>
      <c r="P1084" s="1817" t="e">
        <f>INDEX(#REF!,MATCH(F1084,#REF!,0),2)</f>
        <v>#REF!</v>
      </c>
      <c r="Q1084" s="1779"/>
      <c r="R1084" s="1779"/>
      <c r="S1084" s="1779"/>
      <c r="T1084" s="1779"/>
      <c r="U1084" s="1779"/>
      <c r="V1084" s="1779"/>
      <c r="W1084" s="43"/>
      <c r="X1084" s="1779"/>
      <c r="Y1084" s="1779"/>
      <c r="Z1084" s="1779"/>
      <c r="AA1084" s="1779"/>
      <c r="AB1084" s="1779"/>
      <c r="AC1084" s="1779"/>
      <c r="AD1084" s="1779"/>
      <c r="AE1084" s="1779"/>
      <c r="AF1084" s="1779"/>
      <c r="AG1084" s="1779"/>
      <c r="AH1084" s="1779"/>
      <c r="AI1084" s="1779"/>
      <c r="AJ1084" s="1779"/>
      <c r="AK1084" s="1779"/>
      <c r="AL1084" s="1779"/>
      <c r="AM1084" s="1779"/>
      <c r="AN1084" s="1779"/>
      <c r="AO1084" s="1779"/>
      <c r="AP1084" s="1779"/>
      <c r="AQ1084" s="1779"/>
      <c r="AR1084" s="1779"/>
      <c r="AS1084" s="1779"/>
      <c r="AT1084" s="1779"/>
      <c r="AU1084" s="1779"/>
      <c r="AV1084" s="1779"/>
    </row>
    <row r="1085" spans="1:48" ht="11.45" customHeight="1">
      <c r="A1085" s="854"/>
      <c r="B1085" s="755" t="s">
        <v>1248</v>
      </c>
      <c r="C1085" s="755" t="s">
        <v>507</v>
      </c>
      <c r="D1085" s="1600">
        <v>965</v>
      </c>
      <c r="E1085" s="2247" t="s">
        <v>1948</v>
      </c>
      <c r="F1085" s="756">
        <v>2312</v>
      </c>
      <c r="G1085" s="658" t="s">
        <v>2414</v>
      </c>
      <c r="H1085" s="886">
        <v>9600</v>
      </c>
      <c r="I1085" s="759"/>
      <c r="J1085" s="760">
        <v>7890</v>
      </c>
      <c r="K1085" s="761"/>
      <c r="L1085" s="3644">
        <v>9600</v>
      </c>
      <c r="M1085" s="1662"/>
      <c r="N1085" s="388">
        <f t="shared" si="0"/>
        <v>0</v>
      </c>
      <c r="O1085" s="86"/>
      <c r="P1085" s="1817" t="e">
        <f>INDEX(#REF!,MATCH(F1085,#REF!,0),2)</f>
        <v>#REF!</v>
      </c>
      <c r="Q1085" s="1779"/>
      <c r="R1085" s="1779"/>
      <c r="S1085" s="1779"/>
      <c r="T1085" s="1779"/>
      <c r="U1085" s="1779"/>
      <c r="V1085" s="1779"/>
      <c r="W1085" s="43"/>
      <c r="X1085" s="1779"/>
      <c r="Y1085" s="1779"/>
      <c r="Z1085" s="1779"/>
      <c r="AA1085" s="1779"/>
      <c r="AB1085" s="1779"/>
      <c r="AC1085" s="1779"/>
      <c r="AD1085" s="1779"/>
      <c r="AE1085" s="1779"/>
      <c r="AF1085" s="1779"/>
      <c r="AG1085" s="1779"/>
      <c r="AH1085" s="1779"/>
      <c r="AI1085" s="1779"/>
      <c r="AJ1085" s="1779"/>
      <c r="AK1085" s="1779"/>
      <c r="AL1085" s="1779"/>
      <c r="AM1085" s="1779"/>
      <c r="AN1085" s="1779"/>
      <c r="AO1085" s="1779"/>
      <c r="AP1085" s="1779"/>
      <c r="AQ1085" s="1779"/>
      <c r="AR1085" s="1779"/>
      <c r="AS1085" s="1779"/>
      <c r="AT1085" s="1779"/>
      <c r="AU1085" s="1779"/>
      <c r="AV1085" s="1779"/>
    </row>
    <row r="1086" spans="1:48" ht="11.45" customHeight="1">
      <c r="A1086" s="854"/>
      <c r="B1086" s="755" t="s">
        <v>1248</v>
      </c>
      <c r="C1086" s="755" t="s">
        <v>507</v>
      </c>
      <c r="D1086" s="1600">
        <v>965</v>
      </c>
      <c r="E1086" s="2247" t="s">
        <v>1948</v>
      </c>
      <c r="F1086" s="756">
        <v>2390</v>
      </c>
      <c r="G1086" s="658" t="s">
        <v>2415</v>
      </c>
      <c r="H1086" s="887">
        <v>7400</v>
      </c>
      <c r="I1086" s="759"/>
      <c r="J1086" s="760">
        <v>3850</v>
      </c>
      <c r="K1086" s="761"/>
      <c r="L1086" s="3645">
        <v>8800</v>
      </c>
      <c r="M1086" s="1662"/>
      <c r="N1086" s="388">
        <f t="shared" si="0"/>
        <v>1400</v>
      </c>
      <c r="O1086" s="86"/>
      <c r="P1086" s="1817" t="e">
        <f>INDEX(#REF!,MATCH(F1086,#REF!,0),2)</f>
        <v>#REF!</v>
      </c>
      <c r="Q1086" s="43"/>
      <c r="R1086" s="43"/>
      <c r="S1086" s="43"/>
      <c r="T1086" s="43"/>
      <c r="U1086" s="43"/>
      <c r="V1086" s="43"/>
      <c r="W1086" s="43"/>
      <c r="X1086" s="43"/>
      <c r="Y1086" s="43"/>
      <c r="Z1086" s="43"/>
      <c r="AA1086" s="43"/>
      <c r="AB1086" s="43"/>
      <c r="AC1086" s="43"/>
      <c r="AD1086" s="43"/>
      <c r="AE1086" s="43"/>
      <c r="AF1086" s="43"/>
      <c r="AG1086" s="43"/>
      <c r="AH1086" s="43"/>
      <c r="AI1086" s="43"/>
      <c r="AJ1086" s="43"/>
      <c r="AK1086" s="43"/>
      <c r="AL1086" s="43"/>
      <c r="AM1086" s="43"/>
      <c r="AN1086" s="43"/>
      <c r="AO1086" s="43"/>
      <c r="AP1086" s="43"/>
      <c r="AQ1086" s="43"/>
      <c r="AR1086" s="43"/>
      <c r="AS1086" s="43"/>
      <c r="AT1086" s="43"/>
      <c r="AU1086" s="43"/>
      <c r="AV1086" s="43"/>
    </row>
    <row r="1087" spans="1:48" ht="34.9" customHeight="1">
      <c r="A1087" s="1753"/>
      <c r="B1087" s="1754"/>
      <c r="C1087" s="1754"/>
      <c r="D1087" s="1755"/>
      <c r="E1087" s="2286" t="s">
        <v>1948</v>
      </c>
      <c r="F1087" s="1756"/>
      <c r="G1087" s="1757" t="s">
        <v>338</v>
      </c>
      <c r="H1087" s="53"/>
      <c r="I1087" s="305">
        <v>32550</v>
      </c>
      <c r="J1087" s="273"/>
      <c r="K1087" s="888">
        <v>7.9877112135176676E-2</v>
      </c>
      <c r="L1087" s="1494"/>
      <c r="M1087" s="3632">
        <v>35150</v>
      </c>
      <c r="N1087" s="395"/>
      <c r="O1087" s="86"/>
      <c r="P1087" s="1817" t="e">
        <f>INDEX(#REF!,MATCH(F1087,#REF!,0),2)</f>
        <v>#REF!</v>
      </c>
      <c r="Q1087" s="1779"/>
      <c r="R1087" s="1779"/>
      <c r="S1087" s="1779"/>
      <c r="T1087" s="1779"/>
      <c r="U1087" s="1779"/>
      <c r="V1087" s="1779"/>
      <c r="W1087" s="43"/>
      <c r="X1087" s="1779"/>
      <c r="Y1087" s="1779"/>
      <c r="Z1087" s="1779"/>
      <c r="AA1087" s="1779"/>
      <c r="AB1087" s="1779"/>
      <c r="AC1087" s="1779"/>
      <c r="AD1087" s="1779"/>
      <c r="AE1087" s="1779"/>
      <c r="AF1087" s="1779"/>
      <c r="AG1087" s="1779"/>
      <c r="AH1087" s="1779"/>
      <c r="AI1087" s="1779"/>
      <c r="AJ1087" s="1779"/>
      <c r="AK1087" s="1779"/>
      <c r="AL1087" s="1779"/>
      <c r="AM1087" s="1779"/>
      <c r="AN1087" s="1779"/>
      <c r="AO1087" s="1779"/>
      <c r="AP1087" s="1779"/>
      <c r="AQ1087" s="1779"/>
      <c r="AR1087" s="1779"/>
      <c r="AS1087" s="1779"/>
      <c r="AT1087" s="1779"/>
      <c r="AU1087" s="1779"/>
      <c r="AV1087" s="1779"/>
    </row>
    <row r="1088" spans="1:48" ht="11.45" customHeight="1">
      <c r="A1088" s="768"/>
      <c r="B1088" s="762" t="s">
        <v>1248</v>
      </c>
      <c r="C1088" s="762" t="s">
        <v>507</v>
      </c>
      <c r="D1088" s="1599"/>
      <c r="E1088" s="2245" t="s">
        <v>1948</v>
      </c>
      <c r="F1088" s="891">
        <v>2239</v>
      </c>
      <c r="G1088" s="880" t="s">
        <v>609</v>
      </c>
      <c r="H1088" s="1727"/>
      <c r="I1088" s="1728">
        <v>7800</v>
      </c>
      <c r="J1088" s="1729"/>
      <c r="K1088" s="1730"/>
      <c r="L1088" s="1750"/>
      <c r="M1088" s="3629">
        <v>9000</v>
      </c>
      <c r="N1088" s="2801" t="s">
        <v>4894</v>
      </c>
      <c r="O1088" s="86"/>
      <c r="P1088" s="1817" t="e">
        <f>INDEX(#REF!,MATCH(F1088,#REF!,0),2)</f>
        <v>#REF!</v>
      </c>
      <c r="Q1088" s="1779"/>
      <c r="R1088" s="1779"/>
      <c r="S1088" s="1779"/>
      <c r="T1088" s="1779"/>
      <c r="U1088" s="1779"/>
      <c r="V1088" s="1779"/>
      <c r="W1088" s="43"/>
      <c r="X1088" s="1779"/>
      <c r="Y1088" s="1779"/>
      <c r="Z1088" s="1779"/>
      <c r="AA1088" s="1779"/>
      <c r="AB1088" s="1779"/>
      <c r="AC1088" s="1779"/>
      <c r="AD1088" s="1779"/>
      <c r="AE1088" s="1779"/>
      <c r="AF1088" s="1779"/>
      <c r="AG1088" s="1779"/>
      <c r="AH1088" s="1779"/>
      <c r="AI1088" s="1779"/>
      <c r="AJ1088" s="1779"/>
      <c r="AK1088" s="1779"/>
      <c r="AL1088" s="1779"/>
      <c r="AM1088" s="1779"/>
      <c r="AN1088" s="1779"/>
      <c r="AO1088" s="1779"/>
      <c r="AP1088" s="1779"/>
      <c r="AQ1088" s="1779"/>
      <c r="AR1088" s="1779"/>
      <c r="AS1088" s="1779"/>
      <c r="AT1088" s="1779"/>
      <c r="AU1088" s="1779"/>
      <c r="AV1088" s="1779"/>
    </row>
    <row r="1089" spans="1:48" ht="22.15" customHeight="1">
      <c r="A1089" s="768"/>
      <c r="B1089" s="762" t="s">
        <v>1248</v>
      </c>
      <c r="C1089" s="762" t="s">
        <v>507</v>
      </c>
      <c r="D1089" s="1599"/>
      <c r="E1089" s="2245" t="s">
        <v>1948</v>
      </c>
      <c r="F1089" s="762">
        <v>2312</v>
      </c>
      <c r="G1089" s="880" t="s">
        <v>339</v>
      </c>
      <c r="H1089" s="1727"/>
      <c r="I1089" s="1731">
        <v>1200</v>
      </c>
      <c r="J1089" s="1729"/>
      <c r="K1089" s="1730"/>
      <c r="L1089" s="1750"/>
      <c r="M1089" s="3630">
        <v>1200</v>
      </c>
      <c r="N1089" s="154"/>
      <c r="O1089" s="86"/>
      <c r="P1089" s="1817" t="e">
        <f>INDEX(#REF!,MATCH(F1089,#REF!,0),2)</f>
        <v>#REF!</v>
      </c>
      <c r="Q1089" s="1779"/>
      <c r="R1089" s="1779"/>
      <c r="S1089" s="1779"/>
      <c r="T1089" s="1779"/>
      <c r="U1089" s="1779"/>
      <c r="V1089" s="1779"/>
      <c r="W1089" s="43"/>
      <c r="X1089" s="1779"/>
      <c r="Y1089" s="1779"/>
      <c r="Z1089" s="1779"/>
      <c r="AA1089" s="1779"/>
      <c r="AB1089" s="1779"/>
      <c r="AC1089" s="1779"/>
      <c r="AD1089" s="1779"/>
      <c r="AE1089" s="1779"/>
      <c r="AF1089" s="1779"/>
      <c r="AG1089" s="1779"/>
      <c r="AH1089" s="1779"/>
      <c r="AI1089" s="1779"/>
      <c r="AJ1089" s="1779"/>
      <c r="AK1089" s="1779"/>
      <c r="AL1089" s="1779"/>
      <c r="AM1089" s="1779"/>
      <c r="AN1089" s="1779"/>
      <c r="AO1089" s="1779"/>
      <c r="AP1089" s="1779"/>
      <c r="AQ1089" s="1779"/>
      <c r="AR1089" s="1779"/>
      <c r="AS1089" s="1779"/>
      <c r="AT1089" s="1779"/>
      <c r="AU1089" s="1779"/>
      <c r="AV1089" s="1779"/>
    </row>
    <row r="1090" spans="1:48" ht="22.15" customHeight="1">
      <c r="A1090" s="768"/>
      <c r="B1090" s="762" t="s">
        <v>1248</v>
      </c>
      <c r="C1090" s="762" t="s">
        <v>507</v>
      </c>
      <c r="D1090" s="1599"/>
      <c r="E1090" s="2245" t="s">
        <v>1948</v>
      </c>
      <c r="F1090" s="762">
        <v>2233</v>
      </c>
      <c r="G1090" s="880" t="s">
        <v>608</v>
      </c>
      <c r="H1090" s="1727"/>
      <c r="I1090" s="1732">
        <v>13500</v>
      </c>
      <c r="J1090" s="1729"/>
      <c r="K1090" s="1730"/>
      <c r="L1090" s="1750"/>
      <c r="M1090" s="1733">
        <v>14300</v>
      </c>
      <c r="N1090" s="154" t="s">
        <v>4895</v>
      </c>
      <c r="O1090" s="86"/>
      <c r="P1090" s="1817" t="e">
        <f>INDEX(#REF!,MATCH(F1090,#REF!,0),2)</f>
        <v>#REF!</v>
      </c>
      <c r="Q1090" s="1779"/>
      <c r="R1090" s="1779"/>
      <c r="S1090" s="1779"/>
      <c r="T1090" s="43"/>
      <c r="U1090" s="43"/>
      <c r="V1090" s="43"/>
      <c r="W1090" s="43"/>
      <c r="X1090" s="43"/>
      <c r="Y1090" s="43"/>
      <c r="Z1090" s="43"/>
      <c r="AA1090" s="43"/>
      <c r="AB1090" s="43"/>
      <c r="AC1090" s="43"/>
      <c r="AD1090" s="43"/>
      <c r="AE1090" s="43"/>
      <c r="AF1090" s="43"/>
      <c r="AG1090" s="43"/>
      <c r="AH1090" s="43"/>
      <c r="AI1090" s="43"/>
      <c r="AJ1090" s="43"/>
      <c r="AK1090" s="43"/>
      <c r="AL1090" s="43"/>
      <c r="AM1090" s="43"/>
      <c r="AN1090" s="43"/>
      <c r="AO1090" s="43"/>
      <c r="AP1090" s="43"/>
      <c r="AQ1090" s="43"/>
      <c r="AR1090" s="43"/>
      <c r="AS1090" s="43"/>
      <c r="AT1090" s="43"/>
      <c r="AU1090" s="43"/>
      <c r="AV1090" s="43"/>
    </row>
    <row r="1091" spans="1:48" ht="11.45" customHeight="1">
      <c r="A1091" s="768"/>
      <c r="B1091" s="762" t="s">
        <v>1248</v>
      </c>
      <c r="C1091" s="762" t="s">
        <v>507</v>
      </c>
      <c r="D1091" s="1599"/>
      <c r="E1091" s="2245" t="s">
        <v>1948</v>
      </c>
      <c r="F1091" s="891">
        <v>2239</v>
      </c>
      <c r="G1091" s="895" t="s">
        <v>340</v>
      </c>
      <c r="H1091" s="1727"/>
      <c r="I1091" s="1728">
        <v>3850</v>
      </c>
      <c r="J1091" s="1729"/>
      <c r="K1091" s="1730"/>
      <c r="L1091" s="1750"/>
      <c r="M1091" s="3629">
        <v>3850</v>
      </c>
      <c r="N1091" s="154"/>
      <c r="O1091" s="86"/>
      <c r="P1091" s="1817" t="e">
        <f>INDEX(#REF!,MATCH(F1091,#REF!,0),2)</f>
        <v>#REF!</v>
      </c>
      <c r="Q1091" s="1779"/>
      <c r="R1091" s="1779"/>
      <c r="S1091" s="1779"/>
      <c r="T1091" s="1779"/>
      <c r="U1091" s="1779"/>
      <c r="V1091" s="1779"/>
      <c r="W1091" s="43"/>
      <c r="X1091" s="1779"/>
      <c r="Y1091" s="1779"/>
      <c r="Z1091" s="1779"/>
      <c r="AA1091" s="1779"/>
      <c r="AB1091" s="1779"/>
      <c r="AC1091" s="1779"/>
      <c r="AD1091" s="1779"/>
      <c r="AE1091" s="1779"/>
      <c r="AF1091" s="1779"/>
      <c r="AG1091" s="1779"/>
      <c r="AH1091" s="1779"/>
      <c r="AI1091" s="1779"/>
      <c r="AJ1091" s="1779"/>
      <c r="AK1091" s="1779"/>
      <c r="AL1091" s="1779"/>
      <c r="AM1091" s="1779"/>
      <c r="AN1091" s="1779"/>
      <c r="AO1091" s="1779"/>
      <c r="AP1091" s="1779"/>
      <c r="AQ1091" s="1779"/>
      <c r="AR1091" s="1779"/>
      <c r="AS1091" s="1779"/>
      <c r="AT1091" s="1779"/>
      <c r="AU1091" s="1779"/>
      <c r="AV1091" s="1779"/>
    </row>
    <row r="1092" spans="1:48" ht="20.45" customHeight="1">
      <c r="A1092" s="768"/>
      <c r="B1092" s="762" t="s">
        <v>1248</v>
      </c>
      <c r="C1092" s="762" t="s">
        <v>507</v>
      </c>
      <c r="D1092" s="1599"/>
      <c r="E1092" s="2245" t="s">
        <v>1948</v>
      </c>
      <c r="F1092" s="891">
        <v>2239</v>
      </c>
      <c r="G1092" s="895" t="s">
        <v>341</v>
      </c>
      <c r="H1092" s="1727"/>
      <c r="I1092" s="1728">
        <v>200</v>
      </c>
      <c r="J1092" s="1729"/>
      <c r="K1092" s="1730"/>
      <c r="L1092" s="1750"/>
      <c r="M1092" s="3629">
        <v>200</v>
      </c>
      <c r="N1092" s="13"/>
      <c r="O1092" s="86"/>
      <c r="P1092" s="1817" t="e">
        <f>INDEX(#REF!,MATCH(F1092,#REF!,0),2)</f>
        <v>#REF!</v>
      </c>
      <c r="Q1092" s="1779"/>
      <c r="R1092" s="1779"/>
      <c r="S1092" s="1779"/>
      <c r="T1092" s="1779"/>
      <c r="U1092" s="1779"/>
      <c r="V1092" s="1779"/>
      <c r="W1092" s="43"/>
      <c r="X1092" s="1779"/>
      <c r="Y1092" s="1779"/>
      <c r="Z1092" s="1779"/>
      <c r="AA1092" s="1779"/>
      <c r="AB1092" s="1779"/>
      <c r="AC1092" s="1779"/>
      <c r="AD1092" s="1779"/>
      <c r="AE1092" s="1779"/>
      <c r="AF1092" s="1779"/>
      <c r="AG1092" s="1779"/>
      <c r="AH1092" s="1779"/>
      <c r="AI1092" s="1779"/>
      <c r="AJ1092" s="1779"/>
      <c r="AK1092" s="1779"/>
      <c r="AL1092" s="1779"/>
      <c r="AM1092" s="1779"/>
      <c r="AN1092" s="1779"/>
      <c r="AO1092" s="1779"/>
      <c r="AP1092" s="1779"/>
      <c r="AQ1092" s="1779"/>
      <c r="AR1092" s="1779"/>
      <c r="AS1092" s="1779"/>
      <c r="AT1092" s="1779"/>
      <c r="AU1092" s="1779"/>
      <c r="AV1092" s="1779"/>
    </row>
    <row r="1093" spans="1:48" ht="11.45" customHeight="1">
      <c r="A1093" s="768"/>
      <c r="B1093" s="762" t="s">
        <v>1248</v>
      </c>
      <c r="C1093" s="762" t="s">
        <v>507</v>
      </c>
      <c r="D1093" s="1599"/>
      <c r="E1093" s="2245" t="s">
        <v>1948</v>
      </c>
      <c r="F1093" s="891">
        <v>2239</v>
      </c>
      <c r="G1093" s="895" t="s">
        <v>610</v>
      </c>
      <c r="H1093" s="1727"/>
      <c r="I1093" s="1728">
        <v>3500</v>
      </c>
      <c r="J1093" s="1729"/>
      <c r="K1093" s="1730"/>
      <c r="L1093" s="1750"/>
      <c r="M1093" s="3629">
        <v>3800</v>
      </c>
      <c r="N1093" s="154" t="s">
        <v>4896</v>
      </c>
      <c r="O1093" s="86"/>
      <c r="P1093" s="1817" t="e">
        <f>INDEX(#REF!,MATCH(F1093,#REF!,0),2)</f>
        <v>#REF!</v>
      </c>
      <c r="Q1093" s="1779"/>
      <c r="R1093" s="1779"/>
      <c r="S1093" s="1779"/>
      <c r="T1093" s="1779"/>
      <c r="U1093" s="1779"/>
      <c r="V1093" s="1779"/>
      <c r="W1093" s="43"/>
      <c r="X1093" s="1779"/>
      <c r="Y1093" s="1779"/>
      <c r="Z1093" s="1779"/>
      <c r="AA1093" s="1779"/>
      <c r="AB1093" s="1779"/>
      <c r="AC1093" s="1779"/>
      <c r="AD1093" s="1779"/>
      <c r="AE1093" s="1779"/>
      <c r="AF1093" s="1779"/>
      <c r="AG1093" s="1779"/>
      <c r="AH1093" s="1779"/>
      <c r="AI1093" s="1779"/>
      <c r="AJ1093" s="1779"/>
      <c r="AK1093" s="1779"/>
      <c r="AL1093" s="1779"/>
      <c r="AM1093" s="1779"/>
      <c r="AN1093" s="1779"/>
      <c r="AO1093" s="1779"/>
      <c r="AP1093" s="1779"/>
      <c r="AQ1093" s="1779"/>
      <c r="AR1093" s="1779"/>
      <c r="AS1093" s="1779"/>
      <c r="AT1093" s="1779"/>
      <c r="AU1093" s="1779"/>
      <c r="AV1093" s="1779"/>
    </row>
    <row r="1094" spans="1:48" ht="11.45" customHeight="1">
      <c r="A1094" s="768"/>
      <c r="B1094" s="762" t="s">
        <v>1248</v>
      </c>
      <c r="C1094" s="762" t="s">
        <v>507</v>
      </c>
      <c r="D1094" s="1599"/>
      <c r="E1094" s="2245" t="s">
        <v>1948</v>
      </c>
      <c r="F1094" s="762">
        <v>2390</v>
      </c>
      <c r="G1094" s="895" t="s">
        <v>342</v>
      </c>
      <c r="H1094" s="1727"/>
      <c r="I1094" s="1734">
        <v>2500</v>
      </c>
      <c r="J1094" s="1729"/>
      <c r="K1094" s="1730"/>
      <c r="L1094" s="1750"/>
      <c r="M1094" s="3631">
        <v>2800</v>
      </c>
      <c r="N1094" s="73"/>
      <c r="O1094" s="86"/>
      <c r="P1094" s="1817" t="e">
        <f>INDEX(#REF!,MATCH(F1094,#REF!,0),2)</f>
        <v>#REF!</v>
      </c>
      <c r="Q1094" s="1779"/>
      <c r="R1094" s="1779"/>
      <c r="S1094" s="1779"/>
      <c r="T1094" s="1779"/>
      <c r="U1094" s="1779"/>
      <c r="V1094" s="1779"/>
      <c r="W1094" s="43"/>
      <c r="X1094" s="1779"/>
      <c r="Y1094" s="1779"/>
      <c r="Z1094" s="1779"/>
      <c r="AA1094" s="1779"/>
      <c r="AB1094" s="1779"/>
      <c r="AC1094" s="1779"/>
      <c r="AD1094" s="1779"/>
      <c r="AE1094" s="1779"/>
      <c r="AF1094" s="1779"/>
      <c r="AG1094" s="1779"/>
      <c r="AH1094" s="1779"/>
      <c r="AI1094" s="1779"/>
      <c r="AJ1094" s="1779"/>
      <c r="AK1094" s="1779"/>
      <c r="AL1094" s="1779"/>
      <c r="AM1094" s="1779"/>
      <c r="AN1094" s="1779"/>
      <c r="AO1094" s="1779"/>
      <c r="AP1094" s="1779"/>
      <c r="AQ1094" s="1779"/>
      <c r="AR1094" s="1779"/>
      <c r="AS1094" s="1779"/>
      <c r="AT1094" s="1779"/>
      <c r="AU1094" s="1779"/>
      <c r="AV1094" s="1779"/>
    </row>
    <row r="1095" spans="1:48" ht="23.45" customHeight="1">
      <c r="A1095" s="889"/>
      <c r="B1095" s="889"/>
      <c r="C1095" s="889"/>
      <c r="D1095" s="1611"/>
      <c r="E1095" s="2287" t="s">
        <v>1948</v>
      </c>
      <c r="F1095" s="890"/>
      <c r="G1095" s="897" t="s">
        <v>343</v>
      </c>
      <c r="H1095" s="53"/>
      <c r="I1095" s="305">
        <v>17450</v>
      </c>
      <c r="J1095" s="273"/>
      <c r="K1095" s="888">
        <v>0.18338108882521498</v>
      </c>
      <c r="L1095" s="1495"/>
      <c r="M1095" s="3633">
        <v>20650</v>
      </c>
      <c r="N1095" s="395"/>
      <c r="O1095" s="86"/>
      <c r="P1095" s="1817" t="e">
        <f>INDEX(#REF!,MATCH(F1095,#REF!,0),2)</f>
        <v>#REF!</v>
      </c>
      <c r="Q1095" s="43"/>
      <c r="R1095" s="43"/>
      <c r="S1095" s="43"/>
      <c r="T1095" s="43"/>
      <c r="U1095" s="43"/>
      <c r="V1095" s="43"/>
      <c r="W1095" s="43"/>
      <c r="X1095" s="43"/>
      <c r="Y1095" s="43"/>
      <c r="Z1095" s="43"/>
      <c r="AA1095" s="43"/>
      <c r="AB1095" s="43"/>
      <c r="AC1095" s="43"/>
      <c r="AD1095" s="43"/>
      <c r="AE1095" s="43"/>
      <c r="AF1095" s="43"/>
      <c r="AG1095" s="43"/>
      <c r="AH1095" s="43"/>
      <c r="AI1095" s="43"/>
      <c r="AJ1095" s="43"/>
      <c r="AK1095" s="43"/>
      <c r="AL1095" s="43"/>
      <c r="AM1095" s="43"/>
      <c r="AN1095" s="43"/>
      <c r="AO1095" s="43"/>
      <c r="AP1095" s="43"/>
      <c r="AQ1095" s="43"/>
      <c r="AR1095" s="43"/>
      <c r="AS1095" s="43"/>
      <c r="AT1095" s="43"/>
      <c r="AU1095" s="43"/>
      <c r="AV1095" s="43"/>
    </row>
    <row r="1096" spans="1:48" ht="11.45" customHeight="1">
      <c r="A1096" s="768"/>
      <c r="B1096" s="762" t="s">
        <v>1248</v>
      </c>
      <c r="C1096" s="762" t="s">
        <v>507</v>
      </c>
      <c r="D1096" s="1599"/>
      <c r="E1096" s="2245" t="s">
        <v>1948</v>
      </c>
      <c r="F1096" s="762">
        <v>2233</v>
      </c>
      <c r="G1096" s="898" t="s">
        <v>344</v>
      </c>
      <c r="H1096" s="1727"/>
      <c r="I1096" s="1732">
        <v>9000</v>
      </c>
      <c r="J1096" s="1729"/>
      <c r="K1096" s="1730"/>
      <c r="L1096" s="1750"/>
      <c r="M1096" s="1733">
        <v>9800</v>
      </c>
      <c r="N1096" s="154"/>
      <c r="O1096" s="86"/>
      <c r="P1096" s="1817" t="e">
        <f>INDEX(#REF!,MATCH(F1096,#REF!,0),2)</f>
        <v>#REF!</v>
      </c>
      <c r="Q1096" s="1779"/>
      <c r="R1096" s="1779"/>
      <c r="S1096" s="1779"/>
      <c r="T1096" s="1779"/>
      <c r="U1096" s="1779"/>
      <c r="V1096" s="1779"/>
      <c r="W1096" s="43"/>
      <c r="X1096" s="1779"/>
      <c r="Y1096" s="1779"/>
      <c r="Z1096" s="1779"/>
      <c r="AA1096" s="1779"/>
      <c r="AB1096" s="1779"/>
      <c r="AC1096" s="1779"/>
      <c r="AD1096" s="1779"/>
      <c r="AE1096" s="1779"/>
      <c r="AF1096" s="1779"/>
      <c r="AG1096" s="1779"/>
      <c r="AH1096" s="1779"/>
      <c r="AI1096" s="1779"/>
      <c r="AJ1096" s="1779"/>
      <c r="AK1096" s="1779"/>
      <c r="AL1096" s="1779"/>
      <c r="AM1096" s="1779"/>
      <c r="AN1096" s="1779"/>
      <c r="AO1096" s="1779"/>
      <c r="AP1096" s="1779"/>
      <c r="AQ1096" s="1779"/>
      <c r="AR1096" s="1779"/>
      <c r="AS1096" s="1779"/>
      <c r="AT1096" s="1779"/>
      <c r="AU1096" s="1779"/>
      <c r="AV1096" s="1779"/>
    </row>
    <row r="1097" spans="1:48" ht="20.45" customHeight="1">
      <c r="A1097" s="768"/>
      <c r="B1097" s="762" t="s">
        <v>1248</v>
      </c>
      <c r="C1097" s="762" t="s">
        <v>507</v>
      </c>
      <c r="D1097" s="1599"/>
      <c r="E1097" s="2245" t="s">
        <v>1948</v>
      </c>
      <c r="F1097" s="891">
        <v>2239</v>
      </c>
      <c r="G1097" s="879" t="s">
        <v>340</v>
      </c>
      <c r="H1097" s="1727"/>
      <c r="I1097" s="1728">
        <v>3500</v>
      </c>
      <c r="J1097" s="1729"/>
      <c r="K1097" s="1730"/>
      <c r="L1097" s="1750"/>
      <c r="M1097" s="3629">
        <v>3500</v>
      </c>
      <c r="N1097" s="13"/>
      <c r="O1097" s="86"/>
      <c r="P1097" s="1817" t="e">
        <f>INDEX(#REF!,MATCH(F1097,#REF!,0),2)</f>
        <v>#REF!</v>
      </c>
      <c r="Q1097" s="1779"/>
      <c r="R1097" s="1779"/>
      <c r="S1097" s="1779"/>
      <c r="T1097" s="1779"/>
      <c r="U1097" s="1779"/>
      <c r="V1097" s="1779"/>
      <c r="W1097" s="43"/>
      <c r="X1097" s="1779"/>
      <c r="Y1097" s="1779"/>
      <c r="Z1097" s="1779"/>
      <c r="AA1097" s="1779"/>
      <c r="AB1097" s="1779"/>
      <c r="AC1097" s="1779"/>
      <c r="AD1097" s="1779"/>
      <c r="AE1097" s="1779"/>
      <c r="AF1097" s="1779"/>
      <c r="AG1097" s="1779"/>
      <c r="AH1097" s="1779"/>
      <c r="AI1097" s="1779"/>
      <c r="AJ1097" s="1779"/>
      <c r="AK1097" s="1779"/>
      <c r="AL1097" s="1779"/>
      <c r="AM1097" s="1779"/>
      <c r="AN1097" s="1779"/>
      <c r="AO1097" s="1779"/>
      <c r="AP1097" s="1779"/>
      <c r="AQ1097" s="1779"/>
      <c r="AR1097" s="1779"/>
      <c r="AS1097" s="1779"/>
      <c r="AT1097" s="1779"/>
      <c r="AU1097" s="1779"/>
      <c r="AV1097" s="1779"/>
    </row>
    <row r="1098" spans="1:48" ht="11.45" customHeight="1">
      <c r="A1098" s="768"/>
      <c r="B1098" s="762" t="s">
        <v>1248</v>
      </c>
      <c r="C1098" s="762" t="s">
        <v>507</v>
      </c>
      <c r="D1098" s="1599"/>
      <c r="E1098" s="2245" t="s">
        <v>1948</v>
      </c>
      <c r="F1098" s="891">
        <v>2239</v>
      </c>
      <c r="G1098" s="879" t="s">
        <v>345</v>
      </c>
      <c r="H1098" s="1727"/>
      <c r="I1098" s="1728">
        <v>2500</v>
      </c>
      <c r="J1098" s="1729"/>
      <c r="K1098" s="1730"/>
      <c r="L1098" s="1750"/>
      <c r="M1098" s="3629">
        <v>4500</v>
      </c>
      <c r="N1098" s="154" t="s">
        <v>4898</v>
      </c>
      <c r="O1098" s="86"/>
      <c r="P1098" s="1817" t="e">
        <f>INDEX(#REF!,MATCH(F1098,#REF!,0),2)</f>
        <v>#REF!</v>
      </c>
      <c r="Q1098" s="1779"/>
      <c r="R1098" s="1779"/>
      <c r="S1098" s="1779"/>
      <c r="T1098" s="1779"/>
      <c r="U1098" s="1779"/>
      <c r="V1098" s="1779"/>
      <c r="W1098" s="43"/>
      <c r="X1098" s="1779"/>
      <c r="Y1098" s="1779"/>
      <c r="Z1098" s="1779"/>
      <c r="AA1098" s="1779"/>
      <c r="AB1098" s="1779"/>
      <c r="AC1098" s="1779"/>
      <c r="AD1098" s="1779"/>
      <c r="AE1098" s="1779"/>
      <c r="AF1098" s="1779"/>
      <c r="AG1098" s="1779"/>
      <c r="AH1098" s="1779"/>
      <c r="AI1098" s="1779"/>
      <c r="AJ1098" s="1779"/>
      <c r="AK1098" s="1779"/>
      <c r="AL1098" s="1779"/>
      <c r="AM1098" s="1779"/>
      <c r="AN1098" s="1779"/>
      <c r="AO1098" s="1779"/>
      <c r="AP1098" s="1779"/>
      <c r="AQ1098" s="1779"/>
      <c r="AR1098" s="1779"/>
      <c r="AS1098" s="1779"/>
      <c r="AT1098" s="1779"/>
      <c r="AU1098" s="1779"/>
      <c r="AV1098" s="1779"/>
    </row>
    <row r="1099" spans="1:48" ht="30.6" customHeight="1">
      <c r="A1099" s="768"/>
      <c r="B1099" s="762" t="s">
        <v>1248</v>
      </c>
      <c r="C1099" s="762" t="s">
        <v>507</v>
      </c>
      <c r="D1099" s="1599"/>
      <c r="E1099" s="2245" t="s">
        <v>1948</v>
      </c>
      <c r="F1099" s="762">
        <v>2312</v>
      </c>
      <c r="G1099" s="879" t="s">
        <v>339</v>
      </c>
      <c r="H1099" s="1727"/>
      <c r="I1099" s="1731">
        <v>1200</v>
      </c>
      <c r="J1099" s="1729"/>
      <c r="K1099" s="1730"/>
      <c r="L1099" s="1750"/>
      <c r="M1099" s="3630">
        <v>1200</v>
      </c>
      <c r="N1099" s="154"/>
      <c r="O1099" s="86"/>
      <c r="P1099" s="1817" t="e">
        <f>INDEX(#REF!,MATCH(F1099,#REF!,0),2)</f>
        <v>#REF!</v>
      </c>
      <c r="Q1099" s="1779"/>
      <c r="R1099" s="1779"/>
      <c r="S1099" s="1779"/>
      <c r="T1099" s="1779"/>
      <c r="U1099" s="1779"/>
      <c r="V1099" s="1779"/>
      <c r="W1099" s="43"/>
      <c r="X1099" s="1779"/>
      <c r="Y1099" s="1779"/>
      <c r="Z1099" s="1779"/>
      <c r="AA1099" s="1779"/>
      <c r="AB1099" s="1779"/>
      <c r="AC1099" s="1779"/>
      <c r="AD1099" s="1779"/>
      <c r="AE1099" s="1779"/>
      <c r="AF1099" s="1779"/>
      <c r="AG1099" s="1779"/>
      <c r="AH1099" s="1779"/>
      <c r="AI1099" s="1779"/>
      <c r="AJ1099" s="1779"/>
      <c r="AK1099" s="1779"/>
      <c r="AL1099" s="1779"/>
      <c r="AM1099" s="1779"/>
      <c r="AN1099" s="1779"/>
      <c r="AO1099" s="1779"/>
      <c r="AP1099" s="1779"/>
      <c r="AQ1099" s="1779"/>
      <c r="AR1099" s="1779"/>
      <c r="AS1099" s="1779"/>
      <c r="AT1099" s="1779"/>
      <c r="AU1099" s="1779"/>
      <c r="AV1099" s="1779"/>
    </row>
    <row r="1100" spans="1:48" ht="32.450000000000003" customHeight="1">
      <c r="A1100" s="768"/>
      <c r="B1100" s="762" t="s">
        <v>1248</v>
      </c>
      <c r="C1100" s="762" t="s">
        <v>507</v>
      </c>
      <c r="D1100" s="1599"/>
      <c r="E1100" s="2245" t="s">
        <v>1948</v>
      </c>
      <c r="F1100" s="762">
        <v>2264</v>
      </c>
      <c r="G1100" s="879" t="s">
        <v>799</v>
      </c>
      <c r="H1100" s="1727"/>
      <c r="I1100" s="1735">
        <v>650</v>
      </c>
      <c r="J1100" s="1729"/>
      <c r="K1100" s="1730"/>
      <c r="L1100" s="1750"/>
      <c r="M1100" s="3634">
        <v>650</v>
      </c>
      <c r="N1100" s="154"/>
      <c r="O1100" s="86"/>
      <c r="P1100" s="1817" t="e">
        <f>INDEX(#REF!,MATCH(F1100,#REF!,0),2)</f>
        <v>#REF!</v>
      </c>
      <c r="Q1100" s="1779"/>
      <c r="R1100" s="1779"/>
      <c r="S1100" s="1779"/>
      <c r="T1100" s="1779"/>
      <c r="U1100" s="1779"/>
      <c r="V1100" s="1779"/>
      <c r="W1100" s="43"/>
      <c r="X1100" s="1779"/>
      <c r="Y1100" s="1779"/>
      <c r="Z1100" s="1779"/>
      <c r="AA1100" s="1779"/>
      <c r="AB1100" s="1779"/>
      <c r="AC1100" s="1779"/>
      <c r="AD1100" s="1779"/>
      <c r="AE1100" s="1779"/>
      <c r="AF1100" s="1779"/>
      <c r="AG1100" s="1779"/>
      <c r="AH1100" s="1779"/>
      <c r="AI1100" s="1779"/>
      <c r="AJ1100" s="1779"/>
      <c r="AK1100" s="1779"/>
      <c r="AL1100" s="1779"/>
      <c r="AM1100" s="1779"/>
      <c r="AN1100" s="1779"/>
      <c r="AO1100" s="1779"/>
      <c r="AP1100" s="1779"/>
      <c r="AQ1100" s="1779"/>
      <c r="AR1100" s="1779"/>
      <c r="AS1100" s="1779"/>
      <c r="AT1100" s="1779"/>
      <c r="AU1100" s="1779"/>
      <c r="AV1100" s="1779"/>
    </row>
    <row r="1101" spans="1:48" s="1793" customFormat="1" ht="12" customHeight="1" thickBot="1">
      <c r="A1101" s="768"/>
      <c r="B1101" s="762" t="s">
        <v>1248</v>
      </c>
      <c r="C1101" s="762" t="s">
        <v>507</v>
      </c>
      <c r="D1101" s="1599"/>
      <c r="E1101" s="2245" t="s">
        <v>1948</v>
      </c>
      <c r="F1101" s="762">
        <v>2390</v>
      </c>
      <c r="G1101" s="898" t="s">
        <v>347</v>
      </c>
      <c r="H1101" s="1727"/>
      <c r="I1101" s="1734">
        <v>600</v>
      </c>
      <c r="J1101" s="1729"/>
      <c r="K1101" s="1730"/>
      <c r="L1101" s="1750"/>
      <c r="M1101" s="3631">
        <v>1000</v>
      </c>
      <c r="N1101" s="154" t="s">
        <v>4897</v>
      </c>
      <c r="O1101" s="86"/>
      <c r="P1101" s="1817" t="e">
        <f>INDEX(#REF!,MATCH(F1101,#REF!,0),2)</f>
        <v>#REF!</v>
      </c>
      <c r="Q1101" s="1792"/>
      <c r="R1101" s="1792"/>
      <c r="S1101" s="1792"/>
      <c r="T1101" s="1792"/>
      <c r="U1101" s="1792"/>
      <c r="V1101" s="1792"/>
      <c r="W1101" s="1811"/>
      <c r="X1101" s="1792"/>
      <c r="Y1101" s="1792"/>
      <c r="Z1101" s="1792"/>
      <c r="AA1101" s="1792"/>
      <c r="AB1101" s="1792"/>
      <c r="AC1101" s="1792"/>
      <c r="AD1101" s="1792"/>
      <c r="AE1101" s="1792"/>
      <c r="AF1101" s="1792"/>
      <c r="AG1101" s="1792"/>
      <c r="AH1101" s="1792"/>
      <c r="AI1101" s="1792"/>
      <c r="AJ1101" s="1792"/>
      <c r="AK1101" s="1792"/>
      <c r="AL1101" s="1792"/>
      <c r="AM1101" s="1792"/>
      <c r="AN1101" s="1792"/>
      <c r="AO1101" s="1792"/>
      <c r="AP1101" s="1792"/>
      <c r="AQ1101" s="1792"/>
      <c r="AR1101" s="1792"/>
      <c r="AS1101" s="1792"/>
      <c r="AT1101" s="1792"/>
      <c r="AU1101" s="1792"/>
      <c r="AV1101" s="1792"/>
    </row>
    <row r="1102" spans="1:48" ht="20.45" customHeight="1">
      <c r="A1102" s="889"/>
      <c r="B1102" s="889"/>
      <c r="C1102" s="889"/>
      <c r="D1102" s="1611"/>
      <c r="E1102" s="2287" t="s">
        <v>1948</v>
      </c>
      <c r="F1102" s="890"/>
      <c r="G1102" s="897" t="s">
        <v>348</v>
      </c>
      <c r="H1102" s="53"/>
      <c r="I1102" s="305">
        <v>12300</v>
      </c>
      <c r="J1102" s="273"/>
      <c r="K1102" s="888">
        <v>0.13008130081300817</v>
      </c>
      <c r="L1102" s="1495"/>
      <c r="M1102" s="3633">
        <v>13900</v>
      </c>
      <c r="N1102" s="395"/>
      <c r="O1102" s="86"/>
      <c r="P1102" s="1817" t="e">
        <f>INDEX(#REF!,MATCH(F1102,#REF!,0),2)</f>
        <v>#REF!</v>
      </c>
      <c r="Q1102" s="1779"/>
      <c r="R1102" s="1779"/>
      <c r="S1102" s="1779"/>
      <c r="T1102" s="1779"/>
      <c r="U1102" s="1779"/>
      <c r="V1102" s="1779"/>
      <c r="W1102" s="43"/>
      <c r="X1102" s="1779"/>
      <c r="Y1102" s="1779"/>
      <c r="Z1102" s="1779"/>
      <c r="AA1102" s="1779"/>
      <c r="AB1102" s="1779"/>
      <c r="AC1102" s="1779"/>
      <c r="AD1102" s="1779"/>
      <c r="AE1102" s="1779"/>
      <c r="AF1102" s="1779"/>
      <c r="AG1102" s="1779"/>
      <c r="AH1102" s="1779"/>
      <c r="AI1102" s="1779"/>
      <c r="AJ1102" s="1779"/>
      <c r="AK1102" s="1779"/>
      <c r="AL1102" s="1779"/>
      <c r="AM1102" s="1779"/>
      <c r="AN1102" s="1779"/>
      <c r="AO1102" s="1779"/>
      <c r="AP1102" s="1779"/>
      <c r="AQ1102" s="1779"/>
      <c r="AR1102" s="1779"/>
      <c r="AS1102" s="1779"/>
      <c r="AT1102" s="1779"/>
      <c r="AU1102" s="1779"/>
      <c r="AV1102" s="1779"/>
    </row>
    <row r="1103" spans="1:48" ht="11.45" customHeight="1">
      <c r="A1103" s="768"/>
      <c r="B1103" s="762" t="s">
        <v>1248</v>
      </c>
      <c r="C1103" s="762" t="s">
        <v>507</v>
      </c>
      <c r="D1103" s="1599"/>
      <c r="E1103" s="2245" t="s">
        <v>1948</v>
      </c>
      <c r="F1103" s="891">
        <v>2239</v>
      </c>
      <c r="G1103" s="879" t="s">
        <v>349</v>
      </c>
      <c r="H1103" s="1727"/>
      <c r="I1103" s="1728">
        <v>1000</v>
      </c>
      <c r="J1103" s="1729"/>
      <c r="K1103" s="1730"/>
      <c r="L1103" s="1750"/>
      <c r="M1103" s="3629">
        <v>1500</v>
      </c>
      <c r="N1103" s="3635" t="s">
        <v>4899</v>
      </c>
      <c r="O1103" s="86"/>
      <c r="P1103" s="1817" t="e">
        <f>INDEX(#REF!,MATCH(F1103,#REF!,0),2)</f>
        <v>#REF!</v>
      </c>
      <c r="Q1103" s="1779"/>
      <c r="R1103" s="1779"/>
      <c r="S1103" s="1779"/>
      <c r="T1103" s="1779"/>
      <c r="U1103" s="1779"/>
      <c r="V1103" s="1779"/>
      <c r="W1103" s="43"/>
      <c r="X1103" s="1779"/>
      <c r="Y1103" s="1779"/>
      <c r="Z1103" s="1779"/>
      <c r="AA1103" s="1779"/>
      <c r="AB1103" s="1779"/>
      <c r="AC1103" s="1779"/>
      <c r="AD1103" s="1779"/>
      <c r="AE1103" s="1779"/>
      <c r="AF1103" s="1779"/>
      <c r="AG1103" s="1779"/>
      <c r="AH1103" s="1779"/>
      <c r="AI1103" s="1779"/>
      <c r="AJ1103" s="1779"/>
      <c r="AK1103" s="1779"/>
      <c r="AL1103" s="1779"/>
      <c r="AM1103" s="1779"/>
      <c r="AN1103" s="1779"/>
      <c r="AO1103" s="1779"/>
      <c r="AP1103" s="1779"/>
      <c r="AQ1103" s="1779"/>
      <c r="AR1103" s="1779"/>
      <c r="AS1103" s="1779"/>
      <c r="AT1103" s="1779"/>
      <c r="AU1103" s="1779"/>
      <c r="AV1103" s="1779"/>
    </row>
    <row r="1104" spans="1:48" ht="11.45" customHeight="1">
      <c r="A1104" s="768"/>
      <c r="B1104" s="762" t="s">
        <v>1248</v>
      </c>
      <c r="C1104" s="762" t="s">
        <v>507</v>
      </c>
      <c r="D1104" s="1599"/>
      <c r="E1104" s="2245" t="s">
        <v>1948</v>
      </c>
      <c r="F1104" s="891">
        <v>2239</v>
      </c>
      <c r="G1104" s="879" t="s">
        <v>341</v>
      </c>
      <c r="H1104" s="1727"/>
      <c r="I1104" s="1728">
        <v>200</v>
      </c>
      <c r="J1104" s="1729"/>
      <c r="K1104" s="1730"/>
      <c r="L1104" s="1750"/>
      <c r="M1104" s="3629">
        <v>200</v>
      </c>
      <c r="N1104" s="3636"/>
      <c r="O1104" s="86"/>
      <c r="P1104" s="1817" t="e">
        <f>INDEX(#REF!,MATCH(F1104,#REF!,0),2)</f>
        <v>#REF!</v>
      </c>
      <c r="Q1104" s="1779"/>
      <c r="R1104" s="1779"/>
      <c r="S1104" s="1779"/>
      <c r="T1104" s="1779"/>
      <c r="U1104" s="1779"/>
      <c r="V1104" s="1779"/>
      <c r="W1104" s="43"/>
      <c r="X1104" s="1779"/>
      <c r="Y1104" s="1779"/>
      <c r="Z1104" s="1779"/>
      <c r="AA1104" s="1779"/>
      <c r="AB1104" s="1779"/>
      <c r="AC1104" s="1779"/>
      <c r="AD1104" s="1779"/>
      <c r="AE1104" s="1779"/>
      <c r="AF1104" s="1779"/>
      <c r="AG1104" s="1779"/>
      <c r="AH1104" s="1779"/>
      <c r="AI1104" s="1779"/>
      <c r="AJ1104" s="1779"/>
      <c r="AK1104" s="1779"/>
      <c r="AL1104" s="1779"/>
      <c r="AM1104" s="1779"/>
      <c r="AN1104" s="1779"/>
      <c r="AO1104" s="1779"/>
      <c r="AP1104" s="1779"/>
      <c r="AQ1104" s="1779"/>
      <c r="AR1104" s="1779"/>
      <c r="AS1104" s="1779"/>
      <c r="AT1104" s="1779"/>
      <c r="AU1104" s="1779"/>
      <c r="AV1104" s="1779"/>
    </row>
    <row r="1105" spans="1:48" ht="24" customHeight="1">
      <c r="A1105" s="768"/>
      <c r="B1105" s="762" t="s">
        <v>1248</v>
      </c>
      <c r="C1105" s="762" t="s">
        <v>507</v>
      </c>
      <c r="D1105" s="1599"/>
      <c r="E1105" s="2245" t="s">
        <v>1948</v>
      </c>
      <c r="F1105" s="891">
        <v>2239</v>
      </c>
      <c r="G1105" s="898" t="s">
        <v>340</v>
      </c>
      <c r="H1105" s="1727"/>
      <c r="I1105" s="1728">
        <v>1400</v>
      </c>
      <c r="J1105" s="1729"/>
      <c r="K1105" s="1730"/>
      <c r="L1105" s="1750"/>
      <c r="M1105" s="3629">
        <v>1400</v>
      </c>
      <c r="N1105" s="154"/>
      <c r="O1105" s="86"/>
      <c r="P1105" s="1817" t="e">
        <f>INDEX(#REF!,MATCH(F1105,#REF!,0),2)</f>
        <v>#REF!</v>
      </c>
      <c r="Q1105" s="1779"/>
      <c r="R1105" s="1779"/>
      <c r="S1105" s="1779"/>
      <c r="T1105" s="1779"/>
      <c r="U1105" s="1779"/>
      <c r="V1105" s="1779"/>
      <c r="W1105" s="43"/>
      <c r="X1105" s="1779"/>
      <c r="Y1105" s="1779"/>
      <c r="Z1105" s="1779"/>
      <c r="AA1105" s="1779"/>
      <c r="AB1105" s="1779"/>
      <c r="AC1105" s="1779"/>
      <c r="AD1105" s="1779"/>
      <c r="AE1105" s="1779"/>
      <c r="AF1105" s="1779"/>
      <c r="AG1105" s="1779"/>
      <c r="AH1105" s="1779"/>
      <c r="AI1105" s="1779"/>
      <c r="AJ1105" s="1779"/>
      <c r="AK1105" s="1779"/>
      <c r="AL1105" s="1779"/>
      <c r="AM1105" s="1779"/>
      <c r="AN1105" s="1779"/>
      <c r="AO1105" s="1779"/>
      <c r="AP1105" s="1779"/>
      <c r="AQ1105" s="1779"/>
      <c r="AR1105" s="1779"/>
      <c r="AS1105" s="1779"/>
      <c r="AT1105" s="1779"/>
      <c r="AU1105" s="1779"/>
      <c r="AV1105" s="1779"/>
    </row>
    <row r="1106" spans="1:48" ht="11.45" customHeight="1">
      <c r="A1106" s="768"/>
      <c r="B1106" s="762" t="s">
        <v>1248</v>
      </c>
      <c r="C1106" s="762" t="s">
        <v>507</v>
      </c>
      <c r="D1106" s="1599"/>
      <c r="E1106" s="2245" t="s">
        <v>1948</v>
      </c>
      <c r="F1106" s="762">
        <v>2233</v>
      </c>
      <c r="G1106" s="879" t="s">
        <v>344</v>
      </c>
      <c r="H1106" s="1727"/>
      <c r="I1106" s="1732">
        <v>7900</v>
      </c>
      <c r="J1106" s="1729"/>
      <c r="K1106" s="1730"/>
      <c r="L1106" s="1750"/>
      <c r="M1106" s="1733">
        <v>8700</v>
      </c>
      <c r="N1106" s="154"/>
      <c r="O1106" s="86"/>
      <c r="P1106" s="1817" t="e">
        <f>INDEX(#REF!,MATCH(F1106,#REF!,0),2)</f>
        <v>#REF!</v>
      </c>
      <c r="Q1106" s="1779"/>
      <c r="R1106" s="1779"/>
      <c r="S1106" s="1779"/>
      <c r="T1106" s="1779"/>
      <c r="U1106" s="1779"/>
      <c r="V1106" s="1779"/>
      <c r="W1106" s="43"/>
      <c r="X1106" s="1779"/>
      <c r="Y1106" s="1779"/>
      <c r="Z1106" s="1779"/>
      <c r="AA1106" s="1779"/>
      <c r="AB1106" s="1779"/>
      <c r="AC1106" s="1779"/>
      <c r="AD1106" s="1779"/>
      <c r="AE1106" s="1779"/>
      <c r="AF1106" s="1779"/>
      <c r="AG1106" s="1779"/>
      <c r="AH1106" s="1779"/>
      <c r="AI1106" s="1779"/>
      <c r="AJ1106" s="1779"/>
      <c r="AK1106" s="1779"/>
      <c r="AL1106" s="1779"/>
      <c r="AM1106" s="1779"/>
      <c r="AN1106" s="1779"/>
      <c r="AO1106" s="1779"/>
      <c r="AP1106" s="1779"/>
      <c r="AQ1106" s="1779"/>
      <c r="AR1106" s="1779"/>
      <c r="AS1106" s="1779"/>
      <c r="AT1106" s="1779"/>
      <c r="AU1106" s="1779"/>
      <c r="AV1106" s="1779"/>
    </row>
    <row r="1107" spans="1:48" ht="11.45" customHeight="1">
      <c r="A1107" s="768"/>
      <c r="B1107" s="762" t="s">
        <v>1248</v>
      </c>
      <c r="C1107" s="762" t="s">
        <v>507</v>
      </c>
      <c r="D1107" s="1599"/>
      <c r="E1107" s="2245" t="s">
        <v>1948</v>
      </c>
      <c r="F1107" s="762">
        <v>2312</v>
      </c>
      <c r="G1107" s="879" t="s">
        <v>350</v>
      </c>
      <c r="H1107" s="1727"/>
      <c r="I1107" s="1731">
        <v>1200</v>
      </c>
      <c r="J1107" s="1729"/>
      <c r="K1107" s="1730"/>
      <c r="L1107" s="1750"/>
      <c r="M1107" s="3630">
        <v>1200</v>
      </c>
      <c r="N1107" s="154"/>
      <c r="O1107" s="86"/>
      <c r="P1107" s="1817" t="e">
        <f>INDEX(#REF!,MATCH(F1107,#REF!,0),2)</f>
        <v>#REF!</v>
      </c>
      <c r="Q1107" s="1779"/>
      <c r="R1107" s="1779"/>
      <c r="S1107" s="1779"/>
      <c r="T1107" s="1779"/>
      <c r="U1107" s="1779"/>
      <c r="V1107" s="1779"/>
      <c r="W1107" s="43"/>
      <c r="X1107" s="1779"/>
      <c r="Y1107" s="1779"/>
      <c r="Z1107" s="1779"/>
      <c r="AA1107" s="1779"/>
      <c r="AB1107" s="1779"/>
      <c r="AC1107" s="1779"/>
      <c r="AD1107" s="1779"/>
      <c r="AE1107" s="1779"/>
      <c r="AF1107" s="1779"/>
      <c r="AG1107" s="1779"/>
      <c r="AH1107" s="1779"/>
      <c r="AI1107" s="1779"/>
      <c r="AJ1107" s="1779"/>
      <c r="AK1107" s="1779"/>
      <c r="AL1107" s="1779"/>
      <c r="AM1107" s="1779"/>
      <c r="AN1107" s="1779"/>
      <c r="AO1107" s="1779"/>
      <c r="AP1107" s="1779"/>
      <c r="AQ1107" s="1779"/>
      <c r="AR1107" s="1779"/>
      <c r="AS1107" s="1779"/>
      <c r="AT1107" s="1779"/>
      <c r="AU1107" s="1779"/>
      <c r="AV1107" s="1779"/>
    </row>
    <row r="1108" spans="1:48" ht="20.45" customHeight="1">
      <c r="A1108" s="768"/>
      <c r="B1108" s="762" t="s">
        <v>1248</v>
      </c>
      <c r="C1108" s="762" t="s">
        <v>507</v>
      </c>
      <c r="D1108" s="1599"/>
      <c r="E1108" s="2245" t="s">
        <v>1948</v>
      </c>
      <c r="F1108" s="762">
        <v>2390</v>
      </c>
      <c r="G1108" s="879" t="s">
        <v>347</v>
      </c>
      <c r="H1108" s="1727"/>
      <c r="I1108" s="1734">
        <v>300</v>
      </c>
      <c r="J1108" s="1729"/>
      <c r="K1108" s="1730"/>
      <c r="L1108" s="1750"/>
      <c r="M1108" s="3631">
        <v>400</v>
      </c>
      <c r="N1108" s="13"/>
      <c r="O1108" s="86"/>
      <c r="P1108" s="1817" t="e">
        <f>INDEX(#REF!,MATCH(F1108,#REF!,0),2)</f>
        <v>#REF!</v>
      </c>
      <c r="Q1108" s="1779"/>
      <c r="R1108" s="1779"/>
      <c r="S1108" s="1779"/>
      <c r="T1108" s="1779"/>
      <c r="U1108" s="1779"/>
      <c r="V1108" s="1779"/>
      <c r="W1108" s="43"/>
      <c r="X1108" s="1779"/>
      <c r="Y1108" s="1779"/>
      <c r="Z1108" s="1779"/>
      <c r="AA1108" s="1779"/>
      <c r="AB1108" s="1779"/>
      <c r="AC1108" s="1779"/>
      <c r="AD1108" s="1779"/>
      <c r="AE1108" s="1779"/>
      <c r="AF1108" s="1779"/>
      <c r="AG1108" s="1779"/>
      <c r="AH1108" s="1779"/>
      <c r="AI1108" s="1779"/>
      <c r="AJ1108" s="1779"/>
      <c r="AK1108" s="1779"/>
      <c r="AL1108" s="1779"/>
      <c r="AM1108" s="1779"/>
      <c r="AN1108" s="1779"/>
      <c r="AO1108" s="1779"/>
      <c r="AP1108" s="1779"/>
      <c r="AQ1108" s="1779"/>
      <c r="AR1108" s="1779"/>
      <c r="AS1108" s="1779"/>
      <c r="AT1108" s="1779"/>
      <c r="AU1108" s="1779"/>
      <c r="AV1108" s="1779"/>
    </row>
    <row r="1109" spans="1:48" ht="11.45" customHeight="1">
      <c r="A1109" s="768"/>
      <c r="B1109" s="762" t="s">
        <v>1248</v>
      </c>
      <c r="C1109" s="762" t="s">
        <v>507</v>
      </c>
      <c r="D1109" s="1599"/>
      <c r="E1109" s="2245" t="s">
        <v>1948</v>
      </c>
      <c r="F1109" s="891">
        <v>2239</v>
      </c>
      <c r="G1109" s="879" t="s">
        <v>346</v>
      </c>
      <c r="H1109" s="1727"/>
      <c r="I1109" s="1728">
        <v>300</v>
      </c>
      <c r="J1109" s="1729"/>
      <c r="K1109" s="1730"/>
      <c r="L1109" s="1750"/>
      <c r="M1109" s="3629">
        <v>500</v>
      </c>
      <c r="N1109" s="13" t="s">
        <v>4900</v>
      </c>
      <c r="O1109" s="86"/>
      <c r="P1109" s="1817" t="e">
        <f>INDEX(#REF!,MATCH(F1109,#REF!,0),2)</f>
        <v>#REF!</v>
      </c>
      <c r="Q1109" s="1779"/>
      <c r="R1109" s="1779"/>
      <c r="S1109" s="1779"/>
      <c r="T1109" s="1779"/>
      <c r="U1109" s="1779"/>
      <c r="V1109" s="1779"/>
      <c r="W1109" s="43"/>
      <c r="X1109" s="1779"/>
      <c r="Y1109" s="1779"/>
      <c r="Z1109" s="1779"/>
      <c r="AA1109" s="1779"/>
      <c r="AB1109" s="1779"/>
      <c r="AC1109" s="1779"/>
      <c r="AD1109" s="1779"/>
      <c r="AE1109" s="1779"/>
      <c r="AF1109" s="1779"/>
      <c r="AG1109" s="1779"/>
      <c r="AH1109" s="1779"/>
      <c r="AI1109" s="1779"/>
      <c r="AJ1109" s="1779"/>
      <c r="AK1109" s="1779"/>
      <c r="AL1109" s="1779"/>
      <c r="AM1109" s="1779"/>
      <c r="AN1109" s="1779"/>
      <c r="AO1109" s="1779"/>
      <c r="AP1109" s="1779"/>
      <c r="AQ1109" s="1779"/>
      <c r="AR1109" s="1779"/>
      <c r="AS1109" s="1779"/>
      <c r="AT1109" s="1779"/>
      <c r="AU1109" s="1779"/>
      <c r="AV1109" s="1779"/>
    </row>
    <row r="1110" spans="1:48" ht="23.45" customHeight="1">
      <c r="A1110" s="889"/>
      <c r="B1110" s="889"/>
      <c r="C1110" s="889"/>
      <c r="D1110" s="1611"/>
      <c r="E1110" s="2287" t="s">
        <v>1948</v>
      </c>
      <c r="F1110" s="890"/>
      <c r="G1110" s="899" t="s">
        <v>351</v>
      </c>
      <c r="H1110" s="53"/>
      <c r="I1110" s="305">
        <v>12550</v>
      </c>
      <c r="J1110" s="273"/>
      <c r="K1110" s="888">
        <v>0.63346613545816743</v>
      </c>
      <c r="L1110" s="1495"/>
      <c r="M1110" s="3633">
        <v>20500</v>
      </c>
      <c r="N1110" s="395"/>
      <c r="O1110" s="86"/>
      <c r="P1110" s="1817" t="e">
        <f>INDEX(#REF!,MATCH(F1110,#REF!,0),2)</f>
        <v>#REF!</v>
      </c>
      <c r="Q1110" s="1779"/>
      <c r="R1110" s="1779"/>
      <c r="S1110" s="1779"/>
      <c r="T1110" s="1779"/>
      <c r="U1110" s="1779"/>
      <c r="V1110" s="1779"/>
      <c r="W1110" s="43"/>
      <c r="X1110" s="1779"/>
      <c r="Y1110" s="1779"/>
      <c r="Z1110" s="1779"/>
      <c r="AA1110" s="1779"/>
      <c r="AB1110" s="1779"/>
      <c r="AC1110" s="1779"/>
      <c r="AD1110" s="1779"/>
      <c r="AE1110" s="1779"/>
      <c r="AF1110" s="1779"/>
      <c r="AG1110" s="1779"/>
      <c r="AH1110" s="1779"/>
      <c r="AI1110" s="1779"/>
      <c r="AJ1110" s="1779"/>
      <c r="AK1110" s="1779"/>
      <c r="AL1110" s="1779"/>
      <c r="AM1110" s="1779"/>
      <c r="AN1110" s="1779"/>
      <c r="AO1110" s="1779"/>
      <c r="AP1110" s="1779"/>
      <c r="AQ1110" s="1779"/>
      <c r="AR1110" s="1779"/>
      <c r="AS1110" s="1779"/>
      <c r="AT1110" s="1779"/>
      <c r="AU1110" s="1779"/>
      <c r="AV1110" s="1779"/>
    </row>
    <row r="1111" spans="1:48" ht="13.9" customHeight="1">
      <c r="A1111" s="768"/>
      <c r="B1111" s="762" t="s">
        <v>1248</v>
      </c>
      <c r="C1111" s="762" t="s">
        <v>507</v>
      </c>
      <c r="D1111" s="1599"/>
      <c r="E1111" s="2245" t="s">
        <v>1948</v>
      </c>
      <c r="F1111" s="891">
        <v>2239</v>
      </c>
      <c r="G1111" s="880" t="s">
        <v>611</v>
      </c>
      <c r="H1111" s="1727"/>
      <c r="I1111" s="1728">
        <v>3200</v>
      </c>
      <c r="J1111" s="1729"/>
      <c r="K1111" s="1730"/>
      <c r="L1111" s="1750"/>
      <c r="M1111" s="3629">
        <v>4000</v>
      </c>
      <c r="N1111" s="154" t="s">
        <v>4901</v>
      </c>
      <c r="O1111" s="86"/>
      <c r="P1111" s="1817" t="e">
        <f>INDEX(#REF!,MATCH(F1111,#REF!,0),2)</f>
        <v>#REF!</v>
      </c>
      <c r="Q1111" s="1779"/>
      <c r="R1111" s="1779"/>
      <c r="S1111" s="1779"/>
      <c r="T1111" s="1779"/>
      <c r="U1111" s="1779"/>
      <c r="V1111" s="1779"/>
      <c r="W1111" s="43"/>
      <c r="X1111" s="1779"/>
      <c r="Y1111" s="1779"/>
      <c r="Z1111" s="1779"/>
      <c r="AA1111" s="1779"/>
      <c r="AB1111" s="1779"/>
      <c r="AC1111" s="1779"/>
      <c r="AD1111" s="1779"/>
      <c r="AE1111" s="1779"/>
      <c r="AF1111" s="1779"/>
      <c r="AG1111" s="1779"/>
      <c r="AH1111" s="1779"/>
      <c r="AI1111" s="1779"/>
      <c r="AJ1111" s="1779"/>
      <c r="AK1111" s="1779"/>
      <c r="AL1111" s="1779"/>
      <c r="AM1111" s="1779"/>
      <c r="AN1111" s="1779"/>
      <c r="AO1111" s="1779"/>
      <c r="AP1111" s="1779"/>
      <c r="AQ1111" s="1779"/>
      <c r="AR1111" s="1779"/>
      <c r="AS1111" s="1779"/>
      <c r="AT1111" s="1779"/>
      <c r="AU1111" s="1779"/>
      <c r="AV1111" s="1779"/>
    </row>
    <row r="1112" spans="1:48" ht="34.15" customHeight="1">
      <c r="A1112" s="768"/>
      <c r="B1112" s="762" t="s">
        <v>1248</v>
      </c>
      <c r="C1112" s="762" t="s">
        <v>507</v>
      </c>
      <c r="D1112" s="1599"/>
      <c r="E1112" s="2245" t="s">
        <v>1948</v>
      </c>
      <c r="F1112" s="891">
        <v>2239</v>
      </c>
      <c r="G1112" s="880" t="s">
        <v>340</v>
      </c>
      <c r="H1112" s="1727"/>
      <c r="I1112" s="1728">
        <v>1750</v>
      </c>
      <c r="J1112" s="1729"/>
      <c r="K1112" s="1730"/>
      <c r="L1112" s="1750"/>
      <c r="M1112" s="3629">
        <v>2100</v>
      </c>
      <c r="N1112" s="154" t="s">
        <v>4902</v>
      </c>
      <c r="O1112" s="86"/>
      <c r="P1112" s="1817" t="e">
        <f>INDEX(#REF!,MATCH(F1112,#REF!,0),2)</f>
        <v>#REF!</v>
      </c>
      <c r="Q1112" s="1779"/>
      <c r="R1112" s="1779"/>
      <c r="S1112" s="1779"/>
      <c r="T1112" s="1779"/>
      <c r="U1112" s="1779"/>
      <c r="V1112" s="1779"/>
      <c r="W1112" s="43"/>
      <c r="X1112" s="1779"/>
      <c r="Y1112" s="1779"/>
      <c r="Z1112" s="1779"/>
      <c r="AA1112" s="1779"/>
      <c r="AB1112" s="1779"/>
      <c r="AC1112" s="1779"/>
      <c r="AD1112" s="1779"/>
      <c r="AE1112" s="1779"/>
      <c r="AF1112" s="1779"/>
      <c r="AG1112" s="1779"/>
      <c r="AH1112" s="1779"/>
      <c r="AI1112" s="1779"/>
      <c r="AJ1112" s="1779"/>
      <c r="AK1112" s="1779"/>
      <c r="AL1112" s="1779"/>
      <c r="AM1112" s="1779"/>
      <c r="AN1112" s="1779"/>
      <c r="AO1112" s="1779"/>
      <c r="AP1112" s="1779"/>
      <c r="AQ1112" s="1779"/>
      <c r="AR1112" s="1779"/>
      <c r="AS1112" s="1779"/>
      <c r="AT1112" s="1779"/>
      <c r="AU1112" s="1779"/>
      <c r="AV1112" s="1779"/>
    </row>
    <row r="1113" spans="1:48" ht="20.45" customHeight="1">
      <c r="A1113" s="768"/>
      <c r="B1113" s="762" t="s">
        <v>1248</v>
      </c>
      <c r="C1113" s="762" t="s">
        <v>507</v>
      </c>
      <c r="D1113" s="1599"/>
      <c r="E1113" s="2245" t="s">
        <v>1948</v>
      </c>
      <c r="F1113" s="762">
        <v>2261</v>
      </c>
      <c r="G1113" s="895" t="s">
        <v>987</v>
      </c>
      <c r="H1113" s="1727"/>
      <c r="I1113" s="1736"/>
      <c r="J1113" s="1729"/>
      <c r="K1113" s="1730"/>
      <c r="L1113" s="1750"/>
      <c r="M1113" s="3637">
        <v>6000</v>
      </c>
      <c r="N1113" s="154" t="s">
        <v>4903</v>
      </c>
      <c r="O1113" s="86"/>
      <c r="P1113" s="1817" t="e">
        <f>INDEX(#REF!,MATCH(F1113,#REF!,0),2)</f>
        <v>#REF!</v>
      </c>
      <c r="Q1113" s="1779"/>
      <c r="R1113" s="1779"/>
      <c r="S1113" s="1779"/>
      <c r="T1113" s="1779"/>
      <c r="U1113" s="1779"/>
      <c r="V1113" s="1779"/>
      <c r="W1113" s="43"/>
      <c r="X1113" s="1779"/>
      <c r="Y1113" s="1779"/>
      <c r="Z1113" s="1779"/>
      <c r="AA1113" s="1779"/>
      <c r="AB1113" s="1779"/>
      <c r="AC1113" s="1779"/>
      <c r="AD1113" s="1779"/>
      <c r="AE1113" s="1779"/>
      <c r="AF1113" s="1779"/>
      <c r="AG1113" s="1779"/>
      <c r="AH1113" s="1779"/>
      <c r="AI1113" s="1779"/>
      <c r="AJ1113" s="1779"/>
      <c r="AK1113" s="1779"/>
      <c r="AL1113" s="1779"/>
      <c r="AM1113" s="1779"/>
      <c r="AN1113" s="1779"/>
      <c r="AO1113" s="1779"/>
      <c r="AP1113" s="1779"/>
      <c r="AQ1113" s="1779"/>
      <c r="AR1113" s="1779"/>
      <c r="AS1113" s="1779"/>
      <c r="AT1113" s="1779"/>
      <c r="AU1113" s="1779"/>
      <c r="AV1113" s="1779"/>
    </row>
    <row r="1114" spans="1:48" ht="11.45" customHeight="1">
      <c r="A1114" s="768"/>
      <c r="B1114" s="762" t="s">
        <v>1248</v>
      </c>
      <c r="C1114" s="762" t="s">
        <v>507</v>
      </c>
      <c r="D1114" s="1599"/>
      <c r="E1114" s="2245" t="s">
        <v>1948</v>
      </c>
      <c r="F1114" s="891">
        <v>2239</v>
      </c>
      <c r="G1114" s="895" t="s">
        <v>346</v>
      </c>
      <c r="H1114" s="1727"/>
      <c r="I1114" s="1728">
        <v>900</v>
      </c>
      <c r="J1114" s="1729"/>
      <c r="K1114" s="1730"/>
      <c r="L1114" s="1750"/>
      <c r="M1114" s="3629">
        <v>900</v>
      </c>
      <c r="N1114" s="149"/>
      <c r="O1114" s="86"/>
      <c r="P1114" s="1817" t="e">
        <f>INDEX(#REF!,MATCH(F1114,#REF!,0),2)</f>
        <v>#REF!</v>
      </c>
      <c r="Q1114" s="1779"/>
      <c r="R1114" s="1779"/>
      <c r="S1114" s="1779"/>
      <c r="T1114" s="1779"/>
      <c r="U1114" s="1779"/>
      <c r="V1114" s="1779"/>
      <c r="W1114" s="43"/>
      <c r="X1114" s="1779"/>
      <c r="Y1114" s="1779"/>
      <c r="Z1114" s="1779"/>
      <c r="AA1114" s="1779"/>
      <c r="AB1114" s="1779"/>
      <c r="AC1114" s="1779"/>
      <c r="AD1114" s="1779"/>
      <c r="AE1114" s="1779"/>
      <c r="AF1114" s="1779"/>
      <c r="AG1114" s="1779"/>
      <c r="AH1114" s="1779"/>
      <c r="AI1114" s="1779"/>
      <c r="AJ1114" s="1779"/>
      <c r="AK1114" s="1779"/>
      <c r="AL1114" s="1779"/>
      <c r="AM1114" s="1779"/>
      <c r="AN1114" s="1779"/>
      <c r="AO1114" s="1779"/>
      <c r="AP1114" s="1779"/>
      <c r="AQ1114" s="1779"/>
      <c r="AR1114" s="1779"/>
      <c r="AS1114" s="1779"/>
      <c r="AT1114" s="1779"/>
      <c r="AU1114" s="1779"/>
      <c r="AV1114" s="1779"/>
    </row>
    <row r="1115" spans="1:48" ht="11.45" customHeight="1">
      <c r="A1115" s="768"/>
      <c r="B1115" s="762" t="s">
        <v>1248</v>
      </c>
      <c r="C1115" s="762" t="s">
        <v>507</v>
      </c>
      <c r="D1115" s="1599"/>
      <c r="E1115" s="2245" t="s">
        <v>1948</v>
      </c>
      <c r="F1115" s="762">
        <v>2312</v>
      </c>
      <c r="G1115" s="895" t="s">
        <v>350</v>
      </c>
      <c r="H1115" s="1727"/>
      <c r="I1115" s="1731">
        <v>1200</v>
      </c>
      <c r="J1115" s="1729"/>
      <c r="K1115" s="1730"/>
      <c r="L1115" s="1750"/>
      <c r="M1115" s="3630">
        <v>1200</v>
      </c>
      <c r="N1115" s="149"/>
      <c r="O1115" s="86"/>
      <c r="P1115" s="1817" t="e">
        <f>INDEX(#REF!,MATCH(F1115,#REF!,0),2)</f>
        <v>#REF!</v>
      </c>
      <c r="Q1115" s="1779"/>
      <c r="R1115" s="1779"/>
      <c r="S1115" s="1779"/>
      <c r="T1115" s="1779"/>
      <c r="U1115" s="1779"/>
      <c r="V1115" s="1779"/>
      <c r="W1115" s="43"/>
      <c r="X1115" s="1779"/>
      <c r="Y1115" s="1779"/>
      <c r="Z1115" s="1779"/>
      <c r="AA1115" s="1779"/>
      <c r="AB1115" s="1779"/>
      <c r="AC1115" s="1779"/>
      <c r="AD1115" s="1779"/>
      <c r="AE1115" s="1779"/>
      <c r="AF1115" s="1779"/>
      <c r="AG1115" s="1779"/>
      <c r="AH1115" s="1779"/>
      <c r="AI1115" s="1779"/>
      <c r="AJ1115" s="1779"/>
      <c r="AK1115" s="1779"/>
      <c r="AL1115" s="1779"/>
      <c r="AM1115" s="1779"/>
      <c r="AN1115" s="1779"/>
      <c r="AO1115" s="1779"/>
      <c r="AP1115" s="1779"/>
      <c r="AQ1115" s="1779"/>
      <c r="AR1115" s="1779"/>
      <c r="AS1115" s="1779"/>
      <c r="AT1115" s="1779"/>
      <c r="AU1115" s="1779"/>
      <c r="AV1115" s="1779"/>
    </row>
    <row r="1116" spans="1:48" ht="14.45" customHeight="1">
      <c r="A1116" s="768"/>
      <c r="B1116" s="762" t="s">
        <v>1248</v>
      </c>
      <c r="C1116" s="762" t="s">
        <v>507</v>
      </c>
      <c r="D1116" s="1599"/>
      <c r="E1116" s="2245" t="s">
        <v>1948</v>
      </c>
      <c r="F1116" s="762">
        <v>2390</v>
      </c>
      <c r="G1116" s="895" t="s">
        <v>342</v>
      </c>
      <c r="H1116" s="1727"/>
      <c r="I1116" s="1734">
        <v>500</v>
      </c>
      <c r="J1116" s="1729"/>
      <c r="K1116" s="1730"/>
      <c r="L1116" s="1750"/>
      <c r="M1116" s="3631">
        <v>500</v>
      </c>
      <c r="N1116" s="149"/>
      <c r="O1116" s="86"/>
      <c r="P1116" s="1817" t="e">
        <f>INDEX(#REF!,MATCH(F1116,#REF!,0),2)</f>
        <v>#REF!</v>
      </c>
      <c r="Q1116" s="1779"/>
      <c r="R1116" s="1779"/>
      <c r="S1116" s="1779"/>
      <c r="T1116" s="1779"/>
      <c r="U1116" s="1779"/>
      <c r="V1116" s="1779"/>
      <c r="W1116" s="43"/>
      <c r="X1116" s="1779"/>
      <c r="Y1116" s="1779"/>
      <c r="Z1116" s="1779"/>
      <c r="AA1116" s="1779"/>
      <c r="AB1116" s="1779"/>
      <c r="AC1116" s="1779"/>
      <c r="AD1116" s="1779"/>
      <c r="AE1116" s="1779"/>
      <c r="AF1116" s="1779"/>
      <c r="AG1116" s="1779"/>
      <c r="AH1116" s="1779"/>
      <c r="AI1116" s="1779"/>
      <c r="AJ1116" s="1779"/>
      <c r="AK1116" s="1779"/>
      <c r="AL1116" s="1779"/>
      <c r="AM1116" s="1779"/>
      <c r="AN1116" s="1779"/>
      <c r="AO1116" s="1779"/>
      <c r="AP1116" s="1779"/>
      <c r="AQ1116" s="1779"/>
      <c r="AR1116" s="1779"/>
      <c r="AS1116" s="1779"/>
      <c r="AT1116" s="1779"/>
      <c r="AU1116" s="1779"/>
      <c r="AV1116" s="1779"/>
    </row>
    <row r="1117" spans="1:48" ht="11.45" customHeight="1">
      <c r="A1117" s="1000"/>
      <c r="B1117" s="762" t="s">
        <v>1248</v>
      </c>
      <c r="C1117" s="762" t="s">
        <v>507</v>
      </c>
      <c r="D1117" s="1599"/>
      <c r="E1117" s="2245" t="s">
        <v>1948</v>
      </c>
      <c r="F1117" s="762">
        <v>2233</v>
      </c>
      <c r="G1117" s="1159" t="s">
        <v>344</v>
      </c>
      <c r="H1117" s="1727"/>
      <c r="I1117" s="1733">
        <v>5000</v>
      </c>
      <c r="J1117" s="1729"/>
      <c r="K1117" s="1730"/>
      <c r="L1117" s="1750"/>
      <c r="M1117" s="1733">
        <v>5800</v>
      </c>
      <c r="N1117" s="149"/>
      <c r="O1117" s="86"/>
      <c r="P1117" s="1817" t="e">
        <f>INDEX(#REF!,MATCH(F1117,#REF!,0),2)</f>
        <v>#REF!</v>
      </c>
      <c r="Q1117" s="1779"/>
      <c r="R1117" s="1779"/>
      <c r="S1117" s="1779"/>
      <c r="T1117" s="1779"/>
      <c r="U1117" s="1779"/>
      <c r="V1117" s="1779"/>
      <c r="W1117" s="43"/>
      <c r="X1117" s="1779"/>
      <c r="Y1117" s="1779"/>
      <c r="Z1117" s="1779"/>
      <c r="AA1117" s="1779"/>
      <c r="AB1117" s="1779"/>
      <c r="AC1117" s="1779"/>
      <c r="AD1117" s="1779"/>
      <c r="AE1117" s="1779"/>
      <c r="AF1117" s="1779"/>
      <c r="AG1117" s="1779"/>
      <c r="AH1117" s="1779"/>
      <c r="AI1117" s="1779"/>
      <c r="AJ1117" s="1779"/>
      <c r="AK1117" s="1779"/>
      <c r="AL1117" s="1779"/>
      <c r="AM1117" s="1779"/>
      <c r="AN1117" s="1779"/>
      <c r="AO1117" s="1779"/>
      <c r="AP1117" s="1779"/>
      <c r="AQ1117" s="1779"/>
      <c r="AR1117" s="1779"/>
      <c r="AS1117" s="1779"/>
      <c r="AT1117" s="1779"/>
      <c r="AU1117" s="1779"/>
      <c r="AV1117" s="1779"/>
    </row>
    <row r="1118" spans="1:48" ht="30.6" customHeight="1">
      <c r="A1118" s="889"/>
      <c r="B1118" s="889"/>
      <c r="C1118" s="889"/>
      <c r="D1118" s="1611"/>
      <c r="E1118" s="2287" t="s">
        <v>1948</v>
      </c>
      <c r="F1118" s="890"/>
      <c r="G1118" s="899" t="s">
        <v>352</v>
      </c>
      <c r="H1118" s="53"/>
      <c r="I1118" s="305">
        <v>16000</v>
      </c>
      <c r="J1118" s="273"/>
      <c r="K1118" s="888">
        <v>0.14687500000000009</v>
      </c>
      <c r="L1118" s="1495"/>
      <c r="M1118" s="3633">
        <v>18350</v>
      </c>
      <c r="N1118" s="395"/>
      <c r="O1118" s="86"/>
      <c r="P1118" s="1817" t="e">
        <f>INDEX(#REF!,MATCH(F1118,#REF!,0),2)</f>
        <v>#REF!</v>
      </c>
      <c r="Q1118" s="1779"/>
      <c r="R1118" s="1779"/>
      <c r="S1118" s="1779"/>
      <c r="T1118" s="1779"/>
      <c r="U1118" s="1779"/>
      <c r="V1118" s="1779"/>
      <c r="W1118" s="43"/>
      <c r="X1118" s="1779"/>
      <c r="Y1118" s="1779"/>
      <c r="Z1118" s="1779"/>
      <c r="AA1118" s="1779"/>
      <c r="AB1118" s="1779"/>
      <c r="AC1118" s="1779"/>
      <c r="AD1118" s="1779"/>
      <c r="AE1118" s="1779"/>
      <c r="AF1118" s="1779"/>
      <c r="AG1118" s="1779"/>
      <c r="AH1118" s="1779"/>
      <c r="AI1118" s="1779"/>
      <c r="AJ1118" s="1779"/>
      <c r="AK1118" s="1779"/>
      <c r="AL1118" s="1779"/>
      <c r="AM1118" s="1779"/>
      <c r="AN1118" s="1779"/>
      <c r="AO1118" s="1779"/>
      <c r="AP1118" s="1779"/>
      <c r="AQ1118" s="1779"/>
      <c r="AR1118" s="1779"/>
      <c r="AS1118" s="1779"/>
      <c r="AT1118" s="1779"/>
      <c r="AU1118" s="1779"/>
      <c r="AV1118" s="1779"/>
    </row>
    <row r="1119" spans="1:48" ht="10.9" customHeight="1">
      <c r="A1119" s="768"/>
      <c r="B1119" s="762" t="s">
        <v>1248</v>
      </c>
      <c r="C1119" s="762" t="s">
        <v>507</v>
      </c>
      <c r="D1119" s="1599"/>
      <c r="E1119" s="2245" t="s">
        <v>1948</v>
      </c>
      <c r="F1119" s="891">
        <v>2239</v>
      </c>
      <c r="G1119" s="880" t="s">
        <v>353</v>
      </c>
      <c r="H1119" s="1727"/>
      <c r="I1119" s="1728">
        <v>2800</v>
      </c>
      <c r="J1119" s="1729"/>
      <c r="K1119" s="1730"/>
      <c r="L1119" s="1750"/>
      <c r="M1119" s="3629">
        <v>4000</v>
      </c>
      <c r="N1119" s="154" t="s">
        <v>4904</v>
      </c>
      <c r="O1119" s="86"/>
      <c r="P1119" s="1817" t="e">
        <f>INDEX(#REF!,MATCH(F1119,#REF!,0),2)</f>
        <v>#REF!</v>
      </c>
      <c r="Q1119" s="1779"/>
      <c r="R1119" s="1779"/>
      <c r="S1119" s="1779"/>
      <c r="T1119" s="1779"/>
      <c r="U1119" s="1779"/>
      <c r="V1119" s="1779"/>
      <c r="W1119" s="43"/>
      <c r="X1119" s="1779"/>
      <c r="Y1119" s="1779"/>
      <c r="Z1119" s="1779"/>
      <c r="AA1119" s="1779"/>
      <c r="AB1119" s="1779"/>
      <c r="AC1119" s="1779"/>
      <c r="AD1119" s="1779"/>
      <c r="AE1119" s="1779"/>
      <c r="AF1119" s="1779"/>
      <c r="AG1119" s="1779"/>
      <c r="AH1119" s="1779"/>
      <c r="AI1119" s="1779"/>
      <c r="AJ1119" s="1779"/>
      <c r="AK1119" s="1779"/>
      <c r="AL1119" s="1779"/>
      <c r="AM1119" s="1779"/>
      <c r="AN1119" s="1779"/>
      <c r="AO1119" s="1779"/>
      <c r="AP1119" s="1779"/>
      <c r="AQ1119" s="1779"/>
      <c r="AR1119" s="1779"/>
      <c r="AS1119" s="1779"/>
      <c r="AT1119" s="1779"/>
      <c r="AU1119" s="1779"/>
      <c r="AV1119" s="1779"/>
    </row>
    <row r="1120" spans="1:48" ht="11.45" customHeight="1">
      <c r="A1120" s="768"/>
      <c r="B1120" s="762" t="s">
        <v>1248</v>
      </c>
      <c r="C1120" s="762" t="s">
        <v>507</v>
      </c>
      <c r="D1120" s="1599"/>
      <c r="E1120" s="2245" t="s">
        <v>1948</v>
      </c>
      <c r="F1120" s="891">
        <v>2233</v>
      </c>
      <c r="G1120" s="895" t="s">
        <v>344</v>
      </c>
      <c r="H1120" s="1727"/>
      <c r="I1120" s="1732">
        <v>6500</v>
      </c>
      <c r="J1120" s="1729"/>
      <c r="K1120" s="1730"/>
      <c r="L1120" s="1750"/>
      <c r="M1120" s="1733">
        <v>7300</v>
      </c>
      <c r="N1120" s="154"/>
      <c r="O1120" s="86"/>
      <c r="P1120" s="1817" t="e">
        <f>INDEX(#REF!,MATCH(F1120,#REF!,0),2)</f>
        <v>#REF!</v>
      </c>
      <c r="Q1120" s="1779"/>
      <c r="R1120" s="1779"/>
      <c r="S1120" s="1779"/>
      <c r="T1120" s="1779"/>
      <c r="U1120" s="1779"/>
      <c r="V1120" s="1779"/>
      <c r="W1120" s="43"/>
      <c r="X1120" s="1779"/>
      <c r="Y1120" s="1779"/>
      <c r="Z1120" s="1779"/>
      <c r="AA1120" s="1779"/>
      <c r="AB1120" s="1779"/>
      <c r="AC1120" s="1779"/>
      <c r="AD1120" s="1779"/>
      <c r="AE1120" s="1779"/>
      <c r="AF1120" s="1779"/>
      <c r="AG1120" s="1779"/>
      <c r="AH1120" s="1779"/>
      <c r="AI1120" s="1779"/>
      <c r="AJ1120" s="1779"/>
      <c r="AK1120" s="1779"/>
      <c r="AL1120" s="1779"/>
      <c r="AM1120" s="1779"/>
      <c r="AN1120" s="1779"/>
      <c r="AO1120" s="1779"/>
      <c r="AP1120" s="1779"/>
      <c r="AQ1120" s="1779"/>
      <c r="AR1120" s="1779"/>
      <c r="AS1120" s="1779"/>
      <c r="AT1120" s="1779"/>
      <c r="AU1120" s="1779"/>
      <c r="AV1120" s="1779"/>
    </row>
    <row r="1121" spans="1:48" ht="11.45" customHeight="1">
      <c r="A1121" s="768"/>
      <c r="B1121" s="762" t="s">
        <v>1248</v>
      </c>
      <c r="C1121" s="762" t="s">
        <v>507</v>
      </c>
      <c r="D1121" s="1599"/>
      <c r="E1121" s="2245" t="s">
        <v>1948</v>
      </c>
      <c r="F1121" s="891">
        <v>2239</v>
      </c>
      <c r="G1121" s="895" t="s">
        <v>354</v>
      </c>
      <c r="H1121" s="1727"/>
      <c r="I1121" s="1728">
        <v>2800</v>
      </c>
      <c r="J1121" s="1729"/>
      <c r="K1121" s="1730"/>
      <c r="L1121" s="1750"/>
      <c r="M1121" s="3629">
        <v>3150</v>
      </c>
      <c r="N1121" s="154" t="s">
        <v>4905</v>
      </c>
      <c r="O1121" s="86"/>
      <c r="P1121" s="1817" t="e">
        <f>INDEX(#REF!,MATCH(F1121,#REF!,0),2)</f>
        <v>#REF!</v>
      </c>
      <c r="Q1121" s="1779"/>
      <c r="R1121" s="1779"/>
      <c r="S1121" s="1779"/>
      <c r="T1121" s="1779"/>
      <c r="U1121" s="1779"/>
      <c r="V1121" s="1779"/>
      <c r="W1121" s="43"/>
      <c r="X1121" s="1779"/>
      <c r="Y1121" s="1779"/>
      <c r="Z1121" s="1779"/>
      <c r="AA1121" s="1779"/>
      <c r="AB1121" s="1779"/>
      <c r="AC1121" s="1779"/>
      <c r="AD1121" s="1779"/>
      <c r="AE1121" s="1779"/>
      <c r="AF1121" s="1779"/>
      <c r="AG1121" s="1779"/>
      <c r="AH1121" s="1779"/>
      <c r="AI1121" s="1779"/>
      <c r="AJ1121" s="1779"/>
      <c r="AK1121" s="1779"/>
      <c r="AL1121" s="1779"/>
      <c r="AM1121" s="1779"/>
      <c r="AN1121" s="1779"/>
      <c r="AO1121" s="1779"/>
      <c r="AP1121" s="1779"/>
      <c r="AQ1121" s="1779"/>
      <c r="AR1121" s="1779"/>
      <c r="AS1121" s="1779"/>
      <c r="AT1121" s="1779"/>
      <c r="AU1121" s="1779"/>
      <c r="AV1121" s="1779"/>
    </row>
    <row r="1122" spans="1:48" ht="11.45" customHeight="1">
      <c r="A1122" s="768"/>
      <c r="B1122" s="762" t="s">
        <v>1248</v>
      </c>
      <c r="C1122" s="762" t="s">
        <v>507</v>
      </c>
      <c r="D1122" s="1599"/>
      <c r="E1122" s="2245" t="s">
        <v>1948</v>
      </c>
      <c r="F1122" s="891">
        <v>2312</v>
      </c>
      <c r="G1122" s="895" t="s">
        <v>339</v>
      </c>
      <c r="H1122" s="1727"/>
      <c r="I1122" s="1731">
        <v>1200</v>
      </c>
      <c r="J1122" s="1729"/>
      <c r="K1122" s="1730"/>
      <c r="L1122" s="1750"/>
      <c r="M1122" s="3630">
        <v>1200</v>
      </c>
      <c r="N1122" s="13"/>
      <c r="O1122" s="86"/>
      <c r="P1122" s="1817" t="e">
        <f>INDEX(#REF!,MATCH(F1122,#REF!,0),2)</f>
        <v>#REF!</v>
      </c>
      <c r="Q1122" s="1779"/>
      <c r="R1122" s="1779"/>
      <c r="S1122" s="1779"/>
      <c r="T1122" s="1779"/>
      <c r="U1122" s="1779"/>
      <c r="V1122" s="1779"/>
      <c r="W1122" s="43"/>
      <c r="X1122" s="1779"/>
      <c r="Y1122" s="1779"/>
      <c r="Z1122" s="1779"/>
      <c r="AA1122" s="1779"/>
      <c r="AB1122" s="1779"/>
      <c r="AC1122" s="1779"/>
      <c r="AD1122" s="1779"/>
      <c r="AE1122" s="1779"/>
      <c r="AF1122" s="1779"/>
      <c r="AG1122" s="1779"/>
      <c r="AH1122" s="1779"/>
      <c r="AI1122" s="1779"/>
      <c r="AJ1122" s="1779"/>
      <c r="AK1122" s="1779"/>
      <c r="AL1122" s="1779"/>
      <c r="AM1122" s="1779"/>
      <c r="AN1122" s="1779"/>
      <c r="AO1122" s="1779"/>
      <c r="AP1122" s="1779"/>
      <c r="AQ1122" s="1779"/>
      <c r="AR1122" s="1779"/>
      <c r="AS1122" s="1779"/>
      <c r="AT1122" s="1779"/>
      <c r="AU1122" s="1779"/>
      <c r="AV1122" s="1779"/>
    </row>
    <row r="1123" spans="1:48" ht="20.45" customHeight="1">
      <c r="A1123" s="768"/>
      <c r="B1123" s="762" t="s">
        <v>1248</v>
      </c>
      <c r="C1123" s="762" t="s">
        <v>507</v>
      </c>
      <c r="D1123" s="1599"/>
      <c r="E1123" s="2245" t="s">
        <v>1948</v>
      </c>
      <c r="F1123" s="891">
        <v>2239</v>
      </c>
      <c r="G1123" s="895" t="s">
        <v>341</v>
      </c>
      <c r="H1123" s="1727"/>
      <c r="I1123" s="1728">
        <v>200</v>
      </c>
      <c r="J1123" s="1729"/>
      <c r="K1123" s="1730"/>
      <c r="L1123" s="1750"/>
      <c r="M1123" s="3629">
        <v>200</v>
      </c>
      <c r="N1123" s="13"/>
      <c r="O1123" s="86"/>
      <c r="P1123" s="1817" t="e">
        <f>INDEX(#REF!,MATCH(F1123,#REF!,0),2)</f>
        <v>#REF!</v>
      </c>
      <c r="Q1123" s="1779"/>
      <c r="R1123" s="1779"/>
      <c r="S1123" s="1779"/>
      <c r="T1123" s="1779"/>
      <c r="U1123" s="1779"/>
      <c r="V1123" s="1779"/>
      <c r="W1123" s="43"/>
      <c r="X1123" s="1779"/>
      <c r="Y1123" s="1779"/>
      <c r="Z1123" s="1779"/>
      <c r="AA1123" s="1779"/>
      <c r="AB1123" s="1779"/>
      <c r="AC1123" s="1779"/>
      <c r="AD1123" s="1779"/>
      <c r="AE1123" s="1779"/>
      <c r="AF1123" s="1779"/>
      <c r="AG1123" s="1779"/>
      <c r="AH1123" s="1779"/>
      <c r="AI1123" s="1779"/>
      <c r="AJ1123" s="1779"/>
      <c r="AK1123" s="1779"/>
      <c r="AL1123" s="1779"/>
      <c r="AM1123" s="1779"/>
      <c r="AN1123" s="1779"/>
      <c r="AO1123" s="1779"/>
      <c r="AP1123" s="1779"/>
      <c r="AQ1123" s="1779"/>
      <c r="AR1123" s="1779"/>
      <c r="AS1123" s="1779"/>
      <c r="AT1123" s="1779"/>
      <c r="AU1123" s="1779"/>
      <c r="AV1123" s="1779"/>
    </row>
    <row r="1124" spans="1:48" ht="11.45" customHeight="1">
      <c r="A1124" s="768"/>
      <c r="B1124" s="762" t="s">
        <v>1248</v>
      </c>
      <c r="C1124" s="762" t="s">
        <v>507</v>
      </c>
      <c r="D1124" s="1599"/>
      <c r="E1124" s="2245" t="s">
        <v>1948</v>
      </c>
      <c r="F1124" s="891">
        <v>2239</v>
      </c>
      <c r="G1124" s="895" t="s">
        <v>346</v>
      </c>
      <c r="H1124" s="1727"/>
      <c r="I1124" s="1728">
        <v>1500</v>
      </c>
      <c r="J1124" s="1729"/>
      <c r="K1124" s="1730"/>
      <c r="L1124" s="1750"/>
      <c r="M1124" s="3629">
        <v>1500</v>
      </c>
      <c r="N1124" s="13"/>
      <c r="O1124" s="86"/>
      <c r="P1124" s="1817" t="e">
        <f>INDEX(#REF!,MATCH(F1124,#REF!,0),2)</f>
        <v>#REF!</v>
      </c>
      <c r="Q1124" s="1779"/>
      <c r="R1124" s="1779"/>
      <c r="S1124" s="1779"/>
      <c r="T1124" s="1779"/>
      <c r="U1124" s="1779"/>
      <c r="V1124" s="1779"/>
      <c r="W1124" s="43"/>
      <c r="X1124" s="1779"/>
      <c r="Y1124" s="1779"/>
      <c r="Z1124" s="1779"/>
      <c r="AA1124" s="1779"/>
      <c r="AB1124" s="1779"/>
      <c r="AC1124" s="1779"/>
      <c r="AD1124" s="1779"/>
      <c r="AE1124" s="1779"/>
      <c r="AF1124" s="1779"/>
      <c r="AG1124" s="1779"/>
      <c r="AH1124" s="1779"/>
      <c r="AI1124" s="1779"/>
      <c r="AJ1124" s="1779"/>
      <c r="AK1124" s="1779"/>
      <c r="AL1124" s="1779"/>
      <c r="AM1124" s="1779"/>
      <c r="AN1124" s="1779"/>
      <c r="AO1124" s="1779"/>
      <c r="AP1124" s="1779"/>
      <c r="AQ1124" s="1779"/>
      <c r="AR1124" s="1779"/>
      <c r="AS1124" s="1779"/>
      <c r="AT1124" s="1779"/>
      <c r="AU1124" s="1779"/>
      <c r="AV1124" s="1779"/>
    </row>
    <row r="1125" spans="1:48" ht="11.45" customHeight="1">
      <c r="A1125" s="768"/>
      <c r="B1125" s="762" t="s">
        <v>1248</v>
      </c>
      <c r="C1125" s="762" t="s">
        <v>507</v>
      </c>
      <c r="D1125" s="1599"/>
      <c r="E1125" s="2245" t="s">
        <v>1948</v>
      </c>
      <c r="F1125" s="891">
        <v>2390</v>
      </c>
      <c r="G1125" s="895" t="s">
        <v>342</v>
      </c>
      <c r="H1125" s="1727"/>
      <c r="I1125" s="1734">
        <v>1000</v>
      </c>
      <c r="J1125" s="1729"/>
      <c r="K1125" s="1730"/>
      <c r="L1125" s="1750"/>
      <c r="M1125" s="3631">
        <v>1000</v>
      </c>
      <c r="N1125" s="13"/>
      <c r="O1125" s="86"/>
      <c r="P1125" s="1817" t="e">
        <f>INDEX(#REF!,MATCH(F1125,#REF!,0),2)</f>
        <v>#REF!</v>
      </c>
      <c r="Q1125" s="1779"/>
      <c r="R1125" s="1779"/>
      <c r="S1125" s="1779"/>
      <c r="T1125" s="1779"/>
      <c r="U1125" s="1779"/>
      <c r="V1125" s="1779"/>
      <c r="W1125" s="43"/>
      <c r="X1125" s="1779"/>
      <c r="Y1125" s="1779"/>
      <c r="Z1125" s="1779"/>
      <c r="AA1125" s="1779"/>
      <c r="AB1125" s="1779"/>
      <c r="AC1125" s="1779"/>
      <c r="AD1125" s="1779"/>
      <c r="AE1125" s="1779"/>
      <c r="AF1125" s="1779"/>
      <c r="AG1125" s="1779"/>
      <c r="AH1125" s="1779"/>
      <c r="AI1125" s="1779"/>
      <c r="AJ1125" s="1779"/>
      <c r="AK1125" s="1779"/>
      <c r="AL1125" s="1779"/>
      <c r="AM1125" s="1779"/>
      <c r="AN1125" s="1779"/>
      <c r="AO1125" s="1779"/>
      <c r="AP1125" s="1779"/>
      <c r="AQ1125" s="1779"/>
      <c r="AR1125" s="1779"/>
      <c r="AS1125" s="1779"/>
      <c r="AT1125" s="1779"/>
      <c r="AU1125" s="1779"/>
      <c r="AV1125" s="1779"/>
    </row>
    <row r="1126" spans="1:48" ht="30.6" customHeight="1">
      <c r="A1126" s="889"/>
      <c r="B1126" s="889"/>
      <c r="C1126" s="889"/>
      <c r="D1126" s="1611"/>
      <c r="E1126" s="2287" t="s">
        <v>1948</v>
      </c>
      <c r="F1126" s="900"/>
      <c r="G1126" s="899" t="s">
        <v>355</v>
      </c>
      <c r="H1126" s="53"/>
      <c r="I1126" s="305">
        <v>31100</v>
      </c>
      <c r="J1126" s="273"/>
      <c r="K1126" s="888">
        <v>-7.2347266881028993E-2</v>
      </c>
      <c r="L1126" s="1495"/>
      <c r="M1126" s="3633">
        <v>28850</v>
      </c>
      <c r="N1126" s="3638"/>
      <c r="O1126" s="86"/>
      <c r="P1126" s="1817" t="e">
        <f>INDEX(#REF!,MATCH(F1126,#REF!,0),2)</f>
        <v>#REF!</v>
      </c>
      <c r="Q1126" s="1779"/>
      <c r="R1126" s="1779"/>
      <c r="S1126" s="1779"/>
      <c r="T1126" s="1779"/>
      <c r="U1126" s="1779"/>
      <c r="V1126" s="1779"/>
      <c r="W1126" s="43"/>
      <c r="X1126" s="1779"/>
      <c r="Y1126" s="1779"/>
      <c r="Z1126" s="1779"/>
      <c r="AA1126" s="1779"/>
      <c r="AB1126" s="1779"/>
      <c r="AC1126" s="1779"/>
      <c r="AD1126" s="1779"/>
      <c r="AE1126" s="1779"/>
      <c r="AF1126" s="1779"/>
      <c r="AG1126" s="1779"/>
      <c r="AH1126" s="1779"/>
      <c r="AI1126" s="1779"/>
      <c r="AJ1126" s="1779"/>
      <c r="AK1126" s="1779"/>
      <c r="AL1126" s="1779"/>
      <c r="AM1126" s="1779"/>
      <c r="AN1126" s="1779"/>
      <c r="AO1126" s="1779"/>
      <c r="AP1126" s="1779"/>
      <c r="AQ1126" s="1779"/>
      <c r="AR1126" s="1779"/>
      <c r="AS1126" s="1779"/>
      <c r="AT1126" s="1779"/>
      <c r="AU1126" s="1779"/>
      <c r="AV1126" s="1779"/>
    </row>
    <row r="1127" spans="1:48" ht="14.45" customHeight="1">
      <c r="A1127" s="768"/>
      <c r="B1127" s="762" t="s">
        <v>1248</v>
      </c>
      <c r="C1127" s="762" t="s">
        <v>507</v>
      </c>
      <c r="D1127" s="1599"/>
      <c r="E1127" s="2245" t="s">
        <v>1948</v>
      </c>
      <c r="F1127" s="891">
        <v>2239</v>
      </c>
      <c r="G1127" s="880" t="s">
        <v>353</v>
      </c>
      <c r="H1127" s="1727"/>
      <c r="I1127" s="1728">
        <v>2200</v>
      </c>
      <c r="J1127" s="1729"/>
      <c r="K1127" s="1730"/>
      <c r="L1127" s="1750"/>
      <c r="M1127" s="3629">
        <v>4500</v>
      </c>
      <c r="N1127" s="154" t="s">
        <v>4906</v>
      </c>
      <c r="O1127" s="86"/>
      <c r="P1127" s="1817" t="e">
        <f>INDEX(#REF!,MATCH(F1127,#REF!,0),2)</f>
        <v>#REF!</v>
      </c>
      <c r="Q1127" s="1779"/>
      <c r="R1127" s="1779"/>
      <c r="S1127" s="1779"/>
      <c r="T1127" s="1779"/>
      <c r="U1127" s="1779"/>
      <c r="V1127" s="1779"/>
      <c r="W1127" s="43"/>
      <c r="X1127" s="1779"/>
      <c r="Y1127" s="1779"/>
      <c r="Z1127" s="1779"/>
      <c r="AA1127" s="1779"/>
      <c r="AB1127" s="1779"/>
      <c r="AC1127" s="1779"/>
      <c r="AD1127" s="1779"/>
      <c r="AE1127" s="1779"/>
      <c r="AF1127" s="1779"/>
      <c r="AG1127" s="1779"/>
      <c r="AH1127" s="1779"/>
      <c r="AI1127" s="1779"/>
      <c r="AJ1127" s="1779"/>
      <c r="AK1127" s="1779"/>
      <c r="AL1127" s="1779"/>
      <c r="AM1127" s="1779"/>
      <c r="AN1127" s="1779"/>
      <c r="AO1127" s="1779"/>
      <c r="AP1127" s="1779"/>
      <c r="AQ1127" s="1779"/>
      <c r="AR1127" s="1779"/>
      <c r="AS1127" s="1779"/>
      <c r="AT1127" s="1779"/>
      <c r="AU1127" s="1779"/>
      <c r="AV1127" s="1779"/>
    </row>
    <row r="1128" spans="1:48" ht="22.15" customHeight="1">
      <c r="A1128" s="768"/>
      <c r="B1128" s="762" t="s">
        <v>1248</v>
      </c>
      <c r="C1128" s="762" t="s">
        <v>507</v>
      </c>
      <c r="D1128" s="1599"/>
      <c r="E1128" s="2245" t="s">
        <v>1948</v>
      </c>
      <c r="F1128" s="891">
        <v>2261</v>
      </c>
      <c r="G1128" s="880" t="s">
        <v>987</v>
      </c>
      <c r="H1128" s="1727"/>
      <c r="I1128" s="1737">
        <v>11000</v>
      </c>
      <c r="J1128" s="1729"/>
      <c r="K1128" s="1730"/>
      <c r="L1128" s="1750"/>
      <c r="M1128" s="3637">
        <v>5000</v>
      </c>
      <c r="N1128" s="154"/>
      <c r="O1128" s="86"/>
      <c r="P1128" s="1817" t="e">
        <f>INDEX(#REF!,MATCH(F1128,#REF!,0),2)</f>
        <v>#REF!</v>
      </c>
      <c r="Q1128" s="1779"/>
      <c r="R1128" s="1779"/>
      <c r="S1128" s="1779"/>
      <c r="T1128" s="1779"/>
      <c r="U1128" s="1779"/>
      <c r="V1128" s="1779"/>
      <c r="W1128" s="43"/>
      <c r="X1128" s="1779"/>
      <c r="Y1128" s="1779"/>
      <c r="Z1128" s="1779"/>
      <c r="AA1128" s="1779"/>
      <c r="AB1128" s="1779"/>
      <c r="AC1128" s="1779"/>
      <c r="AD1128" s="1779"/>
      <c r="AE1128" s="1779"/>
      <c r="AF1128" s="1779"/>
      <c r="AG1128" s="1779"/>
      <c r="AH1128" s="1779"/>
      <c r="AI1128" s="1779"/>
      <c r="AJ1128" s="1779"/>
      <c r="AK1128" s="1779"/>
      <c r="AL1128" s="1779"/>
      <c r="AM1128" s="1779"/>
      <c r="AN1128" s="1779"/>
      <c r="AO1128" s="1779"/>
      <c r="AP1128" s="1779"/>
      <c r="AQ1128" s="1779"/>
      <c r="AR1128" s="1779"/>
      <c r="AS1128" s="1779"/>
      <c r="AT1128" s="1779"/>
      <c r="AU1128" s="1779"/>
      <c r="AV1128" s="1779"/>
    </row>
    <row r="1129" spans="1:48" ht="11.45" customHeight="1">
      <c r="A1129" s="768"/>
      <c r="B1129" s="762" t="s">
        <v>1248</v>
      </c>
      <c r="C1129" s="762" t="s">
        <v>507</v>
      </c>
      <c r="D1129" s="1599"/>
      <c r="E1129" s="2245" t="s">
        <v>1948</v>
      </c>
      <c r="F1129" s="891">
        <v>2233</v>
      </c>
      <c r="G1129" s="895" t="s">
        <v>344</v>
      </c>
      <c r="H1129" s="1727"/>
      <c r="I1129" s="1732">
        <v>11500</v>
      </c>
      <c r="J1129" s="1729"/>
      <c r="K1129" s="1730"/>
      <c r="L1129" s="1750"/>
      <c r="M1129" s="1732">
        <v>12300</v>
      </c>
      <c r="N1129" s="154"/>
      <c r="O1129" s="86"/>
      <c r="P1129" s="1817" t="e">
        <f>INDEX(#REF!,MATCH(F1129,#REF!,0),2)</f>
        <v>#REF!</v>
      </c>
      <c r="Q1129" s="1779"/>
      <c r="R1129" s="1779"/>
      <c r="S1129" s="1779"/>
      <c r="T1129" s="1779"/>
      <c r="U1129" s="1779"/>
      <c r="V1129" s="1779"/>
      <c r="W1129" s="43"/>
      <c r="X1129" s="1779"/>
      <c r="Y1129" s="1779"/>
      <c r="Z1129" s="1779"/>
      <c r="AA1129" s="1779"/>
      <c r="AB1129" s="1779"/>
      <c r="AC1129" s="1779"/>
      <c r="AD1129" s="1779"/>
      <c r="AE1129" s="1779"/>
      <c r="AF1129" s="1779"/>
      <c r="AG1129" s="1779"/>
      <c r="AH1129" s="1779"/>
      <c r="AI1129" s="1779"/>
      <c r="AJ1129" s="1779"/>
      <c r="AK1129" s="1779"/>
      <c r="AL1129" s="1779"/>
      <c r="AM1129" s="1779"/>
      <c r="AN1129" s="1779"/>
      <c r="AO1129" s="1779"/>
      <c r="AP1129" s="1779"/>
      <c r="AQ1129" s="1779"/>
      <c r="AR1129" s="1779"/>
      <c r="AS1129" s="1779"/>
      <c r="AT1129" s="1779"/>
      <c r="AU1129" s="1779"/>
      <c r="AV1129" s="1779"/>
    </row>
    <row r="1130" spans="1:48" ht="21.6" customHeight="1">
      <c r="A1130" s="768"/>
      <c r="B1130" s="762" t="s">
        <v>1248</v>
      </c>
      <c r="C1130" s="762" t="s">
        <v>507</v>
      </c>
      <c r="D1130" s="1599"/>
      <c r="E1130" s="2245" t="s">
        <v>1948</v>
      </c>
      <c r="F1130" s="891">
        <v>2239</v>
      </c>
      <c r="G1130" s="895" t="s">
        <v>354</v>
      </c>
      <c r="H1130" s="1727"/>
      <c r="I1130" s="1728">
        <v>3500</v>
      </c>
      <c r="J1130" s="1729"/>
      <c r="K1130" s="1730"/>
      <c r="L1130" s="1750"/>
      <c r="M1130" s="1728">
        <v>3850</v>
      </c>
      <c r="N1130" s="154" t="s">
        <v>4905</v>
      </c>
      <c r="O1130" s="86"/>
      <c r="P1130" s="1817" t="e">
        <f>INDEX(#REF!,MATCH(F1130,#REF!,0),2)</f>
        <v>#REF!</v>
      </c>
      <c r="Q1130" s="1779"/>
      <c r="R1130" s="1779"/>
      <c r="S1130" s="1779"/>
      <c r="T1130" s="1779"/>
      <c r="U1130" s="1779"/>
      <c r="V1130" s="1779"/>
      <c r="W1130" s="43"/>
      <c r="X1130" s="1779"/>
      <c r="Y1130" s="1779"/>
      <c r="Z1130" s="1779"/>
      <c r="AA1130" s="1779"/>
      <c r="AB1130" s="1779"/>
      <c r="AC1130" s="1779"/>
      <c r="AD1130" s="1779"/>
      <c r="AE1130" s="1779"/>
      <c r="AF1130" s="1779"/>
      <c r="AG1130" s="1779"/>
      <c r="AH1130" s="1779"/>
      <c r="AI1130" s="1779"/>
      <c r="AJ1130" s="1779"/>
      <c r="AK1130" s="1779"/>
      <c r="AL1130" s="1779"/>
      <c r="AM1130" s="1779"/>
      <c r="AN1130" s="1779"/>
      <c r="AO1130" s="1779"/>
      <c r="AP1130" s="1779"/>
      <c r="AQ1130" s="1779"/>
      <c r="AR1130" s="1779"/>
      <c r="AS1130" s="1779"/>
      <c r="AT1130" s="1779"/>
      <c r="AU1130" s="1779"/>
      <c r="AV1130" s="1779"/>
    </row>
    <row r="1131" spans="1:48" ht="11.45" customHeight="1">
      <c r="A1131" s="768"/>
      <c r="B1131" s="762" t="s">
        <v>1248</v>
      </c>
      <c r="C1131" s="762" t="s">
        <v>507</v>
      </c>
      <c r="D1131" s="1599"/>
      <c r="E1131" s="2245" t="s">
        <v>1948</v>
      </c>
      <c r="F1131" s="891">
        <v>2390</v>
      </c>
      <c r="G1131" s="895" t="s">
        <v>342</v>
      </c>
      <c r="H1131" s="1727"/>
      <c r="I1131" s="1734">
        <v>1500</v>
      </c>
      <c r="J1131" s="1729"/>
      <c r="K1131" s="1730"/>
      <c r="L1131" s="1750"/>
      <c r="M1131" s="3631">
        <v>1800</v>
      </c>
      <c r="N1131" s="154" t="s">
        <v>4907</v>
      </c>
      <c r="O1131" s="86"/>
      <c r="P1131" s="1817" t="e">
        <f>INDEX(#REF!,MATCH(F1131,#REF!,0),2)</f>
        <v>#REF!</v>
      </c>
      <c r="Q1131" s="1779"/>
      <c r="R1131" s="1779"/>
      <c r="S1131" s="1779"/>
      <c r="T1131" s="1779"/>
      <c r="U1131" s="1779"/>
      <c r="V1131" s="1779"/>
      <c r="W1131" s="43"/>
      <c r="X1131" s="1779"/>
      <c r="Y1131" s="1779"/>
      <c r="Z1131" s="1779"/>
      <c r="AA1131" s="1779"/>
      <c r="AB1131" s="1779"/>
      <c r="AC1131" s="1779"/>
      <c r="AD1131" s="1779"/>
      <c r="AE1131" s="1779"/>
      <c r="AF1131" s="1779"/>
      <c r="AG1131" s="1779"/>
      <c r="AH1131" s="1779"/>
      <c r="AI1131" s="1779"/>
      <c r="AJ1131" s="1779"/>
      <c r="AK1131" s="1779"/>
      <c r="AL1131" s="1779"/>
      <c r="AM1131" s="1779"/>
      <c r="AN1131" s="1779"/>
      <c r="AO1131" s="1779"/>
      <c r="AP1131" s="1779"/>
      <c r="AQ1131" s="1779"/>
      <c r="AR1131" s="1779"/>
      <c r="AS1131" s="1779"/>
      <c r="AT1131" s="1779"/>
      <c r="AU1131" s="1779"/>
      <c r="AV1131" s="1779"/>
    </row>
    <row r="1132" spans="1:48" ht="11.45" customHeight="1">
      <c r="A1132" s="768"/>
      <c r="B1132" s="762" t="s">
        <v>1248</v>
      </c>
      <c r="C1132" s="762" t="s">
        <v>507</v>
      </c>
      <c r="D1132" s="1599"/>
      <c r="E1132" s="2245" t="s">
        <v>1948</v>
      </c>
      <c r="F1132" s="891">
        <v>2239</v>
      </c>
      <c r="G1132" s="895" t="s">
        <v>341</v>
      </c>
      <c r="H1132" s="1727"/>
      <c r="I1132" s="1728">
        <v>200</v>
      </c>
      <c r="J1132" s="1729"/>
      <c r="K1132" s="1730"/>
      <c r="L1132" s="1750"/>
      <c r="M1132" s="1728">
        <v>200</v>
      </c>
      <c r="N1132" s="154"/>
      <c r="O1132" s="86"/>
      <c r="P1132" s="1817" t="e">
        <f>INDEX(#REF!,MATCH(F1132,#REF!,0),2)</f>
        <v>#REF!</v>
      </c>
      <c r="Q1132" s="1779"/>
      <c r="R1132" s="1779"/>
      <c r="S1132" s="1779"/>
      <c r="T1132" s="1779"/>
      <c r="U1132" s="1779"/>
      <c r="V1132" s="1779"/>
      <c r="W1132" s="43"/>
      <c r="X1132" s="1779"/>
      <c r="Y1132" s="1779"/>
      <c r="Z1132" s="1779"/>
      <c r="AA1132" s="1779"/>
      <c r="AB1132" s="1779"/>
      <c r="AC1132" s="1779"/>
      <c r="AD1132" s="1779"/>
      <c r="AE1132" s="1779"/>
      <c r="AF1132" s="1779"/>
      <c r="AG1132" s="1779"/>
      <c r="AH1132" s="1779"/>
      <c r="AI1132" s="1779"/>
      <c r="AJ1132" s="1779"/>
      <c r="AK1132" s="1779"/>
      <c r="AL1132" s="1779"/>
      <c r="AM1132" s="1779"/>
      <c r="AN1132" s="1779"/>
      <c r="AO1132" s="1779"/>
      <c r="AP1132" s="1779"/>
      <c r="AQ1132" s="1779"/>
      <c r="AR1132" s="1779"/>
      <c r="AS1132" s="1779"/>
      <c r="AT1132" s="1779"/>
      <c r="AU1132" s="1779"/>
      <c r="AV1132" s="1779"/>
    </row>
    <row r="1133" spans="1:48" ht="11.45" customHeight="1">
      <c r="A1133" s="768"/>
      <c r="B1133" s="762" t="s">
        <v>1248</v>
      </c>
      <c r="C1133" s="762" t="s">
        <v>507</v>
      </c>
      <c r="D1133" s="1599"/>
      <c r="E1133" s="2245" t="s">
        <v>1948</v>
      </c>
      <c r="F1133" s="891">
        <v>2312</v>
      </c>
      <c r="G1133" s="895" t="s">
        <v>339</v>
      </c>
      <c r="H1133" s="1727"/>
      <c r="I1133" s="1731">
        <v>1200</v>
      </c>
      <c r="J1133" s="1729"/>
      <c r="K1133" s="1730"/>
      <c r="L1133" s="1750"/>
      <c r="M1133" s="1731">
        <v>1200</v>
      </c>
      <c r="N1133" s="13"/>
      <c r="O1133" s="86"/>
      <c r="P1133" s="1817" t="e">
        <f>INDEX(#REF!,MATCH(F1133,#REF!,0),2)</f>
        <v>#REF!</v>
      </c>
      <c r="Q1133" s="11"/>
      <c r="R1133" s="11"/>
      <c r="S1133" s="11"/>
      <c r="T1133" s="11"/>
      <c r="U1133" s="11"/>
      <c r="V1133" s="11"/>
      <c r="W1133" s="4"/>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row>
    <row r="1134" spans="1:48" ht="23.25" customHeight="1">
      <c r="A1134" s="889"/>
      <c r="B1134" s="889"/>
      <c r="C1134" s="889"/>
      <c r="D1134" s="1611"/>
      <c r="E1134" s="2287" t="s">
        <v>1948</v>
      </c>
      <c r="F1134" s="900"/>
      <c r="G1134" s="897" t="s">
        <v>356</v>
      </c>
      <c r="H1134" s="53"/>
      <c r="I1134" s="305">
        <v>16800</v>
      </c>
      <c r="J1134" s="273"/>
      <c r="K1134" s="888">
        <v>0.10714285714285721</v>
      </c>
      <c r="L1134" s="1495"/>
      <c r="M1134" s="3633">
        <v>18600</v>
      </c>
      <c r="N1134" s="3638"/>
      <c r="O1134" s="86"/>
      <c r="P1134" s="1817" t="e">
        <f>INDEX(#REF!,MATCH(F1134,#REF!,0),2)</f>
        <v>#REF!</v>
      </c>
      <c r="Q1134" s="1779"/>
      <c r="R1134" s="1779"/>
      <c r="S1134" s="1779"/>
      <c r="T1134" s="1779"/>
      <c r="U1134" s="1779"/>
      <c r="V1134" s="1779"/>
      <c r="W1134" s="43"/>
      <c r="X1134" s="1779"/>
      <c r="Y1134" s="1779"/>
      <c r="Z1134" s="1779"/>
      <c r="AA1134" s="1779"/>
      <c r="AB1134" s="1779"/>
      <c r="AC1134" s="1779"/>
      <c r="AD1134" s="1779"/>
      <c r="AE1134" s="1779"/>
      <c r="AF1134" s="1779"/>
      <c r="AG1134" s="1779"/>
      <c r="AH1134" s="1779"/>
      <c r="AI1134" s="1779"/>
      <c r="AJ1134" s="1779"/>
      <c r="AK1134" s="1779"/>
      <c r="AL1134" s="1779"/>
      <c r="AM1134" s="1779"/>
      <c r="AN1134" s="1779"/>
      <c r="AO1134" s="1779"/>
      <c r="AP1134" s="1779"/>
      <c r="AQ1134" s="1779"/>
      <c r="AR1134" s="1779"/>
      <c r="AS1134" s="1779"/>
      <c r="AT1134" s="1779"/>
      <c r="AU1134" s="1779"/>
      <c r="AV1134" s="1779"/>
    </row>
    <row r="1135" spans="1:48" ht="11.45" customHeight="1">
      <c r="A1135" s="768"/>
      <c r="B1135" s="762" t="s">
        <v>1248</v>
      </c>
      <c r="C1135" s="762" t="s">
        <v>507</v>
      </c>
      <c r="D1135" s="1599"/>
      <c r="E1135" s="2245" t="s">
        <v>1948</v>
      </c>
      <c r="F1135" s="891">
        <v>2239</v>
      </c>
      <c r="G1135" s="880" t="s">
        <v>357</v>
      </c>
      <c r="H1135" s="1727"/>
      <c r="I1135" s="1728">
        <v>2500</v>
      </c>
      <c r="J1135" s="1729"/>
      <c r="K1135" s="1730"/>
      <c r="L1135" s="1750"/>
      <c r="M1135" s="3629">
        <v>2500</v>
      </c>
      <c r="N1135" s="154" t="s">
        <v>4908</v>
      </c>
      <c r="O1135" s="86"/>
      <c r="P1135" s="1817" t="e">
        <f>INDEX(#REF!,MATCH(F1135,#REF!,0),2)</f>
        <v>#REF!</v>
      </c>
      <c r="Q1135" s="11"/>
      <c r="R1135" s="11"/>
      <c r="S1135" s="11"/>
      <c r="T1135" s="11"/>
      <c r="U1135" s="11"/>
      <c r="V1135" s="11"/>
      <c r="W1135" s="4"/>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row>
    <row r="1136" spans="1:48" ht="12.6" customHeight="1">
      <c r="A1136" s="768"/>
      <c r="B1136" s="762" t="s">
        <v>1248</v>
      </c>
      <c r="C1136" s="762" t="s">
        <v>507</v>
      </c>
      <c r="D1136" s="1599"/>
      <c r="E1136" s="2245" t="s">
        <v>1948</v>
      </c>
      <c r="F1136" s="891">
        <v>2312</v>
      </c>
      <c r="G1136" s="880" t="s">
        <v>358</v>
      </c>
      <c r="H1136" s="1727"/>
      <c r="I1136" s="1731">
        <v>1200</v>
      </c>
      <c r="J1136" s="1729"/>
      <c r="K1136" s="1730"/>
      <c r="L1136" s="1750"/>
      <c r="M1136" s="3630">
        <v>1200</v>
      </c>
      <c r="N1136" s="154"/>
      <c r="O1136" s="86"/>
      <c r="P1136" s="1817" t="e">
        <f>INDEX(#REF!,MATCH(F1136,#REF!,0),2)</f>
        <v>#REF!</v>
      </c>
      <c r="Q1136" s="1779"/>
      <c r="R1136" s="1779"/>
      <c r="S1136" s="1779"/>
      <c r="T1136" s="1779"/>
      <c r="U1136" s="1779"/>
      <c r="V1136" s="1779"/>
      <c r="W1136" s="43"/>
      <c r="X1136" s="1779"/>
      <c r="Y1136" s="1779"/>
      <c r="Z1136" s="1779"/>
      <c r="AA1136" s="1779"/>
      <c r="AB1136" s="1779"/>
      <c r="AC1136" s="1779"/>
      <c r="AD1136" s="1779"/>
      <c r="AE1136" s="1779"/>
      <c r="AF1136" s="1779"/>
      <c r="AG1136" s="1779"/>
      <c r="AH1136" s="1779"/>
      <c r="AI1136" s="1779"/>
      <c r="AJ1136" s="1779"/>
      <c r="AK1136" s="1779"/>
      <c r="AL1136" s="1779"/>
      <c r="AM1136" s="1779"/>
      <c r="AN1136" s="1779"/>
      <c r="AO1136" s="1779"/>
      <c r="AP1136" s="1779"/>
      <c r="AQ1136" s="1779"/>
      <c r="AR1136" s="1779"/>
      <c r="AS1136" s="1779"/>
      <c r="AT1136" s="1779"/>
      <c r="AU1136" s="1779"/>
      <c r="AV1136" s="1779"/>
    </row>
    <row r="1137" spans="1:48" ht="21.6" customHeight="1">
      <c r="A1137" s="768"/>
      <c r="B1137" s="762" t="s">
        <v>1248</v>
      </c>
      <c r="C1137" s="762" t="s">
        <v>507</v>
      </c>
      <c r="D1137" s="1599"/>
      <c r="E1137" s="2245" t="s">
        <v>1948</v>
      </c>
      <c r="F1137" s="891">
        <v>2239</v>
      </c>
      <c r="G1137" s="880" t="s">
        <v>354</v>
      </c>
      <c r="H1137" s="1727"/>
      <c r="I1137" s="1728">
        <v>2100</v>
      </c>
      <c r="J1137" s="1729"/>
      <c r="K1137" s="1730"/>
      <c r="L1137" s="1750"/>
      <c r="M1137" s="3629">
        <v>2800</v>
      </c>
      <c r="N1137" s="13" t="s">
        <v>4909</v>
      </c>
      <c r="O1137" s="86"/>
      <c r="P1137" s="1817" t="e">
        <f>INDEX(#REF!,MATCH(F1137,#REF!,0),2)</f>
        <v>#REF!</v>
      </c>
      <c r="Q1137" s="1779"/>
      <c r="R1137" s="1779"/>
      <c r="S1137" s="1779"/>
      <c r="T1137" s="1779"/>
      <c r="U1137" s="1779"/>
      <c r="V1137" s="1779"/>
      <c r="W1137" s="43"/>
      <c r="X1137" s="1779"/>
      <c r="Y1137" s="1779"/>
      <c r="Z1137" s="1779"/>
      <c r="AA1137" s="1779"/>
      <c r="AB1137" s="1779"/>
      <c r="AC1137" s="1779"/>
      <c r="AD1137" s="1779"/>
      <c r="AE1137" s="1779"/>
      <c r="AF1137" s="1779"/>
      <c r="AG1137" s="1779"/>
      <c r="AH1137" s="1779"/>
      <c r="AI1137" s="1779"/>
      <c r="AJ1137" s="1779"/>
      <c r="AK1137" s="1779"/>
      <c r="AL1137" s="1779"/>
      <c r="AM1137" s="1779"/>
      <c r="AN1137" s="1779"/>
      <c r="AO1137" s="1779"/>
      <c r="AP1137" s="1779"/>
      <c r="AQ1137" s="1779"/>
      <c r="AR1137" s="1779"/>
      <c r="AS1137" s="1779"/>
      <c r="AT1137" s="1779"/>
      <c r="AU1137" s="1779"/>
      <c r="AV1137" s="1779"/>
    </row>
    <row r="1138" spans="1:48" ht="22.5" customHeight="1">
      <c r="A1138" s="768"/>
      <c r="B1138" s="762" t="s">
        <v>1248</v>
      </c>
      <c r="C1138" s="762" t="s">
        <v>507</v>
      </c>
      <c r="D1138" s="1599"/>
      <c r="E1138" s="2245" t="s">
        <v>1948</v>
      </c>
      <c r="F1138" s="891">
        <v>2233</v>
      </c>
      <c r="G1138" s="895" t="s">
        <v>344</v>
      </c>
      <c r="H1138" s="1727"/>
      <c r="I1138" s="1732">
        <v>10000</v>
      </c>
      <c r="J1138" s="1729"/>
      <c r="K1138" s="1730"/>
      <c r="L1138" s="1750"/>
      <c r="M1138" s="1733">
        <v>10800</v>
      </c>
      <c r="N1138" s="154"/>
      <c r="O1138" s="86"/>
      <c r="P1138" s="1817" t="e">
        <f>INDEX(#REF!,MATCH(F1138,#REF!,0),2)</f>
        <v>#REF!</v>
      </c>
      <c r="Q1138" s="1779"/>
      <c r="R1138" s="1779"/>
      <c r="S1138" s="1779"/>
      <c r="T1138" s="1779"/>
      <c r="U1138" s="1779"/>
      <c r="V1138" s="1779"/>
      <c r="W1138" s="43"/>
      <c r="X1138" s="1779"/>
      <c r="Y1138" s="1779"/>
      <c r="Z1138" s="1779"/>
      <c r="AA1138" s="1779"/>
      <c r="AB1138" s="1779"/>
      <c r="AC1138" s="1779"/>
      <c r="AD1138" s="1779"/>
      <c r="AE1138" s="1779"/>
      <c r="AF1138" s="1779"/>
      <c r="AG1138" s="1779"/>
      <c r="AH1138" s="1779"/>
      <c r="AI1138" s="1779"/>
      <c r="AJ1138" s="1779"/>
      <c r="AK1138" s="1779"/>
      <c r="AL1138" s="1779"/>
      <c r="AM1138" s="1779"/>
      <c r="AN1138" s="1779"/>
      <c r="AO1138" s="1779"/>
      <c r="AP1138" s="1779"/>
      <c r="AQ1138" s="1779"/>
      <c r="AR1138" s="1779"/>
      <c r="AS1138" s="1779"/>
      <c r="AT1138" s="1779"/>
      <c r="AU1138" s="1779"/>
      <c r="AV1138" s="1779"/>
    </row>
    <row r="1139" spans="1:48" ht="12.6" customHeight="1">
      <c r="A1139" s="768"/>
      <c r="B1139" s="762" t="s">
        <v>1248</v>
      </c>
      <c r="C1139" s="762" t="s">
        <v>507</v>
      </c>
      <c r="D1139" s="1599"/>
      <c r="E1139" s="2245" t="s">
        <v>1948</v>
      </c>
      <c r="F1139" s="891">
        <v>2239</v>
      </c>
      <c r="G1139" s="895" t="s">
        <v>346</v>
      </c>
      <c r="H1139" s="1727"/>
      <c r="I1139" s="1728">
        <v>500</v>
      </c>
      <c r="J1139" s="1729"/>
      <c r="K1139" s="1730"/>
      <c r="L1139" s="1750"/>
      <c r="M1139" s="3629">
        <v>500</v>
      </c>
      <c r="N1139" s="13"/>
      <c r="O1139" s="86"/>
      <c r="P1139" s="1817" t="e">
        <f>INDEX(#REF!,MATCH(F1139,#REF!,0),2)</f>
        <v>#REF!</v>
      </c>
      <c r="Q1139" s="1779"/>
      <c r="R1139" s="1779"/>
      <c r="S1139" s="1779"/>
      <c r="T1139" s="1779"/>
      <c r="U1139" s="1779"/>
      <c r="V1139" s="1779"/>
      <c r="W1139" s="43"/>
      <c r="X1139" s="1779"/>
      <c r="Y1139" s="1779"/>
      <c r="Z1139" s="1779"/>
      <c r="AA1139" s="1779"/>
      <c r="AB1139" s="1779"/>
      <c r="AC1139" s="1779"/>
      <c r="AD1139" s="1779"/>
      <c r="AE1139" s="1779"/>
      <c r="AF1139" s="1779"/>
      <c r="AG1139" s="1779"/>
      <c r="AH1139" s="1779"/>
      <c r="AI1139" s="1779"/>
      <c r="AJ1139" s="1779"/>
      <c r="AK1139" s="1779"/>
      <c r="AL1139" s="1779"/>
      <c r="AM1139" s="1779"/>
      <c r="AN1139" s="1779"/>
      <c r="AO1139" s="1779"/>
      <c r="AP1139" s="1779"/>
      <c r="AQ1139" s="1779"/>
      <c r="AR1139" s="1779"/>
      <c r="AS1139" s="1779"/>
      <c r="AT1139" s="1779"/>
      <c r="AU1139" s="1779"/>
      <c r="AV1139" s="1779"/>
    </row>
    <row r="1140" spans="1:48" ht="11.45" customHeight="1">
      <c r="A1140" s="768"/>
      <c r="B1140" s="762" t="s">
        <v>1248</v>
      </c>
      <c r="C1140" s="762" t="s">
        <v>507</v>
      </c>
      <c r="D1140" s="1599"/>
      <c r="E1140" s="2245" t="s">
        <v>1948</v>
      </c>
      <c r="F1140" s="891">
        <v>2390</v>
      </c>
      <c r="G1140" s="895" t="s">
        <v>342</v>
      </c>
      <c r="H1140" s="1727"/>
      <c r="I1140" s="1734">
        <v>500</v>
      </c>
      <c r="J1140" s="1729"/>
      <c r="K1140" s="1730"/>
      <c r="L1140" s="1750"/>
      <c r="M1140" s="3631">
        <v>800</v>
      </c>
      <c r="N1140" s="13" t="s">
        <v>4910</v>
      </c>
      <c r="O1140" s="86"/>
      <c r="P1140" s="1817" t="e">
        <f>INDEX(#REF!,MATCH(F1140,#REF!,0),2)</f>
        <v>#REF!</v>
      </c>
      <c r="Q1140" s="11"/>
      <c r="R1140" s="11"/>
      <c r="S1140" s="11"/>
      <c r="T1140" s="11"/>
      <c r="U1140" s="11"/>
      <c r="V1140" s="11"/>
      <c r="W1140" s="4"/>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row>
    <row r="1141" spans="1:48" ht="23.25" customHeight="1">
      <c r="A1141" s="889"/>
      <c r="B1141" s="889"/>
      <c r="C1141" s="889"/>
      <c r="D1141" s="1611"/>
      <c r="E1141" s="2287" t="s">
        <v>1948</v>
      </c>
      <c r="F1141" s="900"/>
      <c r="G1141" s="897" t="s">
        <v>359</v>
      </c>
      <c r="H1141" s="53"/>
      <c r="I1141" s="305">
        <v>23850</v>
      </c>
      <c r="J1141" s="273"/>
      <c r="K1141" s="888">
        <v>5.031446540880502E-2</v>
      </c>
      <c r="L1141" s="1495"/>
      <c r="M1141" s="3633">
        <v>25050</v>
      </c>
      <c r="N1141" s="395"/>
      <c r="O1141" s="86"/>
      <c r="P1141" s="1817" t="e">
        <f>INDEX(#REF!,MATCH(F1141,#REF!,0),2)</f>
        <v>#REF!</v>
      </c>
      <c r="Q1141" s="1779"/>
      <c r="R1141" s="1779"/>
      <c r="S1141" s="1779"/>
      <c r="T1141" s="1779"/>
      <c r="U1141" s="1779"/>
      <c r="V1141" s="1779"/>
      <c r="W1141" s="43"/>
      <c r="X1141" s="1779"/>
      <c r="Y1141" s="1779"/>
      <c r="Z1141" s="1779"/>
      <c r="AA1141" s="1779"/>
      <c r="AB1141" s="1779"/>
      <c r="AC1141" s="1779"/>
      <c r="AD1141" s="1779"/>
      <c r="AE1141" s="1779"/>
      <c r="AF1141" s="1779"/>
      <c r="AG1141" s="1779"/>
      <c r="AH1141" s="1779"/>
      <c r="AI1141" s="1779"/>
      <c r="AJ1141" s="1779"/>
      <c r="AK1141" s="1779"/>
      <c r="AL1141" s="1779"/>
      <c r="AM1141" s="1779"/>
      <c r="AN1141" s="1779"/>
      <c r="AO1141" s="1779"/>
      <c r="AP1141" s="1779"/>
      <c r="AQ1141" s="1779"/>
      <c r="AR1141" s="1779"/>
      <c r="AS1141" s="1779"/>
      <c r="AT1141" s="1779"/>
      <c r="AU1141" s="1779"/>
      <c r="AV1141" s="1779"/>
    </row>
    <row r="1142" spans="1:48" ht="19.899999999999999" customHeight="1">
      <c r="A1142" s="768"/>
      <c r="B1142" s="762" t="s">
        <v>1248</v>
      </c>
      <c r="C1142" s="762" t="s">
        <v>507</v>
      </c>
      <c r="D1142" s="1599"/>
      <c r="E1142" s="2245" t="s">
        <v>1948</v>
      </c>
      <c r="F1142" s="891">
        <v>2239</v>
      </c>
      <c r="G1142" s="880" t="s">
        <v>346</v>
      </c>
      <c r="H1142" s="867"/>
      <c r="I1142" s="892">
        <v>4500</v>
      </c>
      <c r="J1142" s="881"/>
      <c r="K1142" s="893"/>
      <c r="L1142" s="1750"/>
      <c r="M1142" s="3629">
        <v>4500</v>
      </c>
      <c r="N1142" s="149"/>
      <c r="O1142" s="86"/>
      <c r="P1142" s="1817" t="e">
        <f>INDEX(#REF!,MATCH(F1142,#REF!,0),2)</f>
        <v>#REF!</v>
      </c>
      <c r="Q1142" s="1779"/>
      <c r="R1142" s="1779"/>
      <c r="S1142" s="1779"/>
      <c r="T1142" s="1779"/>
      <c r="U1142" s="1779"/>
      <c r="V1142" s="1779"/>
      <c r="W1142" s="43"/>
      <c r="X1142" s="1779"/>
      <c r="Y1142" s="1779"/>
      <c r="Z1142" s="1779"/>
      <c r="AA1142" s="1779"/>
      <c r="AB1142" s="1779"/>
      <c r="AC1142" s="1779"/>
      <c r="AD1142" s="1779"/>
      <c r="AE1142" s="1779"/>
      <c r="AF1142" s="1779"/>
      <c r="AG1142" s="1779"/>
      <c r="AH1142" s="1779"/>
      <c r="AI1142" s="1779"/>
      <c r="AJ1142" s="1779"/>
      <c r="AK1142" s="1779"/>
      <c r="AL1142" s="1779"/>
      <c r="AM1142" s="1779"/>
      <c r="AN1142" s="1779"/>
      <c r="AO1142" s="1779"/>
      <c r="AP1142" s="1779"/>
      <c r="AQ1142" s="1779"/>
      <c r="AR1142" s="1779"/>
      <c r="AS1142" s="1779"/>
      <c r="AT1142" s="1779"/>
      <c r="AU1142" s="1779"/>
      <c r="AV1142" s="1779"/>
    </row>
    <row r="1143" spans="1:48" ht="12" customHeight="1">
      <c r="A1143" s="768"/>
      <c r="B1143" s="762" t="s">
        <v>1248</v>
      </c>
      <c r="C1143" s="762" t="s">
        <v>507</v>
      </c>
      <c r="D1143" s="1599"/>
      <c r="E1143" s="2245" t="s">
        <v>1948</v>
      </c>
      <c r="F1143" s="891">
        <v>2312</v>
      </c>
      <c r="G1143" s="880" t="s">
        <v>360</v>
      </c>
      <c r="H1143" s="867"/>
      <c r="I1143" s="894">
        <v>1200</v>
      </c>
      <c r="J1143" s="881"/>
      <c r="K1143" s="893"/>
      <c r="L1143" s="1750"/>
      <c r="M1143" s="3630">
        <v>1200</v>
      </c>
      <c r="N1143" s="149"/>
      <c r="O1143" s="86"/>
      <c r="P1143" s="1817" t="e">
        <f>INDEX(#REF!,MATCH(F1143,#REF!,0),2)</f>
        <v>#REF!</v>
      </c>
      <c r="Q1143" s="1779"/>
      <c r="R1143" s="1779"/>
      <c r="S1143" s="1779"/>
      <c r="T1143" s="1779"/>
      <c r="U1143" s="1779"/>
      <c r="V1143" s="1779"/>
      <c r="W1143" s="43"/>
      <c r="X1143" s="1779"/>
      <c r="Y1143" s="1779"/>
      <c r="Z1143" s="1779"/>
      <c r="AA1143" s="1779"/>
      <c r="AB1143" s="1779"/>
      <c r="AC1143" s="1779"/>
      <c r="AD1143" s="1779"/>
      <c r="AE1143" s="1779"/>
      <c r="AF1143" s="1779"/>
      <c r="AG1143" s="1779"/>
      <c r="AH1143" s="1779"/>
      <c r="AI1143" s="1779"/>
      <c r="AJ1143" s="1779"/>
      <c r="AK1143" s="1779"/>
      <c r="AL1143" s="1779"/>
      <c r="AM1143" s="1779"/>
      <c r="AN1143" s="1779"/>
      <c r="AO1143" s="1779"/>
      <c r="AP1143" s="1779"/>
      <c r="AQ1143" s="1779"/>
      <c r="AR1143" s="1779"/>
      <c r="AS1143" s="1779"/>
      <c r="AT1143" s="1779"/>
      <c r="AU1143" s="1779"/>
      <c r="AV1143" s="1779"/>
    </row>
    <row r="1144" spans="1:48" ht="12.6" customHeight="1">
      <c r="A1144" s="768"/>
      <c r="B1144" s="762" t="s">
        <v>1248</v>
      </c>
      <c r="C1144" s="762" t="s">
        <v>507</v>
      </c>
      <c r="D1144" s="1599"/>
      <c r="E1144" s="2245" t="s">
        <v>1948</v>
      </c>
      <c r="F1144" s="891">
        <v>2390</v>
      </c>
      <c r="G1144" s="880" t="s">
        <v>347</v>
      </c>
      <c r="H1144" s="867"/>
      <c r="I1144" s="896">
        <v>500</v>
      </c>
      <c r="J1144" s="881"/>
      <c r="K1144" s="893"/>
      <c r="L1144" s="1750"/>
      <c r="M1144" s="3631">
        <v>500</v>
      </c>
      <c r="N1144" s="149"/>
      <c r="O1144" s="86"/>
      <c r="P1144" s="1817" t="e">
        <f>INDEX(#REF!,MATCH(F1144,#REF!,0),2)</f>
        <v>#REF!</v>
      </c>
      <c r="Q1144" s="1779"/>
      <c r="R1144" s="1779"/>
      <c r="S1144" s="1779"/>
      <c r="T1144" s="1779"/>
      <c r="U1144" s="1779"/>
      <c r="V1144" s="1779"/>
      <c r="W1144" s="43"/>
      <c r="X1144" s="1779"/>
      <c r="Y1144" s="1779"/>
      <c r="Z1144" s="1779"/>
      <c r="AA1144" s="1779"/>
      <c r="AB1144" s="1779"/>
      <c r="AC1144" s="1779"/>
      <c r="AD1144" s="1779"/>
      <c r="AE1144" s="1779"/>
      <c r="AF1144" s="1779"/>
      <c r="AG1144" s="1779"/>
      <c r="AH1144" s="1779"/>
      <c r="AI1144" s="1779"/>
      <c r="AJ1144" s="1779"/>
      <c r="AK1144" s="1779"/>
      <c r="AL1144" s="1779"/>
      <c r="AM1144" s="1779"/>
      <c r="AN1144" s="1779"/>
      <c r="AO1144" s="1779"/>
      <c r="AP1144" s="1779"/>
      <c r="AQ1144" s="1779"/>
      <c r="AR1144" s="1779"/>
      <c r="AS1144" s="1779"/>
      <c r="AT1144" s="1779"/>
      <c r="AU1144" s="1779"/>
      <c r="AV1144" s="1779"/>
    </row>
    <row r="1145" spans="1:48" ht="22.15" customHeight="1">
      <c r="A1145" s="768"/>
      <c r="B1145" s="762" t="s">
        <v>1248</v>
      </c>
      <c r="C1145" s="762" t="s">
        <v>507</v>
      </c>
      <c r="D1145" s="1599"/>
      <c r="E1145" s="2245" t="s">
        <v>1948</v>
      </c>
      <c r="F1145" s="891">
        <v>2239</v>
      </c>
      <c r="G1145" s="895" t="s">
        <v>354</v>
      </c>
      <c r="H1145" s="867"/>
      <c r="I1145" s="892">
        <v>3850</v>
      </c>
      <c r="J1145" s="881"/>
      <c r="K1145" s="893"/>
      <c r="L1145" s="1750"/>
      <c r="M1145" s="3629">
        <v>3850</v>
      </c>
      <c r="N1145" s="149"/>
      <c r="O1145" s="86"/>
      <c r="P1145" s="1817" t="e">
        <f>INDEX(#REF!,MATCH(F1145,#REF!,0),2)</f>
        <v>#REF!</v>
      </c>
      <c r="Q1145" s="11"/>
      <c r="R1145" s="11"/>
      <c r="S1145" s="11"/>
      <c r="T1145" s="11"/>
      <c r="U1145" s="11"/>
      <c r="V1145" s="11"/>
      <c r="W1145" s="4"/>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row>
    <row r="1146" spans="1:48" ht="24.6" customHeight="1">
      <c r="A1146" s="768"/>
      <c r="B1146" s="762" t="s">
        <v>1248</v>
      </c>
      <c r="C1146" s="762" t="s">
        <v>507</v>
      </c>
      <c r="D1146" s="1599"/>
      <c r="E1146" s="2245" t="s">
        <v>1948</v>
      </c>
      <c r="F1146" s="891">
        <v>2239</v>
      </c>
      <c r="G1146" s="880" t="s">
        <v>357</v>
      </c>
      <c r="H1146" s="867"/>
      <c r="I1146" s="892">
        <v>3800</v>
      </c>
      <c r="J1146" s="881"/>
      <c r="K1146" s="893"/>
      <c r="L1146" s="1750"/>
      <c r="M1146" s="3629">
        <v>4200</v>
      </c>
      <c r="N1146" s="154" t="s">
        <v>4911</v>
      </c>
      <c r="O1146" s="86"/>
      <c r="P1146" s="1817" t="e">
        <f>INDEX(#REF!,MATCH(F1146,#REF!,0),2)</f>
        <v>#REF!</v>
      </c>
      <c r="Q1146" s="11"/>
      <c r="R1146" s="11"/>
      <c r="S1146" s="11"/>
      <c r="T1146" s="11"/>
      <c r="U1146" s="11"/>
      <c r="V1146" s="11"/>
      <c r="W1146" s="4"/>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row>
    <row r="1147" spans="1:48" ht="11.45" customHeight="1" thickBot="1">
      <c r="A1147" s="901"/>
      <c r="B1147" s="486" t="s">
        <v>1248</v>
      </c>
      <c r="C1147" s="486" t="s">
        <v>507</v>
      </c>
      <c r="D1147" s="1612"/>
      <c r="E1147" s="2276" t="s">
        <v>1948</v>
      </c>
      <c r="F1147" s="902">
        <v>2233</v>
      </c>
      <c r="G1147" s="903" t="s">
        <v>344</v>
      </c>
      <c r="H1147" s="904"/>
      <c r="I1147" s="905">
        <v>10000</v>
      </c>
      <c r="J1147" s="906"/>
      <c r="K1147" s="907"/>
      <c r="L1147" s="1751"/>
      <c r="M1147" s="3639">
        <v>10800</v>
      </c>
      <c r="N1147" s="149"/>
      <c r="O1147" s="86"/>
      <c r="P1147" s="1817" t="e">
        <f>INDEX(#REF!,MATCH(F1147,#REF!,0),2)</f>
        <v>#REF!</v>
      </c>
      <c r="Q1147" s="1779"/>
      <c r="R1147" s="1779"/>
      <c r="S1147" s="1779"/>
      <c r="T1147" s="1779"/>
      <c r="U1147" s="1779"/>
      <c r="V1147" s="1779"/>
      <c r="W1147" s="43"/>
      <c r="X1147" s="1779"/>
      <c r="Y1147" s="1779"/>
      <c r="Z1147" s="1779"/>
      <c r="AA1147" s="1779"/>
      <c r="AB1147" s="1779"/>
      <c r="AC1147" s="1779"/>
      <c r="AD1147" s="1779"/>
      <c r="AE1147" s="1779"/>
      <c r="AF1147" s="1779"/>
      <c r="AG1147" s="1779"/>
      <c r="AH1147" s="1779"/>
      <c r="AI1147" s="1779"/>
      <c r="AJ1147" s="1779"/>
      <c r="AK1147" s="1779"/>
      <c r="AL1147" s="1779"/>
      <c r="AM1147" s="1779"/>
      <c r="AN1147" s="1779"/>
      <c r="AO1147" s="1779"/>
      <c r="AP1147" s="1779"/>
      <c r="AQ1147" s="1779"/>
      <c r="AR1147" s="1779"/>
      <c r="AS1147" s="1779"/>
      <c r="AT1147" s="1779"/>
      <c r="AU1147" s="1779"/>
      <c r="AV1147" s="1779"/>
    </row>
    <row r="1148" spans="1:48" ht="17.25" customHeight="1">
      <c r="A1148" s="1758"/>
      <c r="B1148" s="1739" t="s">
        <v>1248</v>
      </c>
      <c r="C1148" s="1739" t="s">
        <v>507</v>
      </c>
      <c r="D1148" s="1738">
        <v>965</v>
      </c>
      <c r="E1148" s="2288" t="s">
        <v>1948</v>
      </c>
      <c r="F1148" s="1759">
        <v>2234</v>
      </c>
      <c r="G1148" s="1760" t="s">
        <v>235</v>
      </c>
      <c r="H1148" s="1722">
        <v>821</v>
      </c>
      <c r="I1148" s="1722"/>
      <c r="J1148" s="1740">
        <v>821</v>
      </c>
      <c r="K1148" s="1741"/>
      <c r="L1148" s="3646">
        <v>4200</v>
      </c>
      <c r="M1148" s="2653"/>
      <c r="N1148" s="286">
        <f>L1148-H1148</f>
        <v>3379</v>
      </c>
      <c r="O1148" s="86"/>
      <c r="P1148" s="1817" t="e">
        <f>INDEX(#REF!,MATCH(F1148,#REF!,0),2)</f>
        <v>#REF!</v>
      </c>
      <c r="Q1148" s="43"/>
      <c r="R1148" s="43"/>
      <c r="S1148" s="43"/>
      <c r="T1148" s="43"/>
      <c r="U1148" s="43"/>
      <c r="V1148" s="43"/>
      <c r="W1148" s="43"/>
      <c r="X1148" s="43"/>
      <c r="Y1148" s="43"/>
      <c r="Z1148" s="43"/>
      <c r="AA1148" s="43"/>
      <c r="AB1148" s="43"/>
      <c r="AC1148" s="43"/>
      <c r="AD1148" s="43"/>
      <c r="AE1148" s="43"/>
      <c r="AF1148" s="43"/>
      <c r="AG1148" s="43"/>
      <c r="AH1148" s="43"/>
      <c r="AI1148" s="43"/>
      <c r="AJ1148" s="43"/>
      <c r="AK1148" s="43"/>
      <c r="AL1148" s="43"/>
      <c r="AM1148" s="43"/>
      <c r="AN1148" s="43"/>
      <c r="AO1148" s="43"/>
      <c r="AP1148" s="43"/>
      <c r="AQ1148" s="43"/>
      <c r="AR1148" s="43"/>
      <c r="AS1148" s="43"/>
      <c r="AT1148" s="43"/>
      <c r="AU1148" s="43"/>
      <c r="AV1148" s="43"/>
    </row>
    <row r="1149" spans="1:48" ht="17.25" customHeight="1">
      <c r="A1149" s="768"/>
      <c r="B1149" s="762" t="s">
        <v>1248</v>
      </c>
      <c r="C1149" s="762" t="s">
        <v>507</v>
      </c>
      <c r="D1149" s="1599"/>
      <c r="E1149" s="2245" t="s">
        <v>1948</v>
      </c>
      <c r="F1149" s="763">
        <v>2234</v>
      </c>
      <c r="G1149" s="3620" t="s">
        <v>4913</v>
      </c>
      <c r="H1149" s="869"/>
      <c r="I1149" s="870">
        <v>600</v>
      </c>
      <c r="J1149" s="873"/>
      <c r="K1149" s="871"/>
      <c r="L1149" s="3622"/>
      <c r="M1149" s="3647">
        <v>4200</v>
      </c>
      <c r="N1149" s="154" t="s">
        <v>4912</v>
      </c>
      <c r="O1149" s="86"/>
      <c r="P1149" s="1817" t="e">
        <f>INDEX(#REF!,MATCH(F1149,#REF!,0),2)</f>
        <v>#REF!</v>
      </c>
      <c r="Q1149" s="43"/>
      <c r="R1149" s="43"/>
      <c r="S1149" s="43"/>
      <c r="T1149" s="43"/>
      <c r="U1149" s="43"/>
      <c r="V1149" s="43"/>
      <c r="W1149" s="43"/>
      <c r="X1149" s="43"/>
      <c r="Y1149" s="43"/>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c r="AT1149" s="43"/>
      <c r="AU1149" s="43"/>
      <c r="AV1149" s="43"/>
    </row>
    <row r="1150" spans="1:48" ht="21" customHeight="1">
      <c r="A1150" s="1914"/>
      <c r="B1150" s="762" t="s">
        <v>1248</v>
      </c>
      <c r="C1150" s="762" t="s">
        <v>507</v>
      </c>
      <c r="D1150" s="1599"/>
      <c r="E1150" s="2245" t="s">
        <v>1948</v>
      </c>
      <c r="F1150" s="763">
        <v>2234</v>
      </c>
      <c r="G1150" s="2334" t="s">
        <v>3139</v>
      </c>
      <c r="H1150" s="1906"/>
      <c r="I1150" s="2330">
        <v>221</v>
      </c>
      <c r="J1150" s="2331"/>
      <c r="K1150" s="2332"/>
      <c r="L1150" s="3622"/>
      <c r="M1150" s="3624"/>
      <c r="N1150" s="149"/>
      <c r="O1150" s="86"/>
      <c r="P1150" s="1817" t="e">
        <f>INDEX(#REF!,MATCH(F1150,#REF!,0),2)</f>
        <v>#REF!</v>
      </c>
      <c r="Q1150" s="1779"/>
      <c r="R1150" s="1779"/>
      <c r="S1150" s="1779"/>
      <c r="T1150" s="1779"/>
      <c r="U1150" s="1779"/>
      <c r="V1150" s="1779"/>
      <c r="W1150" s="43"/>
      <c r="X1150" s="1779"/>
      <c r="Y1150" s="1779"/>
      <c r="Z1150" s="1779"/>
      <c r="AA1150" s="1779"/>
      <c r="AB1150" s="1779"/>
      <c r="AC1150" s="1779"/>
      <c r="AD1150" s="1779"/>
      <c r="AE1150" s="1779"/>
      <c r="AF1150" s="1779"/>
      <c r="AG1150" s="1779"/>
      <c r="AH1150" s="1779"/>
      <c r="AI1150" s="1779"/>
      <c r="AJ1150" s="1779"/>
      <c r="AK1150" s="1779"/>
      <c r="AL1150" s="1779"/>
      <c r="AM1150" s="1779"/>
      <c r="AN1150" s="1779"/>
      <c r="AO1150" s="1779"/>
      <c r="AP1150" s="1779"/>
      <c r="AQ1150" s="1779"/>
      <c r="AR1150" s="1779"/>
      <c r="AS1150" s="1779"/>
      <c r="AT1150" s="1779"/>
      <c r="AU1150" s="1779"/>
      <c r="AV1150" s="1779"/>
    </row>
    <row r="1151" spans="1:48">
      <c r="A1151" s="1758"/>
      <c r="B1151" s="1739" t="s">
        <v>1248</v>
      </c>
      <c r="C1151" s="1739" t="s">
        <v>507</v>
      </c>
      <c r="D1151" s="1738">
        <v>965</v>
      </c>
      <c r="E1151" s="2288" t="s">
        <v>1948</v>
      </c>
      <c r="F1151" s="1759">
        <v>2235</v>
      </c>
      <c r="G1151" s="1760" t="s">
        <v>2431</v>
      </c>
      <c r="H1151" s="1722">
        <v>2430</v>
      </c>
      <c r="I1151" s="1722"/>
      <c r="J1151" s="1740"/>
      <c r="K1151" s="1741"/>
      <c r="L1151" s="3646">
        <v>2430</v>
      </c>
      <c r="M1151" s="2653"/>
      <c r="N1151" s="73"/>
      <c r="O1151" s="86"/>
      <c r="P1151" s="1817" t="e">
        <f>INDEX(#REF!,MATCH(F1151,#REF!,0),2)</f>
        <v>#REF!</v>
      </c>
      <c r="Q1151" s="11"/>
      <c r="R1151" s="11"/>
      <c r="S1151" s="11"/>
      <c r="T1151" s="11"/>
      <c r="U1151" s="11"/>
      <c r="V1151" s="11"/>
      <c r="W1151" s="4"/>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row>
    <row r="1152" spans="1:48" ht="22.5">
      <c r="A1152" s="488"/>
      <c r="B1152" s="489" t="s">
        <v>1248</v>
      </c>
      <c r="C1152" s="489" t="s">
        <v>507</v>
      </c>
      <c r="D1152" s="1613"/>
      <c r="E1152" s="2289" t="s">
        <v>1948</v>
      </c>
      <c r="F1152" s="763">
        <v>2235</v>
      </c>
      <c r="G1152" s="527" t="s">
        <v>1063</v>
      </c>
      <c r="H1152" s="909"/>
      <c r="I1152" s="910">
        <v>2250</v>
      </c>
      <c r="J1152" s="910"/>
      <c r="K1152" s="911"/>
      <c r="L1152" s="1752"/>
      <c r="M1152" s="1727">
        <v>2250</v>
      </c>
      <c r="N1152" s="149"/>
      <c r="O1152" s="86"/>
      <c r="P1152" s="1817" t="e">
        <f>INDEX(#REF!,MATCH(F1152,#REF!,0),2)</f>
        <v>#REF!</v>
      </c>
      <c r="Q1152" s="11"/>
      <c r="R1152" s="11"/>
      <c r="S1152" s="11"/>
      <c r="T1152" s="11"/>
      <c r="U1152" s="11"/>
      <c r="V1152" s="11"/>
      <c r="W1152" s="4"/>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row>
    <row r="1153" spans="1:48" ht="11.45" customHeight="1">
      <c r="A1153" s="488"/>
      <c r="B1153" s="489" t="s">
        <v>1248</v>
      </c>
      <c r="C1153" s="489" t="s">
        <v>507</v>
      </c>
      <c r="D1153" s="1613"/>
      <c r="E1153" s="2289" t="s">
        <v>1948</v>
      </c>
      <c r="F1153" s="763">
        <v>2235</v>
      </c>
      <c r="G1153" s="527" t="s">
        <v>571</v>
      </c>
      <c r="H1153" s="909"/>
      <c r="I1153" s="910">
        <v>180</v>
      </c>
      <c r="J1153" s="910"/>
      <c r="K1153" s="911"/>
      <c r="L1153" s="1752"/>
      <c r="M1153" s="1727">
        <v>180</v>
      </c>
      <c r="N1153" s="149"/>
      <c r="O1153" s="86"/>
      <c r="P1153" s="1817" t="e">
        <f>INDEX(#REF!,MATCH(F1153,#REF!,0),2)</f>
        <v>#REF!</v>
      </c>
      <c r="Q1153" s="1779"/>
      <c r="R1153" s="1779"/>
      <c r="S1153" s="1779"/>
      <c r="T1153" s="1779"/>
      <c r="U1153" s="1779"/>
      <c r="V1153" s="1779"/>
      <c r="W1153" s="43"/>
      <c r="X1153" s="1779"/>
      <c r="Y1153" s="1779"/>
      <c r="Z1153" s="1779"/>
      <c r="AA1153" s="1779"/>
      <c r="AB1153" s="1779"/>
      <c r="AC1153" s="1779"/>
      <c r="AD1153" s="1779"/>
      <c r="AE1153" s="1779"/>
      <c r="AF1153" s="1779"/>
      <c r="AG1153" s="1779"/>
      <c r="AH1153" s="1779"/>
      <c r="AI1153" s="1779"/>
      <c r="AJ1153" s="1779"/>
      <c r="AK1153" s="1779"/>
      <c r="AL1153" s="1779"/>
      <c r="AM1153" s="1779"/>
      <c r="AN1153" s="1779"/>
      <c r="AO1153" s="1779"/>
      <c r="AP1153" s="1779"/>
      <c r="AQ1153" s="1779"/>
      <c r="AR1153" s="1779"/>
      <c r="AS1153" s="1779"/>
      <c r="AT1153" s="1779"/>
      <c r="AU1153" s="1779"/>
      <c r="AV1153" s="1779"/>
    </row>
    <row r="1154" spans="1:48">
      <c r="A1154" s="908"/>
      <c r="B1154" s="775" t="s">
        <v>1248</v>
      </c>
      <c r="C1154" s="775" t="s">
        <v>507</v>
      </c>
      <c r="D1154" s="1600">
        <v>965</v>
      </c>
      <c r="E1154" s="2247" t="s">
        <v>1948</v>
      </c>
      <c r="F1154" s="809">
        <v>2239</v>
      </c>
      <c r="G1154" s="755"/>
      <c r="H1154" s="759">
        <v>7970</v>
      </c>
      <c r="I1154" s="759"/>
      <c r="J1154" s="760"/>
      <c r="K1154" s="761"/>
      <c r="L1154" s="3621">
        <v>5040</v>
      </c>
      <c r="M1154" s="1662"/>
      <c r="N1154" s="149"/>
      <c r="O1154" s="86"/>
      <c r="P1154" s="1817" t="e">
        <f>INDEX(#REF!,MATCH(F1154,#REF!,0),2)</f>
        <v>#REF!</v>
      </c>
      <c r="Q1154" s="11"/>
      <c r="R1154" s="11"/>
      <c r="S1154" s="11"/>
      <c r="T1154" s="11"/>
      <c r="U1154" s="11"/>
      <c r="V1154" s="11"/>
      <c r="W1154" s="4"/>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row>
    <row r="1155" spans="1:48">
      <c r="A1155" s="488"/>
      <c r="B1155" s="489" t="s">
        <v>1248</v>
      </c>
      <c r="C1155" s="489" t="s">
        <v>507</v>
      </c>
      <c r="D1155" s="1613"/>
      <c r="E1155" s="2289" t="s">
        <v>1948</v>
      </c>
      <c r="F1155" s="763">
        <v>2239</v>
      </c>
      <c r="G1155" s="1742" t="s">
        <v>1064</v>
      </c>
      <c r="H1155" s="909"/>
      <c r="I1155" s="910">
        <v>2000</v>
      </c>
      <c r="J1155" s="910"/>
      <c r="K1155" s="911"/>
      <c r="L1155" s="1752"/>
      <c r="M1155" s="1727">
        <v>2000</v>
      </c>
      <c r="N1155" s="149"/>
      <c r="O1155" s="86"/>
      <c r="P1155" s="1817" t="e">
        <f>INDEX(#REF!,MATCH(F1155,#REF!,0),2)</f>
        <v>#REF!</v>
      </c>
      <c r="Q1155" s="11"/>
      <c r="R1155" s="11"/>
      <c r="S1155" s="11"/>
      <c r="T1155" s="11"/>
      <c r="U1155" s="11"/>
      <c r="V1155" s="11"/>
      <c r="W1155" s="4"/>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row>
    <row r="1156" spans="1:48">
      <c r="A1156" s="488"/>
      <c r="B1156" s="489" t="s">
        <v>1248</v>
      </c>
      <c r="C1156" s="489" t="s">
        <v>507</v>
      </c>
      <c r="D1156" s="1613"/>
      <c r="E1156" s="2289" t="s">
        <v>1948</v>
      </c>
      <c r="F1156" s="763">
        <v>2239</v>
      </c>
      <c r="G1156" s="527" t="s">
        <v>680</v>
      </c>
      <c r="H1156" s="909"/>
      <c r="I1156" s="910">
        <v>200</v>
      </c>
      <c r="J1156" s="910"/>
      <c r="K1156" s="911"/>
      <c r="L1156" s="1752"/>
      <c r="M1156" s="1727">
        <v>200</v>
      </c>
      <c r="N1156" s="149"/>
      <c r="O1156" s="86"/>
      <c r="P1156" s="1817" t="e">
        <f>INDEX(#REF!,MATCH(F1156,#REF!,0),2)</f>
        <v>#REF!</v>
      </c>
      <c r="Q1156" s="11"/>
      <c r="R1156" s="11"/>
      <c r="S1156" s="11"/>
      <c r="T1156" s="11"/>
      <c r="U1156" s="11"/>
      <c r="V1156" s="11"/>
      <c r="W1156" s="4"/>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row>
    <row r="1157" spans="1:48">
      <c r="A1157" s="488"/>
      <c r="B1157" s="489" t="s">
        <v>1248</v>
      </c>
      <c r="C1157" s="489" t="s">
        <v>507</v>
      </c>
      <c r="D1157" s="1613"/>
      <c r="E1157" s="2289" t="s">
        <v>1948</v>
      </c>
      <c r="F1157" s="763">
        <v>2239</v>
      </c>
      <c r="G1157" s="527" t="s">
        <v>789</v>
      </c>
      <c r="H1157" s="909"/>
      <c r="I1157" s="910">
        <v>170</v>
      </c>
      <c r="J1157" s="910"/>
      <c r="K1157" s="911"/>
      <c r="L1157" s="1752"/>
      <c r="M1157" s="1727">
        <v>340</v>
      </c>
      <c r="N1157" s="13" t="s">
        <v>4915</v>
      </c>
      <c r="O1157" s="86"/>
      <c r="P1157" s="1817" t="e">
        <f>INDEX(#REF!,MATCH(F1157,#REF!,0),2)</f>
        <v>#REF!</v>
      </c>
      <c r="Q1157" s="11"/>
      <c r="R1157" s="11"/>
      <c r="S1157" s="11"/>
      <c r="T1157" s="11"/>
      <c r="U1157" s="11"/>
      <c r="V1157" s="11"/>
      <c r="W1157" s="4"/>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row>
    <row r="1158" spans="1:48">
      <c r="A1158" s="488"/>
      <c r="B1158" s="489" t="s">
        <v>1248</v>
      </c>
      <c r="C1158" s="489" t="s">
        <v>507</v>
      </c>
      <c r="D1158" s="1613"/>
      <c r="E1158" s="2289" t="s">
        <v>1948</v>
      </c>
      <c r="F1158" s="763">
        <v>2239</v>
      </c>
      <c r="G1158" s="527" t="s">
        <v>2409</v>
      </c>
      <c r="H1158" s="909"/>
      <c r="I1158" s="910">
        <v>2500</v>
      </c>
      <c r="J1158" s="910"/>
      <c r="K1158" s="911"/>
      <c r="L1158" s="1752"/>
      <c r="M1158" s="1727">
        <v>2500</v>
      </c>
      <c r="N1158" s="149"/>
      <c r="O1158" s="86"/>
      <c r="P1158" s="1817" t="e">
        <f>INDEX(#REF!,MATCH(F1158,#REF!,0),2)</f>
        <v>#REF!</v>
      </c>
      <c r="Q1158" s="11"/>
      <c r="R1158" s="11"/>
      <c r="S1158" s="11"/>
      <c r="T1158" s="11"/>
      <c r="U1158" s="11"/>
      <c r="V1158" s="11"/>
      <c r="W1158" s="4"/>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row>
    <row r="1159" spans="1:48" ht="11.45" customHeight="1">
      <c r="A1159" s="488"/>
      <c r="B1159" s="489" t="s">
        <v>1248</v>
      </c>
      <c r="C1159" s="489" t="s">
        <v>507</v>
      </c>
      <c r="D1159" s="1613"/>
      <c r="E1159" s="2289" t="s">
        <v>1948</v>
      </c>
      <c r="F1159" s="763">
        <v>2239</v>
      </c>
      <c r="G1159" s="527" t="s">
        <v>1692</v>
      </c>
      <c r="H1159" s="909"/>
      <c r="I1159" s="910">
        <v>3100</v>
      </c>
      <c r="J1159" s="910"/>
      <c r="K1159" s="911"/>
      <c r="L1159" s="1752"/>
      <c r="M1159" s="2414"/>
      <c r="N1159" s="149"/>
      <c r="O1159" s="86"/>
      <c r="P1159" s="1817" t="e">
        <f>INDEX(#REF!,MATCH(F1159,#REF!,0),2)</f>
        <v>#REF!</v>
      </c>
      <c r="Q1159" s="1779"/>
      <c r="R1159" s="1779"/>
      <c r="S1159" s="1779"/>
      <c r="T1159" s="1779"/>
      <c r="U1159" s="1779"/>
      <c r="V1159" s="1779"/>
      <c r="W1159" s="43"/>
      <c r="X1159" s="1779"/>
      <c r="Y1159" s="1779"/>
      <c r="Z1159" s="1779"/>
      <c r="AA1159" s="1779"/>
      <c r="AB1159" s="1779"/>
      <c r="AC1159" s="1779"/>
      <c r="AD1159" s="1779"/>
      <c r="AE1159" s="1779"/>
      <c r="AF1159" s="1779"/>
      <c r="AG1159" s="1779"/>
      <c r="AH1159" s="1779"/>
      <c r="AI1159" s="1779"/>
      <c r="AJ1159" s="1779"/>
      <c r="AK1159" s="1779"/>
      <c r="AL1159" s="1779"/>
      <c r="AM1159" s="1779"/>
      <c r="AN1159" s="1779"/>
      <c r="AO1159" s="1779"/>
      <c r="AP1159" s="1779"/>
      <c r="AQ1159" s="1779"/>
      <c r="AR1159" s="1779"/>
      <c r="AS1159" s="1779"/>
      <c r="AT1159" s="1779"/>
      <c r="AU1159" s="1779"/>
      <c r="AV1159" s="1779"/>
    </row>
    <row r="1160" spans="1:48" ht="14.45" customHeight="1">
      <c r="A1160" s="908"/>
      <c r="B1160" s="775" t="s">
        <v>1248</v>
      </c>
      <c r="C1160" s="775" t="s">
        <v>507</v>
      </c>
      <c r="D1160" s="1600">
        <v>965</v>
      </c>
      <c r="E1160" s="2247" t="s">
        <v>1948</v>
      </c>
      <c r="F1160" s="809">
        <v>2244</v>
      </c>
      <c r="G1160" s="755" t="s">
        <v>469</v>
      </c>
      <c r="H1160" s="759">
        <v>0</v>
      </c>
      <c r="I1160" s="759"/>
      <c r="J1160" s="760"/>
      <c r="K1160" s="761"/>
      <c r="L1160" s="3621">
        <v>0</v>
      </c>
      <c r="M1160" s="1662"/>
      <c r="N1160" s="149"/>
      <c r="O1160" s="86"/>
      <c r="P1160" s="1817" t="e">
        <f>INDEX(#REF!,MATCH(F1160,#REF!,0),2)</f>
        <v>#REF!</v>
      </c>
      <c r="Q1160" s="11"/>
      <c r="R1160" s="11"/>
      <c r="S1160" s="11"/>
      <c r="T1160" s="11"/>
      <c r="U1160" s="11"/>
      <c r="V1160" s="11"/>
      <c r="W1160" s="4"/>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row>
    <row r="1161" spans="1:48" ht="11.45" customHeight="1">
      <c r="A1161" s="488"/>
      <c r="B1161" s="489" t="s">
        <v>1248</v>
      </c>
      <c r="C1161" s="489" t="s">
        <v>507</v>
      </c>
      <c r="D1161" s="1613"/>
      <c r="E1161" s="2289" t="s">
        <v>1948</v>
      </c>
      <c r="F1161" s="763">
        <v>2244</v>
      </c>
      <c r="G1161" s="527"/>
      <c r="H1161" s="909"/>
      <c r="I1161" s="910"/>
      <c r="J1161" s="910"/>
      <c r="K1161" s="911"/>
      <c r="L1161" s="1752"/>
      <c r="M1161" s="2414"/>
      <c r="N1161" s="149"/>
      <c r="O1161" s="86"/>
      <c r="P1161" s="1817" t="e">
        <f>INDEX(#REF!,MATCH(F1161,#REF!,0),2)</f>
        <v>#REF!</v>
      </c>
      <c r="Q1161" s="1779"/>
      <c r="R1161" s="1779"/>
      <c r="S1161" s="1779"/>
      <c r="T1161" s="1779"/>
      <c r="U1161" s="1779"/>
      <c r="V1161" s="1779"/>
      <c r="W1161" s="43"/>
      <c r="X1161" s="1779"/>
      <c r="Y1161" s="1779"/>
      <c r="Z1161" s="1779"/>
      <c r="AA1161" s="1779"/>
      <c r="AB1161" s="1779"/>
      <c r="AC1161" s="1779"/>
      <c r="AD1161" s="1779"/>
      <c r="AE1161" s="1779"/>
      <c r="AF1161" s="1779"/>
      <c r="AG1161" s="1779"/>
      <c r="AH1161" s="1779"/>
      <c r="AI1161" s="1779"/>
      <c r="AJ1161" s="1779"/>
      <c r="AK1161" s="1779"/>
      <c r="AL1161" s="1779"/>
      <c r="AM1161" s="1779"/>
      <c r="AN1161" s="1779"/>
      <c r="AO1161" s="1779"/>
      <c r="AP1161" s="1779"/>
      <c r="AQ1161" s="1779"/>
      <c r="AR1161" s="1779"/>
      <c r="AS1161" s="1779"/>
      <c r="AT1161" s="1779"/>
      <c r="AU1161" s="1779"/>
      <c r="AV1161" s="1779"/>
    </row>
    <row r="1162" spans="1:48" ht="19.899999999999999" customHeight="1">
      <c r="A1162" s="908"/>
      <c r="B1162" s="775" t="s">
        <v>1248</v>
      </c>
      <c r="C1162" s="775" t="s">
        <v>507</v>
      </c>
      <c r="D1162" s="1600">
        <v>965</v>
      </c>
      <c r="E1162" s="2247" t="s">
        <v>1948</v>
      </c>
      <c r="F1162" s="809">
        <v>2247</v>
      </c>
      <c r="G1162" s="755" t="s">
        <v>2581</v>
      </c>
      <c r="H1162" s="759">
        <v>1779</v>
      </c>
      <c r="I1162" s="759"/>
      <c r="J1162" s="760"/>
      <c r="K1162" s="761"/>
      <c r="L1162" s="3621">
        <v>4000</v>
      </c>
      <c r="M1162" s="1647"/>
      <c r="N1162" s="149"/>
      <c r="O1162" s="86"/>
      <c r="P1162" s="1817" t="e">
        <f>INDEX(#REF!,MATCH(F1162,#REF!,0),2)</f>
        <v>#REF!</v>
      </c>
      <c r="Q1162" s="11"/>
      <c r="R1162" s="11"/>
      <c r="S1162" s="11"/>
      <c r="T1162" s="11"/>
      <c r="U1162" s="11"/>
      <c r="V1162" s="11"/>
      <c r="W1162" s="4"/>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row>
    <row r="1163" spans="1:48" ht="19.899999999999999" customHeight="1">
      <c r="A1163" s="488"/>
      <c r="B1163" s="489" t="s">
        <v>1248</v>
      </c>
      <c r="C1163" s="489" t="s">
        <v>507</v>
      </c>
      <c r="D1163" s="1613"/>
      <c r="E1163" s="2289" t="s">
        <v>1948</v>
      </c>
      <c r="F1163" s="763">
        <v>2247</v>
      </c>
      <c r="G1163" s="527" t="s">
        <v>4916</v>
      </c>
      <c r="H1163" s="909"/>
      <c r="I1163" s="910">
        <v>2000</v>
      </c>
      <c r="J1163" s="910"/>
      <c r="K1163" s="911"/>
      <c r="L1163" s="3648"/>
      <c r="M1163" s="1727">
        <v>4000</v>
      </c>
      <c r="N1163" s="149"/>
      <c r="O1163" s="86"/>
      <c r="P1163" s="1817" t="e">
        <f>INDEX(#REF!,MATCH(F1163,#REF!,0),2)</f>
        <v>#REF!</v>
      </c>
      <c r="Q1163" s="11"/>
      <c r="R1163" s="11"/>
      <c r="S1163" s="11"/>
      <c r="T1163" s="11"/>
      <c r="U1163" s="11"/>
      <c r="V1163" s="11"/>
      <c r="W1163" s="4"/>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row>
    <row r="1164" spans="1:48" ht="11.45" customHeight="1">
      <c r="A1164" s="2333"/>
      <c r="B1164" s="489" t="s">
        <v>1248</v>
      </c>
      <c r="C1164" s="489" t="s">
        <v>507</v>
      </c>
      <c r="D1164" s="1613"/>
      <c r="E1164" s="2289" t="s">
        <v>1948</v>
      </c>
      <c r="F1164" s="763">
        <v>2247</v>
      </c>
      <c r="G1164" s="2334" t="s">
        <v>3139</v>
      </c>
      <c r="H1164" s="2335"/>
      <c r="I1164" s="2336">
        <v>-221</v>
      </c>
      <c r="J1164" s="2336"/>
      <c r="K1164" s="2337"/>
      <c r="L1164" s="2416"/>
      <c r="M1164" s="2417"/>
      <c r="N1164" s="149"/>
      <c r="O1164" s="86"/>
      <c r="P1164" s="1817" t="e">
        <f>INDEX(#REF!,MATCH(F1164,#REF!,0),2)</f>
        <v>#REF!</v>
      </c>
      <c r="Q1164" s="1779"/>
      <c r="R1164" s="1779"/>
      <c r="S1164" s="1779"/>
      <c r="T1164" s="1779"/>
      <c r="U1164" s="1779"/>
      <c r="V1164" s="1779"/>
      <c r="W1164" s="43"/>
      <c r="X1164" s="1779"/>
      <c r="Y1164" s="1779"/>
      <c r="Z1164" s="1779"/>
      <c r="AA1164" s="1779"/>
      <c r="AB1164" s="1779"/>
      <c r="AC1164" s="1779"/>
      <c r="AD1164" s="1779"/>
      <c r="AE1164" s="1779"/>
      <c r="AF1164" s="1779"/>
      <c r="AG1164" s="1779"/>
      <c r="AH1164" s="1779"/>
      <c r="AI1164" s="1779"/>
      <c r="AJ1164" s="1779"/>
      <c r="AK1164" s="1779"/>
      <c r="AL1164" s="1779"/>
      <c r="AM1164" s="1779"/>
      <c r="AN1164" s="1779"/>
      <c r="AO1164" s="1779"/>
      <c r="AP1164" s="1779"/>
      <c r="AQ1164" s="1779"/>
      <c r="AR1164" s="1779"/>
      <c r="AS1164" s="1779"/>
      <c r="AT1164" s="1779"/>
      <c r="AU1164" s="1779"/>
      <c r="AV1164" s="1779"/>
    </row>
    <row r="1165" spans="1:48">
      <c r="A1165" s="908"/>
      <c r="B1165" s="775" t="s">
        <v>1248</v>
      </c>
      <c r="C1165" s="775" t="s">
        <v>507</v>
      </c>
      <c r="D1165" s="1600">
        <v>965</v>
      </c>
      <c r="E1165" s="2247" t="s">
        <v>1948</v>
      </c>
      <c r="F1165" s="809">
        <v>2250</v>
      </c>
      <c r="G1165" s="755" t="s">
        <v>2435</v>
      </c>
      <c r="H1165" s="759">
        <v>2080</v>
      </c>
      <c r="I1165" s="759"/>
      <c r="J1165" s="760">
        <v>75</v>
      </c>
      <c r="K1165" s="761"/>
      <c r="L1165" s="759">
        <v>2080</v>
      </c>
      <c r="M1165" s="1662"/>
      <c r="N1165" s="149"/>
      <c r="O1165" s="86"/>
      <c r="P1165" s="1817" t="e">
        <f>INDEX(#REF!,MATCH(F1165,#REF!,0),2)</f>
        <v>#REF!</v>
      </c>
    </row>
    <row r="1166" spans="1:48">
      <c r="A1166" s="768"/>
      <c r="B1166" s="762" t="s">
        <v>1248</v>
      </c>
      <c r="C1166" s="762" t="s">
        <v>505</v>
      </c>
      <c r="D1166" s="1599"/>
      <c r="E1166" s="2245" t="s">
        <v>1948</v>
      </c>
      <c r="F1166" s="763">
        <v>2250</v>
      </c>
      <c r="G1166" s="879" t="s">
        <v>2663</v>
      </c>
      <c r="H1166" s="867"/>
      <c r="I1166" s="867">
        <v>500</v>
      </c>
      <c r="J1166" s="872"/>
      <c r="K1166" s="868"/>
      <c r="L1166" s="1750"/>
      <c r="M1166" s="1727">
        <v>500</v>
      </c>
      <c r="N1166" s="149" t="s">
        <v>4893</v>
      </c>
      <c r="O1166" s="86"/>
      <c r="P1166" s="1817" t="e">
        <f>INDEX(#REF!,MATCH(F1166,#REF!,0),2)</f>
        <v>#REF!</v>
      </c>
      <c r="Q1166" s="11"/>
      <c r="R1166" s="11"/>
      <c r="S1166" s="11"/>
      <c r="T1166" s="11"/>
      <c r="U1166" s="11"/>
      <c r="V1166" s="11"/>
      <c r="W1166" s="4"/>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row>
    <row r="1167" spans="1:48" ht="11.45" customHeight="1">
      <c r="A1167" s="488"/>
      <c r="B1167" s="489" t="s">
        <v>1248</v>
      </c>
      <c r="C1167" s="489" t="s">
        <v>507</v>
      </c>
      <c r="D1167" s="1613"/>
      <c r="E1167" s="2289" t="s">
        <v>1948</v>
      </c>
      <c r="F1167" s="763">
        <v>2250</v>
      </c>
      <c r="G1167" s="527" t="s">
        <v>2408</v>
      </c>
      <c r="H1167" s="909"/>
      <c r="I1167" s="910">
        <v>650</v>
      </c>
      <c r="J1167" s="910"/>
      <c r="K1167" s="911"/>
      <c r="L1167" s="1752"/>
      <c r="M1167" s="1727">
        <v>650</v>
      </c>
      <c r="N1167" s="149" t="s">
        <v>4914</v>
      </c>
      <c r="O1167" s="86"/>
      <c r="P1167" s="1817" t="e">
        <f>INDEX(#REF!,MATCH(F1167,#REF!,0),2)</f>
        <v>#REF!</v>
      </c>
      <c r="Q1167" s="11"/>
      <c r="R1167" s="11"/>
      <c r="S1167" s="11"/>
      <c r="T1167" s="11"/>
      <c r="U1167" s="11"/>
      <c r="V1167" s="11"/>
      <c r="W1167" s="4"/>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row>
    <row r="1168" spans="1:48" ht="11.45" customHeight="1">
      <c r="A1168" s="1658"/>
      <c r="B1168" s="762" t="s">
        <v>1248</v>
      </c>
      <c r="C1168" s="762" t="s">
        <v>505</v>
      </c>
      <c r="D1168" s="1599"/>
      <c r="E1168" s="2245" t="s">
        <v>1948</v>
      </c>
      <c r="F1168" s="763">
        <v>2250</v>
      </c>
      <c r="G1168" s="1743" t="s">
        <v>2410</v>
      </c>
      <c r="H1168" s="1744"/>
      <c r="I1168" s="1744">
        <v>450</v>
      </c>
      <c r="J1168" s="1745"/>
      <c r="K1168" s="1746"/>
      <c r="L1168" s="1747"/>
      <c r="M1168" s="3627">
        <v>450</v>
      </c>
      <c r="N1168" s="1558" t="s">
        <v>5230</v>
      </c>
      <c r="O1168" s="86"/>
      <c r="P1168" s="1817" t="e">
        <f>INDEX(#REF!,MATCH(F1168,#REF!,0),2)</f>
        <v>#REF!</v>
      </c>
      <c r="Q1168" s="11"/>
      <c r="R1168" s="11"/>
      <c r="S1168" s="11"/>
      <c r="T1168" s="11"/>
      <c r="U1168" s="11"/>
      <c r="V1168" s="11"/>
      <c r="W1168" s="4"/>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row>
    <row r="1169" spans="1:48" ht="11.45" customHeight="1">
      <c r="A1169" s="768"/>
      <c r="B1169" s="762" t="s">
        <v>1248</v>
      </c>
      <c r="C1169" s="762" t="s">
        <v>505</v>
      </c>
      <c r="D1169" s="1599"/>
      <c r="E1169" s="2245" t="s">
        <v>1948</v>
      </c>
      <c r="F1169" s="763">
        <v>2250</v>
      </c>
      <c r="G1169" s="915" t="s">
        <v>1607</v>
      </c>
      <c r="H1169" s="800"/>
      <c r="I1169" s="800">
        <v>480</v>
      </c>
      <c r="J1169" s="780"/>
      <c r="K1169" s="918"/>
      <c r="L1169" s="1747"/>
      <c r="M1169" s="3627">
        <v>480</v>
      </c>
      <c r="N1169" s="149" t="s">
        <v>4893</v>
      </c>
      <c r="O1169" s="86"/>
      <c r="P1169" s="1817" t="e">
        <f>INDEX(#REF!,MATCH(F1169,#REF!,0),2)</f>
        <v>#REF!</v>
      </c>
      <c r="Q1169" s="11"/>
      <c r="R1169" s="11"/>
      <c r="S1169" s="11"/>
      <c r="T1169" s="11"/>
      <c r="U1169" s="11"/>
      <c r="V1169" s="11"/>
      <c r="W1169" s="4"/>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row>
    <row r="1170" spans="1:48" ht="11.45" customHeight="1">
      <c r="A1170" s="854"/>
      <c r="B1170" s="755" t="s">
        <v>1248</v>
      </c>
      <c r="C1170" s="755" t="s">
        <v>507</v>
      </c>
      <c r="D1170" s="1600">
        <v>965</v>
      </c>
      <c r="E1170" s="2247" t="s">
        <v>1948</v>
      </c>
      <c r="F1170" s="756">
        <v>2311</v>
      </c>
      <c r="G1170" s="755" t="s">
        <v>241</v>
      </c>
      <c r="H1170" s="759">
        <v>500</v>
      </c>
      <c r="I1170" s="759"/>
      <c r="J1170" s="760">
        <v>510</v>
      </c>
      <c r="K1170" s="761"/>
      <c r="L1170" s="3621">
        <v>500</v>
      </c>
      <c r="M1170" s="1647"/>
      <c r="N1170" s="149"/>
      <c r="O1170" s="86"/>
      <c r="P1170" s="1817" t="e">
        <f>INDEX(#REF!,MATCH(F1170,#REF!,0),2)</f>
        <v>#REF!</v>
      </c>
      <c r="Q1170" s="43"/>
      <c r="R1170" s="43"/>
      <c r="S1170" s="43"/>
      <c r="T1170" s="43"/>
      <c r="U1170" s="43"/>
      <c r="V1170" s="43"/>
      <c r="W1170" s="43"/>
      <c r="X1170" s="43"/>
      <c r="Y1170" s="43"/>
      <c r="Z1170" s="43"/>
      <c r="AA1170" s="43"/>
      <c r="AB1170" s="43"/>
      <c r="AC1170" s="43"/>
      <c r="AD1170" s="43"/>
      <c r="AE1170" s="43"/>
      <c r="AF1170" s="43"/>
      <c r="AG1170" s="43"/>
      <c r="AH1170" s="43"/>
      <c r="AI1170" s="43"/>
      <c r="AJ1170" s="43"/>
      <c r="AK1170" s="43"/>
      <c r="AL1170" s="43"/>
      <c r="AM1170" s="43"/>
      <c r="AN1170" s="43"/>
      <c r="AO1170" s="43"/>
      <c r="AP1170" s="43"/>
      <c r="AQ1170" s="43"/>
      <c r="AR1170" s="43"/>
      <c r="AS1170" s="43"/>
      <c r="AT1170" s="43"/>
      <c r="AU1170" s="43"/>
      <c r="AV1170" s="43"/>
    </row>
    <row r="1171" spans="1:48" ht="11.45" customHeight="1">
      <c r="A1171" s="768"/>
      <c r="B1171" s="762" t="s">
        <v>1248</v>
      </c>
      <c r="C1171" s="762" t="s">
        <v>507</v>
      </c>
      <c r="D1171" s="1599"/>
      <c r="E1171" s="2245" t="s">
        <v>1948</v>
      </c>
      <c r="F1171" s="763">
        <v>2311</v>
      </c>
      <c r="G1171" s="915" t="s">
        <v>361</v>
      </c>
      <c r="H1171" s="916"/>
      <c r="I1171" s="916">
        <v>300</v>
      </c>
      <c r="J1171" s="914"/>
      <c r="K1171" s="917"/>
      <c r="L1171" s="3649"/>
      <c r="M1171" s="3627">
        <v>300</v>
      </c>
      <c r="N1171" s="149"/>
      <c r="O1171" s="86"/>
      <c r="P1171" s="1817" t="e">
        <f>INDEX(#REF!,MATCH(F1171,#REF!,0),2)</f>
        <v>#REF!</v>
      </c>
      <c r="Q1171" s="43"/>
      <c r="R1171" s="43"/>
      <c r="S1171" s="43"/>
      <c r="T1171" s="43"/>
      <c r="U1171" s="43"/>
      <c r="V1171" s="43"/>
      <c r="W1171" s="43"/>
      <c r="X1171" s="43"/>
      <c r="Y1171" s="43"/>
      <c r="Z1171" s="43"/>
      <c r="AA1171" s="43"/>
      <c r="AB1171" s="43"/>
      <c r="AC1171" s="43"/>
      <c r="AD1171" s="43"/>
      <c r="AE1171" s="43"/>
      <c r="AF1171" s="43"/>
      <c r="AG1171" s="43"/>
      <c r="AH1171" s="43"/>
      <c r="AI1171" s="43"/>
      <c r="AJ1171" s="43"/>
      <c r="AK1171" s="43"/>
      <c r="AL1171" s="43"/>
      <c r="AM1171" s="43"/>
      <c r="AN1171" s="43"/>
      <c r="AO1171" s="43"/>
      <c r="AP1171" s="43"/>
      <c r="AQ1171" s="43"/>
      <c r="AR1171" s="43"/>
      <c r="AS1171" s="43"/>
      <c r="AT1171" s="43"/>
      <c r="AU1171" s="43"/>
      <c r="AV1171" s="43"/>
    </row>
    <row r="1172" spans="1:48" ht="11.45" customHeight="1">
      <c r="A1172" s="768"/>
      <c r="B1172" s="762" t="s">
        <v>1248</v>
      </c>
      <c r="C1172" s="762" t="s">
        <v>507</v>
      </c>
      <c r="D1172" s="1599"/>
      <c r="E1172" s="2245" t="s">
        <v>1948</v>
      </c>
      <c r="F1172" s="763">
        <v>2311</v>
      </c>
      <c r="G1172" s="772" t="s">
        <v>362</v>
      </c>
      <c r="H1172" s="916"/>
      <c r="I1172" s="916">
        <v>200</v>
      </c>
      <c r="J1172" s="914"/>
      <c r="K1172" s="917"/>
      <c r="L1172" s="3649"/>
      <c r="M1172" s="3627">
        <v>200</v>
      </c>
      <c r="N1172" s="149"/>
      <c r="O1172" s="86"/>
      <c r="P1172" s="1817" t="e">
        <f>INDEX(#REF!,MATCH(F1172,#REF!,0),2)</f>
        <v>#REF!</v>
      </c>
      <c r="Q1172" s="11"/>
      <c r="R1172" s="11"/>
      <c r="S1172" s="11"/>
      <c r="T1172" s="11"/>
      <c r="U1172" s="11"/>
      <c r="V1172" s="11"/>
      <c r="W1172" s="4"/>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43"/>
      <c r="AS1172" s="43"/>
      <c r="AT1172" s="43"/>
      <c r="AU1172" s="43"/>
      <c r="AV1172" s="43"/>
    </row>
    <row r="1173" spans="1:48" ht="13.15" customHeight="1">
      <c r="A1173" s="854"/>
      <c r="B1173" s="755" t="s">
        <v>1248</v>
      </c>
      <c r="C1173" s="755" t="s">
        <v>505</v>
      </c>
      <c r="D1173" s="1600">
        <v>965</v>
      </c>
      <c r="E1173" s="2247" t="s">
        <v>1948</v>
      </c>
      <c r="F1173" s="756">
        <v>2312</v>
      </c>
      <c r="G1173" s="755" t="s">
        <v>363</v>
      </c>
      <c r="H1173" s="759">
        <v>1200</v>
      </c>
      <c r="I1173" s="759"/>
      <c r="J1173" s="760"/>
      <c r="K1173" s="761"/>
      <c r="L1173" s="3621">
        <v>1200</v>
      </c>
      <c r="M1173" s="1647"/>
      <c r="N1173" s="149"/>
      <c r="O1173" s="86"/>
      <c r="P1173" s="1817" t="e">
        <f>INDEX(#REF!,MATCH(F1173,#REF!,0),2)</f>
        <v>#REF!</v>
      </c>
      <c r="Q1173" s="11"/>
      <c r="R1173" s="11"/>
      <c r="S1173" s="11"/>
      <c r="T1173" s="11"/>
      <c r="U1173" s="11"/>
      <c r="V1173" s="11"/>
      <c r="W1173" s="4"/>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row>
    <row r="1174" spans="1:48" ht="14.45" customHeight="1">
      <c r="A1174" s="768"/>
      <c r="B1174" s="762" t="s">
        <v>1248</v>
      </c>
      <c r="C1174" s="762" t="s">
        <v>505</v>
      </c>
      <c r="D1174" s="1599"/>
      <c r="E1174" s="2245" t="s">
        <v>1948</v>
      </c>
      <c r="F1174" s="763">
        <v>2312</v>
      </c>
      <c r="G1174" s="915" t="s">
        <v>1606</v>
      </c>
      <c r="H1174" s="800"/>
      <c r="I1174" s="800">
        <v>800</v>
      </c>
      <c r="J1174" s="780"/>
      <c r="K1174" s="918"/>
      <c r="L1174" s="3649"/>
      <c r="M1174" s="3627">
        <v>800</v>
      </c>
      <c r="N1174" s="149"/>
      <c r="O1174" s="86"/>
      <c r="P1174" s="1817" t="e">
        <f>INDEX(#REF!,MATCH(F1174,#REF!,0),2)</f>
        <v>#REF!</v>
      </c>
      <c r="Q1174" s="11"/>
      <c r="R1174" s="11"/>
      <c r="S1174" s="11"/>
      <c r="T1174" s="11"/>
      <c r="U1174" s="11"/>
      <c r="V1174" s="11"/>
      <c r="W1174" s="4"/>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row>
    <row r="1175" spans="1:48" ht="21" customHeight="1">
      <c r="A1175" s="768"/>
      <c r="B1175" s="762" t="s">
        <v>1248</v>
      </c>
      <c r="C1175" s="762" t="s">
        <v>505</v>
      </c>
      <c r="D1175" s="1599"/>
      <c r="E1175" s="2245" t="s">
        <v>1948</v>
      </c>
      <c r="F1175" s="763">
        <v>2312</v>
      </c>
      <c r="G1175" s="915" t="s">
        <v>1608</v>
      </c>
      <c r="H1175" s="800"/>
      <c r="I1175" s="800">
        <v>400</v>
      </c>
      <c r="J1175" s="780"/>
      <c r="K1175" s="918"/>
      <c r="L1175" s="3649"/>
      <c r="M1175" s="3627">
        <v>400</v>
      </c>
      <c r="N1175" s="149"/>
      <c r="O1175" s="86"/>
      <c r="P1175" s="1817" t="e">
        <f>INDEX(#REF!,MATCH(F1175,#REF!,0),2)</f>
        <v>#REF!</v>
      </c>
      <c r="Q1175" s="11"/>
      <c r="R1175" s="11"/>
      <c r="S1175" s="11"/>
      <c r="T1175" s="11"/>
      <c r="U1175" s="11"/>
      <c r="V1175" s="11"/>
      <c r="W1175" s="4"/>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row>
    <row r="1176" spans="1:48" ht="22.5">
      <c r="A1176" s="854"/>
      <c r="B1176" s="755" t="s">
        <v>1248</v>
      </c>
      <c r="C1176" s="755" t="s">
        <v>507</v>
      </c>
      <c r="D1176" s="1600">
        <v>965</v>
      </c>
      <c r="E1176" s="2247" t="s">
        <v>1948</v>
      </c>
      <c r="F1176" s="756">
        <v>2314</v>
      </c>
      <c r="G1176" s="757" t="s">
        <v>2436</v>
      </c>
      <c r="H1176" s="759">
        <v>600</v>
      </c>
      <c r="I1176" s="759"/>
      <c r="J1176" s="760"/>
      <c r="K1176" s="761"/>
      <c r="L1176" s="759">
        <v>600</v>
      </c>
      <c r="M1176" s="1647"/>
      <c r="N1176" s="149"/>
      <c r="O1176" s="86"/>
      <c r="P1176" s="1817" t="e">
        <f>INDEX(#REF!,MATCH(F1176,#REF!,0),2)</f>
        <v>#REF!</v>
      </c>
      <c r="Q1176" s="11"/>
      <c r="R1176" s="11"/>
      <c r="S1176" s="11"/>
      <c r="T1176" s="11"/>
      <c r="U1176" s="11"/>
      <c r="V1176" s="11"/>
      <c r="W1176" s="4"/>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row>
    <row r="1177" spans="1:48">
      <c r="A1177" s="768"/>
      <c r="B1177" s="762" t="s">
        <v>1248</v>
      </c>
      <c r="C1177" s="762" t="s">
        <v>507</v>
      </c>
      <c r="D1177" s="1599"/>
      <c r="E1177" s="2245" t="s">
        <v>1948</v>
      </c>
      <c r="F1177" s="763">
        <v>2314</v>
      </c>
      <c r="G1177" s="2820" t="s">
        <v>4918</v>
      </c>
      <c r="H1177" s="800"/>
      <c r="I1177" s="800">
        <v>300</v>
      </c>
      <c r="J1177" s="780"/>
      <c r="K1177" s="918"/>
      <c r="L1177" s="3649"/>
      <c r="M1177" s="3627">
        <v>300</v>
      </c>
      <c r="N1177" s="73"/>
      <c r="O1177" s="86"/>
      <c r="P1177" s="1817" t="e">
        <f>INDEX(#REF!,MATCH(F1177,#REF!,0),2)</f>
        <v>#REF!</v>
      </c>
      <c r="Q1177" s="11"/>
      <c r="R1177" s="11"/>
      <c r="S1177" s="11"/>
      <c r="T1177" s="11"/>
      <c r="U1177" s="11"/>
      <c r="V1177" s="11"/>
      <c r="W1177" s="4"/>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row>
    <row r="1178" spans="1:48" ht="12.75" customHeight="1">
      <c r="A1178" s="768"/>
      <c r="B1178" s="762" t="s">
        <v>1248</v>
      </c>
      <c r="C1178" s="762" t="s">
        <v>507</v>
      </c>
      <c r="D1178" s="1599"/>
      <c r="E1178" s="2245" t="s">
        <v>1948</v>
      </c>
      <c r="F1178" s="763">
        <v>2314</v>
      </c>
      <c r="G1178" s="2820" t="s">
        <v>747</v>
      </c>
      <c r="H1178" s="800"/>
      <c r="I1178" s="800">
        <v>300</v>
      </c>
      <c r="J1178" s="780"/>
      <c r="K1178" s="918"/>
      <c r="L1178" s="3649"/>
      <c r="M1178" s="3627">
        <v>300</v>
      </c>
      <c r="N1178" s="73"/>
      <c r="O1178" s="86"/>
      <c r="P1178" s="1817" t="e">
        <f>INDEX(#REF!,MATCH(F1178,#REF!,0),2)</f>
        <v>#REF!</v>
      </c>
      <c r="Q1178" s="11"/>
      <c r="R1178" s="11"/>
      <c r="S1178" s="11"/>
      <c r="T1178" s="11"/>
      <c r="U1178" s="11"/>
      <c r="V1178" s="11"/>
      <c r="W1178" s="4"/>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row>
    <row r="1179" spans="1:48" ht="11.45" customHeight="1">
      <c r="A1179" s="854"/>
      <c r="B1179" s="755" t="s">
        <v>1248</v>
      </c>
      <c r="C1179" s="755" t="s">
        <v>507</v>
      </c>
      <c r="D1179" s="1600">
        <v>965</v>
      </c>
      <c r="E1179" s="2247" t="s">
        <v>1948</v>
      </c>
      <c r="F1179" s="756">
        <v>2322</v>
      </c>
      <c r="G1179" s="757" t="s">
        <v>289</v>
      </c>
      <c r="H1179" s="759">
        <v>6280</v>
      </c>
      <c r="I1179" s="759"/>
      <c r="J1179" s="760">
        <v>2192</v>
      </c>
      <c r="K1179" s="761"/>
      <c r="L1179" s="3621">
        <v>6280</v>
      </c>
      <c r="M1179" s="1647"/>
      <c r="N1179" s="149"/>
      <c r="O1179" s="86"/>
      <c r="P1179" s="1817" t="e">
        <f>INDEX(#REF!,MATCH(F1179,#REF!,0),2)</f>
        <v>#REF!</v>
      </c>
      <c r="Q1179" s="1779"/>
      <c r="R1179" s="1779"/>
      <c r="S1179" s="1779"/>
      <c r="T1179" s="1779"/>
      <c r="U1179" s="1779"/>
      <c r="V1179" s="1779"/>
      <c r="W1179" s="43"/>
      <c r="X1179" s="1779"/>
      <c r="Y1179" s="1779"/>
      <c r="Z1179" s="1779"/>
      <c r="AA1179" s="1779"/>
      <c r="AB1179" s="1779"/>
      <c r="AC1179" s="1779"/>
      <c r="AD1179" s="1779"/>
      <c r="AE1179" s="1779"/>
      <c r="AF1179" s="1779"/>
      <c r="AG1179" s="1779"/>
      <c r="AH1179" s="1779"/>
      <c r="AI1179" s="1779"/>
      <c r="AJ1179" s="1779"/>
      <c r="AK1179" s="1779"/>
      <c r="AL1179" s="1779"/>
      <c r="AM1179" s="1779"/>
      <c r="AN1179" s="1779"/>
      <c r="AO1179" s="1779"/>
      <c r="AP1179" s="1779"/>
      <c r="AQ1179" s="1779"/>
      <c r="AR1179" s="1779"/>
      <c r="AS1179" s="1779"/>
      <c r="AT1179" s="1779"/>
      <c r="AU1179" s="1779"/>
      <c r="AV1179" s="1779"/>
    </row>
    <row r="1180" spans="1:48" ht="11.45" customHeight="1">
      <c r="A1180" s="768"/>
      <c r="B1180" s="762" t="s">
        <v>1248</v>
      </c>
      <c r="C1180" s="762" t="s">
        <v>507</v>
      </c>
      <c r="D1180" s="1599"/>
      <c r="E1180" s="2245" t="s">
        <v>1948</v>
      </c>
      <c r="F1180" s="763">
        <v>2322</v>
      </c>
      <c r="G1180" s="915" t="s">
        <v>572</v>
      </c>
      <c r="H1180" s="916"/>
      <c r="I1180" s="916">
        <v>480</v>
      </c>
      <c r="J1180" s="914"/>
      <c r="K1180" s="917"/>
      <c r="L1180" s="3649"/>
      <c r="M1180" s="1671">
        <v>480</v>
      </c>
      <c r="N1180" s="149"/>
      <c r="O1180" s="86"/>
      <c r="P1180" s="1817" t="e">
        <f>INDEX(#REF!,MATCH(F1180,#REF!,0),2)</f>
        <v>#REF!</v>
      </c>
      <c r="Q1180" s="1779"/>
      <c r="R1180" s="1779"/>
      <c r="S1180" s="1779"/>
      <c r="T1180" s="1779"/>
      <c r="U1180" s="1779"/>
      <c r="V1180" s="1779"/>
      <c r="W1180" s="43"/>
      <c r="X1180" s="1779"/>
      <c r="Y1180" s="1779"/>
      <c r="Z1180" s="1779"/>
      <c r="AA1180" s="1779"/>
      <c r="AB1180" s="1779"/>
      <c r="AC1180" s="1779"/>
      <c r="AD1180" s="1779"/>
      <c r="AE1180" s="1779"/>
      <c r="AF1180" s="1779"/>
      <c r="AG1180" s="1779"/>
      <c r="AH1180" s="1779"/>
      <c r="AI1180" s="1779"/>
      <c r="AJ1180" s="1779"/>
      <c r="AK1180" s="1779"/>
      <c r="AL1180" s="1779"/>
      <c r="AM1180" s="1779"/>
      <c r="AN1180" s="1779"/>
      <c r="AO1180" s="1779"/>
      <c r="AP1180" s="1779"/>
      <c r="AQ1180" s="1779"/>
      <c r="AR1180" s="1779"/>
      <c r="AS1180" s="1779"/>
      <c r="AT1180" s="1779"/>
      <c r="AU1180" s="1779"/>
      <c r="AV1180" s="1779"/>
    </row>
    <row r="1181" spans="1:48" ht="11.45" customHeight="1">
      <c r="A1181" s="768"/>
      <c r="B1181" s="762" t="s">
        <v>1248</v>
      </c>
      <c r="C1181" s="762" t="s">
        <v>507</v>
      </c>
      <c r="D1181" s="1599"/>
      <c r="E1181" s="2245" t="s">
        <v>1948</v>
      </c>
      <c r="F1181" s="763">
        <v>2322</v>
      </c>
      <c r="G1181" s="915" t="s">
        <v>1065</v>
      </c>
      <c r="H1181" s="916"/>
      <c r="I1181" s="916">
        <v>360</v>
      </c>
      <c r="J1181" s="914"/>
      <c r="K1181" s="917"/>
      <c r="L1181" s="3649"/>
      <c r="M1181" s="1671">
        <v>360</v>
      </c>
      <c r="N1181" s="73"/>
      <c r="O1181" s="86"/>
      <c r="P1181" s="1817" t="e">
        <f>INDEX(#REF!,MATCH(F1181,#REF!,0),2)</f>
        <v>#REF!</v>
      </c>
      <c r="Q1181" s="1779"/>
      <c r="R1181" s="1779"/>
      <c r="S1181" s="1779"/>
      <c r="T1181" s="1779"/>
      <c r="U1181" s="1779"/>
      <c r="V1181" s="1779"/>
      <c r="W1181" s="43"/>
      <c r="X1181" s="1779"/>
      <c r="Y1181" s="1779"/>
      <c r="Z1181" s="1779"/>
      <c r="AA1181" s="1779"/>
      <c r="AB1181" s="1779"/>
      <c r="AC1181" s="1779"/>
      <c r="AD1181" s="1779"/>
      <c r="AE1181" s="1779"/>
      <c r="AF1181" s="1779"/>
      <c r="AG1181" s="1779"/>
      <c r="AH1181" s="1779"/>
      <c r="AI1181" s="1779"/>
      <c r="AJ1181" s="1779"/>
      <c r="AK1181" s="1779"/>
      <c r="AL1181" s="1779"/>
      <c r="AM1181" s="1779"/>
      <c r="AN1181" s="1779"/>
      <c r="AO1181" s="1779"/>
      <c r="AP1181" s="1779"/>
      <c r="AQ1181" s="1779"/>
      <c r="AR1181" s="1779"/>
      <c r="AS1181" s="1779"/>
      <c r="AT1181" s="1779"/>
      <c r="AU1181" s="1779"/>
      <c r="AV1181" s="1779"/>
    </row>
    <row r="1182" spans="1:48" ht="11.45" customHeight="1">
      <c r="A1182" s="768"/>
      <c r="B1182" s="762" t="s">
        <v>1248</v>
      </c>
      <c r="C1182" s="762" t="s">
        <v>507</v>
      </c>
      <c r="D1182" s="1599"/>
      <c r="E1182" s="2245" t="s">
        <v>1948</v>
      </c>
      <c r="F1182" s="763">
        <v>2322</v>
      </c>
      <c r="G1182" s="915" t="s">
        <v>887</v>
      </c>
      <c r="H1182" s="867"/>
      <c r="I1182" s="916">
        <v>1940</v>
      </c>
      <c r="J1182" s="881"/>
      <c r="K1182" s="893"/>
      <c r="L1182" s="3650"/>
      <c r="M1182" s="1671">
        <v>1940</v>
      </c>
      <c r="N1182" s="73"/>
      <c r="O1182" s="86"/>
      <c r="P1182" s="1817" t="e">
        <f>INDEX(#REF!,MATCH(F1182,#REF!,0),2)</f>
        <v>#REF!</v>
      </c>
      <c r="Q1182" s="11"/>
      <c r="R1182" s="11"/>
      <c r="S1182" s="11"/>
      <c r="T1182" s="11"/>
      <c r="U1182" s="11"/>
      <c r="V1182" s="11"/>
      <c r="W1182" s="4"/>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row>
    <row r="1183" spans="1:48" ht="11.45" customHeight="1">
      <c r="A1183" s="768"/>
      <c r="B1183" s="762" t="s">
        <v>1248</v>
      </c>
      <c r="C1183" s="762" t="s">
        <v>507</v>
      </c>
      <c r="D1183" s="1599"/>
      <c r="E1183" s="2245" t="s">
        <v>1948</v>
      </c>
      <c r="F1183" s="763">
        <v>2322</v>
      </c>
      <c r="G1183" s="915" t="s">
        <v>746</v>
      </c>
      <c r="H1183" s="916"/>
      <c r="I1183" s="916">
        <v>1000</v>
      </c>
      <c r="J1183" s="914"/>
      <c r="K1183" s="917"/>
      <c r="L1183" s="3649"/>
      <c r="M1183" s="1671">
        <v>1000</v>
      </c>
      <c r="N1183" s="73"/>
      <c r="O1183" s="86"/>
      <c r="P1183" s="1817" t="e">
        <f>INDEX(#REF!,MATCH(F1183,#REF!,0),2)</f>
        <v>#REF!</v>
      </c>
      <c r="Q1183" s="1779"/>
      <c r="R1183" s="1779"/>
      <c r="S1183" s="1779"/>
      <c r="T1183" s="1779"/>
      <c r="U1183" s="1779"/>
      <c r="V1183" s="1779"/>
      <c r="W1183" s="43"/>
      <c r="X1183" s="1779"/>
      <c r="Y1183" s="1779"/>
      <c r="Z1183" s="1779"/>
      <c r="AA1183" s="1779"/>
      <c r="AB1183" s="1779"/>
      <c r="AC1183" s="1779"/>
      <c r="AD1183" s="1779"/>
      <c r="AE1183" s="1779"/>
      <c r="AF1183" s="1779"/>
      <c r="AG1183" s="1779"/>
      <c r="AH1183" s="1779"/>
      <c r="AI1183" s="1779"/>
      <c r="AJ1183" s="1779"/>
      <c r="AK1183" s="1779"/>
      <c r="AL1183" s="1779"/>
      <c r="AM1183" s="1779"/>
      <c r="AN1183" s="1779"/>
      <c r="AO1183" s="1779"/>
      <c r="AP1183" s="1779"/>
      <c r="AQ1183" s="1779"/>
      <c r="AR1183" s="1779"/>
      <c r="AS1183" s="1779"/>
      <c r="AT1183" s="1779"/>
      <c r="AU1183" s="1779"/>
      <c r="AV1183" s="1779"/>
    </row>
    <row r="1184" spans="1:48" ht="11.45" customHeight="1">
      <c r="A1184" s="768"/>
      <c r="B1184" s="762" t="s">
        <v>1248</v>
      </c>
      <c r="C1184" s="762" t="s">
        <v>507</v>
      </c>
      <c r="D1184" s="1599"/>
      <c r="E1184" s="2245" t="s">
        <v>1948</v>
      </c>
      <c r="F1184" s="763">
        <v>2322</v>
      </c>
      <c r="G1184" s="915" t="s">
        <v>745</v>
      </c>
      <c r="H1184" s="919"/>
      <c r="I1184" s="916">
        <v>500</v>
      </c>
      <c r="J1184" s="914"/>
      <c r="K1184" s="917"/>
      <c r="L1184" s="3651"/>
      <c r="M1184" s="1671">
        <v>500</v>
      </c>
      <c r="N1184" s="73"/>
      <c r="O1184" s="86"/>
      <c r="P1184" s="1817" t="e">
        <f>INDEX(#REF!,MATCH(F1184,#REF!,0),2)</f>
        <v>#REF!</v>
      </c>
      <c r="Q1184" s="1779"/>
      <c r="R1184" s="1779"/>
      <c r="S1184" s="1779"/>
      <c r="T1184" s="1779"/>
      <c r="U1184" s="1779"/>
      <c r="V1184" s="1779"/>
      <c r="W1184" s="43"/>
      <c r="X1184" s="1779"/>
      <c r="Y1184" s="1779"/>
      <c r="Z1184" s="1779"/>
      <c r="AA1184" s="1779"/>
      <c r="AB1184" s="1779"/>
      <c r="AC1184" s="1779"/>
      <c r="AD1184" s="1779"/>
      <c r="AE1184" s="1779"/>
      <c r="AF1184" s="1779"/>
      <c r="AG1184" s="1779"/>
      <c r="AH1184" s="1779"/>
      <c r="AI1184" s="1779"/>
      <c r="AJ1184" s="1779"/>
      <c r="AK1184" s="1779"/>
      <c r="AL1184" s="1779"/>
      <c r="AM1184" s="1779"/>
      <c r="AN1184" s="1779"/>
      <c r="AO1184" s="1779"/>
      <c r="AP1184" s="1779"/>
      <c r="AQ1184" s="1779"/>
      <c r="AR1184" s="1779"/>
      <c r="AS1184" s="1779"/>
      <c r="AT1184" s="1779"/>
      <c r="AU1184" s="1779"/>
      <c r="AV1184" s="1779"/>
    </row>
    <row r="1185" spans="1:48" ht="11.45" customHeight="1">
      <c r="A1185" s="768"/>
      <c r="B1185" s="762" t="s">
        <v>1248</v>
      </c>
      <c r="C1185" s="762" t="s">
        <v>507</v>
      </c>
      <c r="D1185" s="1599"/>
      <c r="E1185" s="2245" t="s">
        <v>1948</v>
      </c>
      <c r="F1185" s="763">
        <v>2322</v>
      </c>
      <c r="G1185" s="915" t="s">
        <v>745</v>
      </c>
      <c r="H1185" s="916"/>
      <c r="I1185" s="916">
        <v>500</v>
      </c>
      <c r="J1185" s="914"/>
      <c r="K1185" s="917"/>
      <c r="L1185" s="3649"/>
      <c r="M1185" s="1671">
        <v>500</v>
      </c>
      <c r="N1185" s="73"/>
      <c r="O1185" s="86"/>
      <c r="P1185" s="1817" t="e">
        <f>INDEX(#REF!,MATCH(F1185,#REF!,0),2)</f>
        <v>#REF!</v>
      </c>
      <c r="Q1185" s="1779"/>
      <c r="R1185" s="1779"/>
      <c r="S1185" s="1779"/>
      <c r="T1185" s="1779"/>
      <c r="U1185" s="1779"/>
      <c r="V1185" s="1779"/>
      <c r="W1185" s="43"/>
      <c r="X1185" s="1779"/>
      <c r="Y1185" s="1779"/>
      <c r="Z1185" s="1779"/>
      <c r="AA1185" s="1779"/>
      <c r="AB1185" s="1779"/>
      <c r="AC1185" s="1779"/>
      <c r="AD1185" s="1779"/>
      <c r="AE1185" s="1779"/>
      <c r="AF1185" s="1779"/>
      <c r="AG1185" s="1779"/>
      <c r="AH1185" s="1779"/>
      <c r="AI1185" s="1779"/>
      <c r="AJ1185" s="1779"/>
      <c r="AK1185" s="1779"/>
      <c r="AL1185" s="1779"/>
      <c r="AM1185" s="1779"/>
      <c r="AN1185" s="1779"/>
      <c r="AO1185" s="1779"/>
      <c r="AP1185" s="1779"/>
      <c r="AQ1185" s="1779"/>
      <c r="AR1185" s="1779"/>
      <c r="AS1185" s="1779"/>
      <c r="AT1185" s="1779"/>
      <c r="AU1185" s="1779"/>
      <c r="AV1185" s="1779"/>
    </row>
    <row r="1186" spans="1:48" ht="11.45" customHeight="1">
      <c r="A1186" s="768"/>
      <c r="B1186" s="762" t="s">
        <v>1248</v>
      </c>
      <c r="C1186" s="762" t="s">
        <v>507</v>
      </c>
      <c r="D1186" s="1599"/>
      <c r="E1186" s="2245" t="s">
        <v>1948</v>
      </c>
      <c r="F1186" s="763">
        <v>2322</v>
      </c>
      <c r="G1186" s="915" t="s">
        <v>745</v>
      </c>
      <c r="H1186" s="800"/>
      <c r="I1186" s="916">
        <v>500</v>
      </c>
      <c r="J1186" s="780"/>
      <c r="K1186" s="918"/>
      <c r="L1186" s="3649"/>
      <c r="M1186" s="1671">
        <v>500</v>
      </c>
      <c r="N1186" s="73"/>
      <c r="O1186" s="86"/>
      <c r="P1186" s="1817" t="e">
        <f>INDEX(#REF!,MATCH(F1186,#REF!,0),2)</f>
        <v>#REF!</v>
      </c>
      <c r="Q1186" s="1779"/>
      <c r="R1186" s="1779"/>
      <c r="S1186" s="1779"/>
      <c r="T1186" s="1779"/>
      <c r="U1186" s="1779"/>
      <c r="V1186" s="1779"/>
      <c r="W1186" s="43"/>
      <c r="X1186" s="1779"/>
      <c r="Y1186" s="1779"/>
      <c r="Z1186" s="1779"/>
      <c r="AA1186" s="1779"/>
      <c r="AB1186" s="1779"/>
      <c r="AC1186" s="1779"/>
      <c r="AD1186" s="1779"/>
      <c r="AE1186" s="1779"/>
      <c r="AF1186" s="1779"/>
      <c r="AG1186" s="1779"/>
      <c r="AH1186" s="1779"/>
      <c r="AI1186" s="1779"/>
      <c r="AJ1186" s="1779"/>
      <c r="AK1186" s="1779"/>
      <c r="AL1186" s="1779"/>
      <c r="AM1186" s="1779"/>
      <c r="AN1186" s="1779"/>
      <c r="AO1186" s="1779"/>
      <c r="AP1186" s="1779"/>
      <c r="AQ1186" s="1779"/>
      <c r="AR1186" s="1779"/>
      <c r="AS1186" s="1779"/>
      <c r="AT1186" s="1779"/>
      <c r="AU1186" s="1779"/>
      <c r="AV1186" s="1779"/>
    </row>
    <row r="1187" spans="1:48" ht="11.45" customHeight="1">
      <c r="A1187" s="1658"/>
      <c r="B1187" s="762" t="s">
        <v>1248</v>
      </c>
      <c r="C1187" s="762" t="s">
        <v>507</v>
      </c>
      <c r="D1187" s="1599"/>
      <c r="E1187" s="2245" t="s">
        <v>1948</v>
      </c>
      <c r="F1187" s="763">
        <v>2322</v>
      </c>
      <c r="G1187" s="915" t="s">
        <v>745</v>
      </c>
      <c r="H1187" s="1744"/>
      <c r="I1187" s="1744">
        <v>500</v>
      </c>
      <c r="J1187" s="1745"/>
      <c r="K1187" s="1746"/>
      <c r="L1187" s="3649"/>
      <c r="M1187" s="1671">
        <v>500</v>
      </c>
      <c r="N1187" s="73"/>
      <c r="O1187" s="86"/>
      <c r="P1187" s="1817" t="e">
        <f>INDEX(#REF!,MATCH(F1187,#REF!,0),2)</f>
        <v>#REF!</v>
      </c>
      <c r="Q1187" s="1779"/>
      <c r="R1187" s="1779"/>
      <c r="S1187" s="1779"/>
      <c r="T1187" s="1779"/>
      <c r="U1187" s="1779"/>
      <c r="V1187" s="1779"/>
      <c r="W1187" s="43"/>
      <c r="X1187" s="1779"/>
      <c r="Y1187" s="1779"/>
      <c r="Z1187" s="1779"/>
      <c r="AA1187" s="1779"/>
      <c r="AB1187" s="1779"/>
      <c r="AC1187" s="1779"/>
      <c r="AD1187" s="1779"/>
      <c r="AE1187" s="1779"/>
      <c r="AF1187" s="1779"/>
      <c r="AG1187" s="1779"/>
      <c r="AH1187" s="1779"/>
      <c r="AI1187" s="1779"/>
      <c r="AJ1187" s="1779"/>
      <c r="AK1187" s="1779"/>
      <c r="AL1187" s="1779"/>
      <c r="AM1187" s="1779"/>
      <c r="AN1187" s="1779"/>
      <c r="AO1187" s="1779"/>
      <c r="AP1187" s="1779"/>
      <c r="AQ1187" s="1779"/>
      <c r="AR1187" s="1779"/>
      <c r="AS1187" s="1779"/>
      <c r="AT1187" s="1779"/>
      <c r="AU1187" s="1779"/>
      <c r="AV1187" s="1779"/>
    </row>
    <row r="1188" spans="1:48" ht="11.45" customHeight="1">
      <c r="A1188" s="768"/>
      <c r="B1188" s="762" t="s">
        <v>1248</v>
      </c>
      <c r="C1188" s="762" t="s">
        <v>507</v>
      </c>
      <c r="D1188" s="1599"/>
      <c r="E1188" s="2245" t="s">
        <v>1948</v>
      </c>
      <c r="F1188" s="763">
        <v>2322</v>
      </c>
      <c r="G1188" s="915" t="s">
        <v>745</v>
      </c>
      <c r="H1188" s="800"/>
      <c r="I1188" s="800">
        <v>500</v>
      </c>
      <c r="J1188" s="780"/>
      <c r="K1188" s="918"/>
      <c r="L1188" s="3649"/>
      <c r="M1188" s="1671">
        <v>500</v>
      </c>
      <c r="N1188" s="73"/>
      <c r="O1188" s="86"/>
      <c r="P1188" s="1817" t="e">
        <f>INDEX(#REF!,MATCH(F1188,#REF!,0),2)</f>
        <v>#REF!</v>
      </c>
      <c r="Q1188" s="11"/>
      <c r="R1188" s="11"/>
      <c r="S1188" s="11"/>
      <c r="T1188" s="11"/>
      <c r="U1188" s="11"/>
      <c r="V1188" s="11"/>
      <c r="W1188" s="4"/>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row>
    <row r="1189" spans="1:48" ht="13.15" customHeight="1">
      <c r="A1189" s="854"/>
      <c r="B1189" s="755" t="s">
        <v>1248</v>
      </c>
      <c r="C1189" s="755" t="s">
        <v>507</v>
      </c>
      <c r="D1189" s="1600">
        <v>965</v>
      </c>
      <c r="E1189" s="2247" t="s">
        <v>1948</v>
      </c>
      <c r="F1189" s="756">
        <v>2341</v>
      </c>
      <c r="G1189" s="757" t="s">
        <v>445</v>
      </c>
      <c r="H1189" s="759">
        <v>800</v>
      </c>
      <c r="I1189" s="759"/>
      <c r="J1189" s="760">
        <v>653</v>
      </c>
      <c r="K1189" s="761"/>
      <c r="L1189" s="3621">
        <v>800</v>
      </c>
      <c r="M1189" s="1647"/>
      <c r="N1189" s="73"/>
      <c r="O1189" s="86"/>
      <c r="P1189" s="1817" t="e">
        <f>INDEX(#REF!,MATCH(F1189,#REF!,0),2)</f>
        <v>#REF!</v>
      </c>
      <c r="Q1189" s="1779"/>
      <c r="R1189" s="1779"/>
      <c r="S1189" s="1779"/>
      <c r="T1189" s="1779"/>
      <c r="U1189" s="1779"/>
      <c r="V1189" s="1779"/>
      <c r="W1189" s="43"/>
      <c r="X1189" s="1779"/>
      <c r="Y1189" s="1779"/>
      <c r="Z1189" s="1779"/>
      <c r="AA1189" s="1779"/>
      <c r="AB1189" s="1779"/>
      <c r="AC1189" s="1779"/>
      <c r="AD1189" s="1779"/>
      <c r="AE1189" s="1779"/>
      <c r="AF1189" s="1779"/>
      <c r="AG1189" s="1779"/>
      <c r="AH1189" s="1779"/>
      <c r="AI1189" s="1779"/>
      <c r="AJ1189" s="1779"/>
      <c r="AK1189" s="1779"/>
      <c r="AL1189" s="1779"/>
      <c r="AM1189" s="1779"/>
      <c r="AN1189" s="1779"/>
      <c r="AO1189" s="1779"/>
      <c r="AP1189" s="1779"/>
      <c r="AQ1189" s="1779"/>
      <c r="AR1189" s="1779"/>
      <c r="AS1189" s="1779"/>
      <c r="AT1189" s="1779"/>
      <c r="AU1189" s="1779"/>
      <c r="AV1189" s="1779"/>
    </row>
    <row r="1190" spans="1:48" ht="18" customHeight="1">
      <c r="A1190" s="768"/>
      <c r="B1190" s="762" t="s">
        <v>1248</v>
      </c>
      <c r="C1190" s="762" t="s">
        <v>507</v>
      </c>
      <c r="D1190" s="1599"/>
      <c r="E1190" s="2245" t="s">
        <v>1948</v>
      </c>
      <c r="F1190" s="763">
        <v>2341</v>
      </c>
      <c r="G1190" s="920"/>
      <c r="H1190" s="916"/>
      <c r="I1190" s="916">
        <v>800</v>
      </c>
      <c r="J1190" s="914"/>
      <c r="K1190" s="917"/>
      <c r="L1190" s="3649"/>
      <c r="M1190" s="3627">
        <v>800</v>
      </c>
      <c r="N1190" s="73"/>
      <c r="O1190" s="86"/>
      <c r="P1190" s="1817" t="e">
        <f>INDEX(#REF!,MATCH(F1190,#REF!,0),2)</f>
        <v>#REF!</v>
      </c>
      <c r="Q1190" s="1779"/>
      <c r="R1190" s="1779"/>
      <c r="S1190" s="1779"/>
      <c r="T1190" s="1779"/>
      <c r="U1190" s="1779"/>
      <c r="V1190" s="1779"/>
      <c r="W1190" s="43"/>
      <c r="X1190" s="1779"/>
      <c r="Y1190" s="1779"/>
      <c r="Z1190" s="1779"/>
      <c r="AA1190" s="1779"/>
      <c r="AB1190" s="1779"/>
      <c r="AC1190" s="1779"/>
      <c r="AD1190" s="1779"/>
      <c r="AE1190" s="1779"/>
      <c r="AF1190" s="1779"/>
      <c r="AG1190" s="1779"/>
      <c r="AH1190" s="1779"/>
      <c r="AI1190" s="1779"/>
      <c r="AJ1190" s="1779"/>
      <c r="AK1190" s="1779"/>
      <c r="AL1190" s="1779"/>
      <c r="AM1190" s="1779"/>
      <c r="AN1190" s="1779"/>
      <c r="AO1190" s="1779"/>
      <c r="AP1190" s="1779"/>
      <c r="AQ1190" s="1779"/>
      <c r="AR1190" s="1779"/>
      <c r="AS1190" s="1779"/>
      <c r="AT1190" s="1779"/>
      <c r="AU1190" s="1779"/>
      <c r="AV1190" s="1779"/>
    </row>
    <row r="1191" spans="1:48" ht="11.45" customHeight="1">
      <c r="A1191" s="854"/>
      <c r="B1191" s="755" t="s">
        <v>1248</v>
      </c>
      <c r="C1191" s="755" t="s">
        <v>507</v>
      </c>
      <c r="D1191" s="1600">
        <v>965</v>
      </c>
      <c r="E1191" s="2247" t="s">
        <v>1948</v>
      </c>
      <c r="F1191" s="756">
        <v>2350</v>
      </c>
      <c r="G1191" s="757" t="s">
        <v>689</v>
      </c>
      <c r="H1191" s="759">
        <v>900</v>
      </c>
      <c r="I1191" s="759"/>
      <c r="J1191" s="760">
        <v>307</v>
      </c>
      <c r="K1191" s="761"/>
      <c r="L1191" s="3621">
        <v>1100</v>
      </c>
      <c r="M1191" s="1647"/>
      <c r="N1191" s="73"/>
      <c r="O1191" s="86"/>
      <c r="P1191" s="1817" t="e">
        <f>INDEX(#REF!,MATCH(F1191,#REF!,0),2)</f>
        <v>#REF!</v>
      </c>
      <c r="Q1191" s="1779"/>
      <c r="R1191" s="1779"/>
      <c r="S1191" s="1779"/>
      <c r="T1191" s="1779"/>
      <c r="U1191" s="1779"/>
      <c r="V1191" s="1779"/>
      <c r="W1191" s="43"/>
      <c r="X1191" s="1779"/>
      <c r="Y1191" s="1779"/>
      <c r="Z1191" s="1779"/>
      <c r="AA1191" s="1779"/>
      <c r="AB1191" s="1779"/>
      <c r="AC1191" s="1779"/>
      <c r="AD1191" s="1779"/>
      <c r="AE1191" s="1779"/>
      <c r="AF1191" s="1779"/>
      <c r="AG1191" s="1779"/>
      <c r="AH1191" s="1779"/>
      <c r="AI1191" s="1779"/>
      <c r="AJ1191" s="1779"/>
      <c r="AK1191" s="1779"/>
      <c r="AL1191" s="1779"/>
      <c r="AM1191" s="1779"/>
      <c r="AN1191" s="1779"/>
      <c r="AO1191" s="1779"/>
      <c r="AP1191" s="1779"/>
      <c r="AQ1191" s="1779"/>
      <c r="AR1191" s="1779"/>
      <c r="AS1191" s="1779"/>
      <c r="AT1191" s="1779"/>
      <c r="AU1191" s="1779"/>
      <c r="AV1191" s="1779"/>
    </row>
    <row r="1192" spans="1:48" ht="11.45" customHeight="1">
      <c r="A1192" s="768"/>
      <c r="B1192" s="762" t="s">
        <v>1248</v>
      </c>
      <c r="C1192" s="762" t="s">
        <v>507</v>
      </c>
      <c r="D1192" s="1599"/>
      <c r="E1192" s="2245" t="s">
        <v>1948</v>
      </c>
      <c r="F1192" s="763">
        <v>2350</v>
      </c>
      <c r="G1192" s="772" t="s">
        <v>324</v>
      </c>
      <c r="H1192" s="916"/>
      <c r="I1192" s="916">
        <v>400</v>
      </c>
      <c r="J1192" s="914"/>
      <c r="K1192" s="917"/>
      <c r="L1192" s="3649"/>
      <c r="M1192" s="3627">
        <v>800</v>
      </c>
      <c r="N1192" s="73"/>
      <c r="O1192" s="86"/>
      <c r="P1192" s="1817" t="e">
        <f>INDEX(#REF!,MATCH(F1192,#REF!,0),2)</f>
        <v>#REF!</v>
      </c>
      <c r="Q1192" s="1779"/>
      <c r="R1192" s="1779"/>
      <c r="S1192" s="1779"/>
      <c r="T1192" s="1779"/>
      <c r="U1192" s="1779"/>
      <c r="V1192" s="1779"/>
      <c r="W1192" s="43"/>
      <c r="X1192" s="1779"/>
      <c r="Y1192" s="1779"/>
      <c r="Z1192" s="1779"/>
      <c r="AA1192" s="1779"/>
      <c r="AB1192" s="1779"/>
      <c r="AC1192" s="1779"/>
      <c r="AD1192" s="1779"/>
      <c r="AE1192" s="1779"/>
      <c r="AF1192" s="1779"/>
      <c r="AG1192" s="1779"/>
      <c r="AH1192" s="1779"/>
      <c r="AI1192" s="1779"/>
      <c r="AJ1192" s="1779"/>
      <c r="AK1192" s="1779"/>
      <c r="AL1192" s="1779"/>
      <c r="AM1192" s="1779"/>
      <c r="AN1192" s="1779"/>
      <c r="AO1192" s="1779"/>
      <c r="AP1192" s="1779"/>
      <c r="AQ1192" s="1779"/>
      <c r="AR1192" s="1779"/>
      <c r="AS1192" s="1779"/>
      <c r="AT1192" s="1779"/>
      <c r="AU1192" s="1779"/>
      <c r="AV1192" s="1779"/>
    </row>
    <row r="1193" spans="1:48" ht="11.45" customHeight="1">
      <c r="A1193" s="768"/>
      <c r="B1193" s="762" t="s">
        <v>1248</v>
      </c>
      <c r="C1193" s="762" t="s">
        <v>507</v>
      </c>
      <c r="D1193" s="1599"/>
      <c r="E1193" s="2245" t="s">
        <v>1948</v>
      </c>
      <c r="F1193" s="763">
        <v>2350</v>
      </c>
      <c r="G1193" s="2774" t="s">
        <v>4917</v>
      </c>
      <c r="H1193" s="800"/>
      <c r="I1193" s="800">
        <v>500</v>
      </c>
      <c r="J1193" s="780"/>
      <c r="K1193" s="918"/>
      <c r="L1193" s="3649"/>
      <c r="M1193" s="3627">
        <v>300</v>
      </c>
      <c r="N1193" s="73"/>
      <c r="O1193" s="86"/>
      <c r="P1193" s="1817" t="e">
        <f>INDEX(#REF!,MATCH(F1193,#REF!,0),2)</f>
        <v>#REF!</v>
      </c>
      <c r="Q1193" s="1779"/>
      <c r="R1193" s="1779"/>
      <c r="S1193" s="1779"/>
      <c r="T1193" s="1779"/>
      <c r="U1193" s="1779"/>
      <c r="V1193" s="1779"/>
      <c r="W1193" s="43"/>
      <c r="X1193" s="1779"/>
      <c r="Y1193" s="1779"/>
      <c r="Z1193" s="1779"/>
      <c r="AA1193" s="1779"/>
      <c r="AB1193" s="1779"/>
      <c r="AC1193" s="1779"/>
      <c r="AD1193" s="1779"/>
      <c r="AE1193" s="1779"/>
      <c r="AF1193" s="1779"/>
      <c r="AG1193" s="1779"/>
      <c r="AH1193" s="1779"/>
      <c r="AI1193" s="1779"/>
      <c r="AJ1193" s="1779"/>
      <c r="AK1193" s="1779"/>
      <c r="AL1193" s="1779"/>
      <c r="AM1193" s="1779"/>
      <c r="AN1193" s="1779"/>
      <c r="AO1193" s="1779"/>
      <c r="AP1193" s="1779"/>
      <c r="AQ1193" s="1779"/>
      <c r="AR1193" s="1779"/>
      <c r="AS1193" s="1779"/>
      <c r="AT1193" s="1779"/>
      <c r="AU1193" s="1779"/>
      <c r="AV1193" s="1779"/>
    </row>
    <row r="1194" spans="1:48" ht="11.45" customHeight="1">
      <c r="A1194" s="854"/>
      <c r="B1194" s="755" t="s">
        <v>1248</v>
      </c>
      <c r="C1194" s="755" t="s">
        <v>507</v>
      </c>
      <c r="D1194" s="1600">
        <v>965</v>
      </c>
      <c r="E1194" s="2247" t="s">
        <v>1948</v>
      </c>
      <c r="F1194" s="756">
        <v>2370</v>
      </c>
      <c r="G1194" s="757" t="s">
        <v>365</v>
      </c>
      <c r="H1194" s="759">
        <v>350</v>
      </c>
      <c r="I1194" s="759"/>
      <c r="J1194" s="760"/>
      <c r="K1194" s="761"/>
      <c r="L1194" s="3621">
        <v>350</v>
      </c>
      <c r="M1194" s="1647"/>
      <c r="N1194" s="73"/>
      <c r="O1194" s="86"/>
      <c r="P1194" s="1817" t="e">
        <f>INDEX(#REF!,MATCH(F1194,#REF!,0),2)</f>
        <v>#REF!</v>
      </c>
      <c r="Q1194" s="1779"/>
      <c r="R1194" s="1779"/>
      <c r="S1194" s="1779"/>
      <c r="T1194" s="1779"/>
      <c r="U1194" s="1779"/>
      <c r="V1194" s="1779"/>
      <c r="W1194" s="43"/>
      <c r="X1194" s="1779"/>
      <c r="Y1194" s="1779"/>
      <c r="Z1194" s="1779"/>
      <c r="AA1194" s="1779"/>
      <c r="AB1194" s="1779"/>
      <c r="AC1194" s="1779"/>
      <c r="AD1194" s="1779"/>
      <c r="AE1194" s="1779"/>
      <c r="AF1194" s="1779"/>
      <c r="AG1194" s="1779"/>
      <c r="AH1194" s="1779"/>
      <c r="AI1194" s="1779"/>
      <c r="AJ1194" s="1779"/>
      <c r="AK1194" s="1779"/>
      <c r="AL1194" s="1779"/>
      <c r="AM1194" s="1779"/>
      <c r="AN1194" s="1779"/>
      <c r="AO1194" s="1779"/>
      <c r="AP1194" s="1779"/>
      <c r="AQ1194" s="1779"/>
      <c r="AR1194" s="1779"/>
      <c r="AS1194" s="1779"/>
      <c r="AT1194" s="1779"/>
      <c r="AU1194" s="1779"/>
      <c r="AV1194" s="1779"/>
    </row>
    <row r="1195" spans="1:48" ht="11.45" customHeight="1">
      <c r="A1195" s="768"/>
      <c r="B1195" s="762" t="s">
        <v>1248</v>
      </c>
      <c r="C1195" s="762" t="s">
        <v>507</v>
      </c>
      <c r="D1195" s="1599"/>
      <c r="E1195" s="2245" t="s">
        <v>1948</v>
      </c>
      <c r="F1195" s="763">
        <v>2370</v>
      </c>
      <c r="G1195" s="772" t="s">
        <v>612</v>
      </c>
      <c r="H1195" s="916"/>
      <c r="I1195" s="916">
        <v>350</v>
      </c>
      <c r="J1195" s="914"/>
      <c r="K1195" s="917"/>
      <c r="L1195" s="3649"/>
      <c r="M1195" s="3627">
        <v>350</v>
      </c>
      <c r="N1195" s="73"/>
      <c r="O1195" s="86"/>
      <c r="P1195" s="1817" t="e">
        <f>INDEX(#REF!,MATCH(F1195,#REF!,0),2)</f>
        <v>#REF!</v>
      </c>
      <c r="Q1195" s="11"/>
      <c r="R1195" s="11"/>
      <c r="S1195" s="11"/>
      <c r="T1195" s="11"/>
      <c r="U1195" s="11"/>
      <c r="V1195" s="11"/>
      <c r="W1195" s="4"/>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row>
    <row r="1196" spans="1:48" ht="11.45" customHeight="1">
      <c r="A1196" s="854"/>
      <c r="B1196" s="755" t="s">
        <v>1248</v>
      </c>
      <c r="C1196" s="755" t="s">
        <v>507</v>
      </c>
      <c r="D1196" s="1600">
        <v>965</v>
      </c>
      <c r="E1196" s="2247" t="s">
        <v>1948</v>
      </c>
      <c r="F1196" s="756">
        <v>2390</v>
      </c>
      <c r="G1196" s="757" t="s">
        <v>253</v>
      </c>
      <c r="H1196" s="759">
        <v>0</v>
      </c>
      <c r="I1196" s="759"/>
      <c r="J1196" s="760"/>
      <c r="K1196" s="761"/>
      <c r="L1196" s="3621">
        <v>0</v>
      </c>
      <c r="M1196" s="1647"/>
      <c r="N1196" s="73"/>
      <c r="O1196" s="86"/>
      <c r="P1196" s="1817" t="e">
        <f>INDEX(#REF!,MATCH(F1196,#REF!,0),2)</f>
        <v>#REF!</v>
      </c>
      <c r="Q1196" s="1779"/>
      <c r="R1196" s="1779"/>
      <c r="S1196" s="1779"/>
      <c r="T1196" s="1779"/>
      <c r="U1196" s="1779"/>
      <c r="V1196" s="1779"/>
      <c r="W1196" s="43"/>
      <c r="X1196" s="1779"/>
      <c r="Y1196" s="1779"/>
      <c r="Z1196" s="1779"/>
      <c r="AA1196" s="1779"/>
      <c r="AB1196" s="1779"/>
      <c r="AC1196" s="1779"/>
      <c r="AD1196" s="1779"/>
      <c r="AE1196" s="1779"/>
      <c r="AF1196" s="1779"/>
      <c r="AG1196" s="1779"/>
      <c r="AH1196" s="1779"/>
      <c r="AI1196" s="1779"/>
      <c r="AJ1196" s="1779"/>
      <c r="AK1196" s="1779"/>
      <c r="AL1196" s="1779"/>
      <c r="AM1196" s="1779"/>
      <c r="AN1196" s="1779"/>
      <c r="AO1196" s="1779"/>
      <c r="AP1196" s="1779"/>
      <c r="AQ1196" s="1779"/>
      <c r="AR1196" s="1779"/>
      <c r="AS1196" s="1779"/>
      <c r="AT1196" s="1779"/>
      <c r="AU1196" s="1779"/>
      <c r="AV1196" s="1779"/>
    </row>
    <row r="1197" spans="1:48" ht="11.45" customHeight="1">
      <c r="A1197" s="768"/>
      <c r="B1197" s="762" t="s">
        <v>1248</v>
      </c>
      <c r="C1197" s="762" t="s">
        <v>507</v>
      </c>
      <c r="D1197" s="1599">
        <v>965</v>
      </c>
      <c r="E1197" s="2245" t="s">
        <v>1948</v>
      </c>
      <c r="F1197" s="763">
        <v>2390</v>
      </c>
      <c r="G1197" s="772"/>
      <c r="H1197" s="916"/>
      <c r="I1197" s="916"/>
      <c r="J1197" s="914"/>
      <c r="K1197" s="917"/>
      <c r="L1197" s="3649"/>
      <c r="M1197" s="3627"/>
      <c r="N1197" s="73"/>
      <c r="O1197" s="86"/>
      <c r="P1197" s="1817"/>
      <c r="Q1197" s="1779"/>
      <c r="R1197" s="1779"/>
      <c r="S1197" s="1779"/>
      <c r="T1197" s="1779"/>
      <c r="U1197" s="1779"/>
      <c r="V1197" s="1779"/>
      <c r="W1197" s="43"/>
      <c r="X1197" s="1779"/>
      <c r="Y1197" s="1779"/>
      <c r="Z1197" s="1779"/>
      <c r="AA1197" s="1779"/>
      <c r="AB1197" s="1779"/>
      <c r="AC1197" s="1779"/>
      <c r="AD1197" s="1779"/>
      <c r="AE1197" s="1779"/>
      <c r="AF1197" s="1779"/>
      <c r="AG1197" s="1779"/>
      <c r="AH1197" s="1779"/>
      <c r="AI1197" s="1779"/>
      <c r="AJ1197" s="1779"/>
      <c r="AK1197" s="1779"/>
      <c r="AL1197" s="1779"/>
      <c r="AM1197" s="1779"/>
      <c r="AN1197" s="1779"/>
      <c r="AO1197" s="1779"/>
      <c r="AP1197" s="1779"/>
      <c r="AQ1197" s="1779"/>
      <c r="AR1197" s="1779"/>
      <c r="AS1197" s="1779"/>
      <c r="AT1197" s="1779"/>
      <c r="AU1197" s="1779"/>
    </row>
    <row r="1198" spans="1:48" ht="21" customHeight="1">
      <c r="A1198" s="854"/>
      <c r="B1198" s="755" t="s">
        <v>1250</v>
      </c>
      <c r="C1198" s="755" t="s">
        <v>509</v>
      </c>
      <c r="D1198" s="1600">
        <v>965</v>
      </c>
      <c r="E1198" s="2247" t="s">
        <v>1948</v>
      </c>
      <c r="F1198" s="756">
        <v>5238</v>
      </c>
      <c r="G1198" s="757" t="s">
        <v>575</v>
      </c>
      <c r="H1198" s="759">
        <v>4000</v>
      </c>
      <c r="I1198" s="759"/>
      <c r="J1198" s="760"/>
      <c r="K1198" s="761"/>
      <c r="L1198" s="2404">
        <v>0</v>
      </c>
      <c r="M1198" s="1662"/>
      <c r="N1198" s="73"/>
      <c r="O1198" s="86"/>
      <c r="P1198" s="1817" t="e">
        <f>INDEX(#REF!,MATCH(F1198,#REF!,0),2)</f>
        <v>#REF!</v>
      </c>
      <c r="Q1198" s="11"/>
      <c r="R1198" s="11"/>
      <c r="S1198" s="11"/>
      <c r="T1198" s="11"/>
      <c r="U1198" s="11"/>
      <c r="V1198" s="11"/>
      <c r="W1198" s="4"/>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row>
    <row r="1199" spans="1:48" ht="11.45" customHeight="1">
      <c r="A1199" s="768"/>
      <c r="B1199" s="762" t="s">
        <v>1250</v>
      </c>
      <c r="C1199" s="762" t="s">
        <v>509</v>
      </c>
      <c r="D1199" s="1599"/>
      <c r="E1199" s="2245" t="s">
        <v>1948</v>
      </c>
      <c r="F1199" s="763">
        <v>5238</v>
      </c>
      <c r="G1199" s="1748"/>
      <c r="H1199" s="800"/>
      <c r="I1199" s="800">
        <v>4000</v>
      </c>
      <c r="J1199" s="780"/>
      <c r="K1199" s="918"/>
      <c r="L1199" s="1747"/>
      <c r="M1199" s="2415"/>
      <c r="N1199" s="73"/>
      <c r="O1199" s="86"/>
      <c r="P1199" s="1817" t="e">
        <f>INDEX(#REF!,MATCH(F1199,#REF!,0),2)</f>
        <v>#REF!</v>
      </c>
      <c r="Q1199" s="1779"/>
      <c r="R1199" s="1779"/>
      <c r="S1199" s="1779"/>
      <c r="T1199" s="1779"/>
      <c r="U1199" s="1779"/>
      <c r="V1199" s="1779"/>
      <c r="W1199" s="43"/>
      <c r="X1199" s="1779"/>
      <c r="Y1199" s="1779"/>
      <c r="Z1199" s="1779"/>
      <c r="AA1199" s="1779"/>
      <c r="AB1199" s="1779"/>
      <c r="AC1199" s="1779"/>
      <c r="AD1199" s="1779"/>
      <c r="AE1199" s="1779"/>
      <c r="AF1199" s="1779"/>
      <c r="AG1199" s="1779"/>
      <c r="AH1199" s="1779"/>
      <c r="AI1199" s="1779"/>
      <c r="AJ1199" s="1779"/>
      <c r="AK1199" s="1779"/>
      <c r="AL1199" s="1779"/>
      <c r="AM1199" s="1779"/>
      <c r="AN1199" s="1779"/>
      <c r="AO1199" s="1779"/>
      <c r="AP1199" s="1779"/>
      <c r="AQ1199" s="1779"/>
      <c r="AR1199" s="1779"/>
      <c r="AS1199" s="1779"/>
      <c r="AT1199" s="1779"/>
      <c r="AU1199" s="1779"/>
      <c r="AV1199" s="1779"/>
    </row>
    <row r="1200" spans="1:48" ht="11.45" customHeight="1">
      <c r="A1200" s="854"/>
      <c r="B1200" s="755" t="s">
        <v>1250</v>
      </c>
      <c r="C1200" s="755" t="s">
        <v>509</v>
      </c>
      <c r="D1200" s="1600">
        <v>965</v>
      </c>
      <c r="E1200" s="2247" t="s">
        <v>1948</v>
      </c>
      <c r="F1200" s="756">
        <v>5239</v>
      </c>
      <c r="G1200" s="757" t="s">
        <v>256</v>
      </c>
      <c r="H1200" s="759">
        <v>0</v>
      </c>
      <c r="I1200" s="759"/>
      <c r="J1200" s="760"/>
      <c r="K1200" s="761"/>
      <c r="L1200" s="2404">
        <v>0</v>
      </c>
      <c r="M1200" s="1662"/>
      <c r="N1200" s="73"/>
      <c r="O1200" s="86"/>
      <c r="P1200" s="1817" t="e">
        <f>INDEX(#REF!,MATCH(F1200,#REF!,0),2)</f>
        <v>#REF!</v>
      </c>
      <c r="Q1200" s="43"/>
      <c r="R1200" s="43"/>
      <c r="S1200" s="43"/>
      <c r="T1200" s="43"/>
      <c r="U1200" s="43"/>
      <c r="V1200" s="43"/>
      <c r="W1200" s="43"/>
      <c r="X1200" s="43"/>
      <c r="Y1200" s="43"/>
      <c r="Z1200" s="43"/>
      <c r="AA1200" s="43"/>
      <c r="AB1200" s="43"/>
      <c r="AC1200" s="43"/>
      <c r="AD1200" s="43"/>
      <c r="AE1200" s="43"/>
      <c r="AF1200" s="43"/>
      <c r="AG1200" s="43"/>
      <c r="AH1200" s="43"/>
      <c r="AI1200" s="43"/>
      <c r="AJ1200" s="43"/>
      <c r="AL1200" s="11"/>
      <c r="AM1200" s="11"/>
      <c r="AN1200" s="11"/>
      <c r="AO1200" s="11"/>
      <c r="AP1200" s="11"/>
      <c r="AQ1200" s="11"/>
      <c r="AR1200" s="11"/>
      <c r="AS1200" s="11"/>
      <c r="AT1200" s="11"/>
      <c r="AU1200" s="11"/>
      <c r="AV1200" s="11"/>
    </row>
    <row r="1201" spans="1:48" ht="20.45" customHeight="1">
      <c r="A1201" s="768"/>
      <c r="B1201" s="762" t="s">
        <v>1250</v>
      </c>
      <c r="C1201" s="762" t="s">
        <v>509</v>
      </c>
      <c r="D1201" s="1599"/>
      <c r="E1201" s="2245" t="s">
        <v>1948</v>
      </c>
      <c r="F1201" s="763">
        <v>5239</v>
      </c>
      <c r="G1201" s="865"/>
      <c r="H1201" s="869"/>
      <c r="I1201" s="800"/>
      <c r="J1201" s="912"/>
      <c r="K1201" s="913"/>
      <c r="L1201" s="1750"/>
      <c r="M1201" s="2415"/>
      <c r="N1201" s="73"/>
      <c r="O1201" s="86"/>
      <c r="P1201" s="1817" t="e">
        <f>INDEX(#REF!,MATCH(F1201,#REF!,0),2)</f>
        <v>#REF!</v>
      </c>
      <c r="Q1201" s="11"/>
      <c r="R1201" s="11"/>
      <c r="S1201" s="11"/>
      <c r="T1201" s="11"/>
      <c r="U1201" s="11"/>
      <c r="V1201" s="11"/>
      <c r="W1201" s="4"/>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row>
    <row r="1202" spans="1:48">
      <c r="A1202" s="768"/>
      <c r="B1202" s="762" t="s">
        <v>1250</v>
      </c>
      <c r="C1202" s="762" t="s">
        <v>509</v>
      </c>
      <c r="D1202" s="1599"/>
      <c r="E1202" s="2245" t="s">
        <v>1948</v>
      </c>
      <c r="F1202" s="763">
        <v>5239</v>
      </c>
      <c r="G1202" s="915"/>
      <c r="H1202" s="800"/>
      <c r="I1202" s="800"/>
      <c r="J1202" s="780"/>
      <c r="K1202" s="918"/>
      <c r="L1202" s="1747"/>
      <c r="M1202" s="2415"/>
      <c r="N1202" s="73"/>
      <c r="O1202" s="86"/>
      <c r="P1202" s="1817" t="e">
        <f>INDEX(#REF!,MATCH(F1202,#REF!,0),2)</f>
        <v>#REF!</v>
      </c>
      <c r="Q1202" s="1779"/>
      <c r="R1202" s="1779"/>
      <c r="S1202" s="1779"/>
      <c r="T1202" s="1779"/>
      <c r="U1202" s="1779"/>
      <c r="V1202" s="1779"/>
      <c r="W1202" s="43"/>
      <c r="X1202" s="1779"/>
      <c r="Y1202" s="1779"/>
      <c r="Z1202" s="1779"/>
      <c r="AA1202" s="1779"/>
      <c r="AB1202" s="1779"/>
      <c r="AC1202" s="1779"/>
      <c r="AD1202" s="1779"/>
      <c r="AE1202" s="1779"/>
      <c r="AF1202" s="1779"/>
      <c r="AG1202" s="1779"/>
      <c r="AH1202" s="1779"/>
      <c r="AI1202" s="1779"/>
      <c r="AJ1202" s="1779"/>
      <c r="AK1202" s="1779"/>
      <c r="AL1202" s="1779"/>
      <c r="AM1202" s="1779"/>
      <c r="AN1202" s="1779"/>
      <c r="AO1202" s="1779"/>
      <c r="AP1202" s="1779"/>
      <c r="AQ1202" s="1779"/>
      <c r="AR1202" s="1779"/>
      <c r="AS1202" s="1779"/>
      <c r="AT1202" s="1779"/>
      <c r="AU1202" s="1779"/>
      <c r="AV1202" s="1779"/>
    </row>
    <row r="1203" spans="1:48">
      <c r="A1203" s="506"/>
      <c r="B1203" s="506" t="s">
        <v>663</v>
      </c>
      <c r="C1203" s="506" t="s">
        <v>652</v>
      </c>
      <c r="D1203" s="1589">
        <v>920</v>
      </c>
      <c r="E1203" s="2232" t="s">
        <v>1924</v>
      </c>
      <c r="F1203" s="540">
        <v>1119</v>
      </c>
      <c r="G1203" s="411" t="s">
        <v>224</v>
      </c>
      <c r="H1203" s="2635">
        <v>544296.59999999986</v>
      </c>
      <c r="I1203" s="2635"/>
      <c r="J1203" s="2635">
        <v>400090</v>
      </c>
      <c r="K1203" s="2647"/>
      <c r="L1203" s="4074">
        <v>674636.64000000036</v>
      </c>
      <c r="M1203" s="4074"/>
      <c r="N1203" s="335">
        <f>L1203/H1203-1</f>
        <v>0.23946510046177139</v>
      </c>
      <c r="O1203" s="86"/>
      <c r="P1203" s="1817" t="e">
        <f>INDEX(#REF!,MATCH(F1203,#REF!,0),2)</f>
        <v>#REF!</v>
      </c>
      <c r="Q1203" s="43"/>
      <c r="R1203" s="43"/>
      <c r="S1203" s="43"/>
      <c r="T1203" s="43"/>
      <c r="U1203" s="43"/>
      <c r="V1203" s="43"/>
      <c r="W1203" s="43"/>
      <c r="X1203" s="43"/>
      <c r="Y1203" s="43"/>
      <c r="Z1203" s="43"/>
      <c r="AA1203" s="43"/>
      <c r="AB1203" s="43"/>
      <c r="AC1203" s="43"/>
      <c r="AD1203" s="43"/>
      <c r="AE1203" s="43"/>
      <c r="AF1203" s="43"/>
      <c r="AG1203" s="43"/>
      <c r="AH1203" s="43"/>
      <c r="AI1203" s="43"/>
      <c r="AJ1203" s="43"/>
      <c r="AK1203" s="43"/>
      <c r="AL1203" s="43"/>
      <c r="AM1203" s="43"/>
      <c r="AN1203" s="43"/>
      <c r="AO1203" s="43"/>
      <c r="AP1203" s="43"/>
      <c r="AQ1203" s="43"/>
      <c r="AR1203" s="43"/>
      <c r="AS1203" s="43"/>
      <c r="AT1203" s="43"/>
      <c r="AU1203" s="43"/>
      <c r="AV1203" s="43"/>
    </row>
    <row r="1204" spans="1:48">
      <c r="A1204" s="412"/>
      <c r="B1204" s="412" t="s">
        <v>663</v>
      </c>
      <c r="C1204" s="412" t="s">
        <v>652</v>
      </c>
      <c r="D1204" s="1590"/>
      <c r="E1204" s="2224" t="s">
        <v>1924</v>
      </c>
      <c r="F1204" s="505">
        <v>1119</v>
      </c>
      <c r="G1204" s="514" t="s">
        <v>663</v>
      </c>
      <c r="H1204" s="2636"/>
      <c r="I1204" s="2636">
        <v>536713.59999999986</v>
      </c>
      <c r="J1204" s="2636"/>
      <c r="K1204" s="2763"/>
      <c r="L1204" s="2651"/>
      <c r="M1204" s="2651">
        <v>674636.64000000036</v>
      </c>
      <c r="N1204" s="73"/>
      <c r="O1204" s="86"/>
      <c r="P1204" s="1817" t="e">
        <f>INDEX(#REF!,MATCH(F1204,#REF!,0),2)</f>
        <v>#REF!</v>
      </c>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3"/>
      <c r="AT1204" s="43"/>
      <c r="AU1204" s="43"/>
      <c r="AV1204" s="43"/>
    </row>
    <row r="1205" spans="1:48" ht="22.5">
      <c r="A1205" s="1882"/>
      <c r="B1205" s="412" t="s">
        <v>663</v>
      </c>
      <c r="C1205" s="412" t="s">
        <v>652</v>
      </c>
      <c r="D1205" s="1590"/>
      <c r="E1205" s="2224" t="s">
        <v>1924</v>
      </c>
      <c r="F1205" s="505">
        <v>1119</v>
      </c>
      <c r="G1205" s="1899" t="s">
        <v>2657</v>
      </c>
      <c r="H1205" s="2636"/>
      <c r="I1205" s="2636">
        <v>12776</v>
      </c>
      <c r="J1205" s="2636"/>
      <c r="K1205" s="2763"/>
      <c r="L1205" s="2651"/>
      <c r="M1205" s="2651"/>
      <c r="N1205" s="73"/>
      <c r="O1205" s="86"/>
      <c r="P1205" s="1817" t="e">
        <f>INDEX(#REF!,MATCH(F1205,#REF!,0),2)</f>
        <v>#REF!</v>
      </c>
      <c r="Q1205" s="43"/>
      <c r="R1205" s="43"/>
      <c r="S1205" s="43"/>
      <c r="T1205" s="43"/>
      <c r="U1205" s="43"/>
      <c r="V1205" s="43"/>
      <c r="W1205" s="43"/>
      <c r="X1205" s="43"/>
      <c r="Y1205" s="43"/>
      <c r="Z1205" s="43"/>
      <c r="AA1205" s="43"/>
      <c r="AB1205" s="43"/>
      <c r="AC1205" s="43"/>
      <c r="AD1205" s="43"/>
      <c r="AE1205" s="43"/>
      <c r="AF1205" s="43"/>
      <c r="AG1205" s="43"/>
      <c r="AH1205" s="43"/>
      <c r="AI1205" s="43"/>
      <c r="AJ1205" s="43"/>
      <c r="AK1205" s="43"/>
      <c r="AL1205" s="43"/>
      <c r="AM1205" s="43"/>
      <c r="AN1205" s="43"/>
      <c r="AO1205" s="43"/>
      <c r="AP1205" s="43"/>
      <c r="AQ1205" s="43"/>
      <c r="AR1205" s="43"/>
      <c r="AS1205" s="43"/>
      <c r="AT1205" s="43"/>
      <c r="AU1205" s="43"/>
      <c r="AV1205" s="43"/>
    </row>
    <row r="1206" spans="1:48" ht="13.9" customHeight="1">
      <c r="A1206" s="412"/>
      <c r="B1206" s="412" t="s">
        <v>663</v>
      </c>
      <c r="C1206" s="412" t="s">
        <v>652</v>
      </c>
      <c r="D1206" s="1590"/>
      <c r="E1206" s="2224" t="s">
        <v>1924</v>
      </c>
      <c r="F1206" s="505">
        <v>1119</v>
      </c>
      <c r="G1206" s="514" t="s">
        <v>3201</v>
      </c>
      <c r="H1206" s="2636"/>
      <c r="I1206" s="2636">
        <v>-5193</v>
      </c>
      <c r="J1206" s="2636"/>
      <c r="K1206" s="2763"/>
      <c r="L1206" s="2651"/>
      <c r="M1206" s="2651"/>
      <c r="N1206" s="73"/>
      <c r="O1206" s="86"/>
      <c r="P1206" s="1817" t="e">
        <f>INDEX(#REF!,MATCH(F1206,#REF!,0),2)</f>
        <v>#REF!</v>
      </c>
      <c r="Q1206" s="43"/>
      <c r="R1206" s="43"/>
      <c r="S1206" s="43"/>
      <c r="T1206" s="43"/>
      <c r="U1206" s="43"/>
      <c r="V1206" s="43"/>
      <c r="W1206" s="43"/>
      <c r="X1206" s="43"/>
      <c r="Y1206" s="43"/>
      <c r="Z1206" s="43"/>
      <c r="AA1206" s="43"/>
      <c r="AB1206" s="43"/>
      <c r="AC1206" s="43"/>
      <c r="AD1206" s="43"/>
      <c r="AE1206" s="43"/>
      <c r="AF1206" s="43"/>
      <c r="AG1206" s="43"/>
      <c r="AH1206" s="43"/>
      <c r="AI1206" s="43"/>
      <c r="AJ1206" s="43"/>
      <c r="AK1206" s="43"/>
      <c r="AL1206" s="43"/>
      <c r="AM1206" s="43"/>
      <c r="AN1206" s="43"/>
      <c r="AO1206" s="43"/>
      <c r="AP1206" s="43"/>
      <c r="AQ1206" s="43"/>
      <c r="AR1206" s="43"/>
      <c r="AS1206" s="43"/>
      <c r="AT1206" s="43"/>
      <c r="AU1206" s="43"/>
      <c r="AV1206" s="43"/>
    </row>
    <row r="1207" spans="1:48" ht="11.45" customHeight="1">
      <c r="A1207" s="506"/>
      <c r="B1207" s="506" t="s">
        <v>512</v>
      </c>
      <c r="C1207" s="506" t="s">
        <v>506</v>
      </c>
      <c r="D1207" s="1589">
        <v>920</v>
      </c>
      <c r="E1207" s="2232" t="s">
        <v>1923</v>
      </c>
      <c r="F1207" s="540">
        <v>1119</v>
      </c>
      <c r="G1207" s="411" t="s">
        <v>366</v>
      </c>
      <c r="H1207" s="2764">
        <v>91172.32</v>
      </c>
      <c r="I1207" s="2635"/>
      <c r="J1207" s="2635"/>
      <c r="K1207" s="2647"/>
      <c r="L1207" s="2765">
        <v>116381.92000000001</v>
      </c>
      <c r="M1207" s="2606"/>
      <c r="N1207" s="73"/>
      <c r="O1207" s="86"/>
      <c r="P1207" s="1817" t="e">
        <f>INDEX(#REF!,MATCH(F1207,#REF!,0),2)</f>
        <v>#REF!</v>
      </c>
      <c r="Q1207" s="43"/>
      <c r="R1207" s="43"/>
      <c r="S1207" s="43"/>
      <c r="T1207" s="43"/>
      <c r="U1207" s="43"/>
      <c r="V1207" s="43"/>
      <c r="W1207" s="43"/>
      <c r="X1207" s="43"/>
      <c r="Y1207" s="43"/>
      <c r="Z1207" s="43"/>
      <c r="AA1207" s="43"/>
      <c r="AB1207" s="43"/>
      <c r="AC1207" s="43"/>
      <c r="AD1207" s="43"/>
      <c r="AE1207" s="43"/>
      <c r="AF1207" s="43"/>
      <c r="AG1207" s="43"/>
      <c r="AH1207" s="43"/>
      <c r="AI1207" s="43"/>
      <c r="AJ1207" s="43"/>
      <c r="AK1207" s="43"/>
      <c r="AL1207" s="43"/>
      <c r="AM1207" s="43"/>
      <c r="AN1207" s="43"/>
      <c r="AO1207" s="43"/>
      <c r="AP1207" s="43"/>
      <c r="AQ1207" s="43"/>
      <c r="AR1207" s="43"/>
      <c r="AS1207" s="43"/>
      <c r="AT1207" s="43"/>
      <c r="AU1207" s="43"/>
      <c r="AV1207" s="43"/>
    </row>
    <row r="1208" spans="1:48" ht="11.45" customHeight="1">
      <c r="A1208" s="412"/>
      <c r="B1208" s="412" t="s">
        <v>512</v>
      </c>
      <c r="C1208" s="412" t="s">
        <v>506</v>
      </c>
      <c r="D1208" s="1590"/>
      <c r="E1208" s="2224" t="s">
        <v>1923</v>
      </c>
      <c r="F1208" s="505">
        <v>1119</v>
      </c>
      <c r="G1208" s="514" t="s">
        <v>512</v>
      </c>
      <c r="H1208" s="2636"/>
      <c r="I1208" s="2636">
        <v>91168.320000000007</v>
      </c>
      <c r="J1208" s="2636"/>
      <c r="K1208" s="2763"/>
      <c r="L1208" s="2594"/>
      <c r="M1208" s="2594">
        <v>116377.92000000001</v>
      </c>
      <c r="N1208" s="73"/>
      <c r="O1208" s="86"/>
      <c r="P1208" s="1817" t="e">
        <f>INDEX(#REF!,MATCH(F1208,#REF!,0),2)</f>
        <v>#REF!</v>
      </c>
      <c r="Q1208" s="1779"/>
      <c r="R1208" s="1779"/>
      <c r="S1208" s="1779"/>
      <c r="T1208" s="1779"/>
      <c r="U1208" s="1779"/>
      <c r="V1208" s="1779"/>
      <c r="W1208" s="43"/>
      <c r="X1208" s="1779"/>
      <c r="Y1208" s="1779"/>
      <c r="Z1208" s="1779"/>
      <c r="AA1208" s="1779"/>
      <c r="AB1208" s="1779"/>
      <c r="AC1208" s="1779"/>
      <c r="AD1208" s="1779"/>
      <c r="AE1208" s="1779"/>
      <c r="AF1208" s="1779"/>
      <c r="AG1208" s="1779"/>
      <c r="AH1208" s="1779"/>
      <c r="AI1208" s="1779"/>
      <c r="AJ1208" s="1779"/>
      <c r="AK1208" s="1779"/>
      <c r="AL1208" s="1779"/>
      <c r="AM1208" s="1779"/>
      <c r="AN1208" s="1779"/>
      <c r="AO1208" s="1779"/>
      <c r="AP1208" s="1779"/>
      <c r="AQ1208" s="1779"/>
      <c r="AR1208" s="1779"/>
      <c r="AS1208" s="1779"/>
      <c r="AT1208" s="1779"/>
      <c r="AU1208" s="1779"/>
      <c r="AV1208" s="1779"/>
    </row>
    <row r="1209" spans="1:48">
      <c r="A1209" s="412"/>
      <c r="B1209" s="412" t="s">
        <v>512</v>
      </c>
      <c r="C1209" s="412" t="s">
        <v>506</v>
      </c>
      <c r="D1209" s="1590"/>
      <c r="E1209" s="2224" t="s">
        <v>1923</v>
      </c>
      <c r="F1209" s="505">
        <v>1119</v>
      </c>
      <c r="G1209" s="514" t="s">
        <v>3061</v>
      </c>
      <c r="H1209" s="2636"/>
      <c r="I1209" s="2636">
        <v>4</v>
      </c>
      <c r="J1209" s="2636"/>
      <c r="K1209" s="2763"/>
      <c r="L1209" s="2594"/>
      <c r="M1209" s="2594">
        <v>4</v>
      </c>
      <c r="N1209" s="73"/>
      <c r="O1209" s="86"/>
      <c r="P1209" s="1817" t="e">
        <f>INDEX(#REF!,MATCH(F1209,#REF!,0),2)</f>
        <v>#REF!</v>
      </c>
      <c r="Q1209" s="1779"/>
      <c r="R1209" s="1779"/>
      <c r="S1209" s="1779"/>
      <c r="T1209" s="1779"/>
      <c r="U1209" s="1779"/>
      <c r="V1209" s="1779"/>
      <c r="W1209" s="43"/>
      <c r="X1209" s="1779"/>
      <c r="Y1209" s="1779"/>
      <c r="Z1209" s="1779"/>
      <c r="AA1209" s="1779"/>
      <c r="AB1209" s="1779"/>
      <c r="AC1209" s="1779"/>
      <c r="AD1209" s="1779"/>
      <c r="AE1209" s="1779"/>
      <c r="AF1209" s="1779"/>
      <c r="AG1209" s="1779"/>
      <c r="AH1209" s="1779"/>
      <c r="AI1209" s="1779"/>
      <c r="AJ1209" s="1779"/>
      <c r="AK1209" s="1779"/>
      <c r="AL1209" s="1779"/>
      <c r="AM1209" s="1779"/>
      <c r="AN1209" s="1779"/>
      <c r="AO1209" s="1779"/>
      <c r="AP1209" s="1779"/>
      <c r="AQ1209" s="1779"/>
      <c r="AR1209" s="1779"/>
      <c r="AS1209" s="1779"/>
      <c r="AT1209" s="1779"/>
      <c r="AU1209" s="1779"/>
      <c r="AV1209" s="1779"/>
    </row>
    <row r="1210" spans="1:48">
      <c r="A1210" s="506"/>
      <c r="B1210" s="506" t="s">
        <v>663</v>
      </c>
      <c r="C1210" s="506" t="s">
        <v>652</v>
      </c>
      <c r="D1210" s="1589">
        <v>920</v>
      </c>
      <c r="E1210" s="2223" t="s">
        <v>1924</v>
      </c>
      <c r="F1210" s="540">
        <v>1141</v>
      </c>
      <c r="G1210" s="411" t="s">
        <v>268</v>
      </c>
      <c r="H1210" s="2635">
        <v>4000</v>
      </c>
      <c r="I1210" s="2635"/>
      <c r="J1210" s="2635">
        <v>4361</v>
      </c>
      <c r="K1210" s="2647"/>
      <c r="L1210" s="2604">
        <v>4000</v>
      </c>
      <c r="M1210" s="2604"/>
      <c r="N1210" s="335">
        <f>L1210/H1210-1</f>
        <v>0</v>
      </c>
      <c r="O1210" s="86"/>
      <c r="P1210" s="1817" t="e">
        <f>INDEX(#REF!,MATCH(F1210,#REF!,0),2)</f>
        <v>#REF!</v>
      </c>
      <c r="Q1210" s="1779"/>
      <c r="R1210" s="1779"/>
      <c r="S1210" s="1779"/>
      <c r="T1210" s="1779"/>
      <c r="U1210" s="1779"/>
      <c r="V1210" s="1779"/>
      <c r="W1210" s="43"/>
      <c r="X1210" s="1779"/>
      <c r="Y1210" s="1779"/>
      <c r="Z1210" s="1779"/>
      <c r="AA1210" s="1779"/>
      <c r="AB1210" s="1779"/>
      <c r="AC1210" s="1779"/>
      <c r="AD1210" s="1779"/>
      <c r="AE1210" s="1779"/>
      <c r="AF1210" s="1779"/>
      <c r="AG1210" s="1779"/>
      <c r="AH1210" s="1779"/>
      <c r="AI1210" s="1779"/>
      <c r="AJ1210" s="1779"/>
      <c r="AK1210" s="1779"/>
      <c r="AL1210" s="1779"/>
      <c r="AM1210" s="1779"/>
      <c r="AN1210" s="1779"/>
      <c r="AO1210" s="1779"/>
      <c r="AP1210" s="1779"/>
      <c r="AQ1210" s="1779"/>
      <c r="AR1210" s="1779"/>
      <c r="AS1210" s="1779"/>
      <c r="AT1210" s="1779"/>
      <c r="AU1210" s="1779"/>
      <c r="AV1210" s="1779"/>
    </row>
    <row r="1211" spans="1:48">
      <c r="A1211" s="412"/>
      <c r="B1211" s="412" t="s">
        <v>663</v>
      </c>
      <c r="C1211" s="412" t="s">
        <v>652</v>
      </c>
      <c r="D1211" s="1590"/>
      <c r="E1211" s="2224" t="s">
        <v>1924</v>
      </c>
      <c r="F1211" s="505">
        <v>1141</v>
      </c>
      <c r="G1211" s="514"/>
      <c r="H1211" s="2636"/>
      <c r="I1211" s="2636">
        <v>4000</v>
      </c>
      <c r="J1211" s="2636"/>
      <c r="K1211" s="2763"/>
      <c r="L1211" s="2592"/>
      <c r="M1211" s="2592">
        <v>4000</v>
      </c>
      <c r="N1211" s="286"/>
      <c r="O1211" s="86"/>
      <c r="P1211" s="1817" t="e">
        <f>INDEX(#REF!,MATCH(F1211,#REF!,0),2)</f>
        <v>#REF!</v>
      </c>
      <c r="Q1211" s="1779"/>
      <c r="R1211" s="1779"/>
      <c r="S1211" s="1779"/>
      <c r="T1211" s="1779"/>
      <c r="U1211" s="1779"/>
      <c r="V1211" s="1779"/>
      <c r="W1211" s="43"/>
      <c r="X1211" s="1779"/>
      <c r="Y1211" s="1779"/>
      <c r="Z1211" s="1779"/>
      <c r="AA1211" s="1779"/>
      <c r="AB1211" s="1779"/>
      <c r="AC1211" s="1779"/>
      <c r="AD1211" s="1779"/>
      <c r="AE1211" s="1779"/>
      <c r="AF1211" s="1779"/>
      <c r="AG1211" s="1779"/>
      <c r="AH1211" s="1779"/>
      <c r="AI1211" s="1779"/>
      <c r="AJ1211" s="1779"/>
      <c r="AK1211" s="1779"/>
      <c r="AL1211" s="1779"/>
      <c r="AM1211" s="1779"/>
      <c r="AN1211" s="1779"/>
      <c r="AO1211" s="1779"/>
      <c r="AP1211" s="1779"/>
      <c r="AQ1211" s="1779"/>
      <c r="AR1211" s="1779"/>
      <c r="AS1211" s="1779"/>
      <c r="AT1211" s="1779"/>
      <c r="AU1211" s="1779"/>
      <c r="AV1211" s="1779"/>
    </row>
    <row r="1212" spans="1:48" ht="22.5">
      <c r="A1212" s="506"/>
      <c r="B1212" s="506" t="s">
        <v>663</v>
      </c>
      <c r="C1212" s="506" t="s">
        <v>652</v>
      </c>
      <c r="D1212" s="1589">
        <v>920</v>
      </c>
      <c r="E1212" s="2223" t="s">
        <v>1924</v>
      </c>
      <c r="F1212" s="540">
        <v>1142</v>
      </c>
      <c r="G1212" s="411" t="s">
        <v>225</v>
      </c>
      <c r="H1212" s="2635">
        <v>6000</v>
      </c>
      <c r="I1212" s="2635"/>
      <c r="J1212" s="2635">
        <v>3382.94</v>
      </c>
      <c r="K1212" s="2647"/>
      <c r="L1212" s="2604">
        <v>6000</v>
      </c>
      <c r="M1212" s="2604"/>
      <c r="N1212" s="335">
        <f>L1212/H1212-1</f>
        <v>0</v>
      </c>
      <c r="O1212" s="86"/>
      <c r="P1212" s="1817" t="e">
        <f>INDEX(#REF!,MATCH(F1212,#REF!,0),2)</f>
        <v>#REF!</v>
      </c>
      <c r="Q1212" s="43"/>
      <c r="R1212" s="43"/>
      <c r="S1212" s="43"/>
      <c r="T1212" s="43"/>
      <c r="U1212" s="43"/>
      <c r="V1212" s="43"/>
      <c r="W1212" s="43"/>
      <c r="X1212" s="43"/>
      <c r="Y1212" s="43"/>
      <c r="Z1212" s="43"/>
      <c r="AA1212" s="43"/>
      <c r="AB1212" s="43"/>
      <c r="AC1212" s="43"/>
      <c r="AD1212" s="43"/>
      <c r="AE1212" s="43"/>
      <c r="AF1212" s="43"/>
      <c r="AG1212" s="43"/>
      <c r="AH1212" s="43"/>
      <c r="AI1212" s="43"/>
      <c r="AJ1212" s="43"/>
      <c r="AK1212" s="43"/>
      <c r="AL1212" s="43"/>
      <c r="AM1212" s="43"/>
      <c r="AN1212" s="43"/>
      <c r="AO1212" s="43"/>
      <c r="AP1212" s="43"/>
      <c r="AQ1212" s="43"/>
      <c r="AR1212" s="43"/>
      <c r="AS1212" s="43"/>
      <c r="AT1212" s="43"/>
      <c r="AU1212" s="43"/>
    </row>
    <row r="1213" spans="1:48">
      <c r="A1213" s="412"/>
      <c r="B1213" s="412" t="s">
        <v>663</v>
      </c>
      <c r="C1213" s="412" t="s">
        <v>652</v>
      </c>
      <c r="D1213" s="1590"/>
      <c r="E1213" s="2224" t="s">
        <v>1924</v>
      </c>
      <c r="F1213" s="505">
        <v>1142</v>
      </c>
      <c r="G1213" s="514"/>
      <c r="H1213" s="2636"/>
      <c r="I1213" s="2636">
        <v>6000</v>
      </c>
      <c r="J1213" s="2636"/>
      <c r="K1213" s="2763"/>
      <c r="L1213" s="2592"/>
      <c r="M1213" s="2592">
        <v>6000</v>
      </c>
      <c r="N1213" s="73"/>
      <c r="O1213" s="86"/>
      <c r="P1213" s="1817" t="e">
        <f>INDEX(#REF!,MATCH(F1213,#REF!,0),2)</f>
        <v>#REF!</v>
      </c>
      <c r="Q1213" s="1779"/>
      <c r="R1213" s="1779"/>
      <c r="S1213" s="1779"/>
      <c r="T1213" s="1779"/>
      <c r="U1213" s="1779"/>
      <c r="V1213" s="1779"/>
      <c r="W1213" s="43"/>
      <c r="X1213" s="1779"/>
      <c r="Y1213" s="1779"/>
      <c r="Z1213" s="1779"/>
      <c r="AA1213" s="1779"/>
      <c r="AB1213" s="1779"/>
      <c r="AC1213" s="1779"/>
      <c r="AD1213" s="1779"/>
      <c r="AE1213" s="1779"/>
      <c r="AF1213" s="1779"/>
      <c r="AG1213" s="1779"/>
      <c r="AH1213" s="1779"/>
      <c r="AI1213" s="1779"/>
      <c r="AJ1213" s="1779"/>
      <c r="AK1213" s="1779"/>
      <c r="AL1213" s="1779"/>
      <c r="AM1213" s="1779"/>
      <c r="AN1213" s="1779"/>
      <c r="AO1213" s="1779"/>
      <c r="AP1213" s="1779"/>
      <c r="AQ1213" s="1779"/>
      <c r="AR1213" s="1779"/>
      <c r="AS1213" s="1779"/>
      <c r="AT1213" s="1779"/>
      <c r="AU1213" s="1779"/>
      <c r="AV1213" s="1779"/>
    </row>
    <row r="1214" spans="1:48" ht="22.5">
      <c r="A1214" s="506"/>
      <c r="B1214" s="506" t="s">
        <v>663</v>
      </c>
      <c r="C1214" s="506" t="s">
        <v>652</v>
      </c>
      <c r="D1214" s="1589">
        <v>920</v>
      </c>
      <c r="E1214" s="2223" t="s">
        <v>1924</v>
      </c>
      <c r="F1214" s="540">
        <v>1146</v>
      </c>
      <c r="G1214" s="411" t="s">
        <v>889</v>
      </c>
      <c r="H1214" s="2635">
        <v>2500</v>
      </c>
      <c r="I1214" s="2635"/>
      <c r="J1214" s="2635"/>
      <c r="K1214" s="2647"/>
      <c r="L1214" s="2604">
        <v>2500</v>
      </c>
      <c r="M1214" s="2604"/>
      <c r="N1214" s="335">
        <f>L1214/H1214-1</f>
        <v>0</v>
      </c>
      <c r="O1214" s="86"/>
      <c r="P1214" s="1817" t="e">
        <f>INDEX(#REF!,MATCH(F1214,#REF!,0),2)</f>
        <v>#REF!</v>
      </c>
      <c r="Q1214" s="43"/>
      <c r="R1214" s="43"/>
      <c r="S1214" s="43"/>
      <c r="T1214" s="43"/>
      <c r="U1214" s="43"/>
      <c r="V1214" s="43"/>
      <c r="W1214" s="43"/>
      <c r="X1214" s="43"/>
      <c r="Y1214" s="43"/>
      <c r="Z1214" s="43"/>
      <c r="AA1214" s="43"/>
      <c r="AB1214" s="43"/>
      <c r="AC1214" s="43"/>
      <c r="AD1214" s="43"/>
      <c r="AE1214" s="43"/>
      <c r="AF1214" s="43"/>
      <c r="AG1214" s="43"/>
      <c r="AH1214" s="43"/>
      <c r="AI1214" s="43"/>
      <c r="AJ1214" s="43"/>
      <c r="AK1214" s="43"/>
      <c r="AL1214" s="43"/>
      <c r="AM1214" s="43"/>
      <c r="AN1214" s="43"/>
      <c r="AO1214" s="43"/>
      <c r="AP1214" s="43"/>
      <c r="AQ1214" s="43"/>
      <c r="AR1214" s="43"/>
      <c r="AS1214" s="43"/>
      <c r="AT1214" s="43"/>
    </row>
    <row r="1215" spans="1:48">
      <c r="A1215" s="412"/>
      <c r="B1215" s="412" t="s">
        <v>663</v>
      </c>
      <c r="C1215" s="412" t="s">
        <v>652</v>
      </c>
      <c r="D1215" s="1590"/>
      <c r="E1215" s="2224" t="s">
        <v>1924</v>
      </c>
      <c r="F1215" s="505">
        <v>1146</v>
      </c>
      <c r="G1215" s="514"/>
      <c r="H1215" s="2636"/>
      <c r="I1215" s="2636">
        <v>2500</v>
      </c>
      <c r="J1215" s="2636"/>
      <c r="K1215" s="2763"/>
      <c r="L1215" s="2592"/>
      <c r="M1215" s="2592">
        <v>2500</v>
      </c>
      <c r="N1215" s="73"/>
      <c r="O1215" s="86"/>
      <c r="P1215" s="1817" t="e">
        <f>INDEX(#REF!,MATCH(F1215,#REF!,0),2)</f>
        <v>#REF!</v>
      </c>
      <c r="Q1215" s="1779"/>
      <c r="R1215" s="1779"/>
      <c r="S1215" s="1779"/>
      <c r="T1215" s="1779"/>
      <c r="U1215" s="1779"/>
      <c r="V1215" s="1779"/>
      <c r="W1215" s="43"/>
      <c r="X1215" s="1779"/>
      <c r="Y1215" s="1779"/>
      <c r="Z1215" s="1779"/>
      <c r="AA1215" s="1779"/>
      <c r="AB1215" s="1779"/>
      <c r="AC1215" s="1779"/>
      <c r="AD1215" s="1779"/>
      <c r="AE1215" s="1779"/>
      <c r="AF1215" s="1779"/>
      <c r="AG1215" s="1779"/>
      <c r="AH1215" s="1779"/>
      <c r="AI1215" s="1779"/>
      <c r="AJ1215" s="1779"/>
      <c r="AK1215" s="1779"/>
      <c r="AL1215" s="1779"/>
      <c r="AM1215" s="1779"/>
      <c r="AN1215" s="1779"/>
      <c r="AO1215" s="1779"/>
      <c r="AP1215" s="1779"/>
      <c r="AQ1215" s="1779"/>
      <c r="AR1215" s="1779"/>
      <c r="AS1215" s="1779"/>
      <c r="AT1215" s="1779"/>
      <c r="AU1215" s="1779"/>
      <c r="AV1215" s="1779"/>
    </row>
    <row r="1216" spans="1:48">
      <c r="A1216" s="506"/>
      <c r="B1216" s="506" t="s">
        <v>663</v>
      </c>
      <c r="C1216" s="506" t="s">
        <v>652</v>
      </c>
      <c r="D1216" s="1589">
        <v>920</v>
      </c>
      <c r="E1216" s="2223" t="s">
        <v>1924</v>
      </c>
      <c r="F1216" s="540">
        <v>1147</v>
      </c>
      <c r="G1216" s="411" t="s">
        <v>226</v>
      </c>
      <c r="H1216" s="2635">
        <v>81270.95199999999</v>
      </c>
      <c r="I1216" s="2635"/>
      <c r="J1216" s="2635">
        <v>37707.620000000003</v>
      </c>
      <c r="K1216" s="2647"/>
      <c r="L1216" s="4074">
        <v>105957.56800000004</v>
      </c>
      <c r="M1216" s="4074"/>
      <c r="N1216" s="335">
        <f>L1216/H1216-1</f>
        <v>0.30375694380939522</v>
      </c>
      <c r="O1216" s="86"/>
      <c r="P1216" s="1817" t="e">
        <f>INDEX(#REF!,MATCH(F1216,#REF!,0),2)</f>
        <v>#REF!</v>
      </c>
      <c r="Q1216" s="43"/>
      <c r="R1216" s="43"/>
      <c r="S1216" s="43"/>
      <c r="T1216" s="43"/>
      <c r="U1216" s="43"/>
      <c r="V1216" s="43"/>
      <c r="W1216" s="43"/>
      <c r="X1216" s="43"/>
      <c r="Y1216" s="43"/>
      <c r="Z1216" s="43"/>
      <c r="AA1216" s="43"/>
      <c r="AB1216" s="43"/>
      <c r="AC1216" s="43"/>
      <c r="AD1216" s="43"/>
      <c r="AE1216" s="43"/>
      <c r="AF1216" s="43"/>
      <c r="AG1216" s="43"/>
      <c r="AH1216" s="43"/>
      <c r="AI1216" s="43"/>
      <c r="AJ1216" s="43"/>
      <c r="AK1216" s="43"/>
      <c r="AL1216" s="43"/>
      <c r="AM1216" s="43"/>
      <c r="AN1216" s="43"/>
      <c r="AO1216" s="43"/>
      <c r="AP1216" s="43"/>
      <c r="AQ1216" s="43"/>
      <c r="AR1216" s="43"/>
      <c r="AS1216" s="43"/>
    </row>
    <row r="1217" spans="1:48">
      <c r="A1217" s="412"/>
      <c r="B1217" s="412" t="s">
        <v>663</v>
      </c>
      <c r="C1217" s="412" t="s">
        <v>652</v>
      </c>
      <c r="D1217" s="1590"/>
      <c r="E1217" s="2224" t="s">
        <v>1924</v>
      </c>
      <c r="F1217" s="505">
        <v>1147</v>
      </c>
      <c r="G1217" s="514" t="s">
        <v>663</v>
      </c>
      <c r="H1217" s="2636"/>
      <c r="I1217" s="2636">
        <v>39999.599999999999</v>
      </c>
      <c r="J1217" s="2636"/>
      <c r="K1217" s="2763"/>
      <c r="L1217" s="2651"/>
      <c r="M1217" s="2651">
        <v>53624.320000000036</v>
      </c>
      <c r="N1217" s="73"/>
      <c r="O1217" s="86"/>
      <c r="P1217" s="1817" t="e">
        <f>INDEX(#REF!,MATCH(F1217,#REF!,0),2)</f>
        <v>#REF!</v>
      </c>
      <c r="Q1217" s="43"/>
      <c r="R1217" s="43"/>
      <c r="S1217" s="43"/>
      <c r="T1217" s="43"/>
      <c r="U1217" s="43"/>
      <c r="V1217" s="43"/>
      <c r="W1217" s="43"/>
      <c r="X1217" s="43"/>
      <c r="Y1217" s="43"/>
      <c r="Z1217" s="43"/>
      <c r="AA1217" s="43"/>
      <c r="AB1217" s="43"/>
      <c r="AC1217" s="43"/>
      <c r="AD1217" s="43"/>
      <c r="AE1217" s="43"/>
      <c r="AF1217" s="43"/>
      <c r="AG1217" s="43"/>
      <c r="AH1217" s="43"/>
      <c r="AI1217" s="43"/>
      <c r="AJ1217" s="43"/>
      <c r="AK1217" s="43"/>
      <c r="AL1217" s="43"/>
      <c r="AM1217" s="43"/>
      <c r="AN1217" s="43"/>
      <c r="AO1217" s="43"/>
      <c r="AP1217" s="43"/>
      <c r="AQ1217" s="43"/>
      <c r="AR1217" s="43"/>
      <c r="AS1217" s="43"/>
    </row>
    <row r="1218" spans="1:48">
      <c r="A1218" s="412"/>
      <c r="B1218" s="412" t="s">
        <v>663</v>
      </c>
      <c r="C1218" s="412" t="s">
        <v>652</v>
      </c>
      <c r="D1218" s="1590"/>
      <c r="E1218" s="2224" t="s">
        <v>1924</v>
      </c>
      <c r="F1218" s="505">
        <v>1147</v>
      </c>
      <c r="G1218" s="514" t="s">
        <v>2650</v>
      </c>
      <c r="H1218" s="2636"/>
      <c r="I1218" s="2636">
        <v>41271.351999999992</v>
      </c>
      <c r="J1218" s="2636"/>
      <c r="K1218" s="2763"/>
      <c r="L1218" s="2651"/>
      <c r="M1218" s="2651">
        <v>52333.248000000007</v>
      </c>
      <c r="N1218" s="73"/>
      <c r="O1218" s="86"/>
      <c r="P1218" s="1817" t="e">
        <f>INDEX(#REF!,MATCH(F1218,#REF!,0),2)</f>
        <v>#REF!</v>
      </c>
      <c r="Q1218" s="43"/>
      <c r="R1218" s="43"/>
      <c r="S1218" s="43"/>
      <c r="T1218" s="43"/>
      <c r="U1218" s="43"/>
      <c r="V1218" s="43"/>
      <c r="W1218" s="43"/>
      <c r="X1218" s="43"/>
      <c r="Y1218" s="43"/>
      <c r="Z1218" s="43"/>
      <c r="AA1218" s="43"/>
      <c r="AB1218" s="43"/>
      <c r="AC1218" s="43"/>
      <c r="AD1218" s="43"/>
      <c r="AE1218" s="43"/>
      <c r="AF1218" s="43"/>
      <c r="AG1218" s="43"/>
      <c r="AH1218" s="43"/>
      <c r="AI1218" s="43"/>
      <c r="AJ1218" s="43"/>
      <c r="AK1218" s="43"/>
      <c r="AL1218" s="43"/>
      <c r="AM1218" s="43"/>
      <c r="AN1218" s="43"/>
      <c r="AO1218" s="43"/>
      <c r="AP1218" s="43"/>
      <c r="AQ1218" s="43"/>
      <c r="AR1218" s="43"/>
      <c r="AS1218" s="43"/>
    </row>
    <row r="1219" spans="1:48" ht="21" customHeight="1">
      <c r="A1219" s="1370"/>
      <c r="B1219" s="412" t="s">
        <v>663</v>
      </c>
      <c r="C1219" s="412" t="s">
        <v>652</v>
      </c>
      <c r="D1219" s="1590"/>
      <c r="E1219" s="2224" t="s">
        <v>1924</v>
      </c>
      <c r="F1219" s="505">
        <v>1147</v>
      </c>
      <c r="G1219" s="1448" t="s">
        <v>1998</v>
      </c>
      <c r="H1219" s="2636"/>
      <c r="I1219" s="2636"/>
      <c r="J1219" s="2636"/>
      <c r="K1219" s="2763"/>
      <c r="L1219" s="2651"/>
      <c r="M1219" s="2651"/>
      <c r="N1219" s="73"/>
      <c r="O1219" s="86"/>
      <c r="P1219" s="1817" t="e">
        <f>INDEX(#REF!,MATCH(F1219,#REF!,0),2)</f>
        <v>#REF!</v>
      </c>
      <c r="Q1219" s="1779"/>
      <c r="R1219" s="1779"/>
      <c r="S1219" s="1779"/>
      <c r="T1219" s="1779"/>
      <c r="U1219" s="1779"/>
      <c r="V1219" s="1779"/>
      <c r="W1219" s="43"/>
      <c r="X1219" s="1779"/>
      <c r="Y1219" s="1779"/>
      <c r="Z1219" s="1779"/>
      <c r="AA1219" s="1779"/>
      <c r="AB1219" s="1779"/>
      <c r="AC1219" s="1779"/>
      <c r="AD1219" s="1779"/>
      <c r="AE1219" s="1779"/>
      <c r="AF1219" s="1779"/>
      <c r="AG1219" s="1779"/>
      <c r="AH1219" s="1779"/>
      <c r="AI1219" s="1779"/>
      <c r="AJ1219" s="1779"/>
      <c r="AK1219" s="1779"/>
      <c r="AL1219" s="1779"/>
      <c r="AM1219" s="1779"/>
      <c r="AN1219" s="1779"/>
      <c r="AO1219" s="1779"/>
      <c r="AP1219" s="1779"/>
      <c r="AQ1219" s="1779"/>
      <c r="AR1219" s="1779"/>
      <c r="AS1219" s="1779"/>
      <c r="AT1219" s="1779"/>
      <c r="AU1219" s="1779"/>
      <c r="AV1219" s="1779"/>
    </row>
    <row r="1220" spans="1:48" ht="19.149999999999999" customHeight="1">
      <c r="A1220" s="506"/>
      <c r="B1220" s="506" t="s">
        <v>512</v>
      </c>
      <c r="C1220" s="506" t="s">
        <v>506</v>
      </c>
      <c r="D1220" s="1589">
        <v>920</v>
      </c>
      <c r="E1220" s="2223" t="s">
        <v>1923</v>
      </c>
      <c r="F1220" s="540">
        <v>1147</v>
      </c>
      <c r="G1220" s="411" t="s">
        <v>893</v>
      </c>
      <c r="H1220" s="2766">
        <v>1025.28</v>
      </c>
      <c r="I1220" s="2635"/>
      <c r="J1220" s="2635"/>
      <c r="K1220" s="2647"/>
      <c r="L1220" s="2765">
        <v>1025.28</v>
      </c>
      <c r="M1220" s="2606"/>
      <c r="N1220" s="73"/>
      <c r="O1220" s="86"/>
      <c r="P1220" s="1817" t="e">
        <f>INDEX(#REF!,MATCH(F1220,#REF!,0),2)</f>
        <v>#REF!</v>
      </c>
      <c r="Q1220" s="1779"/>
      <c r="R1220" s="1779"/>
      <c r="S1220" s="1779"/>
      <c r="T1220" s="1779"/>
      <c r="U1220" s="1779"/>
      <c r="V1220" s="1779"/>
      <c r="W1220" s="43"/>
      <c r="X1220" s="1779"/>
      <c r="Y1220" s="1779"/>
      <c r="Z1220" s="1779"/>
      <c r="AA1220" s="1779"/>
      <c r="AB1220" s="1779"/>
      <c r="AC1220" s="1779"/>
      <c r="AD1220" s="1779"/>
      <c r="AE1220" s="1779"/>
      <c r="AF1220" s="1779"/>
      <c r="AG1220" s="1779"/>
      <c r="AH1220" s="1779"/>
      <c r="AI1220" s="1779"/>
      <c r="AJ1220" s="1779"/>
      <c r="AK1220" s="1779"/>
      <c r="AL1220" s="1779"/>
      <c r="AM1220" s="1779"/>
      <c r="AN1220" s="1779"/>
      <c r="AO1220" s="1779"/>
      <c r="AP1220" s="1779"/>
      <c r="AQ1220" s="1779"/>
      <c r="AR1220" s="1779"/>
      <c r="AS1220" s="1779"/>
      <c r="AT1220" s="1779"/>
      <c r="AU1220" s="1779"/>
      <c r="AV1220" s="1779"/>
    </row>
    <row r="1221" spans="1:48" ht="19.149999999999999" customHeight="1">
      <c r="A1221" s="412"/>
      <c r="B1221" s="412" t="s">
        <v>512</v>
      </c>
      <c r="C1221" s="412" t="s">
        <v>506</v>
      </c>
      <c r="D1221" s="1590"/>
      <c r="E1221" s="2224" t="s">
        <v>1923</v>
      </c>
      <c r="F1221" s="505">
        <v>1147</v>
      </c>
      <c r="G1221" s="516" t="s">
        <v>1122</v>
      </c>
      <c r="H1221" s="2636"/>
      <c r="I1221" s="2636">
        <v>1025.28</v>
      </c>
      <c r="J1221" s="2636"/>
      <c r="K1221" s="2763"/>
      <c r="L1221" s="2594"/>
      <c r="M1221" s="2594">
        <v>1025.28</v>
      </c>
      <c r="N1221" s="73"/>
      <c r="O1221" s="86"/>
      <c r="P1221" s="1817" t="e">
        <f>INDEX(#REF!,MATCH(F1221,#REF!,0),2)</f>
        <v>#REF!</v>
      </c>
      <c r="Q1221" s="1779"/>
      <c r="R1221" s="1779"/>
      <c r="S1221" s="1779"/>
      <c r="T1221" s="1779"/>
      <c r="U1221" s="1779"/>
      <c r="V1221" s="1779"/>
      <c r="W1221" s="43"/>
      <c r="X1221" s="1779"/>
      <c r="Y1221" s="1779"/>
      <c r="Z1221" s="1779"/>
      <c r="AA1221" s="1779"/>
      <c r="AB1221" s="1779"/>
      <c r="AC1221" s="1779"/>
      <c r="AD1221" s="1779"/>
      <c r="AE1221" s="1779"/>
      <c r="AF1221" s="1779"/>
      <c r="AG1221" s="1779"/>
      <c r="AH1221" s="1779"/>
      <c r="AI1221" s="1779"/>
      <c r="AJ1221" s="1779"/>
      <c r="AK1221" s="1779"/>
      <c r="AL1221" s="1779"/>
      <c r="AM1221" s="1779"/>
      <c r="AN1221" s="1779"/>
      <c r="AO1221" s="1779"/>
      <c r="AP1221" s="1779"/>
      <c r="AQ1221" s="1779"/>
      <c r="AR1221" s="1779"/>
      <c r="AS1221" s="1779"/>
      <c r="AT1221" s="1779"/>
      <c r="AU1221" s="1779"/>
      <c r="AV1221" s="1779"/>
    </row>
    <row r="1222" spans="1:48" ht="11.45" customHeight="1">
      <c r="A1222" s="1370"/>
      <c r="B1222" s="412" t="s">
        <v>512</v>
      </c>
      <c r="C1222" s="412" t="s">
        <v>506</v>
      </c>
      <c r="D1222" s="1590"/>
      <c r="E1222" s="2224" t="s">
        <v>1923</v>
      </c>
      <c r="F1222" s="505">
        <v>1147</v>
      </c>
      <c r="G1222" s="1411" t="s">
        <v>1180</v>
      </c>
      <c r="H1222" s="2636"/>
      <c r="I1222" s="2636"/>
      <c r="J1222" s="2636"/>
      <c r="K1222" s="2763"/>
      <c r="L1222" s="2594"/>
      <c r="M1222" s="2594"/>
      <c r="N1222" s="73"/>
      <c r="O1222" s="86"/>
      <c r="P1222" s="1817" t="e">
        <f>INDEX(#REF!,MATCH(F1222,#REF!,0),2)</f>
        <v>#REF!</v>
      </c>
      <c r="Q1222" s="43"/>
      <c r="R1222" s="43"/>
      <c r="S1222" s="43"/>
      <c r="T1222" s="43"/>
      <c r="U1222" s="43"/>
      <c r="V1222" s="43"/>
      <c r="W1222" s="43"/>
      <c r="X1222" s="43"/>
      <c r="Y1222" s="43"/>
      <c r="Z1222" s="43"/>
      <c r="AA1222" s="43"/>
      <c r="AB1222" s="43"/>
      <c r="AC1222" s="43"/>
      <c r="AD1222" s="43"/>
      <c r="AE1222" s="43"/>
      <c r="AF1222" s="43"/>
      <c r="AG1222" s="43"/>
      <c r="AH1222" s="43"/>
      <c r="AI1222" s="43"/>
      <c r="AJ1222" s="43"/>
      <c r="AK1222" s="43"/>
      <c r="AL1222" s="43"/>
      <c r="AM1222" s="43"/>
      <c r="AN1222" s="43"/>
      <c r="AO1222" s="43"/>
      <c r="AP1222" s="43"/>
      <c r="AQ1222" s="43"/>
      <c r="AR1222" s="43"/>
      <c r="AS1222" s="43"/>
      <c r="AT1222" s="43"/>
      <c r="AU1222" s="43"/>
      <c r="AV1222" s="43"/>
    </row>
    <row r="1223" spans="1:48" ht="11.45" customHeight="1">
      <c r="A1223" s="506"/>
      <c r="B1223" s="506" t="s">
        <v>512</v>
      </c>
      <c r="C1223" s="506" t="s">
        <v>506</v>
      </c>
      <c r="D1223" s="1589">
        <v>920</v>
      </c>
      <c r="E1223" s="2223" t="s">
        <v>1923</v>
      </c>
      <c r="F1223" s="540">
        <v>1148</v>
      </c>
      <c r="G1223" s="411" t="s">
        <v>551</v>
      </c>
      <c r="H1223" s="2766">
        <v>0</v>
      </c>
      <c r="I1223" s="2635"/>
      <c r="J1223" s="2635"/>
      <c r="K1223" s="2647"/>
      <c r="L1223" s="2765">
        <v>0</v>
      </c>
      <c r="M1223" s="2606"/>
      <c r="N1223" s="73"/>
      <c r="O1223" s="86"/>
      <c r="P1223" s="1817" t="e">
        <f>INDEX(#REF!,MATCH(F1223,#REF!,0),2)</f>
        <v>#REF!</v>
      </c>
      <c r="Q1223" s="1779"/>
      <c r="R1223" s="1779"/>
      <c r="S1223" s="1779"/>
      <c r="T1223" s="1779"/>
      <c r="U1223" s="1779"/>
      <c r="V1223" s="1779"/>
      <c r="W1223" s="43"/>
      <c r="X1223" s="1779"/>
      <c r="Y1223" s="1779"/>
      <c r="Z1223" s="1779"/>
      <c r="AA1223" s="1779"/>
      <c r="AB1223" s="1779"/>
      <c r="AC1223" s="1779"/>
      <c r="AD1223" s="1779"/>
      <c r="AE1223" s="1779"/>
      <c r="AF1223" s="1779"/>
      <c r="AG1223" s="1779"/>
      <c r="AH1223" s="1779"/>
      <c r="AI1223" s="1779"/>
      <c r="AJ1223" s="1779"/>
      <c r="AK1223" s="1779"/>
      <c r="AL1223" s="1779"/>
      <c r="AM1223" s="1779"/>
      <c r="AN1223" s="1779"/>
      <c r="AO1223" s="1779"/>
      <c r="AP1223" s="1779"/>
      <c r="AQ1223" s="1779"/>
      <c r="AR1223" s="1779"/>
      <c r="AS1223" s="1779"/>
      <c r="AT1223" s="1779"/>
      <c r="AU1223" s="1779"/>
      <c r="AV1223" s="1779"/>
    </row>
    <row r="1224" spans="1:48">
      <c r="A1224" s="412"/>
      <c r="B1224" s="412" t="s">
        <v>512</v>
      </c>
      <c r="C1224" s="412" t="s">
        <v>506</v>
      </c>
      <c r="D1224" s="1590"/>
      <c r="E1224" s="2224" t="s">
        <v>1923</v>
      </c>
      <c r="F1224" s="505">
        <v>1148</v>
      </c>
      <c r="G1224" s="514" t="s">
        <v>512</v>
      </c>
      <c r="H1224" s="2636"/>
      <c r="I1224" s="2636"/>
      <c r="J1224" s="2636"/>
      <c r="K1224" s="2763"/>
      <c r="L1224" s="2594"/>
      <c r="M1224" s="2594"/>
      <c r="N1224" s="73"/>
      <c r="O1224" s="86"/>
      <c r="P1224" s="1817" t="e">
        <f>INDEX(#REF!,MATCH(F1224,#REF!,0),2)</f>
        <v>#REF!</v>
      </c>
      <c r="Q1224" s="1779"/>
      <c r="R1224" s="1779"/>
      <c r="S1224" s="1779"/>
      <c r="T1224" s="1779"/>
      <c r="U1224" s="1779"/>
      <c r="V1224" s="1779"/>
      <c r="W1224" s="43"/>
      <c r="X1224" s="1779"/>
      <c r="Y1224" s="1779"/>
      <c r="Z1224" s="1779"/>
      <c r="AA1224" s="1779"/>
      <c r="AB1224" s="1779"/>
      <c r="AC1224" s="1779"/>
      <c r="AD1224" s="1779"/>
      <c r="AE1224" s="1779"/>
      <c r="AF1224" s="1779"/>
      <c r="AG1224" s="1779"/>
      <c r="AH1224" s="1779"/>
      <c r="AI1224" s="1779"/>
      <c r="AJ1224" s="1779"/>
      <c r="AK1224" s="1779"/>
      <c r="AL1224" s="1779"/>
      <c r="AM1224" s="1779"/>
      <c r="AN1224" s="1779"/>
      <c r="AO1224" s="1779"/>
      <c r="AP1224" s="1779"/>
      <c r="AQ1224" s="1779"/>
      <c r="AR1224" s="1779"/>
      <c r="AS1224" s="1779"/>
      <c r="AT1224" s="1779"/>
      <c r="AU1224" s="1779"/>
      <c r="AV1224" s="1779"/>
    </row>
    <row r="1225" spans="1:48">
      <c r="A1225" s="506"/>
      <c r="B1225" s="506" t="s">
        <v>663</v>
      </c>
      <c r="C1225" s="506" t="s">
        <v>652</v>
      </c>
      <c r="D1225" s="1589">
        <v>920</v>
      </c>
      <c r="E1225" s="2223" t="s">
        <v>1924</v>
      </c>
      <c r="F1225" s="540">
        <v>1148</v>
      </c>
      <c r="G1225" s="411" t="s">
        <v>551</v>
      </c>
      <c r="H1225" s="2635">
        <v>19000</v>
      </c>
      <c r="I1225" s="2635"/>
      <c r="J1225" s="2635">
        <v>657.72</v>
      </c>
      <c r="K1225" s="2647"/>
      <c r="L1225" s="2604">
        <v>30600</v>
      </c>
      <c r="M1225" s="2604"/>
      <c r="N1225" s="335">
        <f>L1225/H1225-1</f>
        <v>0.61052631578947358</v>
      </c>
      <c r="O1225" s="86"/>
      <c r="P1225" s="1817" t="e">
        <f>INDEX(#REF!,MATCH(F1225,#REF!,0),2)</f>
        <v>#REF!</v>
      </c>
      <c r="Q1225" s="1779"/>
      <c r="R1225" s="1779"/>
      <c r="S1225" s="1779"/>
      <c r="T1225" s="1779"/>
      <c r="U1225" s="1779"/>
      <c r="V1225" s="1779"/>
      <c r="W1225" s="43"/>
      <c r="X1225" s="1779"/>
      <c r="Y1225" s="1779"/>
      <c r="Z1225" s="1779"/>
      <c r="AA1225" s="1779"/>
      <c r="AB1225" s="1779"/>
      <c r="AC1225" s="1779"/>
      <c r="AD1225" s="1779"/>
      <c r="AE1225" s="1779"/>
      <c r="AF1225" s="1779"/>
      <c r="AG1225" s="1779"/>
      <c r="AH1225" s="1779"/>
      <c r="AI1225" s="1779"/>
      <c r="AJ1225" s="1779"/>
      <c r="AK1225" s="1779"/>
      <c r="AL1225" s="1779"/>
      <c r="AM1225" s="1779"/>
      <c r="AN1225" s="1779"/>
      <c r="AO1225" s="1779"/>
      <c r="AP1225" s="1779"/>
      <c r="AQ1225" s="1779"/>
      <c r="AR1225" s="1779"/>
      <c r="AS1225" s="1779"/>
      <c r="AT1225" s="1779"/>
      <c r="AU1225" s="1779"/>
      <c r="AV1225" s="1779"/>
    </row>
    <row r="1226" spans="1:48" ht="45">
      <c r="A1226" s="412"/>
      <c r="B1226" s="412" t="s">
        <v>663</v>
      </c>
      <c r="C1226" s="412" t="s">
        <v>652</v>
      </c>
      <c r="D1226" s="1590"/>
      <c r="E1226" s="2224" t="s">
        <v>1924</v>
      </c>
      <c r="F1226" s="505">
        <v>1148</v>
      </c>
      <c r="G1226" s="2761" t="s">
        <v>3710</v>
      </c>
      <c r="H1226" s="2636"/>
      <c r="I1226" s="2636">
        <v>22000</v>
      </c>
      <c r="J1226" s="2636"/>
      <c r="K1226" s="2763"/>
      <c r="L1226" s="2592"/>
      <c r="M1226" s="2767">
        <v>30600</v>
      </c>
      <c r="N1226" s="286">
        <f>L1225-H1225</f>
        <v>11600</v>
      </c>
      <c r="O1226" s="86"/>
      <c r="P1226" s="1817" t="e">
        <f>INDEX(#REF!,MATCH(F1226,#REF!,0),2)</f>
        <v>#REF!</v>
      </c>
      <c r="Q1226" s="1779"/>
      <c r="R1226" s="1779"/>
      <c r="S1226" s="1779"/>
      <c r="T1226" s="1779"/>
      <c r="U1226" s="1779"/>
      <c r="V1226" s="1779"/>
      <c r="W1226" s="43"/>
      <c r="X1226" s="1779"/>
      <c r="Y1226" s="1779"/>
      <c r="Z1226" s="1779"/>
      <c r="AA1226" s="1779"/>
      <c r="AB1226" s="1779"/>
      <c r="AC1226" s="1779"/>
      <c r="AD1226" s="1779"/>
      <c r="AE1226" s="1779"/>
      <c r="AF1226" s="1779"/>
      <c r="AG1226" s="1779"/>
      <c r="AH1226" s="1779"/>
      <c r="AI1226" s="1779"/>
      <c r="AJ1226" s="1779"/>
      <c r="AK1226" s="1779"/>
      <c r="AL1226" s="1779"/>
      <c r="AM1226" s="1779"/>
      <c r="AN1226" s="1779"/>
      <c r="AO1226" s="1779"/>
      <c r="AP1226" s="1779"/>
      <c r="AQ1226" s="1779"/>
      <c r="AR1226" s="1779"/>
      <c r="AS1226" s="1779"/>
      <c r="AT1226" s="1779"/>
      <c r="AU1226" s="1779"/>
      <c r="AV1226" s="1779"/>
    </row>
    <row r="1227" spans="1:48">
      <c r="A1227" s="1465"/>
      <c r="B1227" s="1465" t="s">
        <v>663</v>
      </c>
      <c r="C1227" s="1465" t="s">
        <v>652</v>
      </c>
      <c r="D1227" s="1602"/>
      <c r="E1227" s="2265" t="s">
        <v>1924</v>
      </c>
      <c r="F1227" s="1527">
        <v>1148</v>
      </c>
      <c r="G1227" s="1536" t="s">
        <v>3298</v>
      </c>
      <c r="H1227" s="2636"/>
      <c r="I1227" s="2636">
        <v>-3000</v>
      </c>
      <c r="J1227" s="2636"/>
      <c r="K1227" s="2763"/>
      <c r="L1227" s="2594"/>
      <c r="M1227" s="2768"/>
      <c r="N1227" s="73"/>
      <c r="O1227" s="86"/>
      <c r="P1227" s="1817" t="e">
        <f>INDEX(#REF!,MATCH(F1227,#REF!,0),2)</f>
        <v>#REF!</v>
      </c>
      <c r="Q1227" s="1779"/>
      <c r="R1227" s="1779"/>
      <c r="S1227" s="1779"/>
      <c r="T1227" s="1779"/>
      <c r="U1227" s="1779"/>
      <c r="V1227" s="1779"/>
      <c r="W1227" s="43"/>
      <c r="X1227" s="1779"/>
      <c r="Y1227" s="1779"/>
      <c r="Z1227" s="1779"/>
      <c r="AA1227" s="1779"/>
      <c r="AB1227" s="1779"/>
      <c r="AC1227" s="1779"/>
      <c r="AD1227" s="1779"/>
      <c r="AE1227" s="1779"/>
      <c r="AF1227" s="1779"/>
      <c r="AG1227" s="1779"/>
      <c r="AH1227" s="1779"/>
      <c r="AI1227" s="1779"/>
      <c r="AJ1227" s="1779"/>
      <c r="AK1227" s="1779"/>
      <c r="AL1227" s="1779"/>
      <c r="AM1227" s="1779"/>
      <c r="AN1227" s="1779"/>
      <c r="AO1227" s="1779"/>
      <c r="AP1227" s="1779"/>
      <c r="AQ1227" s="1779"/>
      <c r="AR1227" s="1779"/>
      <c r="AS1227" s="1779"/>
      <c r="AT1227" s="1779"/>
      <c r="AU1227" s="1779"/>
      <c r="AV1227" s="1779"/>
    </row>
    <row r="1228" spans="1:48" ht="45">
      <c r="A1228" s="506"/>
      <c r="B1228" s="506" t="s">
        <v>1248</v>
      </c>
      <c r="C1228" s="506" t="s">
        <v>652</v>
      </c>
      <c r="D1228" s="1589">
        <v>920</v>
      </c>
      <c r="E1228" s="2223" t="s">
        <v>1924</v>
      </c>
      <c r="F1228" s="540">
        <v>1150</v>
      </c>
      <c r="G1228" s="411" t="s">
        <v>1181</v>
      </c>
      <c r="H1228" s="2635">
        <v>2225</v>
      </c>
      <c r="I1228" s="2635"/>
      <c r="J1228" s="2635"/>
      <c r="K1228" s="2647"/>
      <c r="L1228" s="2604">
        <v>2225</v>
      </c>
      <c r="M1228" s="2604"/>
      <c r="N1228" s="73"/>
      <c r="O1228" s="86"/>
      <c r="P1228" s="1817" t="e">
        <f>INDEX(#REF!,MATCH(F1228,#REF!,0),2)</f>
        <v>#REF!</v>
      </c>
      <c r="Q1228" s="43"/>
      <c r="R1228" s="43"/>
      <c r="S1228" s="43"/>
      <c r="T1228" s="43"/>
      <c r="U1228" s="43"/>
      <c r="V1228" s="43"/>
      <c r="W1228" s="43"/>
      <c r="X1228" s="43"/>
      <c r="Y1228" s="43"/>
      <c r="Z1228" s="43"/>
      <c r="AA1228" s="43"/>
      <c r="AB1228" s="43"/>
      <c r="AC1228" s="43"/>
      <c r="AD1228" s="43"/>
      <c r="AE1228" s="43"/>
      <c r="AF1228" s="43"/>
      <c r="AG1228" s="43"/>
      <c r="AH1228" s="43"/>
      <c r="AI1228" s="43"/>
      <c r="AJ1228" s="43"/>
      <c r="AK1228" s="43"/>
      <c r="AL1228" s="43"/>
      <c r="AM1228" s="43"/>
      <c r="AN1228" s="43"/>
      <c r="AO1228" s="43"/>
      <c r="AP1228" s="43"/>
      <c r="AQ1228" s="43"/>
      <c r="AR1228" s="43"/>
      <c r="AS1228" s="43"/>
      <c r="AT1228" s="43"/>
      <c r="AU1228" s="43"/>
    </row>
    <row r="1229" spans="1:48">
      <c r="A1229" s="412"/>
      <c r="B1229" s="412" t="s">
        <v>1248</v>
      </c>
      <c r="C1229" s="412" t="s">
        <v>652</v>
      </c>
      <c r="D1229" s="1590"/>
      <c r="E1229" s="2224" t="s">
        <v>1924</v>
      </c>
      <c r="F1229" s="505">
        <v>1150</v>
      </c>
      <c r="G1229" s="416"/>
      <c r="H1229" s="2636"/>
      <c r="I1229" s="2636">
        <v>2225</v>
      </c>
      <c r="J1229" s="2636"/>
      <c r="K1229" s="2763"/>
      <c r="L1229" s="2592"/>
      <c r="M1229" s="2767">
        <v>2225</v>
      </c>
      <c r="N1229" s="73"/>
      <c r="O1229" s="86"/>
      <c r="P1229" s="1817" t="e">
        <f>INDEX(#REF!,MATCH(F1229,#REF!,0),2)</f>
        <v>#REF!</v>
      </c>
      <c r="Q1229" s="1779"/>
      <c r="R1229" s="1779"/>
      <c r="S1229" s="1779"/>
      <c r="T1229" s="1779"/>
      <c r="U1229" s="1779"/>
      <c r="V1229" s="1779"/>
      <c r="W1229" s="43"/>
      <c r="X1229" s="1779"/>
      <c r="Y1229" s="1779"/>
      <c r="Z1229" s="1779"/>
      <c r="AA1229" s="1779"/>
      <c r="AB1229" s="1779"/>
      <c r="AC1229" s="1779"/>
      <c r="AD1229" s="1779"/>
      <c r="AE1229" s="1779"/>
      <c r="AF1229" s="1779"/>
      <c r="AG1229" s="1779"/>
      <c r="AH1229" s="1779"/>
      <c r="AI1229" s="1779"/>
      <c r="AJ1229" s="1779"/>
      <c r="AK1229" s="1779"/>
      <c r="AL1229" s="1779"/>
      <c r="AM1229" s="1779"/>
      <c r="AN1229" s="1779"/>
      <c r="AO1229" s="1779"/>
      <c r="AP1229" s="1779"/>
      <c r="AQ1229" s="1779"/>
      <c r="AR1229" s="1779"/>
      <c r="AS1229" s="1779"/>
      <c r="AT1229" s="1779"/>
      <c r="AU1229" s="1779"/>
      <c r="AV1229" s="1779"/>
    </row>
    <row r="1230" spans="1:48">
      <c r="A1230" s="506"/>
      <c r="B1230" s="506" t="s">
        <v>663</v>
      </c>
      <c r="C1230" s="506" t="s">
        <v>652</v>
      </c>
      <c r="D1230" s="1589">
        <v>920</v>
      </c>
      <c r="E1230" s="2223" t="s">
        <v>1924</v>
      </c>
      <c r="F1230" s="540">
        <v>1210</v>
      </c>
      <c r="G1230" s="411" t="s">
        <v>228</v>
      </c>
      <c r="H1230" s="2635">
        <v>154566.79930603207</v>
      </c>
      <c r="I1230" s="2635"/>
      <c r="J1230" s="2635">
        <v>103792.45</v>
      </c>
      <c r="K1230" s="2647"/>
      <c r="L1230" s="4074">
        <v>192664.458498288</v>
      </c>
      <c r="M1230" s="4074"/>
      <c r="N1230" s="335">
        <f>L1230/H1230-1</f>
        <v>0.2464802231999712</v>
      </c>
      <c r="O1230" s="86"/>
      <c r="P1230" s="1817" t="e">
        <f>INDEX(#REF!,MATCH(F1230,#REF!,0),2)</f>
        <v>#REF!</v>
      </c>
      <c r="Q1230" s="43"/>
      <c r="R1230" s="43"/>
      <c r="S1230" s="43"/>
      <c r="T1230" s="43"/>
      <c r="U1230" s="43"/>
      <c r="V1230" s="43"/>
      <c r="W1230" s="43"/>
      <c r="X1230" s="43"/>
      <c r="Y1230" s="43"/>
      <c r="Z1230" s="43"/>
      <c r="AA1230" s="43"/>
      <c r="AB1230" s="43"/>
      <c r="AC1230" s="43"/>
      <c r="AD1230" s="43"/>
      <c r="AE1230" s="43"/>
      <c r="AF1230" s="43"/>
      <c r="AG1230" s="43"/>
      <c r="AH1230" s="43"/>
      <c r="AI1230" s="43"/>
      <c r="AJ1230" s="43"/>
      <c r="AK1230" s="43"/>
      <c r="AL1230" s="43"/>
      <c r="AM1230" s="43"/>
      <c r="AN1230" s="43"/>
      <c r="AO1230" s="43"/>
      <c r="AP1230" s="43"/>
      <c r="AQ1230" s="43"/>
      <c r="AR1230" s="43"/>
      <c r="AS1230" s="43"/>
      <c r="AT1230" s="43"/>
      <c r="AU1230" s="43"/>
    </row>
    <row r="1231" spans="1:48">
      <c r="A1231" s="412"/>
      <c r="B1231" s="412" t="s">
        <v>663</v>
      </c>
      <c r="C1231" s="412" t="s">
        <v>652</v>
      </c>
      <c r="D1231" s="1590"/>
      <c r="E1231" s="2224" t="s">
        <v>1924</v>
      </c>
      <c r="F1231" s="505">
        <v>1210</v>
      </c>
      <c r="G1231" s="514" t="s">
        <v>663</v>
      </c>
      <c r="H1231" s="2636"/>
      <c r="I1231" s="2636">
        <v>153156.94090603208</v>
      </c>
      <c r="J1231" s="2636"/>
      <c r="K1231" s="2763"/>
      <c r="L1231" s="2651"/>
      <c r="M1231" s="2651">
        <v>192664.458498288</v>
      </c>
      <c r="N1231" s="73"/>
      <c r="O1231" s="86"/>
      <c r="P1231" s="1817" t="e">
        <f>INDEX(#REF!,MATCH(F1231,#REF!,0),2)</f>
        <v>#REF!</v>
      </c>
      <c r="Q1231" s="43"/>
      <c r="R1231" s="43"/>
      <c r="S1231" s="43"/>
      <c r="T1231" s="43"/>
      <c r="U1231" s="43"/>
      <c r="V1231" s="43"/>
      <c r="W1231" s="43"/>
      <c r="X1231" s="43"/>
      <c r="Y1231" s="43"/>
      <c r="Z1231" s="43"/>
      <c r="AA1231" s="43"/>
      <c r="AB1231" s="43"/>
      <c r="AC1231" s="43"/>
      <c r="AD1231" s="43"/>
      <c r="AE1231" s="43"/>
      <c r="AF1231" s="43"/>
      <c r="AG1231" s="43"/>
      <c r="AH1231" s="43"/>
      <c r="AI1231" s="43"/>
      <c r="AJ1231" s="43"/>
      <c r="AK1231" s="43"/>
      <c r="AL1231" s="43"/>
      <c r="AM1231" s="43"/>
      <c r="AN1231" s="43"/>
      <c r="AO1231" s="43"/>
      <c r="AP1231" s="43"/>
      <c r="AQ1231" s="43"/>
      <c r="AR1231" s="43"/>
      <c r="AS1231" s="43"/>
      <c r="AT1231" s="43"/>
      <c r="AU1231" s="43"/>
      <c r="AV1231" s="43"/>
    </row>
    <row r="1232" spans="1:48" ht="22.5">
      <c r="A1232" s="1882"/>
      <c r="B1232" s="412" t="s">
        <v>663</v>
      </c>
      <c r="C1232" s="412" t="s">
        <v>652</v>
      </c>
      <c r="D1232" s="1590"/>
      <c r="E1232" s="2224" t="s">
        <v>1924</v>
      </c>
      <c r="F1232" s="505">
        <v>1210</v>
      </c>
      <c r="G1232" s="1899" t="s">
        <v>2657</v>
      </c>
      <c r="H1232" s="2636"/>
      <c r="I1232" s="2636">
        <v>3013.8584000000001</v>
      </c>
      <c r="J1232" s="2636"/>
      <c r="K1232" s="2763"/>
      <c r="L1232" s="2651"/>
      <c r="M1232" s="2651">
        <v>0</v>
      </c>
      <c r="N1232" s="73"/>
      <c r="O1232" s="86"/>
      <c r="P1232" s="1817" t="e">
        <f>INDEX(#REF!,MATCH(F1232,#REF!,0),2)</f>
        <v>#REF!</v>
      </c>
      <c r="Q1232" s="1779"/>
      <c r="R1232" s="1779"/>
      <c r="S1232" s="1779"/>
      <c r="T1232" s="1779"/>
      <c r="U1232" s="1779"/>
      <c r="V1232" s="1779"/>
      <c r="W1232" s="43"/>
      <c r="X1232" s="1779"/>
      <c r="Y1232" s="1779"/>
      <c r="Z1232" s="1779"/>
      <c r="AA1232" s="1779"/>
      <c r="AB1232" s="1779"/>
      <c r="AC1232" s="1779"/>
      <c r="AD1232" s="1779"/>
      <c r="AE1232" s="1779"/>
      <c r="AF1232" s="1779"/>
      <c r="AG1232" s="1779"/>
      <c r="AH1232" s="1779"/>
      <c r="AI1232" s="1779"/>
      <c r="AJ1232" s="1779"/>
      <c r="AK1232" s="1779"/>
      <c r="AL1232" s="1779"/>
      <c r="AM1232" s="1779"/>
      <c r="AN1232" s="1779"/>
      <c r="AO1232" s="1779"/>
      <c r="AP1232" s="1779"/>
      <c r="AQ1232" s="1779"/>
      <c r="AR1232" s="1779"/>
      <c r="AS1232" s="1779"/>
      <c r="AT1232" s="1779"/>
      <c r="AU1232" s="1779"/>
      <c r="AV1232" s="1779"/>
    </row>
    <row r="1233" spans="1:48" ht="11.45" customHeight="1">
      <c r="A1233" s="412"/>
      <c r="B1233" s="412" t="s">
        <v>663</v>
      </c>
      <c r="C1233" s="412" t="s">
        <v>652</v>
      </c>
      <c r="D1233" s="1590"/>
      <c r="E1233" s="2224" t="s">
        <v>1924</v>
      </c>
      <c r="F1233" s="505">
        <v>1210</v>
      </c>
      <c r="G1233" s="514" t="s">
        <v>3201</v>
      </c>
      <c r="H1233" s="2636"/>
      <c r="I1233" s="2636">
        <v>-1604</v>
      </c>
      <c r="J1233" s="2636"/>
      <c r="K1233" s="2763"/>
      <c r="L1233" s="2651"/>
      <c r="M1233" s="2651"/>
      <c r="N1233" s="73"/>
      <c r="O1233" s="86"/>
      <c r="P1233" s="1817" t="e">
        <f>INDEX(#REF!,MATCH(F1233,#REF!,0),2)</f>
        <v>#REF!</v>
      </c>
      <c r="Q1233" s="1779"/>
      <c r="R1233" s="1779"/>
      <c r="S1233" s="1779"/>
      <c r="T1233" s="1779"/>
      <c r="U1233" s="1779"/>
      <c r="V1233" s="1779"/>
      <c r="W1233" s="43"/>
      <c r="X1233" s="1779"/>
      <c r="Y1233" s="1779"/>
      <c r="Z1233" s="1779"/>
      <c r="AA1233" s="1779"/>
      <c r="AB1233" s="1779"/>
      <c r="AC1233" s="1779"/>
      <c r="AD1233" s="1779"/>
      <c r="AE1233" s="1779"/>
      <c r="AF1233" s="1779"/>
      <c r="AG1233" s="1779"/>
      <c r="AH1233" s="1779"/>
      <c r="AI1233" s="1779"/>
      <c r="AJ1233" s="1779"/>
      <c r="AK1233" s="1779"/>
      <c r="AL1233" s="1779"/>
      <c r="AM1233" s="1779"/>
      <c r="AN1233" s="1779"/>
      <c r="AO1233" s="1779"/>
      <c r="AP1233" s="1779"/>
      <c r="AQ1233" s="1779"/>
      <c r="AR1233" s="1779"/>
      <c r="AS1233" s="1779"/>
      <c r="AT1233" s="1779"/>
      <c r="AU1233" s="1779"/>
      <c r="AV1233" s="1779"/>
    </row>
    <row r="1234" spans="1:48" ht="11.45" customHeight="1">
      <c r="A1234" s="506"/>
      <c r="B1234" s="506" t="s">
        <v>512</v>
      </c>
      <c r="C1234" s="506" t="s">
        <v>506</v>
      </c>
      <c r="D1234" s="1589">
        <v>920</v>
      </c>
      <c r="E1234" s="2223" t="s">
        <v>1923</v>
      </c>
      <c r="F1234" s="540">
        <v>1210</v>
      </c>
      <c r="G1234" s="411" t="s">
        <v>367</v>
      </c>
      <c r="H1234" s="2764">
        <v>19745.639440000003</v>
      </c>
      <c r="I1234" s="2635"/>
      <c r="J1234" s="2635"/>
      <c r="K1234" s="2647"/>
      <c r="L1234" s="2765">
        <v>25692.584080000004</v>
      </c>
      <c r="M1234" s="2606"/>
      <c r="N1234" s="73"/>
      <c r="O1234" s="86"/>
      <c r="P1234" s="1817" t="e">
        <f>INDEX(#REF!,MATCH(F1234,#REF!,0),2)</f>
        <v>#REF!</v>
      </c>
      <c r="Q1234" s="43"/>
      <c r="R1234" s="43"/>
      <c r="S1234" s="43"/>
      <c r="T1234" s="43"/>
      <c r="U1234" s="43"/>
      <c r="V1234" s="43"/>
      <c r="W1234" s="43"/>
      <c r="X1234" s="43"/>
      <c r="Y1234" s="43"/>
      <c r="Z1234" s="43"/>
      <c r="AA1234" s="43"/>
      <c r="AB1234" s="43"/>
      <c r="AC1234" s="43"/>
      <c r="AD1234" s="43"/>
      <c r="AE1234" s="43"/>
      <c r="AF1234" s="43"/>
      <c r="AG1234" s="43"/>
      <c r="AH1234" s="43"/>
      <c r="AI1234" s="43"/>
      <c r="AJ1234" s="43"/>
      <c r="AK1234" s="43"/>
      <c r="AL1234" s="43"/>
      <c r="AM1234" s="43"/>
      <c r="AN1234" s="43"/>
      <c r="AO1234" s="43"/>
      <c r="AP1234" s="43"/>
      <c r="AQ1234" s="43"/>
      <c r="AR1234" s="43"/>
      <c r="AS1234" s="43"/>
      <c r="AT1234" s="43"/>
      <c r="AU1234" s="43"/>
      <c r="AV1234" s="43"/>
    </row>
    <row r="1235" spans="1:48">
      <c r="A1235" s="412"/>
      <c r="B1235" s="412" t="s">
        <v>512</v>
      </c>
      <c r="C1235" s="412" t="s">
        <v>506</v>
      </c>
      <c r="D1235" s="1590"/>
      <c r="E1235" s="2224" t="s">
        <v>1923</v>
      </c>
      <c r="F1235" s="505">
        <v>1210</v>
      </c>
      <c r="G1235" s="514" t="s">
        <v>512</v>
      </c>
      <c r="H1235" s="2636"/>
      <c r="I1235" s="2636">
        <v>19745.639440000003</v>
      </c>
      <c r="J1235" s="2636"/>
      <c r="K1235" s="2763"/>
      <c r="L1235" s="2594"/>
      <c r="M1235" s="2594">
        <v>25692.584080000004</v>
      </c>
      <c r="N1235" s="73"/>
      <c r="O1235" s="86"/>
      <c r="P1235" s="1817" t="e">
        <f>INDEX(#REF!,MATCH(F1235,#REF!,0),2)</f>
        <v>#REF!</v>
      </c>
      <c r="Q1235" s="1779"/>
      <c r="R1235" s="1779"/>
      <c r="S1235" s="1779"/>
      <c r="T1235" s="1779"/>
      <c r="U1235" s="1779"/>
      <c r="V1235" s="1779"/>
      <c r="W1235" s="43"/>
      <c r="X1235" s="1779"/>
      <c r="Y1235" s="1779"/>
      <c r="Z1235" s="1779"/>
      <c r="AA1235" s="1779"/>
      <c r="AB1235" s="1779"/>
      <c r="AC1235" s="1779"/>
      <c r="AD1235" s="1779"/>
      <c r="AE1235" s="1779"/>
      <c r="AF1235" s="1779"/>
      <c r="AG1235" s="1779"/>
      <c r="AH1235" s="1779"/>
      <c r="AI1235" s="1779"/>
      <c r="AJ1235" s="1779"/>
      <c r="AK1235" s="1779"/>
      <c r="AL1235" s="1779"/>
      <c r="AM1235" s="1779"/>
      <c r="AN1235" s="1779"/>
      <c r="AO1235" s="1779"/>
      <c r="AP1235" s="1779"/>
      <c r="AQ1235" s="1779"/>
      <c r="AR1235" s="1779"/>
      <c r="AS1235" s="1779"/>
      <c r="AT1235" s="1779"/>
      <c r="AU1235" s="1779"/>
      <c r="AV1235" s="1779"/>
    </row>
    <row r="1236" spans="1:48">
      <c r="A1236" s="506"/>
      <c r="B1236" s="506" t="s">
        <v>663</v>
      </c>
      <c r="C1236" s="506" t="s">
        <v>652</v>
      </c>
      <c r="D1236" s="1589">
        <v>920</v>
      </c>
      <c r="E1236" s="2223" t="s">
        <v>1924</v>
      </c>
      <c r="F1236" s="540">
        <v>1221</v>
      </c>
      <c r="G1236" s="411" t="s">
        <v>683</v>
      </c>
      <c r="H1236" s="2635">
        <v>31016.492730767997</v>
      </c>
      <c r="I1236" s="2635"/>
      <c r="J1236" s="2635">
        <v>36132.699999999997</v>
      </c>
      <c r="K1236" s="2647"/>
      <c r="L1236" s="4074">
        <v>35287.988712912018</v>
      </c>
      <c r="M1236" s="4074"/>
      <c r="N1236" s="335">
        <f>L1236/H1236-1</f>
        <v>0.13771692432222515</v>
      </c>
      <c r="O1236" s="86"/>
      <c r="P1236" s="1817" t="e">
        <f>INDEX(#REF!,MATCH(F1236,#REF!,0),2)</f>
        <v>#REF!</v>
      </c>
      <c r="Q1236" s="1779"/>
      <c r="R1236" s="1779"/>
      <c r="S1236" s="1779"/>
      <c r="T1236" s="1779"/>
      <c r="U1236" s="1779"/>
      <c r="V1236" s="1779"/>
      <c r="W1236" s="43"/>
      <c r="X1236" s="1779"/>
      <c r="Y1236" s="1779"/>
      <c r="Z1236" s="1779"/>
      <c r="AA1236" s="1779"/>
      <c r="AB1236" s="1779"/>
      <c r="AC1236" s="1779"/>
      <c r="AD1236" s="1779"/>
      <c r="AE1236" s="1779"/>
      <c r="AF1236" s="1779"/>
      <c r="AG1236" s="1779"/>
      <c r="AH1236" s="1779"/>
      <c r="AI1236" s="1779"/>
      <c r="AJ1236" s="1779"/>
      <c r="AK1236" s="1779"/>
      <c r="AL1236" s="1779"/>
      <c r="AM1236" s="1779"/>
      <c r="AN1236" s="1779"/>
      <c r="AO1236" s="1779"/>
      <c r="AP1236" s="1779"/>
      <c r="AQ1236" s="1779"/>
      <c r="AR1236" s="1779"/>
      <c r="AS1236" s="1779"/>
      <c r="AT1236" s="1779"/>
      <c r="AU1236" s="1779"/>
      <c r="AV1236" s="1779"/>
    </row>
    <row r="1237" spans="1:48">
      <c r="A1237" s="412"/>
      <c r="B1237" s="412" t="s">
        <v>663</v>
      </c>
      <c r="C1237" s="412" t="s">
        <v>652</v>
      </c>
      <c r="D1237" s="1590"/>
      <c r="E1237" s="2224" t="s">
        <v>1924</v>
      </c>
      <c r="F1237" s="505">
        <v>1221</v>
      </c>
      <c r="G1237" s="514" t="s">
        <v>663</v>
      </c>
      <c r="H1237" s="2636"/>
      <c r="I1237" s="2636">
        <v>28016.492730767997</v>
      </c>
      <c r="J1237" s="2636"/>
      <c r="K1237" s="2763"/>
      <c r="L1237" s="2651"/>
      <c r="M1237" s="2651">
        <v>35287.988712912018</v>
      </c>
      <c r="N1237" s="73"/>
      <c r="O1237" s="86"/>
      <c r="P1237" s="1817" t="e">
        <f>INDEX(#REF!,MATCH(F1237,#REF!,0),2)</f>
        <v>#REF!</v>
      </c>
      <c r="Q1237" s="1779"/>
      <c r="R1237" s="1779"/>
      <c r="S1237" s="1779"/>
      <c r="T1237" s="1779"/>
      <c r="U1237" s="1779"/>
      <c r="V1237" s="1779"/>
      <c r="W1237" s="43"/>
      <c r="X1237" s="1779"/>
      <c r="Y1237" s="1779"/>
      <c r="Z1237" s="1779"/>
      <c r="AA1237" s="1779"/>
      <c r="AB1237" s="1779"/>
      <c r="AC1237" s="1779"/>
      <c r="AD1237" s="1779"/>
      <c r="AE1237" s="1779"/>
      <c r="AF1237" s="1779"/>
      <c r="AG1237" s="1779"/>
      <c r="AH1237" s="1779"/>
      <c r="AI1237" s="1779"/>
      <c r="AJ1237" s="1779"/>
      <c r="AK1237" s="1779"/>
      <c r="AL1237" s="1779"/>
      <c r="AM1237" s="1779"/>
      <c r="AN1237" s="1779"/>
      <c r="AO1237" s="1779"/>
      <c r="AP1237" s="1779"/>
      <c r="AQ1237" s="1779"/>
      <c r="AR1237" s="1779"/>
      <c r="AS1237" s="1779"/>
      <c r="AT1237" s="1779"/>
      <c r="AU1237" s="1779"/>
      <c r="AV1237" s="1779"/>
    </row>
    <row r="1238" spans="1:48" ht="11.45" customHeight="1">
      <c r="A1238" s="412"/>
      <c r="B1238" s="412" t="s">
        <v>663</v>
      </c>
      <c r="C1238" s="412" t="s">
        <v>652</v>
      </c>
      <c r="D1238" s="1590"/>
      <c r="E1238" s="2224" t="s">
        <v>1924</v>
      </c>
      <c r="F1238" s="505">
        <v>1221</v>
      </c>
      <c r="G1238" s="1348" t="s">
        <v>3298</v>
      </c>
      <c r="H1238" s="2636"/>
      <c r="I1238" s="2636">
        <v>3000</v>
      </c>
      <c r="J1238" s="2636"/>
      <c r="K1238" s="2763"/>
      <c r="L1238" s="2651"/>
      <c r="M1238" s="2651"/>
      <c r="N1238" s="73"/>
      <c r="O1238" s="86"/>
      <c r="P1238" s="1817" t="e">
        <f>INDEX(#REF!,MATCH(F1238,#REF!,0),2)</f>
        <v>#REF!</v>
      </c>
      <c r="Q1238" s="1779"/>
      <c r="R1238" s="1779"/>
      <c r="S1238" s="1779"/>
      <c r="T1238" s="1779"/>
      <c r="U1238" s="1779"/>
      <c r="V1238" s="1779"/>
      <c r="W1238" s="43"/>
      <c r="X1238" s="1779"/>
      <c r="Y1238" s="1779"/>
      <c r="Z1238" s="1779"/>
      <c r="AA1238" s="1779"/>
      <c r="AB1238" s="1779"/>
      <c r="AC1238" s="1779"/>
      <c r="AD1238" s="1779"/>
      <c r="AE1238" s="1779"/>
      <c r="AF1238" s="1779"/>
      <c r="AG1238" s="1779"/>
      <c r="AH1238" s="1779"/>
      <c r="AI1238" s="1779"/>
      <c r="AJ1238" s="1779"/>
      <c r="AK1238" s="1779"/>
      <c r="AL1238" s="1779"/>
      <c r="AM1238" s="1779"/>
      <c r="AN1238" s="1779"/>
      <c r="AO1238" s="1779"/>
      <c r="AP1238" s="1779"/>
      <c r="AQ1238" s="1779"/>
      <c r="AR1238" s="1779"/>
      <c r="AS1238" s="1779"/>
      <c r="AT1238" s="1779"/>
      <c r="AU1238" s="1779"/>
      <c r="AV1238" s="1779"/>
    </row>
    <row r="1239" spans="1:48" ht="11.45" customHeight="1">
      <c r="A1239" s="506"/>
      <c r="B1239" s="506" t="s">
        <v>512</v>
      </c>
      <c r="C1239" s="506" t="s">
        <v>506</v>
      </c>
      <c r="D1239" s="1589">
        <v>920</v>
      </c>
      <c r="E1239" s="2223" t="s">
        <v>1923</v>
      </c>
      <c r="F1239" s="540">
        <v>1221</v>
      </c>
      <c r="G1239" s="411" t="s">
        <v>684</v>
      </c>
      <c r="H1239" s="2764">
        <v>2000</v>
      </c>
      <c r="I1239" s="2635"/>
      <c r="J1239" s="2635"/>
      <c r="K1239" s="2647"/>
      <c r="L1239" s="2769">
        <v>2000</v>
      </c>
      <c r="M1239" s="2604"/>
      <c r="N1239" s="73"/>
      <c r="O1239" s="86"/>
      <c r="P1239" s="1817" t="e">
        <f>INDEX(#REF!,MATCH(F1239,#REF!,0),2)</f>
        <v>#REF!</v>
      </c>
      <c r="Q1239" s="1779"/>
      <c r="R1239" s="1779"/>
      <c r="S1239" s="1779"/>
      <c r="T1239" s="1779"/>
      <c r="U1239" s="1779"/>
      <c r="V1239" s="1779"/>
      <c r="W1239" s="43"/>
      <c r="X1239" s="1779"/>
      <c r="Y1239" s="1779"/>
      <c r="Z1239" s="1779"/>
      <c r="AA1239" s="1779"/>
      <c r="AB1239" s="1779"/>
      <c r="AC1239" s="1779"/>
      <c r="AD1239" s="1779"/>
      <c r="AE1239" s="1779"/>
      <c r="AF1239" s="1779"/>
      <c r="AG1239" s="1779"/>
      <c r="AH1239" s="1779"/>
      <c r="AI1239" s="1779"/>
      <c r="AJ1239" s="1779"/>
      <c r="AK1239" s="1779"/>
      <c r="AL1239" s="1779"/>
      <c r="AM1239" s="1779"/>
      <c r="AN1239" s="1779"/>
      <c r="AO1239" s="1779"/>
      <c r="AP1239" s="1779"/>
      <c r="AQ1239" s="1779"/>
      <c r="AR1239" s="1779"/>
      <c r="AS1239" s="1779"/>
      <c r="AT1239" s="1779"/>
      <c r="AU1239" s="1779"/>
      <c r="AV1239" s="1779"/>
    </row>
    <row r="1240" spans="1:48">
      <c r="A1240" s="412"/>
      <c r="B1240" s="412" t="s">
        <v>512</v>
      </c>
      <c r="C1240" s="412" t="s">
        <v>506</v>
      </c>
      <c r="D1240" s="1590"/>
      <c r="E1240" s="2224" t="s">
        <v>1923</v>
      </c>
      <c r="F1240" s="505">
        <v>1221</v>
      </c>
      <c r="G1240" s="416" t="s">
        <v>1216</v>
      </c>
      <c r="H1240" s="2636"/>
      <c r="I1240" s="2636">
        <v>2000</v>
      </c>
      <c r="J1240" s="2636"/>
      <c r="K1240" s="2647"/>
      <c r="L1240" s="2592"/>
      <c r="M1240" s="2592">
        <v>2000</v>
      </c>
      <c r="N1240" s="73"/>
      <c r="O1240" s="86"/>
      <c r="P1240" s="1817" t="e">
        <f>INDEX(#REF!,MATCH(F1240,#REF!,0),2)</f>
        <v>#REF!</v>
      </c>
      <c r="Q1240" s="1779"/>
      <c r="R1240" s="1779"/>
      <c r="S1240" s="1779"/>
      <c r="T1240" s="1779"/>
      <c r="U1240" s="1779"/>
      <c r="V1240" s="1779"/>
      <c r="W1240" s="43"/>
      <c r="X1240" s="1779"/>
      <c r="Y1240" s="1779"/>
      <c r="Z1240" s="1779"/>
      <c r="AA1240" s="1779"/>
      <c r="AB1240" s="1779"/>
      <c r="AC1240" s="1779"/>
      <c r="AD1240" s="1779"/>
      <c r="AE1240" s="1779"/>
      <c r="AF1240" s="1779"/>
      <c r="AG1240" s="1779"/>
      <c r="AH1240" s="1779"/>
      <c r="AI1240" s="1779"/>
      <c r="AJ1240" s="1779"/>
      <c r="AK1240" s="1779"/>
      <c r="AL1240" s="1779"/>
      <c r="AM1240" s="1779"/>
      <c r="AN1240" s="1779"/>
      <c r="AO1240" s="1779"/>
      <c r="AP1240" s="1779"/>
      <c r="AQ1240" s="1779"/>
      <c r="AR1240" s="1779"/>
      <c r="AS1240" s="1779"/>
      <c r="AT1240" s="1779"/>
      <c r="AU1240" s="1779"/>
      <c r="AV1240" s="1779"/>
    </row>
    <row r="1241" spans="1:48">
      <c r="A1241" s="506"/>
      <c r="B1241" s="506" t="s">
        <v>663</v>
      </c>
      <c r="C1241" s="506" t="s">
        <v>652</v>
      </c>
      <c r="D1241" s="1589">
        <v>920</v>
      </c>
      <c r="E1241" s="2223" t="s">
        <v>1924</v>
      </c>
      <c r="F1241" s="540">
        <v>1223</v>
      </c>
      <c r="G1241" s="411" t="s">
        <v>1576</v>
      </c>
      <c r="H1241" s="2635">
        <v>8000</v>
      </c>
      <c r="I1241" s="2635"/>
      <c r="J1241" s="2635"/>
      <c r="K1241" s="2647"/>
      <c r="L1241" s="2604">
        <v>8000</v>
      </c>
      <c r="M1241" s="2604"/>
      <c r="N1241" s="335">
        <f>L1241/H1241-1</f>
        <v>0</v>
      </c>
      <c r="O1241" s="86"/>
      <c r="P1241" s="1817" t="e">
        <f>INDEX(#REF!,MATCH(F1241,#REF!,0),2)</f>
        <v>#REF!</v>
      </c>
      <c r="Q1241" s="1779"/>
      <c r="R1241" s="1779"/>
      <c r="S1241" s="1779"/>
      <c r="T1241" s="1779"/>
      <c r="U1241" s="1779"/>
      <c r="V1241" s="1779"/>
      <c r="W1241" s="43"/>
      <c r="X1241" s="1779"/>
      <c r="Y1241" s="1779"/>
      <c r="Z1241" s="1779"/>
      <c r="AA1241" s="1779"/>
      <c r="AB1241" s="1779"/>
      <c r="AC1241" s="1779"/>
      <c r="AD1241" s="1779"/>
      <c r="AE1241" s="1779"/>
      <c r="AF1241" s="1779"/>
      <c r="AG1241" s="1779"/>
      <c r="AH1241" s="1779"/>
      <c r="AI1241" s="1779"/>
      <c r="AJ1241" s="1779"/>
      <c r="AK1241" s="1779"/>
      <c r="AL1241" s="1779"/>
      <c r="AM1241" s="1779"/>
      <c r="AN1241" s="1779"/>
      <c r="AO1241" s="1779"/>
      <c r="AP1241" s="1779"/>
      <c r="AQ1241" s="1779"/>
      <c r="AR1241" s="1779"/>
      <c r="AS1241" s="1779"/>
      <c r="AT1241" s="1779"/>
      <c r="AU1241" s="1779"/>
      <c r="AV1241" s="1779"/>
    </row>
    <row r="1242" spans="1:48" ht="22.5">
      <c r="A1242" s="412"/>
      <c r="B1242" s="412" t="s">
        <v>663</v>
      </c>
      <c r="C1242" s="412" t="s">
        <v>652</v>
      </c>
      <c r="D1242" s="1590"/>
      <c r="E1242" s="2224" t="s">
        <v>1924</v>
      </c>
      <c r="F1242" s="505">
        <v>1223</v>
      </c>
      <c r="G1242" s="2762" t="s">
        <v>2450</v>
      </c>
      <c r="H1242" s="2636"/>
      <c r="I1242" s="2636">
        <v>8000</v>
      </c>
      <c r="J1242" s="2636"/>
      <c r="K1242" s="2763"/>
      <c r="L1242" s="2592"/>
      <c r="M1242" s="2592">
        <v>8000</v>
      </c>
      <c r="N1242" s="73"/>
      <c r="O1242" s="86"/>
      <c r="P1242" s="1817" t="e">
        <f>INDEX(#REF!,MATCH(F1242,#REF!,0),2)</f>
        <v>#REF!</v>
      </c>
      <c r="Q1242" s="1779"/>
      <c r="R1242" s="1779"/>
      <c r="S1242" s="1779"/>
      <c r="T1242" s="1779"/>
      <c r="U1242" s="1779"/>
      <c r="V1242" s="1779"/>
      <c r="W1242" s="43"/>
      <c r="X1242" s="1779"/>
      <c r="Y1242" s="1779"/>
      <c r="Z1242" s="1779"/>
      <c r="AA1242" s="1779"/>
      <c r="AB1242" s="1779"/>
      <c r="AC1242" s="1779"/>
      <c r="AD1242" s="1779"/>
      <c r="AE1242" s="1779"/>
      <c r="AF1242" s="1779"/>
      <c r="AG1242" s="1779"/>
      <c r="AH1242" s="1779"/>
      <c r="AI1242" s="1779"/>
      <c r="AJ1242" s="1779"/>
      <c r="AK1242" s="1779"/>
      <c r="AL1242" s="1779"/>
      <c r="AM1242" s="1779"/>
      <c r="AN1242" s="1779"/>
      <c r="AO1242" s="1779"/>
      <c r="AP1242" s="1779"/>
      <c r="AQ1242" s="1779"/>
      <c r="AR1242" s="1779"/>
      <c r="AS1242" s="1779"/>
      <c r="AT1242" s="1779"/>
      <c r="AU1242" s="1779"/>
      <c r="AV1242" s="1779"/>
    </row>
    <row r="1243" spans="1:48" ht="33.75">
      <c r="A1243" s="506"/>
      <c r="B1243" s="506" t="s">
        <v>663</v>
      </c>
      <c r="C1243" s="506" t="s">
        <v>652</v>
      </c>
      <c r="D1243" s="1589">
        <v>920</v>
      </c>
      <c r="E1243" s="2223" t="s">
        <v>1924</v>
      </c>
      <c r="F1243" s="540">
        <v>1228</v>
      </c>
      <c r="G1243" s="411" t="s">
        <v>2430</v>
      </c>
      <c r="H1243" s="2635">
        <v>0</v>
      </c>
      <c r="I1243" s="2635"/>
      <c r="J1243" s="2635"/>
      <c r="K1243" s="2647"/>
      <c r="L1243" s="2604">
        <v>750</v>
      </c>
      <c r="M1243" s="2606"/>
      <c r="N1243" s="335" t="e">
        <f>L1243/H1243-1</f>
        <v>#DIV/0!</v>
      </c>
      <c r="O1243" s="86"/>
      <c r="P1243" s="1817" t="e">
        <f>INDEX(#REF!,MATCH(F1243,#REF!,0),2)</f>
        <v>#REF!</v>
      </c>
      <c r="Q1243" s="1779"/>
      <c r="R1243" s="1779"/>
      <c r="S1243" s="1779"/>
      <c r="T1243" s="1779"/>
      <c r="U1243" s="1779"/>
      <c r="V1243" s="1779"/>
      <c r="W1243" s="43"/>
      <c r="X1243" s="1779"/>
      <c r="Y1243" s="1779"/>
      <c r="Z1243" s="1779"/>
      <c r="AA1243" s="1779"/>
      <c r="AB1243" s="1779"/>
      <c r="AC1243" s="1779"/>
      <c r="AD1243" s="1779"/>
      <c r="AE1243" s="1779"/>
      <c r="AF1243" s="1779"/>
      <c r="AG1243" s="1779"/>
      <c r="AH1243" s="1779"/>
      <c r="AI1243" s="1779"/>
      <c r="AJ1243" s="1779"/>
      <c r="AK1243" s="1779"/>
      <c r="AL1243" s="1779"/>
      <c r="AM1243" s="1779"/>
      <c r="AN1243" s="1779"/>
      <c r="AO1243" s="1779"/>
      <c r="AP1243" s="1779"/>
      <c r="AQ1243" s="1779"/>
      <c r="AR1243" s="1779"/>
      <c r="AS1243" s="1779"/>
      <c r="AT1243" s="1779"/>
      <c r="AU1243" s="1779"/>
      <c r="AV1243" s="1779"/>
    </row>
    <row r="1244" spans="1:48">
      <c r="A1244" s="412"/>
      <c r="B1244" s="412" t="s">
        <v>663</v>
      </c>
      <c r="C1244" s="412" t="s">
        <v>652</v>
      </c>
      <c r="D1244" s="1590"/>
      <c r="E1244" s="2224" t="s">
        <v>1924</v>
      </c>
      <c r="F1244" s="505">
        <v>1228</v>
      </c>
      <c r="G1244" s="514"/>
      <c r="H1244" s="2636"/>
      <c r="I1244" s="2636"/>
      <c r="J1244" s="2636"/>
      <c r="K1244" s="2647"/>
      <c r="L1244" s="2594"/>
      <c r="M1244" s="2592">
        <v>750</v>
      </c>
      <c r="N1244" s="73" t="s">
        <v>5750</v>
      </c>
      <c r="O1244" s="86"/>
      <c r="P1244" s="1817" t="e">
        <f>INDEX(#REF!,MATCH(F1244,#REF!,0),2)</f>
        <v>#REF!</v>
      </c>
    </row>
    <row r="1245" spans="1:48" ht="33.75">
      <c r="A1245" s="506"/>
      <c r="B1245" s="506" t="s">
        <v>1248</v>
      </c>
      <c r="C1245" s="506" t="s">
        <v>652</v>
      </c>
      <c r="D1245" s="1589">
        <v>920</v>
      </c>
      <c r="E1245" s="2223" t="s">
        <v>1924</v>
      </c>
      <c r="F1245" s="540">
        <v>1228</v>
      </c>
      <c r="G1245" s="411" t="s">
        <v>2430</v>
      </c>
      <c r="H1245" s="2635">
        <v>1818</v>
      </c>
      <c r="I1245" s="2635"/>
      <c r="J1245" s="2635">
        <v>500</v>
      </c>
      <c r="K1245" s="2647"/>
      <c r="L1245" s="2604">
        <v>168</v>
      </c>
      <c r="M1245" s="2604"/>
      <c r="N1245" s="73"/>
      <c r="O1245" s="86"/>
      <c r="P1245" s="1817" t="e">
        <f>INDEX(#REF!,MATCH(F1245,#REF!,0),2)</f>
        <v>#REF!</v>
      </c>
    </row>
    <row r="1246" spans="1:48">
      <c r="A1246" s="717"/>
      <c r="B1246" s="412" t="s">
        <v>1248</v>
      </c>
      <c r="C1246" s="412" t="s">
        <v>652</v>
      </c>
      <c r="D1246" s="1590"/>
      <c r="E1246" s="2224" t="s">
        <v>1924</v>
      </c>
      <c r="F1246" s="505">
        <v>1228</v>
      </c>
      <c r="G1246" s="716" t="s">
        <v>638</v>
      </c>
      <c r="H1246" s="2636"/>
      <c r="I1246" s="2636">
        <v>168</v>
      </c>
      <c r="J1246" s="2636"/>
      <c r="K1246" s="2593"/>
      <c r="L1246" s="2592"/>
      <c r="M1246" s="2592">
        <v>168</v>
      </c>
      <c r="N1246" s="73"/>
      <c r="O1246" s="86"/>
      <c r="P1246" s="1817" t="e">
        <f>INDEX(#REF!,MATCH(F1246,#REF!,0),2)</f>
        <v>#REF!</v>
      </c>
      <c r="Q1246" s="1779"/>
      <c r="R1246" s="1779"/>
      <c r="S1246" s="1779"/>
      <c r="T1246" s="1779"/>
      <c r="U1246" s="1779"/>
      <c r="V1246" s="1779"/>
      <c r="W1246" s="43"/>
      <c r="X1246" s="1779"/>
      <c r="Y1246" s="1779"/>
      <c r="Z1246" s="1779"/>
      <c r="AA1246" s="1779"/>
      <c r="AB1246" s="1779"/>
      <c r="AC1246" s="1779"/>
      <c r="AD1246" s="1779"/>
      <c r="AE1246" s="1779"/>
      <c r="AF1246" s="1779"/>
      <c r="AG1246" s="1779"/>
      <c r="AH1246" s="1779"/>
      <c r="AI1246" s="1779"/>
      <c r="AJ1246" s="1779"/>
      <c r="AK1246" s="1779"/>
      <c r="AL1246" s="1779"/>
      <c r="AM1246" s="1779"/>
      <c r="AN1246" s="1779"/>
      <c r="AO1246" s="1779"/>
      <c r="AP1246" s="1779"/>
      <c r="AQ1246" s="1779"/>
      <c r="AR1246" s="1779"/>
      <c r="AS1246" s="1779"/>
      <c r="AT1246" s="1779"/>
      <c r="AU1246" s="1779"/>
      <c r="AV1246" s="1779"/>
    </row>
    <row r="1247" spans="1:48" ht="33.75">
      <c r="A1247" s="717"/>
      <c r="B1247" s="412" t="s">
        <v>1248</v>
      </c>
      <c r="C1247" s="412" t="s">
        <v>652</v>
      </c>
      <c r="D1247" s="1590"/>
      <c r="E1247" s="2224" t="s">
        <v>1924</v>
      </c>
      <c r="F1247" s="505">
        <v>1228</v>
      </c>
      <c r="G1247" s="779" t="s">
        <v>2652</v>
      </c>
      <c r="H1247" s="2636"/>
      <c r="I1247" s="2636">
        <v>1650</v>
      </c>
      <c r="J1247" s="2636"/>
      <c r="K1247" s="2593"/>
      <c r="L1247" s="2594"/>
      <c r="M1247" s="2594"/>
      <c r="N1247" s="73"/>
      <c r="O1247" s="86"/>
      <c r="P1247" s="1817" t="e">
        <f>INDEX(#REF!,MATCH(F1247,#REF!,0),2)</f>
        <v>#REF!</v>
      </c>
      <c r="Q1247" s="1779"/>
      <c r="R1247" s="1779"/>
      <c r="S1247" s="1779"/>
      <c r="T1247" s="1779"/>
      <c r="U1247" s="1779"/>
      <c r="V1247" s="1779"/>
      <c r="W1247" s="43"/>
      <c r="X1247" s="1779"/>
      <c r="Y1247" s="1779"/>
      <c r="Z1247" s="1779"/>
      <c r="AA1247" s="1779"/>
      <c r="AB1247" s="1779"/>
      <c r="AC1247" s="1779"/>
      <c r="AD1247" s="1779"/>
      <c r="AE1247" s="1779"/>
      <c r="AF1247" s="1779"/>
      <c r="AG1247" s="1779"/>
      <c r="AH1247" s="1779"/>
      <c r="AI1247" s="1779"/>
      <c r="AJ1247" s="1779"/>
      <c r="AK1247" s="1779"/>
      <c r="AL1247" s="1779"/>
      <c r="AM1247" s="1779"/>
      <c r="AN1247" s="1779"/>
      <c r="AO1247" s="1779"/>
      <c r="AP1247" s="1779"/>
      <c r="AQ1247" s="1779"/>
      <c r="AR1247" s="1779"/>
      <c r="AS1247" s="1779"/>
      <c r="AT1247" s="1779"/>
      <c r="AU1247" s="1779"/>
      <c r="AV1247" s="1779"/>
    </row>
    <row r="1248" spans="1:48">
      <c r="A1248" s="506"/>
      <c r="B1248" s="506" t="s">
        <v>1248</v>
      </c>
      <c r="C1248" s="506" t="s">
        <v>507</v>
      </c>
      <c r="D1248" s="1589">
        <v>920</v>
      </c>
      <c r="E1248" s="2223" t="s">
        <v>1924</v>
      </c>
      <c r="F1248" s="540">
        <v>2111</v>
      </c>
      <c r="G1248" s="411" t="s">
        <v>369</v>
      </c>
      <c r="H1248" s="2635">
        <v>24</v>
      </c>
      <c r="I1248" s="2635"/>
      <c r="J1248" s="2635"/>
      <c r="K1248" s="2647"/>
      <c r="L1248" s="2604">
        <v>200</v>
      </c>
      <c r="M1248" s="2604"/>
      <c r="N1248" s="73"/>
      <c r="O1248" s="86"/>
      <c r="P1248" s="1817" t="e">
        <f>INDEX(#REF!,MATCH(F1248,#REF!,0),2)</f>
        <v>#REF!</v>
      </c>
      <c r="Q1248" s="1779"/>
      <c r="R1248" s="1779"/>
      <c r="S1248" s="1779"/>
      <c r="T1248" s="1779"/>
      <c r="U1248" s="1779"/>
      <c r="V1248" s="1779"/>
      <c r="W1248" s="43"/>
      <c r="X1248" s="1779"/>
      <c r="Y1248" s="1779"/>
      <c r="Z1248" s="1779"/>
      <c r="AA1248" s="1779"/>
      <c r="AB1248" s="1779"/>
      <c r="AC1248" s="1779"/>
      <c r="AD1248" s="1779"/>
      <c r="AE1248" s="1779"/>
      <c r="AF1248" s="1779"/>
      <c r="AG1248" s="1779"/>
      <c r="AH1248" s="1779"/>
      <c r="AI1248" s="1779"/>
      <c r="AJ1248" s="1779"/>
      <c r="AK1248" s="1779"/>
      <c r="AL1248" s="1779"/>
      <c r="AM1248" s="1779"/>
      <c r="AN1248" s="1779"/>
      <c r="AO1248" s="1779"/>
      <c r="AP1248" s="1779"/>
      <c r="AQ1248" s="1779"/>
      <c r="AR1248" s="1779"/>
      <c r="AS1248" s="1779"/>
      <c r="AT1248" s="1779"/>
      <c r="AU1248" s="1779"/>
      <c r="AV1248" s="1779"/>
    </row>
    <row r="1249" spans="1:48" ht="45">
      <c r="A1249" s="412"/>
      <c r="B1249" s="412" t="s">
        <v>1248</v>
      </c>
      <c r="C1249" s="412" t="s">
        <v>507</v>
      </c>
      <c r="D1249" s="1590"/>
      <c r="E1249" s="2224" t="s">
        <v>1924</v>
      </c>
      <c r="F1249" s="505">
        <v>2111</v>
      </c>
      <c r="G1249" s="2590" t="s">
        <v>1435</v>
      </c>
      <c r="H1249" s="2636"/>
      <c r="I1249" s="2636">
        <v>24</v>
      </c>
      <c r="J1249" s="2636"/>
      <c r="K1249" s="2593"/>
      <c r="L1249" s="2592"/>
      <c r="M1249" s="2592">
        <v>200</v>
      </c>
      <c r="N1249" s="73"/>
      <c r="O1249" s="86"/>
      <c r="P1249" s="1817" t="e">
        <f>INDEX(#REF!,MATCH(F1249,#REF!,0),2)</f>
        <v>#REF!</v>
      </c>
      <c r="Q1249" s="1779"/>
      <c r="R1249" s="1779"/>
      <c r="S1249" s="1779"/>
      <c r="T1249" s="1779"/>
      <c r="U1249" s="1779"/>
      <c r="V1249" s="1779"/>
      <c r="W1249" s="43"/>
      <c r="X1249" s="1779"/>
      <c r="Y1249" s="1779"/>
      <c r="Z1249" s="1779"/>
      <c r="AA1249" s="1779"/>
      <c r="AB1249" s="1779"/>
      <c r="AC1249" s="1779"/>
      <c r="AD1249" s="1779"/>
      <c r="AE1249" s="1779"/>
      <c r="AF1249" s="1779"/>
      <c r="AG1249" s="1779"/>
      <c r="AH1249" s="1779"/>
      <c r="AI1249" s="1779"/>
      <c r="AJ1249" s="1779"/>
      <c r="AK1249" s="1779"/>
      <c r="AL1249" s="1779"/>
      <c r="AM1249" s="1779"/>
      <c r="AN1249" s="1779"/>
      <c r="AO1249" s="1779"/>
      <c r="AP1249" s="1779"/>
      <c r="AQ1249" s="1779"/>
      <c r="AR1249" s="1779"/>
      <c r="AS1249" s="1779"/>
      <c r="AT1249" s="1779"/>
      <c r="AU1249" s="1779"/>
      <c r="AV1249" s="1779"/>
    </row>
    <row r="1250" spans="1:48">
      <c r="A1250" s="506"/>
      <c r="B1250" s="506" t="s">
        <v>1248</v>
      </c>
      <c r="C1250" s="506" t="s">
        <v>507</v>
      </c>
      <c r="D1250" s="1589">
        <v>920</v>
      </c>
      <c r="E1250" s="2223" t="s">
        <v>1924</v>
      </c>
      <c r="F1250" s="540">
        <v>2112</v>
      </c>
      <c r="G1250" s="411" t="s">
        <v>371</v>
      </c>
      <c r="H1250" s="2635">
        <v>100</v>
      </c>
      <c r="I1250" s="2635"/>
      <c r="J1250" s="2635"/>
      <c r="K1250" s="2647"/>
      <c r="L1250" s="2604">
        <v>200</v>
      </c>
      <c r="M1250" s="2604"/>
      <c r="N1250" s="73"/>
      <c r="O1250" s="86"/>
      <c r="P1250" s="1817" t="e">
        <f>INDEX(#REF!,MATCH(F1250,#REF!,0),2)</f>
        <v>#REF!</v>
      </c>
      <c r="Q1250" s="1779"/>
      <c r="R1250" s="1779"/>
      <c r="S1250" s="1779"/>
      <c r="T1250" s="1779"/>
      <c r="U1250" s="1779"/>
      <c r="V1250" s="1779"/>
      <c r="W1250" s="43"/>
      <c r="X1250" s="1779"/>
      <c r="Y1250" s="1779"/>
      <c r="Z1250" s="1779"/>
      <c r="AA1250" s="1779"/>
      <c r="AB1250" s="1779"/>
      <c r="AC1250" s="1779"/>
      <c r="AD1250" s="1779"/>
      <c r="AE1250" s="1779"/>
      <c r="AF1250" s="1779"/>
      <c r="AG1250" s="1779"/>
      <c r="AH1250" s="1779"/>
      <c r="AI1250" s="1779"/>
      <c r="AJ1250" s="1779"/>
      <c r="AK1250" s="1779"/>
      <c r="AL1250" s="1779"/>
      <c r="AM1250" s="1779"/>
      <c r="AN1250" s="1779"/>
      <c r="AO1250" s="1779"/>
      <c r="AP1250" s="1779"/>
      <c r="AQ1250" s="1779"/>
      <c r="AR1250" s="1779"/>
      <c r="AS1250" s="1779"/>
      <c r="AT1250" s="1779"/>
      <c r="AU1250" s="1779"/>
      <c r="AV1250" s="1779"/>
    </row>
    <row r="1251" spans="1:48" ht="45">
      <c r="A1251" s="412"/>
      <c r="B1251" s="412" t="s">
        <v>1248</v>
      </c>
      <c r="C1251" s="412" t="s">
        <v>507</v>
      </c>
      <c r="D1251" s="1590"/>
      <c r="E1251" s="2224" t="s">
        <v>1924</v>
      </c>
      <c r="F1251" s="505">
        <v>2112</v>
      </c>
      <c r="G1251" s="2590" t="s">
        <v>1436</v>
      </c>
      <c r="H1251" s="2636"/>
      <c r="I1251" s="2636">
        <v>100</v>
      </c>
      <c r="J1251" s="2636"/>
      <c r="K1251" s="2593"/>
      <c r="L1251" s="2592"/>
      <c r="M1251" s="2592">
        <v>200</v>
      </c>
      <c r="N1251" s="73"/>
      <c r="O1251" s="86"/>
      <c r="P1251" s="1817" t="e">
        <f>INDEX(#REF!,MATCH(F1251,#REF!,0),2)</f>
        <v>#REF!</v>
      </c>
      <c r="Q1251" s="1779"/>
      <c r="R1251" s="1779"/>
      <c r="S1251" s="1779"/>
      <c r="T1251" s="1779"/>
      <c r="U1251" s="1779"/>
      <c r="V1251" s="1779"/>
      <c r="W1251" s="43"/>
      <c r="X1251" s="1779"/>
      <c r="Y1251" s="1779"/>
      <c r="Z1251" s="1779"/>
      <c r="AA1251" s="1779"/>
      <c r="AB1251" s="1779"/>
      <c r="AC1251" s="1779"/>
      <c r="AD1251" s="1779"/>
      <c r="AE1251" s="1779"/>
      <c r="AF1251" s="1779"/>
      <c r="AG1251" s="1779"/>
      <c r="AH1251" s="1779"/>
      <c r="AI1251" s="1779"/>
      <c r="AJ1251" s="1779"/>
      <c r="AK1251" s="1779"/>
      <c r="AL1251" s="1779"/>
      <c r="AM1251" s="1779"/>
      <c r="AN1251" s="1779"/>
      <c r="AO1251" s="1779"/>
      <c r="AP1251" s="1779"/>
      <c r="AQ1251" s="1779"/>
      <c r="AR1251" s="1779"/>
      <c r="AS1251" s="1779"/>
      <c r="AT1251" s="1779"/>
      <c r="AU1251" s="1779"/>
      <c r="AV1251" s="1779"/>
    </row>
    <row r="1252" spans="1:48" ht="22.5">
      <c r="A1252" s="506"/>
      <c r="B1252" s="506" t="s">
        <v>1248</v>
      </c>
      <c r="C1252" s="506" t="s">
        <v>507</v>
      </c>
      <c r="D1252" s="1589">
        <v>920</v>
      </c>
      <c r="E1252" s="2223" t="s">
        <v>1924</v>
      </c>
      <c r="F1252" s="540">
        <v>2122</v>
      </c>
      <c r="G1252" s="411" t="s">
        <v>694</v>
      </c>
      <c r="H1252" s="2635">
        <v>100</v>
      </c>
      <c r="I1252" s="2635"/>
      <c r="J1252" s="2635"/>
      <c r="K1252" s="2647"/>
      <c r="L1252" s="2604">
        <v>100</v>
      </c>
      <c r="M1252" s="2604"/>
      <c r="N1252" s="73"/>
      <c r="O1252" s="86"/>
      <c r="P1252" s="1817" t="e">
        <f>INDEX(#REF!,MATCH(F1252,#REF!,0),2)</f>
        <v>#REF!</v>
      </c>
      <c r="Q1252" s="1779"/>
      <c r="R1252" s="1779"/>
      <c r="S1252" s="1779"/>
      <c r="T1252" s="1779"/>
      <c r="U1252" s="1779"/>
      <c r="V1252" s="1779"/>
      <c r="W1252" s="43"/>
      <c r="X1252" s="1779"/>
      <c r="Y1252" s="1779"/>
      <c r="Z1252" s="1779"/>
      <c r="AA1252" s="1779"/>
      <c r="AB1252" s="1779"/>
      <c r="AC1252" s="1779"/>
      <c r="AD1252" s="1779"/>
      <c r="AE1252" s="1779"/>
      <c r="AF1252" s="1779"/>
      <c r="AG1252" s="1779"/>
      <c r="AH1252" s="1779"/>
      <c r="AI1252" s="1779"/>
      <c r="AJ1252" s="1779"/>
      <c r="AK1252" s="1779"/>
      <c r="AL1252" s="1779"/>
      <c r="AM1252" s="1779"/>
      <c r="AN1252" s="1779"/>
      <c r="AO1252" s="1779"/>
      <c r="AP1252" s="1779"/>
      <c r="AQ1252" s="1779"/>
      <c r="AR1252" s="1779"/>
      <c r="AS1252" s="1779"/>
      <c r="AT1252" s="1779"/>
      <c r="AU1252" s="1779"/>
      <c r="AV1252" s="1779"/>
    </row>
    <row r="1253" spans="1:48">
      <c r="A1253" s="412"/>
      <c r="B1253" s="412" t="s">
        <v>1248</v>
      </c>
      <c r="C1253" s="412" t="s">
        <v>507</v>
      </c>
      <c r="D1253" s="1590"/>
      <c r="E1253" s="2224" t="s">
        <v>1924</v>
      </c>
      <c r="F1253" s="505">
        <v>2122</v>
      </c>
      <c r="G1253" s="410" t="s">
        <v>832</v>
      </c>
      <c r="H1253" s="2636"/>
      <c r="I1253" s="2636">
        <v>100</v>
      </c>
      <c r="J1253" s="2636"/>
      <c r="K1253" s="2593"/>
      <c r="L1253" s="2592"/>
      <c r="M1253" s="2592">
        <v>100</v>
      </c>
      <c r="N1253" s="73"/>
      <c r="O1253" s="86"/>
      <c r="P1253" s="1817" t="e">
        <f>INDEX(#REF!,MATCH(F1253,#REF!,0),2)</f>
        <v>#REF!</v>
      </c>
      <c r="Q1253" s="1779"/>
      <c r="R1253" s="1779"/>
      <c r="S1253" s="1779"/>
      <c r="T1253" s="1779"/>
      <c r="U1253" s="1779"/>
      <c r="V1253" s="1779"/>
      <c r="W1253" s="43"/>
      <c r="X1253" s="1779"/>
      <c r="Y1253" s="1779"/>
      <c r="Z1253" s="1779"/>
      <c r="AA1253" s="1779"/>
      <c r="AB1253" s="1779"/>
      <c r="AC1253" s="1779"/>
      <c r="AD1253" s="1779"/>
      <c r="AE1253" s="1779"/>
      <c r="AF1253" s="1779"/>
      <c r="AG1253" s="1779"/>
      <c r="AH1253" s="1779"/>
      <c r="AI1253" s="1779"/>
      <c r="AJ1253" s="1779"/>
      <c r="AK1253" s="1779"/>
      <c r="AL1253" s="1779"/>
      <c r="AM1253" s="1779"/>
      <c r="AN1253" s="1779"/>
      <c r="AO1253" s="1779"/>
      <c r="AP1253" s="1779"/>
      <c r="AQ1253" s="1779"/>
      <c r="AR1253" s="1779"/>
      <c r="AS1253" s="1779"/>
      <c r="AT1253" s="1779"/>
      <c r="AU1253" s="1779"/>
      <c r="AV1253" s="1779"/>
    </row>
    <row r="1254" spans="1:48">
      <c r="A1254" s="506"/>
      <c r="B1254" s="506" t="s">
        <v>1248</v>
      </c>
      <c r="C1254" s="506" t="s">
        <v>505</v>
      </c>
      <c r="D1254" s="1589">
        <v>920</v>
      </c>
      <c r="E1254" s="2223" t="s">
        <v>1924</v>
      </c>
      <c r="F1254" s="540">
        <v>2210</v>
      </c>
      <c r="G1254" s="411" t="s">
        <v>879</v>
      </c>
      <c r="H1254" s="2635">
        <v>2905</v>
      </c>
      <c r="I1254" s="2635"/>
      <c r="J1254" s="2635">
        <v>2975.33</v>
      </c>
      <c r="K1254" s="2647"/>
      <c r="L1254" s="2635">
        <v>2965</v>
      </c>
      <c r="M1254" s="2606"/>
      <c r="N1254" s="73"/>
      <c r="O1254" s="86"/>
      <c r="P1254" s="1817" t="e">
        <f>INDEX(#REF!,MATCH(F1254,#REF!,0),2)</f>
        <v>#REF!</v>
      </c>
      <c r="Q1254" s="1779"/>
      <c r="R1254" s="1779"/>
      <c r="S1254" s="1779"/>
      <c r="T1254" s="1779"/>
      <c r="U1254" s="1779"/>
      <c r="V1254" s="1779"/>
      <c r="W1254" s="43"/>
      <c r="X1254" s="1779"/>
      <c r="Y1254" s="1779"/>
      <c r="Z1254" s="1779"/>
      <c r="AA1254" s="1779"/>
      <c r="AB1254" s="1779"/>
      <c r="AC1254" s="1779"/>
      <c r="AD1254" s="1779"/>
      <c r="AE1254" s="1779"/>
      <c r="AF1254" s="1779"/>
      <c r="AG1254" s="1779"/>
      <c r="AH1254" s="1779"/>
      <c r="AI1254" s="1779"/>
      <c r="AJ1254" s="1779"/>
      <c r="AK1254" s="1779"/>
      <c r="AL1254" s="1779"/>
      <c r="AM1254" s="1779"/>
      <c r="AN1254" s="1779"/>
      <c r="AO1254" s="1779"/>
      <c r="AP1254" s="1779"/>
      <c r="AQ1254" s="1779"/>
      <c r="AR1254" s="1779"/>
      <c r="AS1254" s="1779"/>
      <c r="AT1254" s="1779"/>
      <c r="AU1254" s="1779"/>
      <c r="AV1254" s="1779"/>
    </row>
    <row r="1255" spans="1:48">
      <c r="A1255" s="412"/>
      <c r="B1255" s="412" t="s">
        <v>1248</v>
      </c>
      <c r="C1255" s="412" t="s">
        <v>505</v>
      </c>
      <c r="D1255" s="1590"/>
      <c r="E1255" s="2224" t="s">
        <v>1924</v>
      </c>
      <c r="F1255" s="505">
        <v>2210</v>
      </c>
      <c r="G1255" s="2754" t="s">
        <v>1437</v>
      </c>
      <c r="H1255" s="2636"/>
      <c r="I1255" s="2636">
        <v>1440</v>
      </c>
      <c r="J1255" s="2636"/>
      <c r="K1255" s="2593"/>
      <c r="L1255" s="2594"/>
      <c r="M1255" s="2592">
        <v>1320</v>
      </c>
      <c r="N1255" s="73" t="s">
        <v>5751</v>
      </c>
      <c r="O1255" s="86"/>
      <c r="P1255" s="1817" t="e">
        <f>INDEX(#REF!,MATCH(F1255,#REF!,0),2)</f>
        <v>#REF!</v>
      </c>
      <c r="Q1255" s="1779"/>
      <c r="R1255" s="1779"/>
      <c r="S1255" s="1779"/>
      <c r="T1255" s="1779"/>
      <c r="U1255" s="1779"/>
      <c r="V1255" s="1779"/>
      <c r="W1255" s="43"/>
      <c r="X1255" s="1779"/>
      <c r="Y1255" s="1779"/>
      <c r="Z1255" s="1779"/>
      <c r="AA1255" s="1779"/>
      <c r="AB1255" s="1779"/>
      <c r="AC1255" s="1779"/>
      <c r="AD1255" s="1779"/>
      <c r="AE1255" s="1779"/>
      <c r="AF1255" s="1779"/>
      <c r="AG1255" s="1779"/>
      <c r="AH1255" s="1779"/>
      <c r="AI1255" s="1779"/>
      <c r="AJ1255" s="1779"/>
      <c r="AK1255" s="1779"/>
      <c r="AL1255" s="1779"/>
      <c r="AM1255" s="1779"/>
      <c r="AN1255" s="1779"/>
      <c r="AO1255" s="1779"/>
      <c r="AP1255" s="1779"/>
      <c r="AQ1255" s="1779"/>
      <c r="AR1255" s="1779"/>
      <c r="AS1255" s="1779"/>
      <c r="AT1255" s="1779"/>
      <c r="AU1255" s="1779"/>
      <c r="AV1255" s="1779"/>
    </row>
    <row r="1256" spans="1:48">
      <c r="A1256" s="412"/>
      <c r="B1256" s="412" t="s">
        <v>1248</v>
      </c>
      <c r="C1256" s="412" t="s">
        <v>505</v>
      </c>
      <c r="D1256" s="1590"/>
      <c r="E1256" s="2224" t="s">
        <v>1924</v>
      </c>
      <c r="F1256" s="505">
        <v>2210</v>
      </c>
      <c r="G1256" s="1577" t="s">
        <v>703</v>
      </c>
      <c r="H1256" s="2636"/>
      <c r="I1256" s="2636">
        <v>25</v>
      </c>
      <c r="J1256" s="2636"/>
      <c r="K1256" s="2593"/>
      <c r="L1256" s="2594"/>
      <c r="M1256" s="2592">
        <v>25</v>
      </c>
      <c r="N1256" s="73"/>
      <c r="O1256" s="86"/>
      <c r="P1256" s="1817" t="e">
        <f>INDEX(#REF!,MATCH(F1256,#REF!,0),2)</f>
        <v>#REF!</v>
      </c>
      <c r="Q1256" s="1779"/>
      <c r="R1256" s="1779"/>
      <c r="S1256" s="1779"/>
      <c r="T1256" s="1779"/>
      <c r="U1256" s="1779"/>
      <c r="V1256" s="1779"/>
      <c r="W1256" s="43"/>
      <c r="X1256" s="1779"/>
      <c r="Y1256" s="1779"/>
      <c r="Z1256" s="1779"/>
      <c r="AA1256" s="1779"/>
      <c r="AB1256" s="1779"/>
      <c r="AC1256" s="1779"/>
      <c r="AD1256" s="1779"/>
      <c r="AE1256" s="1779"/>
      <c r="AF1256" s="1779"/>
      <c r="AG1256" s="1779"/>
      <c r="AH1256" s="1779"/>
      <c r="AI1256" s="1779"/>
      <c r="AJ1256" s="1779"/>
      <c r="AK1256" s="1779"/>
      <c r="AL1256" s="1779"/>
      <c r="AM1256" s="1779"/>
      <c r="AN1256" s="1779"/>
      <c r="AO1256" s="1779"/>
      <c r="AP1256" s="1779"/>
      <c r="AQ1256" s="1779"/>
      <c r="AR1256" s="1779"/>
      <c r="AS1256" s="1779"/>
      <c r="AT1256" s="1779"/>
      <c r="AU1256" s="1779"/>
      <c r="AV1256" s="1779"/>
    </row>
    <row r="1257" spans="1:48" ht="67.5">
      <c r="A1257" s="412"/>
      <c r="B1257" s="412" t="s">
        <v>1248</v>
      </c>
      <c r="C1257" s="412" t="s">
        <v>505</v>
      </c>
      <c r="D1257" s="1590"/>
      <c r="E1257" s="2224" t="s">
        <v>1924</v>
      </c>
      <c r="F1257" s="505">
        <v>2210</v>
      </c>
      <c r="G1257" s="2743" t="s">
        <v>3711</v>
      </c>
      <c r="H1257" s="2636"/>
      <c r="I1257" s="2636">
        <v>1440</v>
      </c>
      <c r="J1257" s="2636"/>
      <c r="K1257" s="2593"/>
      <c r="L1257" s="2594"/>
      <c r="M1257" s="2592">
        <v>1620</v>
      </c>
      <c r="N1257" s="73"/>
      <c r="O1257" s="86"/>
      <c r="P1257" s="1817" t="e">
        <f>INDEX(#REF!,MATCH(F1257,#REF!,0),2)</f>
        <v>#REF!</v>
      </c>
      <c r="Q1257" s="1779"/>
      <c r="R1257" s="1779"/>
      <c r="S1257" s="1779"/>
      <c r="T1257" s="1779"/>
      <c r="U1257" s="1779"/>
      <c r="V1257" s="1779"/>
      <c r="W1257" s="43"/>
      <c r="X1257" s="1779"/>
      <c r="Y1257" s="1779"/>
      <c r="Z1257" s="1779"/>
      <c r="AA1257" s="1779"/>
      <c r="AB1257" s="1779"/>
      <c r="AC1257" s="1779"/>
      <c r="AD1257" s="1779"/>
      <c r="AE1257" s="1779"/>
      <c r="AF1257" s="1779"/>
      <c r="AG1257" s="1779"/>
      <c r="AH1257" s="1779"/>
      <c r="AI1257" s="1779"/>
      <c r="AJ1257" s="1779"/>
      <c r="AK1257" s="1779"/>
      <c r="AL1257" s="1779"/>
      <c r="AM1257" s="1779"/>
      <c r="AN1257" s="1779"/>
      <c r="AO1257" s="1779"/>
      <c r="AP1257" s="1779"/>
      <c r="AQ1257" s="1779"/>
      <c r="AR1257" s="1779"/>
      <c r="AS1257" s="1779"/>
      <c r="AT1257" s="1779"/>
      <c r="AU1257" s="1779"/>
      <c r="AV1257" s="1779"/>
    </row>
    <row r="1258" spans="1:48">
      <c r="A1258" s="506"/>
      <c r="B1258" s="506" t="s">
        <v>1248</v>
      </c>
      <c r="C1258" s="506" t="s">
        <v>505</v>
      </c>
      <c r="D1258" s="1589">
        <v>920</v>
      </c>
      <c r="E1258" s="2223" t="s">
        <v>1924</v>
      </c>
      <c r="F1258" s="540">
        <v>2222</v>
      </c>
      <c r="G1258" s="411" t="s">
        <v>272</v>
      </c>
      <c r="H1258" s="2635">
        <v>9000</v>
      </c>
      <c r="I1258" s="2635"/>
      <c r="J1258" s="2635">
        <v>4835.71</v>
      </c>
      <c r="K1258" s="2647"/>
      <c r="L1258" s="2604">
        <v>8160</v>
      </c>
      <c r="M1258" s="2606"/>
      <c r="N1258" s="73"/>
      <c r="O1258" s="86"/>
      <c r="P1258" s="1817" t="e">
        <f>INDEX(#REF!,MATCH(F1258,#REF!,0),2)</f>
        <v>#REF!</v>
      </c>
      <c r="Q1258" s="1779"/>
      <c r="R1258" s="1779"/>
      <c r="S1258" s="1779"/>
      <c r="T1258" s="1779"/>
      <c r="U1258" s="1779"/>
      <c r="V1258" s="1779"/>
      <c r="W1258" s="43"/>
      <c r="X1258" s="1779"/>
      <c r="Y1258" s="1779"/>
      <c r="Z1258" s="1779"/>
      <c r="AA1258" s="1779"/>
      <c r="AB1258" s="1779"/>
      <c r="AC1258" s="1779"/>
      <c r="AD1258" s="1779"/>
      <c r="AE1258" s="1779"/>
      <c r="AF1258" s="1779"/>
      <c r="AG1258" s="1779"/>
      <c r="AH1258" s="1779"/>
      <c r="AI1258" s="1779"/>
      <c r="AJ1258" s="1779"/>
      <c r="AK1258" s="1779"/>
      <c r="AL1258" s="1779"/>
      <c r="AM1258" s="1779"/>
      <c r="AN1258" s="1779"/>
      <c r="AO1258" s="1779"/>
      <c r="AP1258" s="1779"/>
      <c r="AQ1258" s="1779"/>
      <c r="AR1258" s="1779"/>
      <c r="AS1258" s="1779"/>
      <c r="AT1258" s="1779"/>
      <c r="AU1258" s="1779"/>
      <c r="AV1258" s="1779"/>
    </row>
    <row r="1259" spans="1:48">
      <c r="A1259" s="418"/>
      <c r="B1259" s="418" t="s">
        <v>1248</v>
      </c>
      <c r="C1259" s="418" t="s">
        <v>505</v>
      </c>
      <c r="D1259" s="1590"/>
      <c r="E1259" s="2224" t="s">
        <v>1924</v>
      </c>
      <c r="F1259" s="505">
        <v>2222</v>
      </c>
      <c r="G1259" s="54" t="s">
        <v>1439</v>
      </c>
      <c r="H1259" s="2636"/>
      <c r="I1259" s="2636">
        <v>9000</v>
      </c>
      <c r="J1259" s="2636"/>
      <c r="K1259" s="2593"/>
      <c r="L1259" s="2594"/>
      <c r="M1259" s="2592">
        <v>9000</v>
      </c>
      <c r="N1259" s="73"/>
      <c r="O1259" s="86"/>
      <c r="P1259" s="1817" t="e">
        <f>INDEX(#REF!,MATCH(F1259,#REF!,0),2)</f>
        <v>#REF!</v>
      </c>
      <c r="Q1259" s="1779"/>
      <c r="R1259" s="1779"/>
      <c r="S1259" s="1779"/>
      <c r="T1259" s="1779"/>
      <c r="U1259" s="1779"/>
      <c r="V1259" s="1779"/>
      <c r="W1259" s="43"/>
      <c r="X1259" s="1779"/>
      <c r="Y1259" s="1779"/>
      <c r="Z1259" s="1779"/>
      <c r="AA1259" s="1779"/>
      <c r="AB1259" s="1779"/>
      <c r="AC1259" s="1779"/>
      <c r="AD1259" s="1779"/>
      <c r="AE1259" s="1779"/>
      <c r="AF1259" s="1779"/>
      <c r="AG1259" s="1779"/>
      <c r="AH1259" s="1779"/>
      <c r="AI1259" s="1779"/>
      <c r="AJ1259" s="1779"/>
      <c r="AK1259" s="1779"/>
      <c r="AL1259" s="1779"/>
      <c r="AM1259" s="1779"/>
      <c r="AN1259" s="1779"/>
      <c r="AO1259" s="1779"/>
      <c r="AP1259" s="1779"/>
      <c r="AQ1259" s="1779"/>
      <c r="AR1259" s="1779"/>
      <c r="AS1259" s="1779"/>
      <c r="AT1259" s="1779"/>
      <c r="AU1259" s="1779"/>
      <c r="AV1259" s="1779"/>
    </row>
    <row r="1260" spans="1:48">
      <c r="A1260" s="3860"/>
      <c r="B1260" s="418" t="s">
        <v>1248</v>
      </c>
      <c r="C1260" s="418" t="s">
        <v>505</v>
      </c>
      <c r="D1260" s="1590"/>
      <c r="E1260" s="2224" t="s">
        <v>1924</v>
      </c>
      <c r="F1260" s="505">
        <v>2222</v>
      </c>
      <c r="G1260" s="54" t="s">
        <v>5720</v>
      </c>
      <c r="H1260" s="3926"/>
      <c r="I1260" s="3926"/>
      <c r="J1260" s="3926"/>
      <c r="K1260" s="3927"/>
      <c r="L1260" s="3930"/>
      <c r="M1260" s="3928">
        <v>-840</v>
      </c>
      <c r="N1260" s="73" t="s">
        <v>5752</v>
      </c>
      <c r="O1260" s="86"/>
      <c r="P1260" s="1817"/>
      <c r="Q1260" s="11"/>
      <c r="R1260" s="11"/>
      <c r="S1260" s="11"/>
      <c r="T1260" s="11"/>
      <c r="U1260" s="11"/>
      <c r="V1260" s="11"/>
      <c r="W1260" s="4"/>
      <c r="X1260" s="11"/>
      <c r="Y1260" s="11"/>
      <c r="Z1260" s="11"/>
      <c r="AA1260" s="11"/>
      <c r="AB1260" s="11"/>
      <c r="AC1260" s="11"/>
      <c r="AD1260" s="11"/>
      <c r="AE1260" s="11"/>
      <c r="AF1260" s="11"/>
      <c r="AG1260" s="11"/>
      <c r="AH1260" s="11"/>
      <c r="AI1260" s="11"/>
      <c r="AJ1260" s="11"/>
      <c r="AK1260" s="11"/>
      <c r="AL1260" s="11"/>
      <c r="AM1260" s="11"/>
      <c r="AN1260" s="11"/>
      <c r="AO1260" s="11"/>
      <c r="AP1260" s="11"/>
      <c r="AQ1260" s="11"/>
      <c r="AR1260" s="11"/>
      <c r="AS1260" s="11"/>
      <c r="AT1260" s="11"/>
      <c r="AU1260" s="11"/>
      <c r="AV1260" s="11"/>
    </row>
    <row r="1261" spans="1:48">
      <c r="A1261" s="506"/>
      <c r="B1261" s="506" t="s">
        <v>1248</v>
      </c>
      <c r="C1261" s="506" t="s">
        <v>505</v>
      </c>
      <c r="D1261" s="1589">
        <v>920</v>
      </c>
      <c r="E1261" s="2223" t="s">
        <v>1924</v>
      </c>
      <c r="F1261" s="540">
        <v>2223</v>
      </c>
      <c r="G1261" s="411" t="s">
        <v>273</v>
      </c>
      <c r="H1261" s="2635">
        <v>51800</v>
      </c>
      <c r="I1261" s="2635"/>
      <c r="J1261" s="2635">
        <v>13535.36</v>
      </c>
      <c r="K1261" s="2647"/>
      <c r="L1261" s="2604">
        <v>33620</v>
      </c>
      <c r="M1261" s="2604"/>
      <c r="N1261" s="73"/>
      <c r="O1261" s="86"/>
      <c r="P1261" s="1817" t="e">
        <f>INDEX(#REF!,MATCH(F1261,#REF!,0),2)</f>
        <v>#REF!</v>
      </c>
      <c r="Q1261" s="43"/>
      <c r="R1261" s="43"/>
      <c r="S1261" s="43"/>
      <c r="T1261" s="43"/>
      <c r="U1261" s="43"/>
      <c r="V1261" s="43"/>
      <c r="W1261" s="43"/>
      <c r="X1261" s="43"/>
      <c r="Y1261" s="43"/>
      <c r="Z1261" s="43"/>
      <c r="AA1261" s="43"/>
      <c r="AB1261" s="43"/>
      <c r="AC1261" s="43"/>
      <c r="AD1261" s="43"/>
      <c r="AE1261" s="43"/>
      <c r="AF1261" s="43"/>
      <c r="AG1261" s="43"/>
      <c r="AH1261" s="43"/>
      <c r="AI1261" s="43"/>
      <c r="AJ1261" s="43"/>
      <c r="AK1261" s="43"/>
      <c r="AL1261" s="43"/>
      <c r="AM1261" s="43"/>
      <c r="AN1261" s="43"/>
      <c r="AO1261" s="43"/>
      <c r="AP1261" s="43"/>
      <c r="AQ1261" s="43"/>
      <c r="AR1261" s="43"/>
      <c r="AS1261" s="43"/>
      <c r="AT1261" s="43"/>
      <c r="AU1261" s="43"/>
      <c r="AV1261" s="43"/>
    </row>
    <row r="1262" spans="1:48">
      <c r="A1262" s="717"/>
      <c r="B1262" s="418" t="s">
        <v>1248</v>
      </c>
      <c r="C1262" s="418" t="s">
        <v>505</v>
      </c>
      <c r="D1262" s="1590"/>
      <c r="E1262" s="2224" t="s">
        <v>1924</v>
      </c>
      <c r="F1262" s="505">
        <v>2223</v>
      </c>
      <c r="G1262" s="716" t="s">
        <v>1440</v>
      </c>
      <c r="H1262" s="2636"/>
      <c r="I1262" s="2636">
        <v>51800</v>
      </c>
      <c r="J1262" s="2636"/>
      <c r="K1262" s="2593"/>
      <c r="L1262" s="2592"/>
      <c r="M1262" s="2592">
        <v>40000</v>
      </c>
      <c r="N1262" s="73"/>
      <c r="O1262" s="86"/>
      <c r="P1262" s="1817" t="e">
        <f>INDEX(#REF!,MATCH(F1262,#REF!,0),2)</f>
        <v>#REF!</v>
      </c>
      <c r="Q1262" s="1779"/>
      <c r="R1262" s="1779"/>
      <c r="S1262" s="1779"/>
      <c r="T1262" s="1779"/>
      <c r="U1262" s="1779"/>
      <c r="V1262" s="1779"/>
      <c r="W1262" s="43"/>
      <c r="X1262" s="1779"/>
      <c r="Y1262" s="1779"/>
      <c r="Z1262" s="1779"/>
      <c r="AA1262" s="1779"/>
      <c r="AB1262" s="1779"/>
      <c r="AC1262" s="1779"/>
      <c r="AD1262" s="1779"/>
      <c r="AE1262" s="1779"/>
      <c r="AF1262" s="1779"/>
      <c r="AG1262" s="1779"/>
      <c r="AH1262" s="1779"/>
      <c r="AI1262" s="1779"/>
      <c r="AJ1262" s="1779"/>
      <c r="AK1262" s="1779"/>
      <c r="AL1262" s="1779"/>
      <c r="AM1262" s="1779"/>
      <c r="AN1262" s="1779"/>
      <c r="AO1262" s="1779"/>
      <c r="AP1262" s="1779"/>
      <c r="AQ1262" s="1779"/>
      <c r="AR1262" s="1779"/>
      <c r="AS1262" s="1779"/>
      <c r="AT1262" s="1779"/>
      <c r="AU1262" s="1779"/>
      <c r="AV1262" s="1779"/>
    </row>
    <row r="1263" spans="1:48">
      <c r="A1263" s="3860"/>
      <c r="B1263" s="418" t="s">
        <v>1248</v>
      </c>
      <c r="C1263" s="418" t="s">
        <v>505</v>
      </c>
      <c r="D1263" s="1590"/>
      <c r="E1263" s="2224" t="s">
        <v>1924</v>
      </c>
      <c r="F1263" s="505">
        <v>2223</v>
      </c>
      <c r="G1263" s="54" t="s">
        <v>5720</v>
      </c>
      <c r="H1263" s="3926"/>
      <c r="I1263" s="3926"/>
      <c r="J1263" s="3926"/>
      <c r="K1263" s="3927"/>
      <c r="L1263" s="3930"/>
      <c r="M1263" s="3928">
        <v>-6380</v>
      </c>
      <c r="N1263" s="73" t="s">
        <v>5753</v>
      </c>
      <c r="O1263" s="86"/>
      <c r="P1263" s="1817"/>
      <c r="Q1263" s="43"/>
      <c r="R1263" s="43"/>
      <c r="S1263" s="43"/>
      <c r="T1263" s="43"/>
      <c r="U1263" s="43"/>
      <c r="V1263" s="43"/>
      <c r="W1263" s="43"/>
      <c r="X1263" s="43"/>
      <c r="Y1263" s="43"/>
      <c r="Z1263" s="43"/>
      <c r="AA1263" s="43"/>
      <c r="AB1263" s="43"/>
      <c r="AC1263" s="43"/>
      <c r="AD1263" s="43"/>
      <c r="AE1263" s="43"/>
      <c r="AF1263" s="43"/>
      <c r="AG1263" s="43"/>
      <c r="AH1263" s="43"/>
      <c r="AI1263" s="43"/>
      <c r="AJ1263" s="43"/>
      <c r="AK1263" s="43"/>
      <c r="AL1263" s="43"/>
      <c r="AM1263" s="43"/>
      <c r="AN1263" s="43"/>
      <c r="AO1263" s="43"/>
      <c r="AP1263" s="43"/>
      <c r="AQ1263" s="43"/>
      <c r="AR1263" s="43"/>
      <c r="AS1263" s="43"/>
      <c r="AT1263" s="43"/>
      <c r="AU1263" s="43"/>
      <c r="AV1263" s="43"/>
    </row>
    <row r="1264" spans="1:48" ht="33.75">
      <c r="A1264" s="559"/>
      <c r="B1264" s="506" t="s">
        <v>1248</v>
      </c>
      <c r="C1264" s="506" t="s">
        <v>505</v>
      </c>
      <c r="D1264" s="1589">
        <v>920</v>
      </c>
      <c r="E1264" s="2223" t="s">
        <v>1924</v>
      </c>
      <c r="F1264" s="540">
        <v>2224</v>
      </c>
      <c r="G1264" s="411" t="s">
        <v>274</v>
      </c>
      <c r="H1264" s="2635">
        <v>2080</v>
      </c>
      <c r="I1264" s="2635"/>
      <c r="J1264" s="2635">
        <v>1733.31</v>
      </c>
      <c r="K1264" s="2647"/>
      <c r="L1264" s="2604">
        <v>1950</v>
      </c>
      <c r="M1264" s="2604"/>
      <c r="N1264" s="73"/>
      <c r="O1264" s="86"/>
      <c r="P1264" s="1817" t="e">
        <f>INDEX(#REF!,MATCH(F1264,#REF!,0),2)</f>
        <v>#REF!</v>
      </c>
      <c r="Q1264" s="43"/>
      <c r="R1264" s="43"/>
      <c r="S1264" s="43"/>
      <c r="T1264" s="43"/>
      <c r="U1264" s="43"/>
      <c r="V1264" s="43"/>
      <c r="W1264" s="43"/>
      <c r="X1264" s="43"/>
      <c r="Y1264" s="43"/>
      <c r="Z1264" s="43"/>
      <c r="AA1264" s="43"/>
      <c r="AB1264" s="43"/>
      <c r="AC1264" s="43"/>
      <c r="AD1264" s="43"/>
      <c r="AE1264" s="43"/>
      <c r="AF1264" s="43"/>
      <c r="AG1264" s="43"/>
      <c r="AH1264" s="43"/>
      <c r="AI1264" s="43"/>
      <c r="AJ1264" s="43"/>
      <c r="AK1264" s="43"/>
      <c r="AL1264" s="43"/>
      <c r="AM1264" s="43"/>
      <c r="AN1264" s="43"/>
      <c r="AO1264" s="43"/>
      <c r="AP1264" s="43"/>
      <c r="AQ1264" s="43"/>
      <c r="AR1264" s="43"/>
      <c r="AS1264" s="43"/>
      <c r="AT1264" s="43"/>
      <c r="AU1264" s="43"/>
      <c r="AV1264" s="43"/>
    </row>
    <row r="1265" spans="1:48">
      <c r="A1265" s="717"/>
      <c r="B1265" s="418" t="s">
        <v>1248</v>
      </c>
      <c r="C1265" s="418" t="s">
        <v>505</v>
      </c>
      <c r="D1265" s="1590"/>
      <c r="E1265" s="2224" t="s">
        <v>1924</v>
      </c>
      <c r="F1265" s="505">
        <v>2224</v>
      </c>
      <c r="G1265" s="2754" t="s">
        <v>3712</v>
      </c>
      <c r="H1265" s="2636"/>
      <c r="I1265" s="2636">
        <v>2080</v>
      </c>
      <c r="J1265" s="2636"/>
      <c r="K1265" s="2593"/>
      <c r="L1265" s="2592"/>
      <c r="M1265" s="2592">
        <v>1950</v>
      </c>
      <c r="N1265" s="73" t="s">
        <v>5754</v>
      </c>
      <c r="O1265" s="86"/>
      <c r="P1265" s="1817" t="e">
        <f>INDEX(#REF!,MATCH(F1265,#REF!,0),2)</f>
        <v>#REF!</v>
      </c>
      <c r="Q1265" s="43"/>
      <c r="R1265" s="43"/>
      <c r="S1265" s="43"/>
      <c r="T1265" s="43"/>
      <c r="U1265" s="43"/>
      <c r="V1265" s="43"/>
      <c r="W1265" s="43"/>
      <c r="X1265" s="43"/>
      <c r="Y1265" s="43"/>
      <c r="Z1265" s="43"/>
      <c r="AA1265" s="43"/>
      <c r="AB1265" s="43"/>
      <c r="AC1265" s="43"/>
      <c r="AD1265" s="43"/>
      <c r="AE1265" s="43"/>
      <c r="AF1265" s="43"/>
      <c r="AG1265" s="43"/>
      <c r="AH1265" s="43"/>
      <c r="AI1265" s="43"/>
      <c r="AJ1265" s="43"/>
      <c r="AK1265" s="43"/>
      <c r="AL1265" s="43"/>
      <c r="AM1265" s="43"/>
      <c r="AN1265" s="43"/>
      <c r="AO1265" s="43"/>
      <c r="AP1265" s="43"/>
      <c r="AQ1265" s="43"/>
      <c r="AR1265" s="43"/>
      <c r="AS1265" s="43"/>
      <c r="AT1265" s="43"/>
      <c r="AU1265" s="43"/>
      <c r="AV1265" s="43"/>
    </row>
    <row r="1266" spans="1:48">
      <c r="A1266" s="559"/>
      <c r="B1266" s="506" t="s">
        <v>1248</v>
      </c>
      <c r="C1266" s="506" t="s">
        <v>509</v>
      </c>
      <c r="D1266" s="1589">
        <v>920</v>
      </c>
      <c r="E1266" s="2223" t="s">
        <v>1924</v>
      </c>
      <c r="F1266" s="540">
        <v>2229</v>
      </c>
      <c r="G1266" s="411" t="s">
        <v>902</v>
      </c>
      <c r="H1266" s="2635">
        <v>600</v>
      </c>
      <c r="I1266" s="2635"/>
      <c r="J1266" s="2635"/>
      <c r="K1266" s="2647"/>
      <c r="L1266" s="2604">
        <v>600</v>
      </c>
      <c r="M1266" s="2604"/>
      <c r="N1266" s="73"/>
      <c r="O1266" s="86"/>
      <c r="P1266" s="1817" t="e">
        <f>INDEX(#REF!,MATCH(F1266,#REF!,0),2)</f>
        <v>#REF!</v>
      </c>
      <c r="Q1266" s="43"/>
      <c r="R1266" s="43"/>
      <c r="S1266" s="43"/>
      <c r="T1266" s="43"/>
      <c r="U1266" s="43"/>
      <c r="V1266" s="43"/>
      <c r="W1266" s="43"/>
      <c r="X1266" s="43"/>
      <c r="Y1266" s="43"/>
      <c r="Z1266" s="43"/>
      <c r="AA1266" s="43"/>
      <c r="AB1266" s="43"/>
      <c r="AC1266" s="43"/>
      <c r="AD1266" s="43"/>
      <c r="AE1266" s="43"/>
      <c r="AF1266" s="43"/>
      <c r="AG1266" s="43"/>
      <c r="AH1266" s="43"/>
      <c r="AI1266" s="43"/>
      <c r="AJ1266" s="43"/>
      <c r="AK1266" s="43"/>
      <c r="AL1266" s="43"/>
      <c r="AM1266" s="43"/>
      <c r="AN1266" s="43"/>
      <c r="AO1266" s="43"/>
      <c r="AP1266" s="43"/>
      <c r="AQ1266" s="43"/>
      <c r="AR1266" s="43"/>
      <c r="AS1266" s="43"/>
      <c r="AT1266" s="43"/>
      <c r="AU1266" s="43"/>
      <c r="AV1266" s="43"/>
    </row>
    <row r="1267" spans="1:48">
      <c r="A1267" s="717"/>
      <c r="B1267" s="418" t="s">
        <v>1248</v>
      </c>
      <c r="C1267" s="418" t="s">
        <v>509</v>
      </c>
      <c r="D1267" s="1590"/>
      <c r="E1267" s="2224" t="s">
        <v>1924</v>
      </c>
      <c r="F1267" s="505">
        <v>2229</v>
      </c>
      <c r="G1267" s="2743" t="s">
        <v>3713</v>
      </c>
      <c r="H1267" s="2636"/>
      <c r="I1267" s="2636">
        <v>600</v>
      </c>
      <c r="J1267" s="2636"/>
      <c r="K1267" s="2593"/>
      <c r="L1267" s="2592"/>
      <c r="M1267" s="2592">
        <v>600</v>
      </c>
      <c r="N1267" s="73"/>
      <c r="O1267" s="86"/>
      <c r="P1267" s="1817" t="e">
        <f>INDEX(#REF!,MATCH(F1267,#REF!,0),2)</f>
        <v>#REF!</v>
      </c>
    </row>
    <row r="1268" spans="1:48">
      <c r="A1268" s="506"/>
      <c r="B1268" s="506" t="s">
        <v>1248</v>
      </c>
      <c r="C1268" s="506" t="s">
        <v>505</v>
      </c>
      <c r="D1268" s="1589">
        <v>920</v>
      </c>
      <c r="E1268" s="2223" t="s">
        <v>1924</v>
      </c>
      <c r="F1268" s="540">
        <v>2233</v>
      </c>
      <c r="G1268" s="411" t="s">
        <v>373</v>
      </c>
      <c r="H1268" s="2635">
        <v>600</v>
      </c>
      <c r="I1268" s="2635"/>
      <c r="J1268" s="2635">
        <v>130.18</v>
      </c>
      <c r="K1268" s="2647"/>
      <c r="L1268" s="2604">
        <v>600</v>
      </c>
      <c r="M1268" s="2604"/>
      <c r="N1268" s="73"/>
      <c r="O1268" s="86"/>
      <c r="P1268" s="1817" t="e">
        <f>INDEX(#REF!,MATCH(F1268,#REF!,0),2)</f>
        <v>#REF!</v>
      </c>
    </row>
    <row r="1269" spans="1:48">
      <c r="A1269" s="717"/>
      <c r="B1269" s="418" t="s">
        <v>1248</v>
      </c>
      <c r="C1269" s="418" t="s">
        <v>505</v>
      </c>
      <c r="D1269" s="1590"/>
      <c r="E1269" s="2224" t="s">
        <v>1924</v>
      </c>
      <c r="F1269" s="505">
        <v>2233</v>
      </c>
      <c r="G1269" s="2754" t="s">
        <v>374</v>
      </c>
      <c r="H1269" s="2636"/>
      <c r="I1269" s="2636">
        <v>600</v>
      </c>
      <c r="J1269" s="2636"/>
      <c r="K1269" s="2593"/>
      <c r="L1269" s="2592"/>
      <c r="M1269" s="2592">
        <v>600</v>
      </c>
      <c r="N1269" s="73"/>
      <c r="O1269" s="86"/>
      <c r="P1269" s="1817" t="e">
        <f>INDEX(#REF!,MATCH(F1269,#REF!,0),2)</f>
        <v>#REF!</v>
      </c>
    </row>
    <row r="1270" spans="1:48" ht="22.5">
      <c r="A1270" s="506"/>
      <c r="B1270" s="506" t="s">
        <v>1248</v>
      </c>
      <c r="C1270" s="506" t="s">
        <v>507</v>
      </c>
      <c r="D1270" s="1589">
        <v>920</v>
      </c>
      <c r="E1270" s="2223" t="s">
        <v>1924</v>
      </c>
      <c r="F1270" s="540">
        <v>2234</v>
      </c>
      <c r="G1270" s="411" t="s">
        <v>375</v>
      </c>
      <c r="H1270" s="2635">
        <v>780</v>
      </c>
      <c r="I1270" s="2635"/>
      <c r="J1270" s="2635">
        <v>170</v>
      </c>
      <c r="K1270" s="2647"/>
      <c r="L1270" s="2604">
        <v>1950</v>
      </c>
      <c r="M1270" s="2606"/>
      <c r="N1270" s="73" t="s">
        <v>6002</v>
      </c>
      <c r="O1270" s="86"/>
      <c r="P1270" s="1817" t="e">
        <f>INDEX(#REF!,MATCH(F1270,#REF!,0),2)</f>
        <v>#REF!</v>
      </c>
      <c r="Q1270" s="1779"/>
      <c r="R1270" s="1779"/>
      <c r="S1270" s="1779"/>
      <c r="T1270" s="1779"/>
      <c r="U1270" s="1779"/>
      <c r="V1270" s="1779"/>
      <c r="W1270" s="43"/>
      <c r="X1270" s="1779"/>
      <c r="Y1270" s="1779"/>
      <c r="Z1270" s="1779"/>
      <c r="AA1270" s="1779"/>
      <c r="AB1270" s="1779"/>
      <c r="AC1270" s="1779"/>
      <c r="AD1270" s="1779"/>
      <c r="AE1270" s="1779"/>
      <c r="AF1270" s="1779"/>
      <c r="AG1270" s="1779"/>
      <c r="AH1270" s="1779"/>
      <c r="AI1270" s="1779"/>
      <c r="AJ1270" s="1779"/>
      <c r="AK1270" s="1779"/>
      <c r="AL1270" s="1779"/>
      <c r="AM1270" s="1779"/>
      <c r="AN1270" s="1779"/>
      <c r="AO1270" s="1779"/>
      <c r="AP1270" s="1779"/>
      <c r="AQ1270" s="1779"/>
      <c r="AR1270" s="1779"/>
      <c r="AS1270" s="1779"/>
      <c r="AT1270" s="1779"/>
      <c r="AU1270" s="1779"/>
      <c r="AV1270" s="1779"/>
    </row>
    <row r="1271" spans="1:48" ht="33.75">
      <c r="A1271" s="717"/>
      <c r="B1271" s="418" t="s">
        <v>1248</v>
      </c>
      <c r="C1271" s="418" t="s">
        <v>507</v>
      </c>
      <c r="D1271" s="1590"/>
      <c r="E1271" s="2224" t="s">
        <v>1924</v>
      </c>
      <c r="F1271" s="505">
        <v>2234</v>
      </c>
      <c r="G1271" s="2743" t="s">
        <v>3714</v>
      </c>
      <c r="H1271" s="2636"/>
      <c r="I1271" s="2636">
        <v>300</v>
      </c>
      <c r="J1271" s="2636"/>
      <c r="K1271" s="2593"/>
      <c r="L1271" s="2594"/>
      <c r="M1271" s="2592">
        <v>1350</v>
      </c>
      <c r="N1271" s="73" t="s">
        <v>6000</v>
      </c>
      <c r="O1271" s="86"/>
      <c r="P1271" s="1817" t="e">
        <f>INDEX(#REF!,MATCH(F1271,#REF!,0),2)</f>
        <v>#REF!</v>
      </c>
      <c r="Q1271" s="1779"/>
      <c r="R1271" s="1779"/>
      <c r="S1271" s="1779"/>
      <c r="T1271" s="1779"/>
      <c r="U1271" s="1779"/>
      <c r="V1271" s="1779"/>
      <c r="W1271" s="43"/>
      <c r="X1271" s="1779"/>
      <c r="Y1271" s="1779"/>
      <c r="Z1271" s="1779"/>
      <c r="AA1271" s="1779"/>
      <c r="AB1271" s="1779"/>
      <c r="AC1271" s="1779"/>
      <c r="AD1271" s="1779"/>
      <c r="AE1271" s="1779"/>
      <c r="AF1271" s="1779"/>
      <c r="AG1271" s="1779"/>
      <c r="AH1271" s="1779"/>
      <c r="AI1271" s="1779"/>
      <c r="AJ1271" s="1779"/>
      <c r="AK1271" s="1779"/>
      <c r="AL1271" s="1779"/>
      <c r="AM1271" s="1779"/>
      <c r="AN1271" s="1779"/>
      <c r="AO1271" s="1779"/>
      <c r="AP1271" s="1779"/>
      <c r="AQ1271" s="1779"/>
      <c r="AR1271" s="1779"/>
      <c r="AS1271" s="1779"/>
      <c r="AT1271" s="1779"/>
      <c r="AU1271" s="1779"/>
      <c r="AV1271" s="1779"/>
    </row>
    <row r="1272" spans="1:48" ht="22.5">
      <c r="A1272" s="717"/>
      <c r="B1272" s="418" t="s">
        <v>1248</v>
      </c>
      <c r="C1272" s="418" t="s">
        <v>507</v>
      </c>
      <c r="D1272" s="1590"/>
      <c r="E1272" s="2224" t="s">
        <v>1924</v>
      </c>
      <c r="F1272" s="505">
        <v>2234</v>
      </c>
      <c r="G1272" s="2743" t="s">
        <v>3715</v>
      </c>
      <c r="H1272" s="2636"/>
      <c r="I1272" s="2636">
        <v>480</v>
      </c>
      <c r="J1272" s="2636"/>
      <c r="K1272" s="2593"/>
      <c r="L1272" s="2594"/>
      <c r="M1272" s="2592">
        <v>600</v>
      </c>
      <c r="N1272" s="73" t="s">
        <v>6001</v>
      </c>
      <c r="O1272" s="86"/>
      <c r="P1272" s="1817" t="e">
        <f>INDEX(#REF!,MATCH(F1272,#REF!,0),2)</f>
        <v>#REF!</v>
      </c>
      <c r="Q1272" s="1779"/>
      <c r="R1272" s="1779"/>
      <c r="S1272" s="1779"/>
      <c r="T1272" s="1779"/>
      <c r="U1272" s="1779"/>
      <c r="V1272" s="1779"/>
      <c r="W1272" s="43"/>
      <c r="X1272" s="1779"/>
      <c r="Y1272" s="1779"/>
      <c r="Z1272" s="1779"/>
      <c r="AA1272" s="1779"/>
      <c r="AB1272" s="1779"/>
      <c r="AC1272" s="1779"/>
      <c r="AD1272" s="1779"/>
      <c r="AE1272" s="1779"/>
      <c r="AF1272" s="1779"/>
      <c r="AG1272" s="1779"/>
      <c r="AH1272" s="1779"/>
      <c r="AI1272" s="1779"/>
      <c r="AJ1272" s="1779"/>
      <c r="AK1272" s="1779"/>
      <c r="AL1272" s="1779"/>
      <c r="AM1272" s="1779"/>
      <c r="AN1272" s="1779"/>
      <c r="AO1272" s="1779"/>
      <c r="AP1272" s="1779"/>
      <c r="AQ1272" s="1779"/>
      <c r="AR1272" s="1779"/>
      <c r="AS1272" s="1779"/>
      <c r="AT1272" s="1779"/>
      <c r="AU1272" s="1779"/>
    </row>
    <row r="1273" spans="1:48">
      <c r="A1273" s="559"/>
      <c r="B1273" s="506" t="s">
        <v>1248</v>
      </c>
      <c r="C1273" s="506" t="s">
        <v>507</v>
      </c>
      <c r="D1273" s="1589">
        <v>920</v>
      </c>
      <c r="E1273" s="2223" t="s">
        <v>1924</v>
      </c>
      <c r="F1273" s="540">
        <v>2235</v>
      </c>
      <c r="G1273" s="411" t="s">
        <v>1570</v>
      </c>
      <c r="H1273" s="2635">
        <v>1650</v>
      </c>
      <c r="I1273" s="2635"/>
      <c r="J1273" s="2635"/>
      <c r="K1273" s="2647"/>
      <c r="L1273" s="2604">
        <v>2000</v>
      </c>
      <c r="M1273" s="2606"/>
      <c r="N1273" s="73"/>
      <c r="O1273" s="86"/>
      <c r="P1273" s="1817" t="e">
        <f>INDEX(#REF!,MATCH(F1273,#REF!,0),2)</f>
        <v>#REF!</v>
      </c>
      <c r="Q1273" s="11"/>
      <c r="R1273" s="11"/>
      <c r="S1273" s="11"/>
      <c r="T1273" s="11"/>
      <c r="U1273" s="11"/>
      <c r="V1273" s="11"/>
      <c r="W1273" s="4"/>
      <c r="X1273" s="11"/>
      <c r="Y1273" s="11"/>
      <c r="Z1273" s="11"/>
      <c r="AA1273" s="11"/>
      <c r="AB1273" s="11"/>
      <c r="AC1273" s="11"/>
      <c r="AD1273" s="11"/>
      <c r="AE1273" s="11"/>
      <c r="AF1273" s="11"/>
      <c r="AG1273" s="11"/>
      <c r="AH1273" s="11"/>
      <c r="AI1273" s="11"/>
      <c r="AJ1273" s="11"/>
      <c r="AK1273" s="11"/>
      <c r="AL1273" s="11"/>
      <c r="AM1273" s="11"/>
      <c r="AN1273" s="11"/>
      <c r="AO1273" s="11"/>
      <c r="AP1273" s="11"/>
      <c r="AQ1273" s="11"/>
      <c r="AR1273" s="11"/>
      <c r="AS1273" s="11"/>
      <c r="AT1273" s="11"/>
      <c r="AU1273" s="11"/>
      <c r="AV1273" s="11"/>
    </row>
    <row r="1274" spans="1:48" ht="22.5">
      <c r="A1274" s="412"/>
      <c r="B1274" s="412" t="s">
        <v>1248</v>
      </c>
      <c r="C1274" s="412" t="s">
        <v>507</v>
      </c>
      <c r="D1274" s="1590"/>
      <c r="E1274" s="2224" t="s">
        <v>1924</v>
      </c>
      <c r="F1274" s="505">
        <v>2235</v>
      </c>
      <c r="G1274" s="2774" t="s">
        <v>2218</v>
      </c>
      <c r="H1274" s="2636"/>
      <c r="I1274" s="2636">
        <v>650</v>
      </c>
      <c r="J1274" s="2636"/>
      <c r="K1274" s="2593"/>
      <c r="L1274" s="2594"/>
      <c r="M1274" s="2592">
        <v>650</v>
      </c>
      <c r="N1274" s="73"/>
      <c r="O1274" s="86"/>
      <c r="P1274" s="1817" t="e">
        <f>INDEX(#REF!,MATCH(F1274,#REF!,0),2)</f>
        <v>#REF!</v>
      </c>
      <c r="Q1274" s="11"/>
      <c r="R1274" s="11"/>
      <c r="S1274" s="11"/>
      <c r="T1274" s="11"/>
      <c r="U1274" s="11"/>
      <c r="V1274" s="11"/>
      <c r="W1274" s="4"/>
      <c r="X1274" s="11"/>
      <c r="Y1274" s="11"/>
      <c r="Z1274" s="11"/>
      <c r="AA1274" s="11"/>
      <c r="AB1274" s="11"/>
      <c r="AC1274" s="11"/>
      <c r="AD1274" s="11"/>
      <c r="AE1274" s="11"/>
      <c r="AF1274" s="11"/>
      <c r="AG1274" s="11"/>
      <c r="AH1274" s="11"/>
      <c r="AI1274" s="11"/>
      <c r="AJ1274" s="11"/>
      <c r="AK1274" s="11"/>
      <c r="AL1274" s="11"/>
      <c r="AM1274" s="11"/>
      <c r="AN1274" s="11"/>
      <c r="AO1274" s="11"/>
      <c r="AP1274" s="11"/>
      <c r="AQ1274" s="11"/>
      <c r="AR1274" s="11"/>
      <c r="AS1274" s="11"/>
      <c r="AT1274" s="11"/>
      <c r="AU1274" s="11"/>
      <c r="AV1274" s="11"/>
    </row>
    <row r="1275" spans="1:48" ht="22.5">
      <c r="A1275" s="418"/>
      <c r="B1275" s="418" t="s">
        <v>1248</v>
      </c>
      <c r="C1275" s="418" t="s">
        <v>507</v>
      </c>
      <c r="D1275" s="1614"/>
      <c r="E1275" s="2224" t="s">
        <v>1924</v>
      </c>
      <c r="F1275" s="505">
        <v>2235</v>
      </c>
      <c r="G1275" s="2774" t="s">
        <v>2219</v>
      </c>
      <c r="H1275" s="2636"/>
      <c r="I1275" s="2636">
        <v>1000</v>
      </c>
      <c r="J1275" s="2636"/>
      <c r="K1275" s="2593"/>
      <c r="L1275" s="2594"/>
      <c r="M1275" s="2592">
        <v>1350</v>
      </c>
      <c r="N1275" s="73"/>
      <c r="O1275" s="86"/>
      <c r="P1275" s="1817" t="e">
        <f>INDEX(#REF!,MATCH(F1275,#REF!,0),2)</f>
        <v>#REF!</v>
      </c>
      <c r="Q1275" s="1779"/>
      <c r="R1275" s="1779"/>
      <c r="S1275" s="1779"/>
      <c r="T1275" s="1779"/>
      <c r="U1275" s="1779"/>
      <c r="V1275" s="1779"/>
      <c r="W1275" s="43"/>
      <c r="X1275" s="1779"/>
      <c r="Y1275" s="1779"/>
      <c r="Z1275" s="1779"/>
      <c r="AA1275" s="1779"/>
      <c r="AB1275" s="1779"/>
      <c r="AC1275" s="1779"/>
      <c r="AD1275" s="1779"/>
      <c r="AE1275" s="1779"/>
      <c r="AF1275" s="1779"/>
      <c r="AG1275" s="1779"/>
      <c r="AH1275" s="1779"/>
      <c r="AI1275" s="1779"/>
      <c r="AJ1275" s="1779"/>
      <c r="AK1275" s="1779"/>
      <c r="AL1275" s="1779"/>
      <c r="AM1275" s="1779"/>
      <c r="AN1275" s="1779"/>
      <c r="AO1275" s="1779"/>
      <c r="AP1275" s="1779"/>
      <c r="AQ1275" s="1779"/>
      <c r="AR1275" s="1779"/>
      <c r="AS1275" s="1779"/>
      <c r="AT1275" s="1779"/>
      <c r="AU1275" s="1779"/>
    </row>
    <row r="1276" spans="1:48">
      <c r="A1276" s="559"/>
      <c r="B1276" s="506" t="s">
        <v>1248</v>
      </c>
      <c r="C1276" s="506" t="s">
        <v>507</v>
      </c>
      <c r="D1276" s="1589">
        <v>920</v>
      </c>
      <c r="E1276" s="2223" t="s">
        <v>1924</v>
      </c>
      <c r="F1276" s="540">
        <v>2239</v>
      </c>
      <c r="G1276" s="411" t="s">
        <v>297</v>
      </c>
      <c r="H1276" s="2635">
        <v>6407</v>
      </c>
      <c r="I1276" s="2635"/>
      <c r="J1276" s="2635">
        <v>5389.7</v>
      </c>
      <c r="K1276" s="2647"/>
      <c r="L1276" s="2604">
        <v>6260.9179999999997</v>
      </c>
      <c r="M1276" s="2606"/>
      <c r="N1276" s="73"/>
      <c r="O1276" s="86"/>
      <c r="P1276" s="1817" t="e">
        <f>INDEX(#REF!,MATCH(F1276,#REF!,0),2)</f>
        <v>#REF!</v>
      </c>
      <c r="Q1276" s="1779"/>
      <c r="R1276" s="1779"/>
      <c r="S1276" s="1779"/>
      <c r="T1276" s="1779"/>
      <c r="U1276" s="1779"/>
      <c r="V1276" s="1779"/>
      <c r="W1276" s="43"/>
      <c r="X1276" s="1779"/>
      <c r="Y1276" s="1779"/>
      <c r="Z1276" s="1779"/>
      <c r="AA1276" s="1779"/>
      <c r="AB1276" s="1779"/>
      <c r="AC1276" s="1779"/>
      <c r="AD1276" s="1779"/>
      <c r="AE1276" s="1779"/>
      <c r="AF1276" s="1779"/>
      <c r="AG1276" s="1779"/>
      <c r="AH1276" s="1779"/>
      <c r="AI1276" s="1779"/>
      <c r="AJ1276" s="1779"/>
      <c r="AK1276" s="1779"/>
      <c r="AL1276" s="1779"/>
      <c r="AM1276" s="1779"/>
      <c r="AN1276" s="1779"/>
      <c r="AO1276" s="1779"/>
      <c r="AP1276" s="1779"/>
      <c r="AQ1276" s="1779"/>
      <c r="AR1276" s="1779"/>
      <c r="AS1276" s="1779"/>
      <c r="AT1276" s="1779"/>
      <c r="AU1276" s="1779"/>
      <c r="AV1276" s="1779"/>
    </row>
    <row r="1277" spans="1:48">
      <c r="A1277" s="418"/>
      <c r="B1277" s="418" t="s">
        <v>1248</v>
      </c>
      <c r="C1277" s="418" t="s">
        <v>507</v>
      </c>
      <c r="D1277" s="1590"/>
      <c r="E1277" s="2224" t="s">
        <v>1924</v>
      </c>
      <c r="F1277" s="505">
        <v>2239</v>
      </c>
      <c r="G1277" s="772" t="s">
        <v>1441</v>
      </c>
      <c r="H1277" s="2636"/>
      <c r="I1277" s="2636">
        <v>2500</v>
      </c>
      <c r="J1277" s="2636"/>
      <c r="K1277" s="2593"/>
      <c r="L1277" s="2594"/>
      <c r="M1277" s="2592">
        <v>2500</v>
      </c>
      <c r="N1277" s="73"/>
      <c r="O1277" s="86"/>
      <c r="P1277" s="1817" t="e">
        <f>INDEX(#REF!,MATCH(F1277,#REF!,0),2)</f>
        <v>#REF!</v>
      </c>
      <c r="Q1277" s="1779"/>
      <c r="R1277" s="1779"/>
      <c r="S1277" s="1779"/>
      <c r="T1277" s="1779"/>
      <c r="U1277" s="1779"/>
      <c r="V1277" s="1779"/>
      <c r="W1277" s="43"/>
      <c r="X1277" s="1779"/>
      <c r="Y1277" s="1779"/>
      <c r="Z1277" s="1779"/>
      <c r="AA1277" s="1779"/>
      <c r="AB1277" s="1779"/>
      <c r="AC1277" s="1779"/>
      <c r="AD1277" s="1779"/>
      <c r="AE1277" s="1779"/>
      <c r="AF1277" s="1779"/>
      <c r="AG1277" s="1779"/>
      <c r="AH1277" s="1779"/>
      <c r="AI1277" s="1779"/>
      <c r="AJ1277" s="1779"/>
      <c r="AK1277" s="1779"/>
      <c r="AL1277" s="1779"/>
      <c r="AM1277" s="1779"/>
      <c r="AN1277" s="1779"/>
      <c r="AO1277" s="1779"/>
      <c r="AP1277" s="1779"/>
      <c r="AQ1277" s="1779"/>
      <c r="AR1277" s="1779"/>
      <c r="AS1277" s="1779"/>
      <c r="AT1277" s="1779"/>
      <c r="AU1277" s="1779"/>
      <c r="AV1277" s="1779"/>
    </row>
    <row r="1278" spans="1:48" ht="22.5">
      <c r="A1278" s="418"/>
      <c r="B1278" s="418" t="s">
        <v>1248</v>
      </c>
      <c r="C1278" s="418" t="s">
        <v>507</v>
      </c>
      <c r="D1278" s="1590"/>
      <c r="E1278" s="2224" t="s">
        <v>1924</v>
      </c>
      <c r="F1278" s="505">
        <v>2239</v>
      </c>
      <c r="G1278" s="779" t="s">
        <v>376</v>
      </c>
      <c r="H1278" s="2636"/>
      <c r="I1278" s="2636">
        <v>50</v>
      </c>
      <c r="J1278" s="2636"/>
      <c r="K1278" s="2593"/>
      <c r="L1278" s="2594"/>
      <c r="M1278" s="2767">
        <v>50</v>
      </c>
      <c r="N1278" s="73"/>
      <c r="O1278" s="86"/>
      <c r="P1278" s="1817" t="e">
        <f>INDEX(#REF!,MATCH(F1278,#REF!,0),2)</f>
        <v>#REF!</v>
      </c>
      <c r="Q1278" s="1779"/>
      <c r="R1278" s="1779"/>
      <c r="S1278" s="1779"/>
      <c r="T1278" s="1779"/>
      <c r="U1278" s="1779"/>
      <c r="V1278" s="1779"/>
      <c r="W1278" s="43"/>
      <c r="X1278" s="1779"/>
      <c r="Y1278" s="1779"/>
      <c r="Z1278" s="1779"/>
      <c r="AA1278" s="1779"/>
      <c r="AB1278" s="1779"/>
      <c r="AC1278" s="1779"/>
      <c r="AD1278" s="1779"/>
      <c r="AE1278" s="1779"/>
      <c r="AF1278" s="1779"/>
      <c r="AG1278" s="1779"/>
      <c r="AH1278" s="1779"/>
      <c r="AI1278" s="1779"/>
      <c r="AJ1278" s="1779"/>
      <c r="AK1278" s="1779"/>
      <c r="AL1278" s="1779"/>
      <c r="AM1278" s="1779"/>
      <c r="AN1278" s="1779"/>
      <c r="AO1278" s="1779"/>
      <c r="AP1278" s="1779"/>
      <c r="AQ1278" s="1779"/>
      <c r="AR1278" s="1779"/>
      <c r="AS1278" s="1779"/>
      <c r="AT1278" s="1779"/>
      <c r="AU1278" s="1779"/>
      <c r="AV1278" s="1779"/>
    </row>
    <row r="1279" spans="1:48">
      <c r="A1279" s="418"/>
      <c r="B1279" s="418" t="s">
        <v>1248</v>
      </c>
      <c r="C1279" s="418" t="s">
        <v>507</v>
      </c>
      <c r="D1279" s="1590"/>
      <c r="E1279" s="2224" t="s">
        <v>1924</v>
      </c>
      <c r="F1279" s="505">
        <v>2239</v>
      </c>
      <c r="G1279" s="772" t="s">
        <v>1442</v>
      </c>
      <c r="H1279" s="2636"/>
      <c r="I1279" s="2636">
        <v>120</v>
      </c>
      <c r="J1279" s="2636"/>
      <c r="K1279" s="2593"/>
      <c r="L1279" s="2594"/>
      <c r="M1279" s="2767">
        <v>120</v>
      </c>
      <c r="N1279" s="73"/>
      <c r="O1279" s="86"/>
      <c r="P1279" s="1817" t="e">
        <f>INDEX(#REF!,MATCH(F1279,#REF!,0),2)</f>
        <v>#REF!</v>
      </c>
      <c r="Q1279" s="11"/>
      <c r="R1279" s="11"/>
      <c r="S1279" s="11"/>
      <c r="T1279" s="11"/>
      <c r="U1279" s="11"/>
      <c r="V1279" s="11"/>
      <c r="W1279" s="4"/>
      <c r="X1279" s="11"/>
      <c r="Y1279" s="11"/>
      <c r="Z1279" s="11"/>
      <c r="AA1279" s="11"/>
      <c r="AB1279" s="11"/>
      <c r="AC1279" s="11"/>
      <c r="AD1279" s="11"/>
      <c r="AE1279" s="11"/>
      <c r="AF1279" s="11"/>
      <c r="AG1279" s="11"/>
      <c r="AH1279" s="11"/>
      <c r="AI1279" s="11"/>
      <c r="AJ1279" s="11"/>
      <c r="AK1279" s="11"/>
      <c r="AL1279" s="11"/>
      <c r="AM1279" s="11"/>
      <c r="AN1279" s="11"/>
      <c r="AO1279" s="11"/>
      <c r="AP1279" s="11"/>
      <c r="AQ1279" s="11"/>
      <c r="AR1279" s="11"/>
      <c r="AS1279" s="11"/>
      <c r="AT1279" s="11"/>
      <c r="AU1279" s="11"/>
      <c r="AV1279" s="11"/>
    </row>
    <row r="1280" spans="1:48" ht="45">
      <c r="A1280" s="418"/>
      <c r="B1280" s="418" t="s">
        <v>1248</v>
      </c>
      <c r="C1280" s="418" t="s">
        <v>507</v>
      </c>
      <c r="D1280" s="1590"/>
      <c r="E1280" s="2224" t="s">
        <v>1924</v>
      </c>
      <c r="F1280" s="505">
        <v>2239</v>
      </c>
      <c r="G1280" s="2773" t="s">
        <v>3716</v>
      </c>
      <c r="H1280" s="2636"/>
      <c r="I1280" s="2636">
        <v>96</v>
      </c>
      <c r="J1280" s="2636"/>
      <c r="K1280" s="2593"/>
      <c r="L1280" s="2594"/>
      <c r="M1280" s="2767">
        <v>171</v>
      </c>
      <c r="N1280" s="73"/>
      <c r="O1280" s="86"/>
      <c r="P1280" s="1817" t="e">
        <f>INDEX(#REF!,MATCH(F1280,#REF!,0),2)</f>
        <v>#REF!</v>
      </c>
      <c r="Q1280" s="11"/>
      <c r="R1280" s="11"/>
      <c r="S1280" s="11"/>
      <c r="T1280" s="11"/>
      <c r="U1280" s="11"/>
      <c r="V1280" s="11"/>
      <c r="W1280" s="4"/>
      <c r="X1280" s="11"/>
      <c r="Y1280" s="11"/>
      <c r="Z1280" s="11"/>
      <c r="AA1280" s="11"/>
      <c r="AB1280" s="11"/>
      <c r="AC1280" s="11"/>
      <c r="AD1280" s="11"/>
      <c r="AE1280" s="11"/>
      <c r="AF1280" s="11"/>
      <c r="AG1280" s="11"/>
      <c r="AH1280" s="11"/>
      <c r="AI1280" s="11"/>
      <c r="AJ1280" s="11"/>
      <c r="AK1280" s="11"/>
      <c r="AL1280" s="11"/>
      <c r="AM1280" s="11"/>
      <c r="AN1280" s="11"/>
      <c r="AO1280" s="11"/>
      <c r="AP1280" s="11"/>
      <c r="AQ1280" s="11"/>
      <c r="AR1280" s="11"/>
      <c r="AS1280" s="11"/>
      <c r="AT1280" s="11"/>
      <c r="AU1280" s="11"/>
      <c r="AV1280" s="11"/>
    </row>
    <row r="1281" spans="1:48" ht="45">
      <c r="A1281" s="2775"/>
      <c r="B1281" s="418" t="s">
        <v>1248</v>
      </c>
      <c r="C1281" s="418" t="s">
        <v>507</v>
      </c>
      <c r="D1281" s="1614"/>
      <c r="E1281" s="2224" t="s">
        <v>1924</v>
      </c>
      <c r="F1281" s="505">
        <v>2239</v>
      </c>
      <c r="G1281" s="2774" t="s">
        <v>3717</v>
      </c>
      <c r="H1281" s="2776"/>
      <c r="I1281" s="2776"/>
      <c r="J1281" s="2776"/>
      <c r="K1281" s="2777"/>
      <c r="L1281" s="2778"/>
      <c r="M1281" s="2779">
        <v>346</v>
      </c>
      <c r="N1281" s="73"/>
      <c r="O1281" s="86"/>
      <c r="P1281" s="1817"/>
      <c r="Q1281" s="1779"/>
      <c r="R1281" s="1779"/>
      <c r="S1281" s="1779"/>
      <c r="T1281" s="1779"/>
      <c r="U1281" s="1779"/>
      <c r="V1281" s="1779"/>
      <c r="W1281" s="43"/>
      <c r="X1281" s="1779"/>
      <c r="Y1281" s="1779"/>
      <c r="Z1281" s="1779"/>
      <c r="AA1281" s="1779"/>
      <c r="AB1281" s="1779"/>
      <c r="AC1281" s="1779"/>
      <c r="AD1281" s="1779"/>
      <c r="AE1281" s="1779"/>
      <c r="AF1281" s="1779"/>
      <c r="AG1281" s="1779"/>
      <c r="AH1281" s="1779"/>
      <c r="AI1281" s="1779"/>
      <c r="AJ1281" s="1779"/>
      <c r="AK1281" s="1779"/>
      <c r="AL1281" s="1779"/>
      <c r="AM1281" s="1779"/>
      <c r="AN1281" s="1779"/>
      <c r="AO1281" s="1779"/>
      <c r="AP1281" s="1779"/>
      <c r="AQ1281" s="1779"/>
      <c r="AR1281" s="1779"/>
      <c r="AS1281" s="1779"/>
      <c r="AT1281" s="1779"/>
      <c r="AU1281" s="1779"/>
      <c r="AV1281" s="1779"/>
    </row>
    <row r="1282" spans="1:48">
      <c r="A1282" s="418"/>
      <c r="B1282" s="418" t="s">
        <v>1248</v>
      </c>
      <c r="C1282" s="418" t="s">
        <v>507</v>
      </c>
      <c r="D1282" s="1614"/>
      <c r="E1282" s="2224" t="s">
        <v>1924</v>
      </c>
      <c r="F1282" s="505">
        <v>2239</v>
      </c>
      <c r="G1282" s="772" t="s">
        <v>986</v>
      </c>
      <c r="H1282" s="2636"/>
      <c r="I1282" s="2636">
        <v>600</v>
      </c>
      <c r="J1282" s="2636"/>
      <c r="K1282" s="2593"/>
      <c r="L1282" s="2594"/>
      <c r="M1282" s="2594"/>
      <c r="N1282" s="73"/>
      <c r="O1282" s="86"/>
      <c r="P1282" s="1817" t="e">
        <f>INDEX(#REF!,MATCH(F1282,#REF!,0),2)</f>
        <v>#REF!</v>
      </c>
      <c r="Q1282" s="1791"/>
      <c r="R1282" s="1791"/>
      <c r="S1282" s="1791"/>
      <c r="T1282" s="1791"/>
      <c r="U1282" s="1791"/>
      <c r="V1282" s="1791"/>
      <c r="W1282" s="43"/>
      <c r="X1282" s="1791"/>
      <c r="Y1282" s="1791"/>
      <c r="Z1282" s="1791"/>
      <c r="AA1282" s="1791"/>
      <c r="AB1282" s="1791"/>
      <c r="AC1282" s="1791"/>
      <c r="AD1282" s="1791"/>
      <c r="AE1282" s="1791"/>
      <c r="AF1282" s="1791"/>
      <c r="AG1282" s="1791"/>
      <c r="AH1282" s="1791"/>
      <c r="AI1282" s="1791"/>
      <c r="AJ1282" s="1791"/>
      <c r="AK1282" s="1791"/>
      <c r="AL1282" s="1791"/>
      <c r="AM1282" s="1791"/>
      <c r="AN1282" s="1791"/>
      <c r="AO1282" s="1791"/>
      <c r="AP1282" s="1791"/>
      <c r="AQ1282" s="1791"/>
      <c r="AR1282" s="1791"/>
      <c r="AS1282" s="1791"/>
      <c r="AT1282" s="1791"/>
      <c r="AU1282" s="1791"/>
      <c r="AV1282" s="1791"/>
    </row>
    <row r="1283" spans="1:48" ht="22.5">
      <c r="A1283" s="418"/>
      <c r="B1283" s="418" t="s">
        <v>1248</v>
      </c>
      <c r="C1283" s="418" t="s">
        <v>507</v>
      </c>
      <c r="D1283" s="1614"/>
      <c r="E1283" s="2224" t="s">
        <v>1924</v>
      </c>
      <c r="F1283" s="505">
        <v>2239</v>
      </c>
      <c r="G1283" s="772" t="s">
        <v>1087</v>
      </c>
      <c r="H1283" s="2636"/>
      <c r="I1283" s="2636">
        <v>650</v>
      </c>
      <c r="J1283" s="2636"/>
      <c r="K1283" s="2593"/>
      <c r="L1283" s="2594"/>
      <c r="M1283" s="2594"/>
      <c r="N1283" s="73"/>
      <c r="O1283" s="86"/>
      <c r="P1283" s="1817" t="e">
        <f>INDEX(#REF!,MATCH(F1283,#REF!,0),2)</f>
        <v>#REF!</v>
      </c>
      <c r="Q1283" s="1791"/>
      <c r="R1283" s="1791"/>
      <c r="S1283" s="1791"/>
      <c r="T1283" s="1791"/>
      <c r="U1283" s="1791"/>
      <c r="V1283" s="1791"/>
      <c r="W1283" s="43"/>
      <c r="X1283" s="1791"/>
      <c r="Y1283" s="1791"/>
      <c r="Z1283" s="1791"/>
      <c r="AA1283" s="1791"/>
      <c r="AB1283" s="1791"/>
      <c r="AC1283" s="1791"/>
      <c r="AD1283" s="1791"/>
      <c r="AE1283" s="1791"/>
      <c r="AF1283" s="1791"/>
      <c r="AG1283" s="1791"/>
      <c r="AH1283" s="1791"/>
      <c r="AI1283" s="1791"/>
      <c r="AJ1283" s="1791"/>
      <c r="AK1283" s="1791"/>
      <c r="AL1283" s="1791"/>
      <c r="AM1283" s="1791"/>
      <c r="AN1283" s="1791"/>
      <c r="AO1283" s="1791"/>
      <c r="AP1283" s="1791"/>
      <c r="AQ1283" s="1791"/>
      <c r="AR1283" s="1791"/>
      <c r="AS1283" s="1791"/>
      <c r="AT1283" s="1791"/>
      <c r="AU1283" s="1791"/>
      <c r="AV1283" s="1791"/>
    </row>
    <row r="1284" spans="1:48">
      <c r="A1284" s="2775"/>
      <c r="B1284" s="418" t="s">
        <v>1248</v>
      </c>
      <c r="C1284" s="418" t="s">
        <v>507</v>
      </c>
      <c r="D1284" s="1614"/>
      <c r="E1284" s="2224" t="s">
        <v>1924</v>
      </c>
      <c r="F1284" s="505">
        <v>2239</v>
      </c>
      <c r="G1284" s="2774" t="s">
        <v>3718</v>
      </c>
      <c r="H1284" s="2776"/>
      <c r="I1284" s="2776"/>
      <c r="J1284" s="2776"/>
      <c r="K1284" s="2777"/>
      <c r="L1284" s="2778"/>
      <c r="M1284" s="2779">
        <v>600</v>
      </c>
      <c r="N1284" s="73"/>
      <c r="O1284" s="86"/>
      <c r="P1284" s="1817"/>
      <c r="Q1284" s="1791"/>
      <c r="R1284" s="1791"/>
      <c r="S1284" s="1791"/>
      <c r="T1284" s="1791"/>
      <c r="U1284" s="1791"/>
      <c r="V1284" s="1791"/>
      <c r="W1284" s="43"/>
      <c r="X1284" s="1791"/>
      <c r="Y1284" s="1791"/>
      <c r="Z1284" s="1791"/>
      <c r="AA1284" s="1791"/>
      <c r="AB1284" s="1791"/>
      <c r="AC1284" s="1791"/>
      <c r="AD1284" s="1791"/>
      <c r="AE1284" s="1791"/>
      <c r="AF1284" s="1791"/>
      <c r="AG1284" s="1791"/>
      <c r="AH1284" s="1791"/>
      <c r="AI1284" s="1791"/>
      <c r="AJ1284" s="1791"/>
      <c r="AK1284" s="1791"/>
      <c r="AL1284" s="1791"/>
      <c r="AM1284" s="1791"/>
      <c r="AN1284" s="1791"/>
      <c r="AO1284" s="1791"/>
      <c r="AP1284" s="1791"/>
      <c r="AQ1284" s="1791"/>
      <c r="AR1284" s="1791"/>
      <c r="AS1284" s="1791"/>
      <c r="AT1284" s="1791"/>
      <c r="AU1284" s="1791"/>
      <c r="AV1284" s="1791"/>
    </row>
    <row r="1285" spans="1:48">
      <c r="A1285" s="1003"/>
      <c r="B1285" s="418" t="s">
        <v>1248</v>
      </c>
      <c r="C1285" s="418" t="s">
        <v>507</v>
      </c>
      <c r="D1285" s="1614"/>
      <c r="E1285" s="2224" t="s">
        <v>1924</v>
      </c>
      <c r="F1285" s="505">
        <v>2239</v>
      </c>
      <c r="G1285" s="996" t="s">
        <v>1597</v>
      </c>
      <c r="H1285" s="2636"/>
      <c r="I1285" s="2636">
        <v>348</v>
      </c>
      <c r="J1285" s="2636"/>
      <c r="K1285" s="2593"/>
      <c r="L1285" s="2594"/>
      <c r="M1285" s="2592">
        <v>348</v>
      </c>
      <c r="N1285" s="73"/>
      <c r="O1285" s="86"/>
      <c r="P1285" s="1817" t="e">
        <f>INDEX(#REF!,MATCH(F1285,#REF!,0),2)</f>
        <v>#REF!</v>
      </c>
      <c r="Q1285" s="1791"/>
      <c r="R1285" s="1791"/>
      <c r="S1285" s="1791"/>
      <c r="T1285" s="1791"/>
      <c r="U1285" s="1791"/>
      <c r="V1285" s="1791"/>
      <c r="W1285" s="43"/>
      <c r="X1285" s="1791"/>
      <c r="Y1285" s="1791"/>
      <c r="Z1285" s="1791"/>
      <c r="AA1285" s="1791"/>
      <c r="AB1285" s="1791"/>
      <c r="AC1285" s="1791"/>
      <c r="AD1285" s="1791"/>
      <c r="AE1285" s="1791"/>
      <c r="AF1285" s="1791"/>
      <c r="AG1285" s="1791"/>
      <c r="AH1285" s="1791"/>
      <c r="AI1285" s="1791"/>
      <c r="AJ1285" s="1791"/>
      <c r="AK1285" s="1791"/>
      <c r="AL1285" s="1791"/>
      <c r="AM1285" s="1791"/>
      <c r="AN1285" s="1791"/>
      <c r="AO1285" s="1791"/>
      <c r="AP1285" s="1791"/>
      <c r="AQ1285" s="1791"/>
      <c r="AR1285" s="1791"/>
      <c r="AS1285" s="1791"/>
      <c r="AT1285" s="1791"/>
      <c r="AU1285" s="1791"/>
      <c r="AV1285" s="1791"/>
    </row>
    <row r="1286" spans="1:48">
      <c r="A1286" s="1410"/>
      <c r="B1286" s="418" t="s">
        <v>1248</v>
      </c>
      <c r="C1286" s="418" t="s">
        <v>507</v>
      </c>
      <c r="D1286" s="1614"/>
      <c r="E1286" s="2224" t="s">
        <v>1924</v>
      </c>
      <c r="F1286" s="505">
        <v>2239</v>
      </c>
      <c r="G1286" s="1374" t="s">
        <v>2003</v>
      </c>
      <c r="H1286" s="2636"/>
      <c r="I1286" s="2636">
        <v>100</v>
      </c>
      <c r="J1286" s="2636"/>
      <c r="K1286" s="2593"/>
      <c r="L1286" s="2594"/>
      <c r="M1286" s="2592">
        <v>100</v>
      </c>
      <c r="N1286" s="73"/>
      <c r="O1286" s="86"/>
      <c r="P1286" s="1817" t="e">
        <f>INDEX(#REF!,MATCH(F1286,#REF!,0),2)</f>
        <v>#REF!</v>
      </c>
      <c r="Q1286" s="1791"/>
      <c r="R1286" s="1791"/>
      <c r="S1286" s="1791"/>
      <c r="T1286" s="1791"/>
      <c r="U1286" s="1791"/>
      <c r="V1286" s="1791"/>
      <c r="W1286" s="43"/>
      <c r="X1286" s="1791"/>
      <c r="Y1286" s="1791"/>
      <c r="Z1286" s="1791"/>
      <c r="AA1286" s="1791"/>
      <c r="AB1286" s="1791"/>
      <c r="AC1286" s="1791"/>
      <c r="AD1286" s="1791"/>
      <c r="AE1286" s="1791"/>
      <c r="AF1286" s="1791"/>
      <c r="AG1286" s="1791"/>
      <c r="AH1286" s="1791"/>
      <c r="AI1286" s="1791"/>
      <c r="AJ1286" s="1791"/>
      <c r="AK1286" s="1791"/>
      <c r="AL1286" s="1791"/>
      <c r="AM1286" s="1791"/>
      <c r="AN1286" s="1791"/>
      <c r="AO1286" s="1791"/>
      <c r="AP1286" s="1791"/>
      <c r="AQ1286" s="1791"/>
      <c r="AR1286" s="1791"/>
      <c r="AS1286" s="1791"/>
      <c r="AT1286" s="1791"/>
      <c r="AU1286" s="1791"/>
      <c r="AV1286" s="1791"/>
    </row>
    <row r="1287" spans="1:48" ht="33.75">
      <c r="A1287" s="412"/>
      <c r="B1287" s="412" t="s">
        <v>1248</v>
      </c>
      <c r="C1287" s="412" t="s">
        <v>505</v>
      </c>
      <c r="D1287" s="1590"/>
      <c r="E1287" s="2224" t="s">
        <v>1924</v>
      </c>
      <c r="F1287" s="505">
        <v>2239</v>
      </c>
      <c r="G1287" s="2780" t="s">
        <v>3719</v>
      </c>
      <c r="H1287" s="2636"/>
      <c r="I1287" s="2636">
        <v>1243</v>
      </c>
      <c r="J1287" s="2636"/>
      <c r="K1287" s="2593"/>
      <c r="L1287" s="2594"/>
      <c r="M1287" s="2592">
        <v>1325.9179999999999</v>
      </c>
      <c r="N1287" s="73"/>
      <c r="O1287" s="86"/>
      <c r="P1287" s="1817" t="e">
        <f>INDEX(#REF!,MATCH(F1287,#REF!,0),2)</f>
        <v>#REF!</v>
      </c>
      <c r="Q1287" s="1791"/>
      <c r="R1287" s="1791"/>
      <c r="S1287" s="1791"/>
      <c r="T1287" s="1791"/>
      <c r="U1287" s="1791"/>
      <c r="V1287" s="1791"/>
      <c r="W1287" s="43"/>
      <c r="X1287" s="1791"/>
      <c r="Y1287" s="1791"/>
      <c r="Z1287" s="1791"/>
      <c r="AA1287" s="1791"/>
      <c r="AB1287" s="1791"/>
      <c r="AC1287" s="1791"/>
      <c r="AD1287" s="1791"/>
      <c r="AE1287" s="1791"/>
      <c r="AF1287" s="1791"/>
      <c r="AG1287" s="1791"/>
      <c r="AH1287" s="1791"/>
      <c r="AI1287" s="1791"/>
      <c r="AJ1287" s="1791"/>
      <c r="AK1287" s="1791"/>
      <c r="AL1287" s="1791"/>
      <c r="AM1287" s="1791"/>
      <c r="AN1287" s="1791"/>
      <c r="AO1287" s="1791"/>
      <c r="AP1287" s="1791"/>
      <c r="AQ1287" s="1791"/>
      <c r="AR1287" s="1791"/>
      <c r="AS1287" s="1791"/>
      <c r="AT1287" s="1791"/>
      <c r="AU1287" s="1791"/>
      <c r="AV1287" s="1791"/>
    </row>
    <row r="1288" spans="1:48">
      <c r="A1288" s="412"/>
      <c r="B1288" s="412" t="s">
        <v>1248</v>
      </c>
      <c r="C1288" s="412" t="s">
        <v>505</v>
      </c>
      <c r="D1288" s="1590"/>
      <c r="E1288" s="2224" t="s">
        <v>1924</v>
      </c>
      <c r="F1288" s="505">
        <v>2239</v>
      </c>
      <c r="G1288" s="772" t="s">
        <v>3720</v>
      </c>
      <c r="H1288" s="2636"/>
      <c r="I1288" s="2636">
        <v>500</v>
      </c>
      <c r="J1288" s="2636"/>
      <c r="K1288" s="2593"/>
      <c r="L1288" s="2594"/>
      <c r="M1288" s="2592">
        <v>500</v>
      </c>
      <c r="N1288" s="73"/>
      <c r="O1288" s="86"/>
      <c r="P1288" s="1817" t="e">
        <f>INDEX(#REF!,MATCH(F1288,#REF!,0),2)</f>
        <v>#REF!</v>
      </c>
      <c r="Q1288" s="1791"/>
      <c r="R1288" s="1791"/>
      <c r="S1288" s="1791"/>
      <c r="T1288" s="1791"/>
      <c r="U1288" s="1791"/>
      <c r="V1288" s="1791"/>
      <c r="W1288" s="43"/>
      <c r="X1288" s="1791"/>
      <c r="Y1288" s="1791"/>
      <c r="Z1288" s="1791"/>
      <c r="AA1288" s="1791"/>
      <c r="AB1288" s="1791"/>
      <c r="AC1288" s="1791"/>
      <c r="AD1288" s="1791"/>
      <c r="AE1288" s="1791"/>
      <c r="AF1288" s="1791"/>
      <c r="AG1288" s="1791"/>
      <c r="AH1288" s="1791"/>
      <c r="AI1288" s="1791"/>
      <c r="AJ1288" s="1791"/>
      <c r="AK1288" s="1791"/>
      <c r="AL1288" s="1791"/>
      <c r="AM1288" s="1791"/>
      <c r="AN1288" s="1791"/>
      <c r="AO1288" s="1791"/>
      <c r="AP1288" s="1791"/>
      <c r="AQ1288" s="1791"/>
      <c r="AR1288" s="1791"/>
      <c r="AS1288" s="1791"/>
      <c r="AT1288" s="1791"/>
      <c r="AU1288" s="1791"/>
      <c r="AV1288" s="1791"/>
    </row>
    <row r="1289" spans="1:48" s="158" customFormat="1" ht="11.25">
      <c r="A1289" s="412"/>
      <c r="B1289" s="412" t="s">
        <v>1248</v>
      </c>
      <c r="C1289" s="412" t="s">
        <v>505</v>
      </c>
      <c r="D1289" s="1590"/>
      <c r="E1289" s="2224" t="s">
        <v>1924</v>
      </c>
      <c r="F1289" s="505">
        <v>2239</v>
      </c>
      <c r="G1289" s="772" t="s">
        <v>1012</v>
      </c>
      <c r="H1289" s="2636"/>
      <c r="I1289" s="2636">
        <v>200</v>
      </c>
      <c r="J1289" s="2636"/>
      <c r="K1289" s="2593"/>
      <c r="L1289" s="2594"/>
      <c r="M1289" s="2592">
        <v>200</v>
      </c>
      <c r="N1289" s="73"/>
      <c r="O1289" s="86"/>
      <c r="P1289" s="1817" t="e">
        <f>INDEX(#REF!,MATCH(F1289,#REF!,0),2)</f>
        <v>#REF!</v>
      </c>
      <c r="W1289" s="1812"/>
    </row>
    <row r="1290" spans="1:48" s="158" customFormat="1" ht="11.25">
      <c r="A1290" s="559"/>
      <c r="B1290" s="506" t="s">
        <v>1248</v>
      </c>
      <c r="C1290" s="506" t="s">
        <v>505</v>
      </c>
      <c r="D1290" s="1589">
        <v>920</v>
      </c>
      <c r="E1290" s="2223" t="s">
        <v>1924</v>
      </c>
      <c r="F1290" s="540">
        <v>2241</v>
      </c>
      <c r="G1290" s="411" t="s">
        <v>276</v>
      </c>
      <c r="H1290" s="2635">
        <v>9000</v>
      </c>
      <c r="I1290" s="2635"/>
      <c r="J1290" s="2635"/>
      <c r="K1290" s="2647"/>
      <c r="L1290" s="2604">
        <v>25990</v>
      </c>
      <c r="M1290" s="2604"/>
      <c r="N1290" s="73"/>
      <c r="O1290" s="86"/>
      <c r="P1290" s="1817" t="e">
        <f>INDEX(#REF!,MATCH(F1290,#REF!,0),2)</f>
        <v>#REF!</v>
      </c>
      <c r="W1290" s="1812"/>
    </row>
    <row r="1291" spans="1:48" s="158" customFormat="1" ht="11.25">
      <c r="A1291" s="717"/>
      <c r="B1291" s="418" t="s">
        <v>1248</v>
      </c>
      <c r="C1291" s="418" t="s">
        <v>505</v>
      </c>
      <c r="D1291" s="1590"/>
      <c r="E1291" s="2224" t="s">
        <v>1924</v>
      </c>
      <c r="F1291" s="505">
        <v>2241</v>
      </c>
      <c r="G1291" s="772" t="s">
        <v>944</v>
      </c>
      <c r="H1291" s="2636"/>
      <c r="I1291" s="2636">
        <v>3000</v>
      </c>
      <c r="J1291" s="2636"/>
      <c r="K1291" s="2593"/>
      <c r="L1291" s="2592"/>
      <c r="M1291" s="2592">
        <v>3000</v>
      </c>
      <c r="N1291" s="73"/>
      <c r="O1291" s="86"/>
      <c r="P1291" s="1817" t="e">
        <f>INDEX(#REF!,MATCH(F1291,#REF!,0),2)</f>
        <v>#REF!</v>
      </c>
      <c r="W1291" s="1812"/>
    </row>
    <row r="1292" spans="1:48" ht="90">
      <c r="A1292" s="855"/>
      <c r="B1292" s="778" t="s">
        <v>1248</v>
      </c>
      <c r="C1292" s="418" t="s">
        <v>505</v>
      </c>
      <c r="D1292" s="1590"/>
      <c r="E1292" s="2224" t="s">
        <v>1924</v>
      </c>
      <c r="F1292" s="505">
        <v>2241</v>
      </c>
      <c r="G1292" s="2774" t="s">
        <v>3721</v>
      </c>
      <c r="H1292" s="2636"/>
      <c r="I1292" s="2636">
        <v>4000</v>
      </c>
      <c r="J1292" s="2636"/>
      <c r="K1292" s="2593"/>
      <c r="L1292" s="2592"/>
      <c r="M1292" s="2592">
        <v>22990</v>
      </c>
      <c r="N1292" s="154" t="s">
        <v>3722</v>
      </c>
      <c r="O1292" s="86"/>
      <c r="P1292" s="1817" t="e">
        <f>INDEX(#REF!,MATCH(F1292,#REF!,0),2)</f>
        <v>#REF!</v>
      </c>
      <c r="Q1292" s="1779"/>
      <c r="R1292" s="1779"/>
      <c r="S1292" s="1779"/>
      <c r="T1292" s="1779"/>
      <c r="U1292" s="1779"/>
      <c r="V1292" s="1779"/>
      <c r="W1292" s="43"/>
      <c r="X1292" s="1779"/>
      <c r="Y1292" s="1779"/>
      <c r="Z1292" s="1779"/>
      <c r="AA1292" s="1779"/>
      <c r="AB1292" s="1779"/>
      <c r="AC1292" s="1779"/>
      <c r="AD1292" s="1779"/>
      <c r="AE1292" s="1779"/>
      <c r="AF1292" s="1779"/>
      <c r="AG1292" s="1779"/>
      <c r="AH1292" s="1779"/>
      <c r="AI1292" s="1779"/>
      <c r="AJ1292" s="1779"/>
      <c r="AK1292" s="1779"/>
      <c r="AL1292" s="1779"/>
      <c r="AM1292" s="1779"/>
      <c r="AN1292" s="1779"/>
      <c r="AO1292" s="1779"/>
      <c r="AP1292" s="1779"/>
      <c r="AQ1292" s="1779"/>
      <c r="AR1292" s="1779"/>
      <c r="AS1292" s="1779"/>
      <c r="AT1292" s="1779"/>
      <c r="AU1292" s="1779"/>
      <c r="AV1292" s="1779"/>
    </row>
    <row r="1293" spans="1:48" ht="22.5">
      <c r="A1293" s="717"/>
      <c r="B1293" s="418" t="s">
        <v>1248</v>
      </c>
      <c r="C1293" s="418" t="s">
        <v>505</v>
      </c>
      <c r="D1293" s="1590"/>
      <c r="E1293" s="2224" t="s">
        <v>1924</v>
      </c>
      <c r="F1293" s="505">
        <v>2241</v>
      </c>
      <c r="G1293" s="772" t="s">
        <v>2220</v>
      </c>
      <c r="H1293" s="2636"/>
      <c r="I1293" s="2636">
        <v>2000</v>
      </c>
      <c r="J1293" s="2636"/>
      <c r="K1293" s="2593"/>
      <c r="L1293" s="2594"/>
      <c r="M1293" s="2594"/>
      <c r="N1293" s="73"/>
      <c r="O1293" s="86"/>
      <c r="P1293" s="1817" t="e">
        <f>INDEX(#REF!,MATCH(F1293,#REF!,0),2)</f>
        <v>#REF!</v>
      </c>
      <c r="Q1293" s="1779"/>
      <c r="R1293" s="1779"/>
      <c r="S1293" s="1779"/>
      <c r="T1293" s="1779"/>
      <c r="U1293" s="1779"/>
      <c r="V1293" s="1779"/>
      <c r="W1293" s="43"/>
      <c r="X1293" s="1779"/>
      <c r="Y1293" s="1779"/>
      <c r="Z1293" s="1779"/>
      <c r="AA1293" s="1779"/>
      <c r="AB1293" s="1779"/>
      <c r="AC1293" s="1779"/>
      <c r="AD1293" s="1779"/>
      <c r="AE1293" s="1779"/>
      <c r="AF1293" s="1779"/>
      <c r="AG1293" s="1779"/>
      <c r="AH1293" s="1779"/>
      <c r="AI1293" s="1779"/>
      <c r="AJ1293" s="1779"/>
      <c r="AK1293" s="1779"/>
      <c r="AL1293" s="1779"/>
      <c r="AM1293" s="1779"/>
      <c r="AN1293" s="1779"/>
      <c r="AO1293" s="1779"/>
      <c r="AP1293" s="1779"/>
      <c r="AQ1293" s="1779"/>
      <c r="AR1293" s="1779"/>
      <c r="AS1293" s="1779"/>
      <c r="AT1293" s="1779"/>
      <c r="AU1293" s="1779"/>
      <c r="AV1293" s="1779"/>
    </row>
    <row r="1294" spans="1:48">
      <c r="A1294" s="559"/>
      <c r="B1294" s="506" t="s">
        <v>1248</v>
      </c>
      <c r="C1294" s="506" t="s">
        <v>505</v>
      </c>
      <c r="D1294" s="1589">
        <v>920</v>
      </c>
      <c r="E1294" s="2223" t="s">
        <v>1924</v>
      </c>
      <c r="F1294" s="540">
        <v>2243</v>
      </c>
      <c r="G1294" s="411" t="s">
        <v>279</v>
      </c>
      <c r="H1294" s="2635">
        <v>8376</v>
      </c>
      <c r="I1294" s="2635"/>
      <c r="J1294" s="2635">
        <v>7806.17</v>
      </c>
      <c r="K1294" s="2647"/>
      <c r="L1294" s="2604">
        <v>8800.1</v>
      </c>
      <c r="M1294" s="2606"/>
      <c r="N1294" s="73"/>
      <c r="O1294" s="86"/>
      <c r="P1294" s="1817" t="e">
        <f>INDEX(#REF!,MATCH(F1294,#REF!,0),2)</f>
        <v>#REF!</v>
      </c>
      <c r="Q1294" s="43"/>
      <c r="R1294" s="43"/>
      <c r="S1294" s="43"/>
      <c r="T1294" s="43"/>
      <c r="U1294" s="43"/>
      <c r="V1294" s="43"/>
      <c r="W1294" s="43"/>
      <c r="X1294" s="43"/>
      <c r="Y1294" s="43"/>
      <c r="Z1294" s="43"/>
      <c r="AA1294" s="43"/>
      <c r="AB1294" s="43"/>
      <c r="AC1294" s="43"/>
      <c r="AD1294" s="43"/>
      <c r="AE1294" s="43"/>
      <c r="AF1294" s="43"/>
      <c r="AG1294" s="43"/>
      <c r="AH1294" s="43"/>
      <c r="AI1294" s="43"/>
      <c r="AJ1294" s="43"/>
      <c r="AK1294" s="43"/>
      <c r="AL1294" s="43"/>
      <c r="AM1294" s="43"/>
      <c r="AN1294" s="43"/>
      <c r="AO1294" s="43"/>
      <c r="AP1294" s="43"/>
      <c r="AQ1294" s="43"/>
      <c r="AR1294" s="43"/>
      <c r="AS1294" s="43"/>
      <c r="AT1294" s="43"/>
      <c r="AU1294" s="43"/>
      <c r="AV1294" s="43"/>
    </row>
    <row r="1295" spans="1:48" ht="33.75">
      <c r="A1295" s="717"/>
      <c r="B1295" s="418" t="s">
        <v>1248</v>
      </c>
      <c r="C1295" s="418" t="s">
        <v>505</v>
      </c>
      <c r="D1295" s="1590"/>
      <c r="E1295" s="2224" t="s">
        <v>1924</v>
      </c>
      <c r="F1295" s="505">
        <v>2243</v>
      </c>
      <c r="G1295" s="2781" t="s">
        <v>3723</v>
      </c>
      <c r="H1295" s="2636"/>
      <c r="I1295" s="2636">
        <v>1800</v>
      </c>
      <c r="J1295" s="2636"/>
      <c r="K1295" s="2593"/>
      <c r="L1295" s="2594"/>
      <c r="M1295" s="2592">
        <v>2601.5</v>
      </c>
      <c r="N1295" s="73"/>
      <c r="O1295" s="86"/>
      <c r="P1295" s="1817" t="e">
        <f>INDEX(#REF!,MATCH(F1295,#REF!,0),2)</f>
        <v>#REF!</v>
      </c>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3"/>
      <c r="AT1295" s="43"/>
      <c r="AU1295" s="43"/>
      <c r="AV1295" s="43"/>
    </row>
    <row r="1296" spans="1:48" s="158" customFormat="1" ht="22.5">
      <c r="A1296" s="1891"/>
      <c r="B1296" s="418" t="s">
        <v>1248</v>
      </c>
      <c r="C1296" s="418" t="s">
        <v>505</v>
      </c>
      <c r="D1296" s="1590"/>
      <c r="E1296" s="2224" t="s">
        <v>1924</v>
      </c>
      <c r="F1296" s="505">
        <v>2243</v>
      </c>
      <c r="G1296" s="2384" t="s">
        <v>3297</v>
      </c>
      <c r="H1296" s="2636"/>
      <c r="I1296" s="2636">
        <v>539</v>
      </c>
      <c r="J1296" s="2636"/>
      <c r="K1296" s="2593"/>
      <c r="L1296" s="2594"/>
      <c r="M1296" s="2594"/>
      <c r="N1296" s="73"/>
      <c r="O1296" s="86"/>
      <c r="P1296" s="1817" t="e">
        <f>INDEX(#REF!,MATCH(F1296,#REF!,0),2)</f>
        <v>#REF!</v>
      </c>
      <c r="W1296" s="1812"/>
    </row>
    <row r="1297" spans="1:23" s="158" customFormat="1" ht="45">
      <c r="A1297" s="717"/>
      <c r="B1297" s="418" t="s">
        <v>1248</v>
      </c>
      <c r="C1297" s="418" t="s">
        <v>505</v>
      </c>
      <c r="D1297" s="1590"/>
      <c r="E1297" s="2224" t="s">
        <v>1924</v>
      </c>
      <c r="F1297" s="505">
        <v>2243</v>
      </c>
      <c r="G1297" s="2774" t="s">
        <v>3724</v>
      </c>
      <c r="H1297" s="2636"/>
      <c r="I1297" s="2636">
        <v>610</v>
      </c>
      <c r="J1297" s="2636"/>
      <c r="K1297" s="2593"/>
      <c r="L1297" s="2594"/>
      <c r="M1297" s="2592">
        <v>771.6</v>
      </c>
      <c r="N1297" s="73"/>
      <c r="O1297" s="86"/>
      <c r="P1297" s="1817" t="e">
        <f>INDEX(#REF!,MATCH(F1297,#REF!,0),2)</f>
        <v>#REF!</v>
      </c>
      <c r="W1297" s="1812"/>
    </row>
    <row r="1298" spans="1:23" s="158" customFormat="1" ht="11.25">
      <c r="A1298" s="717"/>
      <c r="B1298" s="418" t="s">
        <v>1248</v>
      </c>
      <c r="C1298" s="418" t="s">
        <v>505</v>
      </c>
      <c r="D1298" s="1590"/>
      <c r="E1298" s="2224" t="s">
        <v>1924</v>
      </c>
      <c r="F1298" s="505">
        <v>2243</v>
      </c>
      <c r="G1298" s="410" t="s">
        <v>2658</v>
      </c>
      <c r="H1298" s="2636"/>
      <c r="I1298" s="2636">
        <v>400</v>
      </c>
      <c r="J1298" s="2636"/>
      <c r="K1298" s="2593"/>
      <c r="L1298" s="2594"/>
      <c r="M1298" s="2592">
        <v>400</v>
      </c>
      <c r="N1298" s="73"/>
      <c r="O1298" s="86"/>
      <c r="P1298" s="1817" t="e">
        <f>INDEX(#REF!,MATCH(F1298,#REF!,0),2)</f>
        <v>#REF!</v>
      </c>
      <c r="W1298" s="1812"/>
    </row>
    <row r="1299" spans="1:23" s="158" customFormat="1" ht="11.25">
      <c r="A1299" s="717"/>
      <c r="B1299" s="418" t="s">
        <v>1248</v>
      </c>
      <c r="C1299" s="418" t="s">
        <v>505</v>
      </c>
      <c r="D1299" s="1590"/>
      <c r="E1299" s="2224" t="s">
        <v>1924</v>
      </c>
      <c r="F1299" s="505">
        <v>2243</v>
      </c>
      <c r="G1299" s="410" t="s">
        <v>885</v>
      </c>
      <c r="H1299" s="2636"/>
      <c r="I1299" s="2636">
        <v>300</v>
      </c>
      <c r="J1299" s="2636"/>
      <c r="K1299" s="2593"/>
      <c r="L1299" s="2594"/>
      <c r="M1299" s="2592">
        <v>300</v>
      </c>
      <c r="N1299" s="73"/>
      <c r="O1299" s="86"/>
      <c r="P1299" s="1817" t="e">
        <f>INDEX(#REF!,MATCH(F1299,#REF!,0),2)</f>
        <v>#REF!</v>
      </c>
      <c r="W1299" s="1812"/>
    </row>
    <row r="1300" spans="1:23" s="158" customFormat="1" ht="11.25">
      <c r="A1300" s="717"/>
      <c r="B1300" s="418" t="s">
        <v>1248</v>
      </c>
      <c r="C1300" s="418" t="s">
        <v>505</v>
      </c>
      <c r="D1300" s="1590"/>
      <c r="E1300" s="2224" t="s">
        <v>1924</v>
      </c>
      <c r="F1300" s="505">
        <v>2243</v>
      </c>
      <c r="G1300" s="1567" t="s">
        <v>3726</v>
      </c>
      <c r="H1300" s="2636"/>
      <c r="I1300" s="2636">
        <v>700</v>
      </c>
      <c r="J1300" s="2636"/>
      <c r="K1300" s="2593"/>
      <c r="L1300" s="2594"/>
      <c r="M1300" s="2592">
        <v>700</v>
      </c>
      <c r="N1300" s="73"/>
      <c r="O1300" s="86"/>
      <c r="P1300" s="1817" t="e">
        <f>INDEX(#REF!,MATCH(F1300,#REF!,0),2)</f>
        <v>#REF!</v>
      </c>
      <c r="W1300" s="1812"/>
    </row>
    <row r="1301" spans="1:23" s="158" customFormat="1" ht="11.25">
      <c r="A1301" s="418"/>
      <c r="B1301" s="418" t="s">
        <v>1248</v>
      </c>
      <c r="C1301" s="418" t="s">
        <v>505</v>
      </c>
      <c r="D1301" s="1590"/>
      <c r="E1301" s="2224" t="s">
        <v>1924</v>
      </c>
      <c r="F1301" s="505">
        <v>2243</v>
      </c>
      <c r="G1301" s="811" t="s">
        <v>3725</v>
      </c>
      <c r="H1301" s="2636"/>
      <c r="I1301" s="2636">
        <v>200</v>
      </c>
      <c r="J1301" s="2636"/>
      <c r="K1301" s="2593"/>
      <c r="L1301" s="2594"/>
      <c r="M1301" s="2592">
        <v>200</v>
      </c>
      <c r="N1301" s="73"/>
      <c r="O1301" s="86"/>
      <c r="P1301" s="1817" t="e">
        <f>INDEX(#REF!,MATCH(F1301,#REF!,0),2)</f>
        <v>#REF!</v>
      </c>
      <c r="W1301" s="1812"/>
    </row>
    <row r="1302" spans="1:23" s="158" customFormat="1" ht="45">
      <c r="A1302" s="418"/>
      <c r="B1302" s="418" t="s">
        <v>1248</v>
      </c>
      <c r="C1302" s="418" t="s">
        <v>505</v>
      </c>
      <c r="D1302" s="1590"/>
      <c r="E1302" s="2224" t="s">
        <v>1924</v>
      </c>
      <c r="F1302" s="505">
        <v>2243</v>
      </c>
      <c r="G1302" s="2774" t="s">
        <v>2221</v>
      </c>
      <c r="H1302" s="2636"/>
      <c r="I1302" s="2636">
        <v>3227</v>
      </c>
      <c r="J1302" s="2636"/>
      <c r="K1302" s="2593"/>
      <c r="L1302" s="2594"/>
      <c r="M1302" s="2592">
        <v>3227</v>
      </c>
      <c r="N1302" s="73"/>
      <c r="O1302" s="86"/>
      <c r="P1302" s="1817" t="e">
        <f>INDEX(#REF!,MATCH(F1302,#REF!,0),2)</f>
        <v>#REF!</v>
      </c>
      <c r="W1302" s="1812"/>
    </row>
    <row r="1303" spans="1:23" s="158" customFormat="1" ht="22.5">
      <c r="A1303" s="717"/>
      <c r="B1303" s="418" t="s">
        <v>1248</v>
      </c>
      <c r="C1303" s="418" t="s">
        <v>505</v>
      </c>
      <c r="D1303" s="1590"/>
      <c r="E1303" s="2224" t="s">
        <v>1924</v>
      </c>
      <c r="F1303" s="505">
        <v>2243</v>
      </c>
      <c r="G1303" s="772" t="s">
        <v>704</v>
      </c>
      <c r="H1303" s="2636"/>
      <c r="I1303" s="2636">
        <v>500</v>
      </c>
      <c r="J1303" s="2636"/>
      <c r="K1303" s="2593"/>
      <c r="L1303" s="2594"/>
      <c r="M1303" s="2592">
        <v>500</v>
      </c>
      <c r="N1303" s="73"/>
      <c r="O1303" s="86"/>
      <c r="P1303" s="1817" t="e">
        <f>INDEX(#REF!,MATCH(F1303,#REF!,0),2)</f>
        <v>#REF!</v>
      </c>
      <c r="W1303" s="1812"/>
    </row>
    <row r="1304" spans="1:23" s="158" customFormat="1" ht="33.75">
      <c r="A1304" s="717"/>
      <c r="B1304" s="418" t="s">
        <v>1248</v>
      </c>
      <c r="C1304" s="418" t="s">
        <v>505</v>
      </c>
      <c r="D1304" s="1590"/>
      <c r="E1304" s="2224" t="s">
        <v>1924</v>
      </c>
      <c r="F1304" s="505">
        <v>2243</v>
      </c>
      <c r="G1304" s="772" t="s">
        <v>833</v>
      </c>
      <c r="H1304" s="2636"/>
      <c r="I1304" s="2636">
        <v>100</v>
      </c>
      <c r="J1304" s="2636"/>
      <c r="K1304" s="2593"/>
      <c r="L1304" s="2594"/>
      <c r="M1304" s="2592">
        <v>100</v>
      </c>
      <c r="N1304" s="73"/>
      <c r="O1304" s="86"/>
      <c r="P1304" s="1817" t="e">
        <f>INDEX(#REF!,MATCH(F1304,#REF!,0),2)</f>
        <v>#REF!</v>
      </c>
      <c r="W1304" s="1812"/>
    </row>
    <row r="1305" spans="1:23" s="158" customFormat="1" ht="11.25">
      <c r="A1305" s="559"/>
      <c r="B1305" s="506" t="s">
        <v>1248</v>
      </c>
      <c r="C1305" s="506" t="s">
        <v>505</v>
      </c>
      <c r="D1305" s="1589">
        <v>920</v>
      </c>
      <c r="E1305" s="2223" t="s">
        <v>1924</v>
      </c>
      <c r="F1305" s="540">
        <v>2244</v>
      </c>
      <c r="G1305" s="411" t="s">
        <v>280</v>
      </c>
      <c r="H1305" s="2635">
        <v>8276</v>
      </c>
      <c r="I1305" s="2635"/>
      <c r="J1305" s="2635">
        <v>5289</v>
      </c>
      <c r="K1305" s="2647"/>
      <c r="L1305" s="2604">
        <v>7140</v>
      </c>
      <c r="M1305" s="2606"/>
      <c r="N1305" s="73"/>
      <c r="O1305" s="86"/>
      <c r="P1305" s="1817" t="e">
        <f>INDEX(#REF!,MATCH(F1305,#REF!,0),2)</f>
        <v>#REF!</v>
      </c>
      <c r="W1305" s="1812"/>
    </row>
    <row r="1306" spans="1:23" s="158" customFormat="1" ht="56.25">
      <c r="A1306" s="717"/>
      <c r="B1306" s="418" t="s">
        <v>1248</v>
      </c>
      <c r="C1306" s="418" t="s">
        <v>505</v>
      </c>
      <c r="D1306" s="1590"/>
      <c r="E1306" s="2224" t="s">
        <v>1924</v>
      </c>
      <c r="F1306" s="505">
        <v>2244</v>
      </c>
      <c r="G1306" s="2782" t="s">
        <v>3727</v>
      </c>
      <c r="H1306" s="2636"/>
      <c r="I1306" s="2636">
        <v>1899</v>
      </c>
      <c r="J1306" s="2636"/>
      <c r="K1306" s="2593"/>
      <c r="L1306" s="2594"/>
      <c r="M1306" s="2592">
        <v>863</v>
      </c>
      <c r="N1306" s="73"/>
      <c r="O1306" s="86"/>
      <c r="P1306" s="1817" t="e">
        <f>INDEX(#REF!,MATCH(F1306,#REF!,0),2)</f>
        <v>#REF!</v>
      </c>
      <c r="W1306" s="1812"/>
    </row>
    <row r="1307" spans="1:23" s="158" customFormat="1" ht="22.5">
      <c r="A1307" s="717"/>
      <c r="B1307" s="418" t="s">
        <v>1248</v>
      </c>
      <c r="C1307" s="418" t="s">
        <v>505</v>
      </c>
      <c r="D1307" s="1590"/>
      <c r="E1307" s="2224" t="s">
        <v>1924</v>
      </c>
      <c r="F1307" s="505">
        <v>2244</v>
      </c>
      <c r="G1307" s="320" t="s">
        <v>3728</v>
      </c>
      <c r="H1307" s="2636"/>
      <c r="I1307" s="2636">
        <v>936</v>
      </c>
      <c r="J1307" s="2636"/>
      <c r="K1307" s="2593"/>
      <c r="L1307" s="2594"/>
      <c r="M1307" s="2592">
        <v>756</v>
      </c>
      <c r="N1307" s="73"/>
      <c r="O1307" s="86"/>
      <c r="P1307" s="1817" t="e">
        <f>INDEX(#REF!,MATCH(F1307,#REF!,0),2)</f>
        <v>#REF!</v>
      </c>
      <c r="W1307" s="1812"/>
    </row>
    <row r="1308" spans="1:23" s="158" customFormat="1" ht="22.5">
      <c r="A1308" s="717"/>
      <c r="B1308" s="418" t="s">
        <v>1248</v>
      </c>
      <c r="C1308" s="418" t="s">
        <v>505</v>
      </c>
      <c r="D1308" s="1590"/>
      <c r="E1308" s="2224" t="s">
        <v>1924</v>
      </c>
      <c r="F1308" s="505">
        <v>2244</v>
      </c>
      <c r="G1308" s="1570" t="s">
        <v>3729</v>
      </c>
      <c r="H1308" s="2636"/>
      <c r="I1308" s="2636">
        <v>3000</v>
      </c>
      <c r="J1308" s="2636"/>
      <c r="K1308" s="2593"/>
      <c r="L1308" s="2594"/>
      <c r="M1308" s="2592">
        <v>3000</v>
      </c>
      <c r="N1308" s="73"/>
      <c r="O1308" s="86"/>
      <c r="P1308" s="1817" t="e">
        <f>INDEX(#REF!,MATCH(F1308,#REF!,0),2)</f>
        <v>#REF!</v>
      </c>
      <c r="W1308" s="1812"/>
    </row>
    <row r="1309" spans="1:23" s="158" customFormat="1" ht="45">
      <c r="A1309" s="717"/>
      <c r="B1309" s="418" t="s">
        <v>1248</v>
      </c>
      <c r="C1309" s="418" t="s">
        <v>505</v>
      </c>
      <c r="D1309" s="1590"/>
      <c r="E1309" s="2224" t="s">
        <v>1924</v>
      </c>
      <c r="F1309" s="505">
        <v>2244</v>
      </c>
      <c r="G1309" s="2783" t="s">
        <v>3730</v>
      </c>
      <c r="H1309" s="2636"/>
      <c r="I1309" s="2636">
        <v>1416</v>
      </c>
      <c r="J1309" s="2670"/>
      <c r="K1309" s="2593"/>
      <c r="L1309" s="2594"/>
      <c r="M1309" s="2592">
        <v>1416</v>
      </c>
      <c r="N1309" s="73"/>
      <c r="O1309" s="86"/>
      <c r="P1309" s="1817" t="e">
        <f>INDEX(#REF!,MATCH(F1309,#REF!,0),2)</f>
        <v>#REF!</v>
      </c>
      <c r="W1309" s="1812"/>
    </row>
    <row r="1310" spans="1:23" s="158" customFormat="1" ht="33.75">
      <c r="A1310" s="717"/>
      <c r="B1310" s="418" t="s">
        <v>1248</v>
      </c>
      <c r="C1310" s="418" t="s">
        <v>505</v>
      </c>
      <c r="D1310" s="1590"/>
      <c r="E1310" s="2224" t="s">
        <v>1924</v>
      </c>
      <c r="F1310" s="505">
        <v>2244</v>
      </c>
      <c r="G1310" s="2784" t="s">
        <v>1443</v>
      </c>
      <c r="H1310" s="2636"/>
      <c r="I1310" s="2636">
        <v>605</v>
      </c>
      <c r="J1310" s="2670"/>
      <c r="K1310" s="2593"/>
      <c r="L1310" s="2594"/>
      <c r="M1310" s="2592">
        <v>605</v>
      </c>
      <c r="N1310" s="73"/>
      <c r="O1310" s="86"/>
      <c r="P1310" s="1817" t="e">
        <f>INDEX(#REF!,MATCH(F1310,#REF!,0),2)</f>
        <v>#REF!</v>
      </c>
      <c r="W1310" s="1812"/>
    </row>
    <row r="1311" spans="1:23" s="158" customFormat="1" ht="11.25">
      <c r="A1311" s="717"/>
      <c r="B1311" s="418" t="s">
        <v>1248</v>
      </c>
      <c r="C1311" s="418" t="s">
        <v>505</v>
      </c>
      <c r="D1311" s="1590"/>
      <c r="E1311" s="2224" t="s">
        <v>1924</v>
      </c>
      <c r="F1311" s="505">
        <v>2244</v>
      </c>
      <c r="G1311" s="716" t="s">
        <v>3731</v>
      </c>
      <c r="H1311" s="2636"/>
      <c r="I1311" s="2636">
        <v>420</v>
      </c>
      <c r="J1311" s="2636"/>
      <c r="K1311" s="2593"/>
      <c r="L1311" s="2594"/>
      <c r="M1311" s="2592">
        <v>500</v>
      </c>
      <c r="N1311" s="73"/>
      <c r="O1311" s="86"/>
      <c r="P1311" s="1817" t="e">
        <f>INDEX(#REF!,MATCH(F1311,#REF!,0),2)</f>
        <v>#REF!</v>
      </c>
      <c r="W1311" s="1812"/>
    </row>
    <row r="1312" spans="1:23" s="158" customFormat="1" ht="11.25">
      <c r="A1312" s="559"/>
      <c r="B1312" s="506" t="s">
        <v>1248</v>
      </c>
      <c r="C1312" s="506" t="s">
        <v>505</v>
      </c>
      <c r="D1312" s="1589">
        <v>920</v>
      </c>
      <c r="E1312" s="2223" t="s">
        <v>1924</v>
      </c>
      <c r="F1312" s="540">
        <v>2247</v>
      </c>
      <c r="G1312" s="411" t="s">
        <v>309</v>
      </c>
      <c r="H1312" s="2635">
        <v>11500</v>
      </c>
      <c r="I1312" s="2635"/>
      <c r="J1312" s="2635">
        <v>500</v>
      </c>
      <c r="K1312" s="2647"/>
      <c r="L1312" s="2604">
        <v>10600</v>
      </c>
      <c r="M1312" s="2606"/>
      <c r="N1312" s="73"/>
      <c r="O1312" s="86"/>
      <c r="P1312" s="1817" t="e">
        <f>INDEX(#REF!,MATCH(F1312,#REF!,0),2)</f>
        <v>#REF!</v>
      </c>
      <c r="W1312" s="1812"/>
    </row>
    <row r="1313" spans="1:48" s="158" customFormat="1" ht="33.75">
      <c r="A1313" s="717"/>
      <c r="B1313" s="418" t="s">
        <v>1248</v>
      </c>
      <c r="C1313" s="418" t="s">
        <v>505</v>
      </c>
      <c r="D1313" s="1590"/>
      <c r="E1313" s="2224" t="s">
        <v>1924</v>
      </c>
      <c r="F1313" s="505">
        <v>2247</v>
      </c>
      <c r="G1313" s="2774" t="s">
        <v>3732</v>
      </c>
      <c r="H1313" s="2636"/>
      <c r="I1313" s="2636">
        <v>450</v>
      </c>
      <c r="J1313" s="2636"/>
      <c r="K1313" s="2593"/>
      <c r="L1313" s="2594"/>
      <c r="M1313" s="2592"/>
      <c r="N1313" s="73"/>
      <c r="O1313" s="86"/>
      <c r="P1313" s="1817" t="e">
        <f>INDEX(#REF!,MATCH(F1313,#REF!,0),2)</f>
        <v>#REF!</v>
      </c>
      <c r="W1313" s="1812"/>
    </row>
    <row r="1314" spans="1:48" s="158" customFormat="1" ht="22.5">
      <c r="A1314" s="4576"/>
      <c r="B1314" s="418" t="s">
        <v>1248</v>
      </c>
      <c r="C1314" s="418" t="s">
        <v>505</v>
      </c>
      <c r="D1314" s="1590"/>
      <c r="E1314" s="2224" t="s">
        <v>1924</v>
      </c>
      <c r="F1314" s="505">
        <v>2247</v>
      </c>
      <c r="G1314" s="2774" t="s">
        <v>6201</v>
      </c>
      <c r="H1314" s="4577"/>
      <c r="I1314" s="4577"/>
      <c r="J1314" s="4577"/>
      <c r="K1314" s="4578"/>
      <c r="L1314" s="4579"/>
      <c r="M1314" s="4381">
        <v>1600</v>
      </c>
      <c r="N1314" s="73"/>
      <c r="O1314" s="86"/>
      <c r="P1314" s="1817"/>
      <c r="W1314" s="1812"/>
    </row>
    <row r="1315" spans="1:48" s="158" customFormat="1" ht="22.5">
      <c r="A1315" s="1891"/>
      <c r="B1315" s="418" t="s">
        <v>1248</v>
      </c>
      <c r="C1315" s="418" t="s">
        <v>505</v>
      </c>
      <c r="D1315" s="1590"/>
      <c r="E1315" s="2224" t="s">
        <v>1924</v>
      </c>
      <c r="F1315" s="505">
        <v>2247</v>
      </c>
      <c r="G1315" s="2774" t="s">
        <v>3733</v>
      </c>
      <c r="H1315" s="2636"/>
      <c r="I1315" s="2636">
        <v>11050</v>
      </c>
      <c r="J1315" s="2636"/>
      <c r="K1315" s="2593"/>
      <c r="L1315" s="2594"/>
      <c r="M1315" s="2592">
        <v>9000</v>
      </c>
      <c r="N1315" s="73"/>
      <c r="O1315" s="86"/>
      <c r="P1315" s="1817" t="e">
        <f>INDEX(#REF!,MATCH(F1315,#REF!,0),2)</f>
        <v>#REF!</v>
      </c>
      <c r="W1315" s="1812"/>
    </row>
    <row r="1316" spans="1:48" s="158" customFormat="1" ht="11.25">
      <c r="A1316" s="506"/>
      <c r="B1316" s="506" t="s">
        <v>1248</v>
      </c>
      <c r="C1316" s="506" t="s">
        <v>505</v>
      </c>
      <c r="D1316" s="1589">
        <v>920</v>
      </c>
      <c r="E1316" s="2223" t="s">
        <v>1924</v>
      </c>
      <c r="F1316" s="540">
        <v>2249</v>
      </c>
      <c r="G1316" s="411" t="s">
        <v>283</v>
      </c>
      <c r="H1316" s="2635">
        <v>10091.805400000001</v>
      </c>
      <c r="I1316" s="2635"/>
      <c r="J1316" s="2635">
        <v>3524.52</v>
      </c>
      <c r="K1316" s="2647"/>
      <c r="L1316" s="2604">
        <v>7932.8054000000002</v>
      </c>
      <c r="M1316" s="2606"/>
      <c r="N1316" s="73"/>
      <c r="O1316" s="86"/>
      <c r="P1316" s="1817" t="e">
        <f>INDEX(#REF!,MATCH(F1316,#REF!,0),2)</f>
        <v>#REF!</v>
      </c>
      <c r="W1316" s="1812"/>
    </row>
    <row r="1317" spans="1:48" s="158" customFormat="1" ht="45">
      <c r="A1317" s="718"/>
      <c r="B1317" s="418" t="s">
        <v>1248</v>
      </c>
      <c r="C1317" s="418" t="s">
        <v>505</v>
      </c>
      <c r="D1317" s="1590"/>
      <c r="E1317" s="2224" t="s">
        <v>1924</v>
      </c>
      <c r="F1317" s="505">
        <v>2249</v>
      </c>
      <c r="G1317" s="2782" t="s">
        <v>3734</v>
      </c>
      <c r="H1317" s="2770"/>
      <c r="I1317" s="2636">
        <v>3080.8</v>
      </c>
      <c r="J1317" s="4813"/>
      <c r="K1317" s="2771"/>
      <c r="L1317" s="2772"/>
      <c r="M1317" s="2592">
        <v>3080.8</v>
      </c>
      <c r="N1317" s="73"/>
      <c r="O1317" s="86"/>
      <c r="P1317" s="1817" t="e">
        <f>INDEX(#REF!,MATCH(F1317,#REF!,0),2)</f>
        <v>#REF!</v>
      </c>
      <c r="W1317" s="1812"/>
    </row>
    <row r="1318" spans="1:48" s="158" customFormat="1" ht="33.75">
      <c r="A1318" s="718"/>
      <c r="B1318" s="418" t="s">
        <v>1248</v>
      </c>
      <c r="C1318" s="418" t="s">
        <v>505</v>
      </c>
      <c r="D1318" s="1590"/>
      <c r="E1318" s="2224" t="s">
        <v>1924</v>
      </c>
      <c r="F1318" s="505">
        <v>2249</v>
      </c>
      <c r="G1318" s="2774" t="s">
        <v>2222</v>
      </c>
      <c r="H1318" s="2770"/>
      <c r="I1318" s="2636">
        <v>1200.0054</v>
      </c>
      <c r="J1318" s="4813"/>
      <c r="K1318" s="2771"/>
      <c r="L1318" s="2772"/>
      <c r="M1318" s="2592">
        <v>1200.0054</v>
      </c>
      <c r="N1318" s="73"/>
      <c r="O1318" s="86"/>
      <c r="P1318" s="1817" t="e">
        <f>INDEX(#REF!,MATCH(F1318,#REF!,0),2)</f>
        <v>#REF!</v>
      </c>
      <c r="W1318" s="1812"/>
    </row>
    <row r="1319" spans="1:48" s="158" customFormat="1" ht="33.75">
      <c r="A1319" s="718"/>
      <c r="B1319" s="418" t="s">
        <v>1248</v>
      </c>
      <c r="C1319" s="418" t="s">
        <v>505</v>
      </c>
      <c r="D1319" s="1590"/>
      <c r="E1319" s="2224" t="s">
        <v>1924</v>
      </c>
      <c r="F1319" s="505">
        <v>2249</v>
      </c>
      <c r="G1319" s="2774" t="s">
        <v>3735</v>
      </c>
      <c r="H1319" s="2770"/>
      <c r="I1319" s="2636">
        <v>2272</v>
      </c>
      <c r="J1319" s="2636"/>
      <c r="K1319" s="2771"/>
      <c r="L1319" s="2772"/>
      <c r="M1319" s="2592">
        <v>2272</v>
      </c>
      <c r="N1319" s="73"/>
      <c r="O1319" s="86"/>
      <c r="P1319" s="1817" t="e">
        <f>INDEX(#REF!,MATCH(F1319,#REF!,0),2)</f>
        <v>#REF!</v>
      </c>
      <c r="W1319" s="1812"/>
    </row>
    <row r="1320" spans="1:48" s="158" customFormat="1" ht="22.5">
      <c r="A1320" s="718"/>
      <c r="B1320" s="418" t="s">
        <v>1248</v>
      </c>
      <c r="C1320" s="418" t="s">
        <v>505</v>
      </c>
      <c r="D1320" s="1590"/>
      <c r="E1320" s="2224" t="s">
        <v>1924</v>
      </c>
      <c r="F1320" s="505">
        <v>2249</v>
      </c>
      <c r="G1320" s="817" t="s">
        <v>377</v>
      </c>
      <c r="H1320" s="2770"/>
      <c r="I1320" s="2636">
        <v>250</v>
      </c>
      <c r="J1320" s="2636"/>
      <c r="K1320" s="2771"/>
      <c r="L1320" s="2772"/>
      <c r="M1320" s="2592">
        <v>300</v>
      </c>
      <c r="N1320" s="73"/>
      <c r="O1320" s="86"/>
      <c r="P1320" s="1817" t="e">
        <f>INDEX(#REF!,MATCH(F1320,#REF!,0),2)</f>
        <v>#REF!</v>
      </c>
      <c r="W1320" s="1812"/>
    </row>
    <row r="1321" spans="1:48" s="158" customFormat="1">
      <c r="A1321" s="718"/>
      <c r="B1321" s="418" t="s">
        <v>1248</v>
      </c>
      <c r="C1321" s="418" t="s">
        <v>505</v>
      </c>
      <c r="D1321" s="1590"/>
      <c r="E1321" s="2224" t="s">
        <v>1924</v>
      </c>
      <c r="F1321" s="505">
        <v>2249</v>
      </c>
      <c r="G1321" s="1032" t="s">
        <v>621</v>
      </c>
      <c r="H1321" s="2770"/>
      <c r="I1321" s="2636">
        <v>1080</v>
      </c>
      <c r="J1321" s="2636"/>
      <c r="K1321" s="2771"/>
      <c r="L1321" s="2772"/>
      <c r="M1321" s="2592">
        <v>1080</v>
      </c>
      <c r="N1321" s="73"/>
      <c r="O1321" s="86"/>
      <c r="P1321" s="1817" t="e">
        <f>INDEX(#REF!,MATCH(F1321,#REF!,0),2)</f>
        <v>#REF!</v>
      </c>
      <c r="W1321" s="1812"/>
    </row>
    <row r="1322" spans="1:48" s="158" customFormat="1">
      <c r="A1322" s="2070"/>
      <c r="B1322" s="418" t="s">
        <v>1248</v>
      </c>
      <c r="C1322" s="418" t="s">
        <v>505</v>
      </c>
      <c r="D1322" s="1590"/>
      <c r="E1322" s="2224" t="s">
        <v>1924</v>
      </c>
      <c r="F1322" s="505">
        <v>2249</v>
      </c>
      <c r="G1322" s="2071" t="s">
        <v>3026</v>
      </c>
      <c r="H1322" s="2770"/>
      <c r="I1322" s="2636">
        <v>1876</v>
      </c>
      <c r="J1322" s="2636"/>
      <c r="K1322" s="2771"/>
      <c r="L1322" s="2772"/>
      <c r="M1322" s="2594"/>
      <c r="N1322" s="73"/>
      <c r="O1322" s="86"/>
      <c r="P1322" s="1817" t="e">
        <f>INDEX(#REF!,MATCH(F1322,#REF!,0),2)</f>
        <v>#REF!</v>
      </c>
      <c r="W1322" s="1812"/>
    </row>
    <row r="1323" spans="1:48" s="158" customFormat="1">
      <c r="A1323" s="718"/>
      <c r="B1323" s="418" t="s">
        <v>1248</v>
      </c>
      <c r="C1323" s="418" t="s">
        <v>505</v>
      </c>
      <c r="D1323" s="1590"/>
      <c r="E1323" s="2224" t="s">
        <v>1924</v>
      </c>
      <c r="F1323" s="505">
        <v>2249</v>
      </c>
      <c r="G1323" s="1032" t="s">
        <v>1211</v>
      </c>
      <c r="H1323" s="2770"/>
      <c r="I1323" s="2636">
        <v>333</v>
      </c>
      <c r="J1323" s="2636"/>
      <c r="K1323" s="2771"/>
      <c r="L1323" s="2772"/>
      <c r="M1323" s="2594"/>
      <c r="N1323" s="73"/>
      <c r="O1323" s="86"/>
      <c r="P1323" s="1817" t="e">
        <f>INDEX(#REF!,MATCH(F1323,#REF!,0),2)</f>
        <v>#REF!</v>
      </c>
      <c r="W1323" s="1812"/>
    </row>
    <row r="1324" spans="1:48">
      <c r="A1324" s="506"/>
      <c r="B1324" s="506" t="s">
        <v>1248</v>
      </c>
      <c r="C1324" s="506" t="s">
        <v>507</v>
      </c>
      <c r="D1324" s="1589">
        <v>920</v>
      </c>
      <c r="E1324" s="2223" t="s">
        <v>1924</v>
      </c>
      <c r="F1324" s="540">
        <v>2250</v>
      </c>
      <c r="G1324" s="411" t="s">
        <v>1254</v>
      </c>
      <c r="H1324" s="2635">
        <v>1766</v>
      </c>
      <c r="I1324" s="2635"/>
      <c r="J1324" s="2635">
        <v>674</v>
      </c>
      <c r="K1324" s="2647"/>
      <c r="L1324" s="2635">
        <v>1798</v>
      </c>
      <c r="M1324" s="2604"/>
      <c r="N1324" s="73" t="s">
        <v>5755</v>
      </c>
      <c r="O1324" s="86"/>
      <c r="P1324" s="1817" t="e">
        <f>INDEX(#REF!,MATCH(F1324,#REF!,0),2)</f>
        <v>#REF!</v>
      </c>
      <c r="Q1324" s="1779"/>
      <c r="R1324" s="1779"/>
      <c r="S1324" s="1779"/>
      <c r="T1324" s="1779"/>
      <c r="U1324" s="1779"/>
      <c r="V1324" s="1779"/>
      <c r="W1324" s="43"/>
      <c r="X1324" s="1779"/>
      <c r="Y1324" s="1779"/>
      <c r="Z1324" s="1779"/>
      <c r="AA1324" s="1779"/>
      <c r="AB1324" s="1779"/>
      <c r="AC1324" s="1779"/>
      <c r="AD1324" s="1779"/>
      <c r="AE1324" s="1779"/>
      <c r="AF1324" s="1779"/>
      <c r="AG1324" s="1779"/>
      <c r="AH1324" s="1779"/>
      <c r="AI1324" s="1779"/>
      <c r="AJ1324" s="1779"/>
      <c r="AK1324" s="1779"/>
      <c r="AL1324" s="1779"/>
      <c r="AM1324" s="1779"/>
      <c r="AN1324" s="1779"/>
      <c r="AO1324" s="1779"/>
      <c r="AP1324" s="1779"/>
      <c r="AQ1324" s="1779"/>
      <c r="AR1324" s="1779"/>
      <c r="AS1324" s="1779"/>
      <c r="AT1324" s="1779"/>
      <c r="AU1324" s="1779"/>
      <c r="AV1324" s="1779"/>
    </row>
    <row r="1325" spans="1:48">
      <c r="A1325" s="412"/>
      <c r="B1325" s="412" t="s">
        <v>1248</v>
      </c>
      <c r="C1325" s="412" t="s">
        <v>507</v>
      </c>
      <c r="D1325" s="1590"/>
      <c r="E1325" s="2224" t="s">
        <v>1924</v>
      </c>
      <c r="F1325" s="505">
        <v>2250</v>
      </c>
      <c r="G1325" s="1577" t="s">
        <v>3736</v>
      </c>
      <c r="H1325" s="2636"/>
      <c r="I1325" s="2636">
        <v>300</v>
      </c>
      <c r="J1325" s="2636"/>
      <c r="K1325" s="2593"/>
      <c r="L1325" s="2592"/>
      <c r="M1325" s="2592">
        <v>674</v>
      </c>
      <c r="N1325" s="73"/>
      <c r="O1325" s="86"/>
      <c r="P1325" s="1817" t="e">
        <f>INDEX(#REF!,MATCH(F1325,#REF!,0),2)</f>
        <v>#REF!</v>
      </c>
      <c r="Q1325" s="1779"/>
      <c r="R1325" s="1779"/>
      <c r="S1325" s="1779"/>
      <c r="T1325" s="1779"/>
      <c r="U1325" s="1779"/>
      <c r="V1325" s="1779"/>
      <c r="W1325" s="43"/>
      <c r="X1325" s="1779"/>
      <c r="Y1325" s="1779"/>
      <c r="Z1325" s="1779"/>
      <c r="AA1325" s="1779"/>
      <c r="AB1325" s="1779"/>
      <c r="AC1325" s="1779"/>
      <c r="AD1325" s="1779"/>
      <c r="AE1325" s="1779"/>
      <c r="AF1325" s="1779"/>
      <c r="AG1325" s="1779"/>
      <c r="AH1325" s="1779"/>
      <c r="AI1325" s="1779"/>
      <c r="AJ1325" s="1779"/>
      <c r="AK1325" s="1779"/>
      <c r="AL1325" s="1779"/>
      <c r="AM1325" s="1779"/>
      <c r="AN1325" s="1779"/>
      <c r="AO1325" s="1779"/>
      <c r="AP1325" s="1779"/>
      <c r="AQ1325" s="1779"/>
      <c r="AR1325" s="1779"/>
      <c r="AS1325" s="1779"/>
      <c r="AT1325" s="1779"/>
      <c r="AU1325" s="1779"/>
      <c r="AV1325" s="1779"/>
    </row>
    <row r="1326" spans="1:48" s="158" customFormat="1" ht="11.25">
      <c r="A1326" s="412"/>
      <c r="B1326" s="412" t="s">
        <v>1248</v>
      </c>
      <c r="C1326" s="412" t="s">
        <v>505</v>
      </c>
      <c r="D1326" s="1590"/>
      <c r="E1326" s="2224" t="s">
        <v>1924</v>
      </c>
      <c r="F1326" s="505">
        <v>2250</v>
      </c>
      <c r="G1326" s="1577" t="s">
        <v>2217</v>
      </c>
      <c r="H1326" s="2636"/>
      <c r="I1326" s="2636">
        <v>804</v>
      </c>
      <c r="J1326" s="2636"/>
      <c r="K1326" s="2593"/>
      <c r="L1326" s="2594"/>
      <c r="M1326" s="2592">
        <v>804</v>
      </c>
      <c r="N1326" s="73"/>
      <c r="O1326" s="86"/>
      <c r="P1326" s="1817" t="e">
        <f>INDEX(#REF!,MATCH(F1326,#REF!,0),2)</f>
        <v>#REF!</v>
      </c>
      <c r="W1326" s="1812"/>
    </row>
    <row r="1327" spans="1:48" s="158" customFormat="1" ht="11.25">
      <c r="A1327" s="762"/>
      <c r="B1327" s="412" t="s">
        <v>1248</v>
      </c>
      <c r="C1327" s="412" t="s">
        <v>505</v>
      </c>
      <c r="D1327" s="1590"/>
      <c r="E1327" s="2224" t="s">
        <v>1924</v>
      </c>
      <c r="F1327" s="505">
        <v>2250</v>
      </c>
      <c r="G1327" s="1577" t="s">
        <v>1438</v>
      </c>
      <c r="H1327" s="2636"/>
      <c r="I1327" s="2636">
        <v>288</v>
      </c>
      <c r="J1327" s="2636"/>
      <c r="K1327" s="2593"/>
      <c r="L1327" s="2594"/>
      <c r="M1327" s="2592">
        <v>320</v>
      </c>
      <c r="N1327" s="2401" t="s">
        <v>5756</v>
      </c>
      <c r="O1327" s="86"/>
      <c r="P1327" s="1817" t="e">
        <f>INDEX(#REF!,MATCH(F1327,#REF!,0),2)</f>
        <v>#REF!</v>
      </c>
      <c r="W1327" s="1812"/>
    </row>
    <row r="1328" spans="1:48" s="158" customFormat="1" ht="11.25">
      <c r="A1328" s="412"/>
      <c r="B1328" s="412" t="s">
        <v>1248</v>
      </c>
      <c r="C1328" s="412" t="s">
        <v>507</v>
      </c>
      <c r="D1328" s="1590"/>
      <c r="E1328" s="2224" t="s">
        <v>1924</v>
      </c>
      <c r="F1328" s="505">
        <v>2250</v>
      </c>
      <c r="G1328" s="1577" t="s">
        <v>3190</v>
      </c>
      <c r="H1328" s="2636"/>
      <c r="I1328" s="2636">
        <v>374</v>
      </c>
      <c r="J1328" s="2636"/>
      <c r="K1328" s="2593"/>
      <c r="L1328" s="2594"/>
      <c r="M1328" s="2594"/>
      <c r="N1328" s="73"/>
      <c r="O1328" s="86"/>
      <c r="P1328" s="1817" t="e">
        <f>INDEX(#REF!,MATCH(F1328,#REF!,0),2)</f>
        <v>#REF!</v>
      </c>
      <c r="W1328" s="1812"/>
    </row>
    <row r="1329" spans="1:48" s="158" customFormat="1" ht="11.25">
      <c r="A1329" s="506"/>
      <c r="B1329" s="506" t="s">
        <v>1248</v>
      </c>
      <c r="C1329" s="506" t="s">
        <v>507</v>
      </c>
      <c r="D1329" s="1589">
        <v>920</v>
      </c>
      <c r="E1329" s="2223" t="s">
        <v>1924</v>
      </c>
      <c r="F1329" s="540">
        <v>2311</v>
      </c>
      <c r="G1329" s="411" t="s">
        <v>552</v>
      </c>
      <c r="H1329" s="2635">
        <v>2325</v>
      </c>
      <c r="I1329" s="2635"/>
      <c r="J1329" s="2635">
        <v>440</v>
      </c>
      <c r="K1329" s="2647"/>
      <c r="L1329" s="2604">
        <v>1687.5</v>
      </c>
      <c r="M1329" s="2604"/>
      <c r="N1329" s="73"/>
      <c r="O1329" s="86"/>
      <c r="P1329" s="1817" t="e">
        <f>INDEX(#REF!,MATCH(F1329,#REF!,0),2)</f>
        <v>#REF!</v>
      </c>
      <c r="W1329" s="1812"/>
    </row>
    <row r="1330" spans="1:48">
      <c r="A1330" s="412"/>
      <c r="B1330" s="412" t="s">
        <v>1248</v>
      </c>
      <c r="C1330" s="412" t="s">
        <v>507</v>
      </c>
      <c r="D1330" s="1590"/>
      <c r="E1330" s="2224" t="s">
        <v>1924</v>
      </c>
      <c r="F1330" s="505">
        <v>2311</v>
      </c>
      <c r="G1330" s="1577" t="s">
        <v>1444</v>
      </c>
      <c r="H1330" s="2636"/>
      <c r="I1330" s="2636">
        <v>1275</v>
      </c>
      <c r="J1330" s="2636">
        <v>24</v>
      </c>
      <c r="K1330" s="2593"/>
      <c r="L1330" s="2592"/>
      <c r="M1330" s="2592">
        <v>637.5</v>
      </c>
      <c r="N1330" s="73" t="s">
        <v>5757</v>
      </c>
      <c r="O1330" s="86"/>
      <c r="P1330" s="1817" t="e">
        <f>INDEX(#REF!,MATCH(F1330,#REF!,0),2)</f>
        <v>#REF!</v>
      </c>
      <c r="Q1330" s="1779"/>
      <c r="R1330" s="1779"/>
      <c r="S1330" s="1779"/>
      <c r="T1330" s="1779"/>
      <c r="U1330" s="1779"/>
      <c r="V1330" s="1779"/>
      <c r="W1330" s="43"/>
      <c r="X1330" s="1779"/>
      <c r="Y1330" s="1779"/>
      <c r="Z1330" s="1779"/>
      <c r="AA1330" s="1779"/>
      <c r="AB1330" s="1779"/>
      <c r="AC1330" s="1779"/>
      <c r="AD1330" s="1779"/>
      <c r="AE1330" s="1779"/>
      <c r="AF1330" s="1779"/>
      <c r="AG1330" s="1779"/>
      <c r="AH1330" s="1779"/>
      <c r="AI1330" s="1779"/>
      <c r="AJ1330" s="1779"/>
      <c r="AK1330" s="1779"/>
      <c r="AL1330" s="1779"/>
      <c r="AM1330" s="1779"/>
      <c r="AN1330" s="1779"/>
      <c r="AO1330" s="1779"/>
      <c r="AP1330" s="1779"/>
      <c r="AQ1330" s="1779"/>
      <c r="AR1330" s="1779"/>
      <c r="AS1330" s="1779"/>
      <c r="AT1330" s="1779"/>
      <c r="AU1330" s="1779"/>
      <c r="AV1330" s="1779"/>
    </row>
    <row r="1331" spans="1:48">
      <c r="A1331" s="412"/>
      <c r="B1331" s="412" t="s">
        <v>1248</v>
      </c>
      <c r="C1331" s="412" t="s">
        <v>507</v>
      </c>
      <c r="D1331" s="1590"/>
      <c r="E1331" s="2224" t="s">
        <v>1924</v>
      </c>
      <c r="F1331" s="505">
        <v>2311</v>
      </c>
      <c r="G1331" s="1567" t="s">
        <v>1445</v>
      </c>
      <c r="H1331" s="2636"/>
      <c r="I1331" s="2636">
        <v>700</v>
      </c>
      <c r="J1331" s="2636"/>
      <c r="K1331" s="2593"/>
      <c r="L1331" s="2592"/>
      <c r="M1331" s="2592">
        <v>700</v>
      </c>
      <c r="N1331" s="73"/>
      <c r="O1331" s="86"/>
      <c r="P1331" s="1817" t="e">
        <f>INDEX(#REF!,MATCH(F1331,#REF!,0),2)</f>
        <v>#REF!</v>
      </c>
      <c r="Q1331" s="1779"/>
      <c r="R1331" s="1779"/>
      <c r="S1331" s="1779"/>
      <c r="T1331" s="1779"/>
      <c r="U1331" s="1779"/>
      <c r="V1331" s="1779"/>
      <c r="W1331" s="43"/>
      <c r="X1331" s="1779"/>
      <c r="Y1331" s="1779"/>
      <c r="Z1331" s="1779"/>
      <c r="AA1331" s="1779"/>
      <c r="AB1331" s="1779"/>
      <c r="AC1331" s="1779"/>
      <c r="AD1331" s="1779"/>
      <c r="AE1331" s="1779"/>
      <c r="AF1331" s="1779"/>
      <c r="AG1331" s="1779"/>
      <c r="AH1331" s="1779"/>
      <c r="AI1331" s="1779"/>
      <c r="AJ1331" s="1779"/>
      <c r="AK1331" s="1779"/>
      <c r="AL1331" s="1779"/>
      <c r="AM1331" s="1779"/>
      <c r="AN1331" s="1779"/>
      <c r="AO1331" s="1779"/>
      <c r="AP1331" s="1779"/>
      <c r="AQ1331" s="1779"/>
      <c r="AR1331" s="1779"/>
      <c r="AS1331" s="1779"/>
      <c r="AT1331" s="1779"/>
      <c r="AU1331" s="1779"/>
      <c r="AV1331" s="1779"/>
    </row>
    <row r="1332" spans="1:48">
      <c r="A1332" s="412"/>
      <c r="B1332" s="412" t="s">
        <v>1248</v>
      </c>
      <c r="C1332" s="412" t="s">
        <v>507</v>
      </c>
      <c r="D1332" s="1590"/>
      <c r="E1332" s="2224" t="s">
        <v>1924</v>
      </c>
      <c r="F1332" s="505">
        <v>2311</v>
      </c>
      <c r="G1332" s="1577" t="s">
        <v>2223</v>
      </c>
      <c r="H1332" s="2636"/>
      <c r="I1332" s="2636">
        <v>300</v>
      </c>
      <c r="J1332" s="2636"/>
      <c r="K1332" s="2593"/>
      <c r="L1332" s="2592"/>
      <c r="M1332" s="2592">
        <v>300</v>
      </c>
      <c r="N1332" s="73"/>
      <c r="O1332" s="86"/>
      <c r="P1332" s="1817" t="e">
        <f>INDEX(#REF!,MATCH(F1332,#REF!,0),2)</f>
        <v>#REF!</v>
      </c>
      <c r="Q1332" s="1779"/>
      <c r="R1332" s="1779"/>
      <c r="S1332" s="1779"/>
      <c r="T1332" s="1779"/>
      <c r="U1332" s="1779"/>
      <c r="V1332" s="1779"/>
      <c r="W1332" s="43"/>
      <c r="X1332" s="1779"/>
      <c r="Y1332" s="1779"/>
      <c r="Z1332" s="1779"/>
      <c r="AA1332" s="1779"/>
      <c r="AB1332" s="1779"/>
      <c r="AC1332" s="1779"/>
      <c r="AD1332" s="1779"/>
      <c r="AE1332" s="1779"/>
      <c r="AF1332" s="1779"/>
      <c r="AG1332" s="1779"/>
      <c r="AH1332" s="1779"/>
      <c r="AI1332" s="1779"/>
      <c r="AJ1332" s="1779"/>
      <c r="AK1332" s="1779"/>
      <c r="AL1332" s="1779"/>
      <c r="AM1332" s="1779"/>
      <c r="AN1332" s="1779"/>
      <c r="AO1332" s="1779"/>
      <c r="AP1332" s="1779"/>
      <c r="AQ1332" s="1779"/>
      <c r="AR1332" s="1779"/>
      <c r="AS1332" s="1779"/>
      <c r="AT1332" s="1779"/>
      <c r="AU1332" s="1779"/>
      <c r="AV1332" s="1779"/>
    </row>
    <row r="1333" spans="1:48">
      <c r="A1333" s="412"/>
      <c r="B1333" s="412" t="s">
        <v>1248</v>
      </c>
      <c r="C1333" s="412" t="s">
        <v>507</v>
      </c>
      <c r="D1333" s="1590"/>
      <c r="E1333" s="2224" t="s">
        <v>1924</v>
      </c>
      <c r="F1333" s="505">
        <v>2311</v>
      </c>
      <c r="G1333" s="1577" t="s">
        <v>271</v>
      </c>
      <c r="H1333" s="2636"/>
      <c r="I1333" s="2636">
        <v>50</v>
      </c>
      <c r="J1333" s="2636"/>
      <c r="K1333" s="2593"/>
      <c r="L1333" s="2592"/>
      <c r="M1333" s="2592">
        <v>50</v>
      </c>
      <c r="N1333" s="73"/>
      <c r="O1333" s="86"/>
      <c r="P1333" s="1817" t="e">
        <f>INDEX(#REF!,MATCH(F1333,#REF!,0),2)</f>
        <v>#REF!</v>
      </c>
      <c r="Q1333" s="1779"/>
      <c r="R1333" s="1779"/>
      <c r="S1333" s="1779"/>
      <c r="T1333" s="1779"/>
      <c r="U1333" s="1779"/>
      <c r="V1333" s="1779"/>
      <c r="W1333" s="43"/>
      <c r="X1333" s="1779"/>
      <c r="Y1333" s="1779"/>
      <c r="Z1333" s="1779"/>
      <c r="AA1333" s="1779"/>
      <c r="AB1333" s="1779"/>
      <c r="AC1333" s="1779"/>
      <c r="AD1333" s="1779"/>
      <c r="AE1333" s="1779"/>
      <c r="AF1333" s="1779"/>
      <c r="AG1333" s="1779"/>
      <c r="AH1333" s="1779"/>
      <c r="AI1333" s="1779"/>
      <c r="AJ1333" s="1779"/>
      <c r="AK1333" s="1779"/>
      <c r="AL1333" s="1779"/>
      <c r="AM1333" s="1779"/>
      <c r="AN1333" s="1779"/>
      <c r="AO1333" s="1779"/>
      <c r="AP1333" s="1779"/>
      <c r="AQ1333" s="1779"/>
      <c r="AR1333" s="1779"/>
      <c r="AS1333" s="1779"/>
      <c r="AT1333" s="1779"/>
      <c r="AU1333" s="1779"/>
      <c r="AV1333" s="1779"/>
    </row>
    <row r="1334" spans="1:48">
      <c r="A1334" s="559"/>
      <c r="B1334" s="506" t="s">
        <v>1248</v>
      </c>
      <c r="C1334" s="506" t="s">
        <v>507</v>
      </c>
      <c r="D1334" s="1589">
        <v>920</v>
      </c>
      <c r="E1334" s="2223" t="s">
        <v>1924</v>
      </c>
      <c r="F1334" s="540">
        <v>2312</v>
      </c>
      <c r="G1334" s="411" t="s">
        <v>378</v>
      </c>
      <c r="H1334" s="2635">
        <v>961</v>
      </c>
      <c r="I1334" s="2635"/>
      <c r="J1334" s="2635">
        <v>7346.99</v>
      </c>
      <c r="K1334" s="2647"/>
      <c r="L1334" s="2604">
        <v>1670</v>
      </c>
      <c r="M1334" s="2604"/>
      <c r="N1334" s="73"/>
      <c r="O1334" s="86"/>
      <c r="P1334" s="1817" t="e">
        <f>INDEX(#REF!,MATCH(F1334,#REF!,0),2)</f>
        <v>#REF!</v>
      </c>
      <c r="Q1334" s="1779"/>
      <c r="R1334" s="1779"/>
      <c r="S1334" s="1779"/>
      <c r="T1334" s="1779"/>
      <c r="U1334" s="1779"/>
      <c r="V1334" s="1779"/>
      <c r="W1334" s="43"/>
      <c r="X1334" s="1779"/>
      <c r="Y1334" s="1779"/>
      <c r="Z1334" s="1779"/>
      <c r="AA1334" s="1779"/>
      <c r="AB1334" s="1779"/>
      <c r="AC1334" s="1779"/>
      <c r="AD1334" s="1779"/>
      <c r="AE1334" s="1779"/>
      <c r="AF1334" s="1779"/>
      <c r="AG1334" s="1779"/>
      <c r="AH1334" s="1779"/>
      <c r="AI1334" s="1779"/>
      <c r="AJ1334" s="1779"/>
      <c r="AK1334" s="1779"/>
      <c r="AL1334" s="1779"/>
      <c r="AM1334" s="1779"/>
      <c r="AN1334" s="1779"/>
      <c r="AO1334" s="1779"/>
      <c r="AP1334" s="1779"/>
      <c r="AQ1334" s="1779"/>
      <c r="AR1334" s="1779"/>
      <c r="AS1334" s="1779"/>
      <c r="AT1334" s="1779"/>
      <c r="AU1334" s="1779"/>
      <c r="AV1334" s="1779"/>
    </row>
    <row r="1335" spans="1:48" ht="22.5">
      <c r="A1335" s="504"/>
      <c r="B1335" s="412" t="s">
        <v>1248</v>
      </c>
      <c r="C1335" s="412" t="s">
        <v>507</v>
      </c>
      <c r="D1335" s="1590"/>
      <c r="E1335" s="2224" t="s">
        <v>1924</v>
      </c>
      <c r="F1335" s="505">
        <v>2312</v>
      </c>
      <c r="G1335" s="2774" t="s">
        <v>3737</v>
      </c>
      <c r="H1335" s="2636"/>
      <c r="I1335" s="2636">
        <v>500</v>
      </c>
      <c r="J1335" s="2636"/>
      <c r="K1335" s="2593"/>
      <c r="L1335" s="2592"/>
      <c r="M1335" s="2592">
        <v>570</v>
      </c>
      <c r="N1335" s="73"/>
      <c r="O1335" s="86"/>
      <c r="P1335" s="1817" t="e">
        <f>INDEX(#REF!,MATCH(F1335,#REF!,0),2)</f>
        <v>#REF!</v>
      </c>
      <c r="Q1335" s="1779"/>
      <c r="R1335" s="1779"/>
      <c r="S1335" s="1779"/>
      <c r="T1335" s="1779"/>
      <c r="U1335" s="1779"/>
      <c r="V1335" s="1779"/>
      <c r="W1335" s="43"/>
      <c r="X1335" s="1779"/>
      <c r="Y1335" s="1779"/>
      <c r="Z1335" s="1779"/>
      <c r="AA1335" s="1779"/>
      <c r="AB1335" s="1779"/>
      <c r="AC1335" s="1779"/>
      <c r="AD1335" s="1779"/>
      <c r="AE1335" s="1779"/>
      <c r="AF1335" s="1779"/>
      <c r="AG1335" s="1779"/>
      <c r="AH1335" s="1779"/>
      <c r="AI1335" s="1779"/>
      <c r="AJ1335" s="1779"/>
      <c r="AK1335" s="1779"/>
      <c r="AL1335" s="1779"/>
      <c r="AM1335" s="1779"/>
      <c r="AN1335" s="1779"/>
      <c r="AO1335" s="1779"/>
      <c r="AP1335" s="1779"/>
      <c r="AQ1335" s="1779"/>
      <c r="AR1335" s="1779"/>
      <c r="AS1335" s="1779"/>
      <c r="AT1335" s="1779"/>
      <c r="AU1335" s="1779"/>
      <c r="AV1335" s="1779"/>
    </row>
    <row r="1336" spans="1:48" s="243" customFormat="1">
      <c r="A1336" s="504"/>
      <c r="B1336" s="412" t="s">
        <v>1248</v>
      </c>
      <c r="C1336" s="412" t="s">
        <v>507</v>
      </c>
      <c r="D1336" s="1590"/>
      <c r="E1336" s="2224" t="s">
        <v>1924</v>
      </c>
      <c r="F1336" s="505">
        <v>2312</v>
      </c>
      <c r="G1336" s="810" t="s">
        <v>3739</v>
      </c>
      <c r="H1336" s="2636"/>
      <c r="I1336" s="2636">
        <v>300</v>
      </c>
      <c r="J1336" s="2636"/>
      <c r="K1336" s="2593"/>
      <c r="L1336" s="2592"/>
      <c r="M1336" s="2592">
        <v>300</v>
      </c>
      <c r="N1336" s="73"/>
      <c r="O1336" s="86"/>
      <c r="P1336" s="1817" t="e">
        <f>INDEX(#REF!,MATCH(F1336,#REF!,0),2)</f>
        <v>#REF!</v>
      </c>
      <c r="W1336" s="1813"/>
    </row>
    <row r="1337" spans="1:48" s="243" customFormat="1">
      <c r="A1337" s="504"/>
      <c r="B1337" s="412" t="s">
        <v>1248</v>
      </c>
      <c r="C1337" s="412" t="s">
        <v>507</v>
      </c>
      <c r="D1337" s="1590"/>
      <c r="E1337" s="2224" t="s">
        <v>1924</v>
      </c>
      <c r="F1337" s="505">
        <v>2312</v>
      </c>
      <c r="G1337" s="810" t="s">
        <v>1075</v>
      </c>
      <c r="H1337" s="2636"/>
      <c r="I1337" s="2636">
        <v>200</v>
      </c>
      <c r="J1337" s="2636"/>
      <c r="K1337" s="2593"/>
      <c r="L1337" s="2592"/>
      <c r="M1337" s="2592">
        <v>200</v>
      </c>
      <c r="N1337" s="73"/>
      <c r="O1337" s="86"/>
      <c r="P1337" s="1817" t="e">
        <f>INDEX(#REF!,MATCH(F1337,#REF!,0),2)</f>
        <v>#REF!</v>
      </c>
      <c r="W1337" s="1813"/>
    </row>
    <row r="1338" spans="1:48" s="243" customFormat="1">
      <c r="A1338" s="504"/>
      <c r="B1338" s="412" t="s">
        <v>1248</v>
      </c>
      <c r="C1338" s="412" t="s">
        <v>507</v>
      </c>
      <c r="D1338" s="1590"/>
      <c r="E1338" s="2224" t="s">
        <v>1924</v>
      </c>
      <c r="F1338" s="505">
        <v>2312</v>
      </c>
      <c r="G1338" s="2774" t="s">
        <v>3742</v>
      </c>
      <c r="H1338" s="2636"/>
      <c r="I1338" s="2636">
        <v>500</v>
      </c>
      <c r="J1338" s="2636"/>
      <c r="K1338" s="2593"/>
      <c r="L1338" s="2592"/>
      <c r="M1338" s="2592">
        <v>600</v>
      </c>
      <c r="N1338" s="73"/>
      <c r="O1338" s="86"/>
      <c r="P1338" s="1817" t="e">
        <f>INDEX(#REF!,MATCH(F1338,#REF!,0),2)</f>
        <v>#REF!</v>
      </c>
      <c r="W1338" s="1813"/>
    </row>
    <row r="1339" spans="1:48" ht="22.5">
      <c r="A1339" s="1376"/>
      <c r="B1339" s="412" t="s">
        <v>1248</v>
      </c>
      <c r="C1339" s="412" t="s">
        <v>507</v>
      </c>
      <c r="D1339" s="1590"/>
      <c r="E1339" s="2224" t="s">
        <v>1924</v>
      </c>
      <c r="F1339" s="505">
        <v>2312</v>
      </c>
      <c r="G1339" s="1374" t="s">
        <v>3297</v>
      </c>
      <c r="H1339" s="2636"/>
      <c r="I1339" s="2636">
        <v>-539</v>
      </c>
      <c r="J1339" s="2636"/>
      <c r="K1339" s="2593"/>
      <c r="L1339" s="2594"/>
      <c r="M1339" s="2594"/>
      <c r="N1339" s="73"/>
      <c r="O1339" s="86"/>
      <c r="P1339" s="1817" t="e">
        <f>INDEX(#REF!,MATCH(F1339,#REF!,0),2)</f>
        <v>#REF!</v>
      </c>
      <c r="Q1339" s="11"/>
      <c r="R1339" s="11"/>
      <c r="S1339" s="11"/>
      <c r="T1339" s="11"/>
      <c r="U1339" s="11"/>
      <c r="V1339" s="11"/>
      <c r="W1339" s="4"/>
      <c r="X1339" s="11"/>
      <c r="Y1339" s="11"/>
      <c r="Z1339" s="11"/>
      <c r="AA1339" s="11"/>
      <c r="AB1339" s="11"/>
      <c r="AC1339" s="11"/>
      <c r="AD1339" s="11"/>
      <c r="AE1339" s="11"/>
      <c r="AF1339" s="11"/>
      <c r="AG1339" s="11"/>
      <c r="AH1339" s="11"/>
      <c r="AI1339" s="11"/>
      <c r="AJ1339" s="11"/>
      <c r="AK1339" s="11"/>
      <c r="AL1339" s="11"/>
      <c r="AM1339" s="11"/>
      <c r="AN1339" s="11"/>
      <c r="AO1339" s="11"/>
      <c r="AP1339" s="11"/>
      <c r="AQ1339" s="11"/>
      <c r="AR1339" s="11"/>
      <c r="AS1339" s="11"/>
      <c r="AT1339" s="11"/>
      <c r="AU1339" s="11"/>
      <c r="AV1339" s="11"/>
    </row>
    <row r="1340" spans="1:48" ht="22.5">
      <c r="A1340" s="559"/>
      <c r="B1340" s="506" t="s">
        <v>1248</v>
      </c>
      <c r="C1340" s="506" t="s">
        <v>505</v>
      </c>
      <c r="D1340" s="1589">
        <v>920</v>
      </c>
      <c r="E1340" s="2223" t="s">
        <v>1924</v>
      </c>
      <c r="F1340" s="540">
        <v>2314</v>
      </c>
      <c r="G1340" s="411" t="s">
        <v>3761</v>
      </c>
      <c r="H1340" s="2635">
        <v>2825</v>
      </c>
      <c r="I1340" s="2635"/>
      <c r="J1340" s="2635"/>
      <c r="K1340" s="2647"/>
      <c r="L1340" s="2604">
        <v>3430</v>
      </c>
      <c r="M1340" s="2604"/>
      <c r="N1340" s="73" t="s">
        <v>3762</v>
      </c>
      <c r="O1340" s="86"/>
      <c r="P1340" s="1817" t="e">
        <f>INDEX(#REF!,MATCH(F1340,#REF!,0),2)</f>
        <v>#REF!</v>
      </c>
      <c r="Q1340" s="11"/>
      <c r="R1340" s="11"/>
      <c r="S1340" s="11"/>
      <c r="T1340" s="11"/>
      <c r="U1340" s="11"/>
      <c r="V1340" s="11"/>
      <c r="W1340" s="4"/>
      <c r="X1340" s="11"/>
      <c r="Y1340" s="11"/>
      <c r="Z1340" s="11"/>
      <c r="AA1340" s="11"/>
      <c r="AB1340" s="11"/>
      <c r="AC1340" s="11"/>
      <c r="AD1340" s="11"/>
      <c r="AE1340" s="11"/>
      <c r="AF1340" s="11"/>
      <c r="AG1340" s="11"/>
      <c r="AH1340" s="11"/>
      <c r="AI1340" s="11"/>
      <c r="AJ1340" s="11"/>
      <c r="AK1340" s="11"/>
      <c r="AL1340" s="11"/>
      <c r="AM1340" s="11"/>
      <c r="AN1340" s="11"/>
      <c r="AO1340" s="11"/>
      <c r="AP1340" s="11"/>
      <c r="AQ1340" s="11"/>
      <c r="AR1340" s="11"/>
      <c r="AS1340" s="11"/>
      <c r="AT1340" s="11"/>
      <c r="AU1340" s="11"/>
      <c r="AV1340" s="11"/>
    </row>
    <row r="1341" spans="1:48" ht="22.5">
      <c r="A1341" s="412"/>
      <c r="B1341" s="412" t="s">
        <v>1248</v>
      </c>
      <c r="C1341" s="412" t="s">
        <v>505</v>
      </c>
      <c r="D1341" s="1590"/>
      <c r="E1341" s="2224" t="s">
        <v>1924</v>
      </c>
      <c r="F1341" s="505">
        <v>2314</v>
      </c>
      <c r="G1341" s="2782" t="s">
        <v>3750</v>
      </c>
      <c r="H1341" s="2636"/>
      <c r="I1341" s="2636">
        <v>350</v>
      </c>
      <c r="J1341" s="2636"/>
      <c r="K1341" s="2593"/>
      <c r="L1341" s="2594"/>
      <c r="M1341" s="2592">
        <v>350</v>
      </c>
      <c r="N1341" s="73"/>
      <c r="O1341" s="86"/>
      <c r="P1341" s="1817" t="e">
        <f>INDEX(#REF!,MATCH(F1341,#REF!,0),2)</f>
        <v>#REF!</v>
      </c>
      <c r="Q1341" s="11"/>
      <c r="R1341" s="11"/>
      <c r="S1341" s="11"/>
      <c r="T1341" s="11"/>
      <c r="U1341" s="11"/>
      <c r="V1341" s="11"/>
      <c r="W1341" s="4"/>
      <c r="X1341" s="11"/>
      <c r="Y1341" s="11"/>
      <c r="Z1341" s="11"/>
      <c r="AA1341" s="11"/>
      <c r="AB1341" s="11"/>
      <c r="AC1341" s="11"/>
      <c r="AD1341" s="11"/>
      <c r="AE1341" s="11"/>
      <c r="AF1341" s="11"/>
      <c r="AG1341" s="11"/>
      <c r="AH1341" s="11"/>
      <c r="AI1341" s="11"/>
      <c r="AJ1341" s="11"/>
      <c r="AK1341" s="11"/>
      <c r="AL1341" s="11"/>
      <c r="AM1341" s="11"/>
      <c r="AN1341" s="11"/>
      <c r="AO1341" s="11"/>
      <c r="AP1341" s="11"/>
      <c r="AQ1341" s="11"/>
      <c r="AR1341" s="11"/>
      <c r="AS1341" s="11"/>
      <c r="AT1341" s="11"/>
      <c r="AU1341" s="11"/>
      <c r="AV1341" s="11"/>
    </row>
    <row r="1342" spans="1:48">
      <c r="A1342" s="412"/>
      <c r="B1342" s="412" t="s">
        <v>1248</v>
      </c>
      <c r="C1342" s="412" t="s">
        <v>505</v>
      </c>
      <c r="D1342" s="1590"/>
      <c r="E1342" s="2224" t="s">
        <v>1924</v>
      </c>
      <c r="F1342" s="505">
        <v>2314</v>
      </c>
      <c r="G1342" s="811" t="s">
        <v>1865</v>
      </c>
      <c r="H1342" s="2636"/>
      <c r="I1342" s="2636">
        <v>350</v>
      </c>
      <c r="J1342" s="2636"/>
      <c r="K1342" s="2593"/>
      <c r="L1342" s="2594"/>
      <c r="M1342" s="2592">
        <v>350</v>
      </c>
      <c r="N1342" s="73"/>
      <c r="O1342" s="86"/>
      <c r="P1342" s="1817" t="e">
        <f>INDEX(#REF!,MATCH(F1342,#REF!,0),2)</f>
        <v>#REF!</v>
      </c>
      <c r="Q1342" s="11"/>
      <c r="R1342" s="11"/>
      <c r="S1342" s="11"/>
      <c r="T1342" s="11"/>
      <c r="U1342" s="11"/>
      <c r="V1342" s="11"/>
      <c r="W1342" s="4"/>
      <c r="X1342" s="11"/>
      <c r="Y1342" s="11"/>
      <c r="Z1342" s="11"/>
      <c r="AA1342" s="11"/>
      <c r="AB1342" s="11"/>
      <c r="AC1342" s="11"/>
      <c r="AD1342" s="11"/>
      <c r="AE1342" s="11"/>
      <c r="AF1342" s="11"/>
      <c r="AG1342" s="11"/>
      <c r="AH1342" s="11"/>
      <c r="AI1342" s="11"/>
      <c r="AJ1342" s="11"/>
      <c r="AK1342" s="11"/>
      <c r="AL1342" s="11"/>
      <c r="AM1342" s="11"/>
      <c r="AN1342" s="11"/>
      <c r="AO1342" s="11"/>
      <c r="AP1342" s="11"/>
      <c r="AQ1342" s="11"/>
      <c r="AR1342" s="11"/>
      <c r="AS1342" s="11"/>
      <c r="AT1342" s="11"/>
      <c r="AU1342" s="11"/>
      <c r="AV1342" s="11"/>
    </row>
    <row r="1343" spans="1:48" ht="22.5">
      <c r="A1343" s="412"/>
      <c r="B1343" s="412" t="s">
        <v>1248</v>
      </c>
      <c r="C1343" s="412" t="s">
        <v>505</v>
      </c>
      <c r="D1343" s="1590"/>
      <c r="E1343" s="2224" t="s">
        <v>1924</v>
      </c>
      <c r="F1343" s="505">
        <v>2314</v>
      </c>
      <c r="G1343" s="772" t="s">
        <v>1076</v>
      </c>
      <c r="H1343" s="2636"/>
      <c r="I1343" s="2636">
        <v>600</v>
      </c>
      <c r="J1343" s="2636"/>
      <c r="K1343" s="2593"/>
      <c r="L1343" s="2594"/>
      <c r="M1343" s="2592">
        <v>600</v>
      </c>
      <c r="N1343" s="73"/>
      <c r="O1343" s="86"/>
      <c r="P1343" s="1817" t="e">
        <f>INDEX(#REF!,MATCH(F1343,#REF!,0),2)</f>
        <v>#REF!</v>
      </c>
      <c r="Q1343" s="11"/>
      <c r="R1343" s="11"/>
      <c r="S1343" s="11"/>
      <c r="T1343" s="11"/>
      <c r="U1343" s="11"/>
      <c r="V1343" s="11"/>
      <c r="W1343" s="4"/>
      <c r="X1343" s="11"/>
      <c r="Y1343" s="11"/>
      <c r="Z1343" s="11"/>
      <c r="AA1343" s="11"/>
      <c r="AB1343" s="11"/>
      <c r="AC1343" s="11"/>
      <c r="AD1343" s="11"/>
      <c r="AE1343" s="11"/>
      <c r="AF1343" s="11"/>
      <c r="AG1343" s="11"/>
      <c r="AH1343" s="11"/>
      <c r="AI1343" s="11"/>
      <c r="AJ1343" s="11"/>
      <c r="AK1343" s="11"/>
      <c r="AL1343" s="11"/>
      <c r="AM1343" s="11"/>
      <c r="AN1343" s="11"/>
      <c r="AO1343" s="11"/>
      <c r="AP1343" s="11"/>
      <c r="AQ1343" s="11"/>
      <c r="AR1343" s="11"/>
      <c r="AS1343" s="11"/>
      <c r="AT1343" s="11"/>
      <c r="AU1343" s="11"/>
      <c r="AV1343" s="11"/>
    </row>
    <row r="1344" spans="1:48" ht="56.25">
      <c r="A1344" s="412"/>
      <c r="B1344" s="412" t="s">
        <v>1248</v>
      </c>
      <c r="C1344" s="412" t="s">
        <v>505</v>
      </c>
      <c r="D1344" s="1590"/>
      <c r="E1344" s="2224" t="s">
        <v>1924</v>
      </c>
      <c r="F1344" s="505">
        <v>2314</v>
      </c>
      <c r="G1344" s="2774" t="s">
        <v>3751</v>
      </c>
      <c r="H1344" s="2636"/>
      <c r="I1344" s="2636">
        <v>500</v>
      </c>
      <c r="J1344" s="2636"/>
      <c r="K1344" s="2593"/>
      <c r="L1344" s="2594"/>
      <c r="M1344" s="2592">
        <v>830</v>
      </c>
      <c r="N1344" s="73"/>
      <c r="O1344" s="86"/>
      <c r="P1344" s="1817" t="e">
        <f>INDEX(#REF!,MATCH(F1344,#REF!,0),2)</f>
        <v>#REF!</v>
      </c>
      <c r="Q1344" s="11"/>
      <c r="R1344" s="11"/>
      <c r="S1344" s="11"/>
      <c r="T1344" s="11"/>
      <c r="U1344" s="11"/>
      <c r="V1344" s="11"/>
      <c r="W1344" s="4"/>
      <c r="X1344" s="11"/>
      <c r="Y1344" s="11"/>
      <c r="Z1344" s="11"/>
      <c r="AA1344" s="11"/>
      <c r="AB1344" s="11"/>
      <c r="AC1344" s="11"/>
      <c r="AD1344" s="11"/>
      <c r="AE1344" s="11"/>
      <c r="AF1344" s="11"/>
      <c r="AG1344" s="11"/>
      <c r="AH1344" s="11"/>
      <c r="AI1344" s="11"/>
      <c r="AJ1344" s="11"/>
      <c r="AK1344" s="11"/>
      <c r="AL1344" s="11"/>
      <c r="AM1344" s="11"/>
      <c r="AN1344" s="11"/>
      <c r="AO1344" s="11"/>
      <c r="AP1344" s="11"/>
      <c r="AQ1344" s="11"/>
      <c r="AR1344" s="11"/>
      <c r="AS1344" s="11"/>
      <c r="AT1344" s="11"/>
      <c r="AU1344" s="11"/>
      <c r="AV1344" s="11"/>
    </row>
    <row r="1345" spans="1:48" ht="22.5">
      <c r="A1345" s="412"/>
      <c r="B1345" s="412" t="s">
        <v>1248</v>
      </c>
      <c r="C1345" s="412" t="s">
        <v>505</v>
      </c>
      <c r="D1345" s="1590"/>
      <c r="E1345" s="2224" t="s">
        <v>1924</v>
      </c>
      <c r="F1345" s="505">
        <v>2314</v>
      </c>
      <c r="G1345" s="2782" t="s">
        <v>3752</v>
      </c>
      <c r="H1345" s="2636"/>
      <c r="I1345" s="2636">
        <v>225</v>
      </c>
      <c r="J1345" s="2636"/>
      <c r="K1345" s="2593"/>
      <c r="L1345" s="2594"/>
      <c r="M1345" s="2592">
        <v>200</v>
      </c>
      <c r="N1345" s="73"/>
      <c r="O1345" s="86"/>
      <c r="P1345" s="1817" t="e">
        <f>INDEX(#REF!,MATCH(F1345,#REF!,0),2)</f>
        <v>#REF!</v>
      </c>
      <c r="Q1345" s="11"/>
      <c r="R1345" s="11"/>
      <c r="S1345" s="11"/>
      <c r="T1345" s="11"/>
      <c r="U1345" s="11"/>
      <c r="V1345" s="11"/>
      <c r="W1345" s="4"/>
      <c r="X1345" s="11"/>
      <c r="Y1345" s="11"/>
      <c r="Z1345" s="11"/>
      <c r="AA1345" s="11"/>
      <c r="AB1345" s="11"/>
      <c r="AC1345" s="11"/>
      <c r="AD1345" s="11"/>
      <c r="AE1345" s="11"/>
      <c r="AF1345" s="11"/>
      <c r="AG1345" s="11"/>
      <c r="AH1345" s="11"/>
      <c r="AI1345" s="11"/>
      <c r="AJ1345" s="11"/>
      <c r="AK1345" s="11"/>
      <c r="AL1345" s="11"/>
      <c r="AM1345" s="11"/>
      <c r="AN1345" s="11"/>
      <c r="AO1345" s="11"/>
      <c r="AP1345" s="11"/>
      <c r="AQ1345" s="11"/>
      <c r="AR1345" s="11"/>
      <c r="AS1345" s="11"/>
      <c r="AT1345" s="11"/>
      <c r="AU1345" s="11"/>
      <c r="AV1345" s="11"/>
    </row>
    <row r="1346" spans="1:48" ht="22.5">
      <c r="A1346" s="412"/>
      <c r="B1346" s="412" t="s">
        <v>1248</v>
      </c>
      <c r="C1346" s="412" t="s">
        <v>505</v>
      </c>
      <c r="D1346" s="1590"/>
      <c r="E1346" s="2224" t="s">
        <v>1924</v>
      </c>
      <c r="F1346" s="505">
        <v>2314</v>
      </c>
      <c r="G1346" s="779" t="s">
        <v>383</v>
      </c>
      <c r="H1346" s="2636"/>
      <c r="I1346" s="2636">
        <v>300</v>
      </c>
      <c r="J1346" s="2636"/>
      <c r="K1346" s="2593"/>
      <c r="L1346" s="2594"/>
      <c r="M1346" s="2592">
        <v>300</v>
      </c>
      <c r="N1346" s="73"/>
      <c r="O1346" s="86"/>
      <c r="P1346" s="1817" t="e">
        <f>INDEX(#REF!,MATCH(F1346,#REF!,0),2)</f>
        <v>#REF!</v>
      </c>
      <c r="Q1346" s="11"/>
      <c r="R1346" s="11"/>
      <c r="S1346" s="11"/>
      <c r="T1346" s="11"/>
      <c r="U1346" s="11"/>
      <c r="V1346" s="11"/>
      <c r="W1346" s="4"/>
      <c r="X1346" s="11"/>
      <c r="Y1346" s="11"/>
      <c r="Z1346" s="11"/>
      <c r="AA1346" s="11"/>
      <c r="AB1346" s="11"/>
      <c r="AC1346" s="11"/>
      <c r="AD1346" s="11"/>
      <c r="AE1346" s="11"/>
      <c r="AF1346" s="11"/>
      <c r="AG1346" s="11"/>
      <c r="AH1346" s="11"/>
      <c r="AI1346" s="11"/>
      <c r="AJ1346" s="11"/>
      <c r="AK1346" s="11"/>
      <c r="AL1346" s="11"/>
      <c r="AM1346" s="11"/>
      <c r="AN1346" s="11"/>
      <c r="AO1346" s="11"/>
      <c r="AP1346" s="11"/>
      <c r="AQ1346" s="11"/>
      <c r="AR1346" s="11"/>
      <c r="AS1346" s="11"/>
      <c r="AT1346" s="11"/>
      <c r="AU1346" s="11"/>
      <c r="AV1346" s="11"/>
    </row>
    <row r="1347" spans="1:48" s="243" customFormat="1">
      <c r="A1347" s="412"/>
      <c r="B1347" s="412" t="s">
        <v>1248</v>
      </c>
      <c r="C1347" s="412" t="s">
        <v>505</v>
      </c>
      <c r="D1347" s="1590"/>
      <c r="E1347" s="2224" t="s">
        <v>1924</v>
      </c>
      <c r="F1347" s="505">
        <v>2314</v>
      </c>
      <c r="G1347" s="811" t="s">
        <v>384</v>
      </c>
      <c r="H1347" s="2636"/>
      <c r="I1347" s="2636">
        <v>200</v>
      </c>
      <c r="J1347" s="2636"/>
      <c r="K1347" s="2593"/>
      <c r="L1347" s="2594"/>
      <c r="M1347" s="2592">
        <v>200</v>
      </c>
      <c r="N1347" s="73"/>
      <c r="O1347" s="86"/>
      <c r="P1347" s="1817" t="e">
        <f>INDEX(#REF!,MATCH(F1347,#REF!,0),2)</f>
        <v>#REF!</v>
      </c>
      <c r="W1347" s="1813"/>
    </row>
    <row r="1348" spans="1:48" s="243" customFormat="1" ht="22.5">
      <c r="A1348" s="412"/>
      <c r="B1348" s="412" t="s">
        <v>1248</v>
      </c>
      <c r="C1348" s="412" t="s">
        <v>505</v>
      </c>
      <c r="D1348" s="1590"/>
      <c r="E1348" s="2224" t="s">
        <v>1924</v>
      </c>
      <c r="F1348" s="505">
        <v>2314</v>
      </c>
      <c r="G1348" s="2782" t="s">
        <v>5721</v>
      </c>
      <c r="H1348" s="2636"/>
      <c r="I1348" s="2636">
        <v>300</v>
      </c>
      <c r="J1348" s="2636"/>
      <c r="K1348" s="2593"/>
      <c r="L1348" s="2594"/>
      <c r="M1348" s="2592">
        <v>600</v>
      </c>
      <c r="N1348" s="73"/>
      <c r="O1348" s="86"/>
      <c r="P1348" s="1817" t="e">
        <f>INDEX(#REF!,MATCH(F1348,#REF!,0),2)</f>
        <v>#REF!</v>
      </c>
      <c r="W1348" s="1813"/>
    </row>
    <row r="1349" spans="1:48" s="243" customFormat="1">
      <c r="A1349" s="559"/>
      <c r="B1349" s="506" t="s">
        <v>1248</v>
      </c>
      <c r="C1349" s="506" t="s">
        <v>505</v>
      </c>
      <c r="D1349" s="1589">
        <v>920</v>
      </c>
      <c r="E1349" s="2223" t="s">
        <v>1924</v>
      </c>
      <c r="F1349" s="540">
        <v>2321</v>
      </c>
      <c r="G1349" s="411" t="s">
        <v>288</v>
      </c>
      <c r="H1349" s="2635">
        <v>100000</v>
      </c>
      <c r="I1349" s="2635"/>
      <c r="J1349" s="2635">
        <v>45328.38</v>
      </c>
      <c r="K1349" s="2647"/>
      <c r="L1349" s="2604">
        <v>60000</v>
      </c>
      <c r="M1349" s="2604"/>
      <c r="N1349" s="73"/>
      <c r="O1349" s="86"/>
      <c r="P1349" s="1817" t="e">
        <f>INDEX(#REF!,MATCH(F1349,#REF!,0),2)</f>
        <v>#REF!</v>
      </c>
      <c r="W1349" s="1813"/>
    </row>
    <row r="1350" spans="1:48" s="243" customFormat="1">
      <c r="A1350" s="717"/>
      <c r="B1350" s="418" t="s">
        <v>1248</v>
      </c>
      <c r="C1350" s="418" t="s">
        <v>505</v>
      </c>
      <c r="D1350" s="1590"/>
      <c r="E1350" s="2224" t="s">
        <v>1924</v>
      </c>
      <c r="F1350" s="505">
        <v>2321</v>
      </c>
      <c r="G1350" s="54" t="s">
        <v>379</v>
      </c>
      <c r="H1350" s="2636"/>
      <c r="I1350" s="2636">
        <v>100000</v>
      </c>
      <c r="J1350" s="2636"/>
      <c r="K1350" s="2593"/>
      <c r="L1350" s="2592"/>
      <c r="M1350" s="4095">
        <v>60000</v>
      </c>
      <c r="N1350" s="73" t="s">
        <v>6110</v>
      </c>
      <c r="O1350" s="86"/>
      <c r="P1350" s="1817" t="e">
        <f>INDEX(#REF!,MATCH(F1350,#REF!,0),2)</f>
        <v>#REF!</v>
      </c>
      <c r="W1350" s="1813"/>
    </row>
    <row r="1351" spans="1:48" s="243" customFormat="1">
      <c r="A1351" s="506"/>
      <c r="B1351" s="506" t="s">
        <v>1248</v>
      </c>
      <c r="C1351" s="506" t="s">
        <v>505</v>
      </c>
      <c r="D1351" s="1589">
        <v>920</v>
      </c>
      <c r="E1351" s="2223" t="s">
        <v>1924</v>
      </c>
      <c r="F1351" s="540">
        <v>2322</v>
      </c>
      <c r="G1351" s="411" t="s">
        <v>380</v>
      </c>
      <c r="H1351" s="2635">
        <v>640</v>
      </c>
      <c r="I1351" s="2635"/>
      <c r="J1351" s="2635">
        <v>34</v>
      </c>
      <c r="K1351" s="2647"/>
      <c r="L1351" s="2604">
        <v>640</v>
      </c>
      <c r="M1351" s="2604"/>
      <c r="N1351" s="73"/>
      <c r="O1351" s="86"/>
      <c r="P1351" s="1817" t="e">
        <f>INDEX(#REF!,MATCH(F1351,#REF!,0),2)</f>
        <v>#REF!</v>
      </c>
      <c r="W1351" s="1813"/>
    </row>
    <row r="1352" spans="1:48" s="243" customFormat="1">
      <c r="A1352" s="717"/>
      <c r="B1352" s="418" t="s">
        <v>1248</v>
      </c>
      <c r="C1352" s="418" t="s">
        <v>505</v>
      </c>
      <c r="D1352" s="1590"/>
      <c r="E1352" s="2224" t="s">
        <v>1924</v>
      </c>
      <c r="F1352" s="505">
        <v>2322</v>
      </c>
      <c r="G1352" s="779" t="s">
        <v>834</v>
      </c>
      <c r="H1352" s="2636"/>
      <c r="I1352" s="2636">
        <v>200</v>
      </c>
      <c r="J1352" s="2636"/>
      <c r="K1352" s="2593"/>
      <c r="L1352" s="2592"/>
      <c r="M1352" s="2592">
        <v>200</v>
      </c>
      <c r="N1352" s="73"/>
      <c r="O1352" s="86"/>
      <c r="P1352" s="1817" t="e">
        <f>INDEX(#REF!,MATCH(F1352,#REF!,0),2)</f>
        <v>#REF!</v>
      </c>
      <c r="W1352" s="1813"/>
    </row>
    <row r="1353" spans="1:48" s="243" customFormat="1" ht="22.5">
      <c r="A1353" s="717"/>
      <c r="B1353" s="418" t="s">
        <v>1248</v>
      </c>
      <c r="C1353" s="418" t="s">
        <v>505</v>
      </c>
      <c r="D1353" s="1590"/>
      <c r="E1353" s="2224" t="s">
        <v>1924</v>
      </c>
      <c r="F1353" s="505">
        <v>2322</v>
      </c>
      <c r="G1353" s="779" t="s">
        <v>705</v>
      </c>
      <c r="H1353" s="2636"/>
      <c r="I1353" s="2636">
        <v>440</v>
      </c>
      <c r="J1353" s="2636"/>
      <c r="K1353" s="2593"/>
      <c r="L1353" s="2592"/>
      <c r="M1353" s="2592">
        <v>440</v>
      </c>
      <c r="N1353" s="73"/>
      <c r="O1353" s="86"/>
      <c r="P1353" s="1817" t="e">
        <f>INDEX(#REF!,MATCH(F1353,#REF!,0),2)</f>
        <v>#REF!</v>
      </c>
      <c r="W1353" s="1813"/>
    </row>
    <row r="1354" spans="1:48">
      <c r="A1354" s="506"/>
      <c r="B1354" s="506" t="s">
        <v>1248</v>
      </c>
      <c r="C1354" s="506" t="s">
        <v>507</v>
      </c>
      <c r="D1354" s="1589">
        <v>920</v>
      </c>
      <c r="E1354" s="2223" t="s">
        <v>1924</v>
      </c>
      <c r="F1354" s="540">
        <v>2341</v>
      </c>
      <c r="G1354" s="411" t="s">
        <v>364</v>
      </c>
      <c r="H1354" s="2635">
        <v>150</v>
      </c>
      <c r="I1354" s="2635"/>
      <c r="J1354" s="2635">
        <v>150</v>
      </c>
      <c r="K1354" s="2647"/>
      <c r="L1354" s="2604">
        <v>150</v>
      </c>
      <c r="M1354" s="2604"/>
      <c r="N1354" s="73"/>
      <c r="O1354" s="86"/>
      <c r="P1354" s="1817" t="e">
        <f>INDEX(#REF!,MATCH(F1354,#REF!,0),2)</f>
        <v>#REF!</v>
      </c>
      <c r="Q1354" s="4"/>
      <c r="R1354" s="4"/>
      <c r="S1354" s="4"/>
      <c r="T1354" s="4"/>
      <c r="U1354" s="4"/>
      <c r="V1354" s="4"/>
      <c r="W1354" s="4"/>
      <c r="X1354" s="4"/>
      <c r="Y1354" s="4"/>
      <c r="Z1354" s="4"/>
      <c r="AA1354" s="4"/>
      <c r="AB1354" s="4"/>
      <c r="AC1354" s="4"/>
      <c r="AD1354" s="4"/>
      <c r="AE1354" s="4"/>
      <c r="AF1354" s="4"/>
      <c r="AG1354" s="4"/>
      <c r="AH1354" s="4"/>
      <c r="AI1354" s="4"/>
      <c r="AJ1354" s="4"/>
      <c r="AK1354" s="4"/>
      <c r="AL1354" s="4"/>
      <c r="AM1354" s="4"/>
      <c r="AN1354" s="4"/>
      <c r="AO1354" s="4"/>
      <c r="AP1354" s="4"/>
      <c r="AQ1354" s="4"/>
      <c r="AR1354" s="4"/>
      <c r="AS1354" s="4"/>
      <c r="AT1354" s="4"/>
      <c r="AU1354" s="4"/>
      <c r="AV1354" s="4"/>
    </row>
    <row r="1355" spans="1:48" s="243" customFormat="1">
      <c r="A1355" s="412"/>
      <c r="B1355" s="412" t="s">
        <v>1248</v>
      </c>
      <c r="C1355" s="412" t="s">
        <v>507</v>
      </c>
      <c r="D1355" s="1590"/>
      <c r="E1355" s="2224" t="s">
        <v>1924</v>
      </c>
      <c r="F1355" s="505">
        <v>2341</v>
      </c>
      <c r="G1355" s="54" t="s">
        <v>381</v>
      </c>
      <c r="H1355" s="2636"/>
      <c r="I1355" s="2636">
        <v>150</v>
      </c>
      <c r="J1355" s="2636"/>
      <c r="K1355" s="2593"/>
      <c r="L1355" s="2592"/>
      <c r="M1355" s="2592">
        <v>150</v>
      </c>
      <c r="N1355" s="73"/>
      <c r="O1355" s="86"/>
      <c r="P1355" s="1817" t="e">
        <f>INDEX(#REF!,MATCH(F1355,#REF!,0),2)</f>
        <v>#REF!</v>
      </c>
      <c r="W1355" s="1813"/>
    </row>
    <row r="1356" spans="1:48">
      <c r="A1356" s="506"/>
      <c r="B1356" s="506" t="s">
        <v>1248</v>
      </c>
      <c r="C1356" s="506" t="s">
        <v>505</v>
      </c>
      <c r="D1356" s="1589">
        <v>920</v>
      </c>
      <c r="E1356" s="2223" t="s">
        <v>1924</v>
      </c>
      <c r="F1356" s="540">
        <v>2350</v>
      </c>
      <c r="G1356" s="411" t="s">
        <v>251</v>
      </c>
      <c r="H1356" s="2635">
        <v>13450</v>
      </c>
      <c r="I1356" s="2635"/>
      <c r="J1356" s="2635">
        <v>10561.33</v>
      </c>
      <c r="K1356" s="2647"/>
      <c r="L1356" s="2604">
        <v>15125</v>
      </c>
      <c r="M1356" s="2604"/>
      <c r="N1356" s="73"/>
      <c r="O1356" s="86"/>
      <c r="P1356" s="1817" t="e">
        <f>INDEX(#REF!,MATCH(F1356,#REF!,0),2)</f>
        <v>#REF!</v>
      </c>
      <c r="Q1356" s="11"/>
      <c r="R1356" s="11"/>
      <c r="S1356" s="11"/>
      <c r="T1356" s="11"/>
      <c r="U1356" s="11"/>
      <c r="V1356" s="11"/>
      <c r="W1356" s="4"/>
      <c r="X1356" s="11"/>
      <c r="Y1356" s="11"/>
      <c r="Z1356" s="11"/>
      <c r="AA1356" s="11"/>
      <c r="AB1356" s="11"/>
      <c r="AC1356" s="11"/>
      <c r="AD1356" s="11"/>
      <c r="AE1356" s="11"/>
      <c r="AF1356" s="11"/>
      <c r="AG1356" s="11"/>
      <c r="AH1356" s="11"/>
      <c r="AI1356" s="11"/>
      <c r="AJ1356" s="11"/>
      <c r="AK1356" s="11"/>
      <c r="AL1356" s="11"/>
      <c r="AM1356" s="11"/>
      <c r="AN1356" s="11"/>
      <c r="AO1356" s="11"/>
      <c r="AP1356" s="11"/>
      <c r="AQ1356" s="11"/>
      <c r="AR1356" s="11"/>
      <c r="AS1356" s="11"/>
      <c r="AT1356" s="11"/>
      <c r="AU1356" s="11"/>
      <c r="AV1356" s="11"/>
    </row>
    <row r="1357" spans="1:48">
      <c r="A1357" s="412"/>
      <c r="B1357" s="412" t="s">
        <v>1248</v>
      </c>
      <c r="C1357" s="412" t="s">
        <v>505</v>
      </c>
      <c r="D1357" s="1590"/>
      <c r="E1357" s="2224" t="s">
        <v>1924</v>
      </c>
      <c r="F1357" s="505">
        <v>2350</v>
      </c>
      <c r="G1357" s="2774" t="s">
        <v>3744</v>
      </c>
      <c r="H1357" s="2636"/>
      <c r="I1357" s="2636">
        <v>7000</v>
      </c>
      <c r="J1357" s="2636"/>
      <c r="K1357" s="2593"/>
      <c r="L1357" s="2592"/>
      <c r="M1357" s="2592">
        <v>8000</v>
      </c>
      <c r="N1357" s="73"/>
      <c r="O1357" s="86"/>
      <c r="P1357" s="1817" t="e">
        <f>INDEX(#REF!,MATCH(F1357,#REF!,0),2)</f>
        <v>#REF!</v>
      </c>
      <c r="Q1357" s="43"/>
      <c r="R1357" s="43"/>
      <c r="S1357" s="43"/>
      <c r="T1357" s="43"/>
      <c r="U1357" s="43"/>
      <c r="V1357" s="43"/>
      <c r="W1357" s="43"/>
      <c r="X1357" s="43"/>
      <c r="Y1357" s="43"/>
      <c r="Z1357" s="43"/>
      <c r="AA1357" s="43"/>
      <c r="AB1357" s="43"/>
      <c r="AC1357" s="43"/>
      <c r="AD1357" s="43"/>
      <c r="AE1357" s="43"/>
      <c r="AF1357" s="43"/>
      <c r="AG1357" s="43"/>
      <c r="AH1357" s="43"/>
      <c r="AI1357" s="43"/>
      <c r="AJ1357" s="43"/>
      <c r="AK1357" s="43"/>
      <c r="AL1357" s="43"/>
      <c r="AM1357" s="43"/>
      <c r="AN1357" s="43"/>
      <c r="AO1357" s="43"/>
      <c r="AP1357" s="43"/>
      <c r="AQ1357" s="43"/>
      <c r="AR1357" s="43"/>
      <c r="AS1357" s="43"/>
      <c r="AT1357" s="43"/>
      <c r="AU1357" s="43"/>
      <c r="AV1357" s="43"/>
    </row>
    <row r="1358" spans="1:48">
      <c r="A1358" s="412"/>
      <c r="B1358" s="412" t="s">
        <v>1248</v>
      </c>
      <c r="C1358" s="412" t="s">
        <v>505</v>
      </c>
      <c r="D1358" s="1590"/>
      <c r="E1358" s="2224" t="s">
        <v>1924</v>
      </c>
      <c r="F1358" s="505">
        <v>2350</v>
      </c>
      <c r="G1358" s="2787" t="s">
        <v>945</v>
      </c>
      <c r="H1358" s="2636"/>
      <c r="I1358" s="2636">
        <v>1300</v>
      </c>
      <c r="J1358" s="2636"/>
      <c r="K1358" s="2593"/>
      <c r="L1358" s="2592"/>
      <c r="M1358" s="2592">
        <v>1300</v>
      </c>
      <c r="N1358" s="73"/>
      <c r="O1358" s="86"/>
      <c r="P1358" s="1817" t="e">
        <f>INDEX(#REF!,MATCH(F1358,#REF!,0),2)</f>
        <v>#REF!</v>
      </c>
      <c r="Q1358" s="43"/>
      <c r="R1358" s="43"/>
      <c r="S1358" s="43"/>
      <c r="T1358" s="43"/>
      <c r="U1358" s="43"/>
      <c r="V1358" s="43"/>
      <c r="W1358" s="43"/>
      <c r="X1358" s="43"/>
      <c r="Y1358" s="43"/>
      <c r="Z1358" s="43"/>
      <c r="AA1358" s="43"/>
      <c r="AB1358" s="43"/>
      <c r="AC1358" s="43"/>
      <c r="AD1358" s="43"/>
      <c r="AE1358" s="43"/>
      <c r="AF1358" s="43"/>
      <c r="AG1358" s="43"/>
      <c r="AH1358" s="43"/>
      <c r="AI1358" s="43"/>
      <c r="AJ1358" s="43"/>
      <c r="AK1358" s="43"/>
      <c r="AL1358" s="43"/>
      <c r="AM1358" s="43"/>
      <c r="AN1358" s="43"/>
      <c r="AO1358" s="43"/>
      <c r="AP1358" s="43"/>
      <c r="AQ1358" s="43"/>
      <c r="AR1358" s="43"/>
      <c r="AS1358" s="43"/>
      <c r="AT1358" s="43"/>
      <c r="AU1358" s="43"/>
      <c r="AV1358" s="43"/>
    </row>
    <row r="1359" spans="1:48">
      <c r="A1359" s="412"/>
      <c r="B1359" s="412" t="s">
        <v>1248</v>
      </c>
      <c r="C1359" s="412" t="s">
        <v>505</v>
      </c>
      <c r="D1359" s="1590"/>
      <c r="E1359" s="2224" t="s">
        <v>1924</v>
      </c>
      <c r="F1359" s="505">
        <v>2350</v>
      </c>
      <c r="G1359" s="2787" t="s">
        <v>3745</v>
      </c>
      <c r="H1359" s="2636"/>
      <c r="I1359" s="2636">
        <v>500</v>
      </c>
      <c r="J1359" s="2636"/>
      <c r="K1359" s="2593"/>
      <c r="L1359" s="2592"/>
      <c r="M1359" s="2592">
        <v>500</v>
      </c>
      <c r="N1359" s="73"/>
      <c r="O1359" s="86"/>
      <c r="P1359" s="1817" t="e">
        <f>INDEX(#REF!,MATCH(F1359,#REF!,0),2)</f>
        <v>#REF!</v>
      </c>
      <c r="Q1359" s="43"/>
      <c r="R1359" s="43"/>
      <c r="S1359" s="43"/>
      <c r="T1359" s="43"/>
      <c r="U1359" s="43"/>
      <c r="V1359" s="43"/>
      <c r="W1359" s="43"/>
      <c r="X1359" s="43"/>
      <c r="Y1359" s="43"/>
      <c r="Z1359" s="43"/>
      <c r="AA1359" s="43"/>
      <c r="AB1359" s="43"/>
      <c r="AC1359" s="43"/>
      <c r="AD1359" s="43"/>
      <c r="AE1359" s="43"/>
      <c r="AF1359" s="43"/>
      <c r="AG1359" s="43"/>
      <c r="AH1359" s="43"/>
      <c r="AI1359" s="43"/>
      <c r="AJ1359" s="43"/>
      <c r="AK1359" s="43"/>
      <c r="AL1359" s="43"/>
      <c r="AM1359" s="43"/>
      <c r="AN1359" s="43"/>
      <c r="AO1359" s="43"/>
      <c r="AP1359" s="43"/>
      <c r="AQ1359" s="43"/>
      <c r="AR1359" s="43"/>
      <c r="AS1359" s="43"/>
      <c r="AT1359" s="43"/>
      <c r="AU1359" s="43"/>
      <c r="AV1359" s="43"/>
    </row>
    <row r="1360" spans="1:48" ht="22.5">
      <c r="A1360" s="412"/>
      <c r="B1360" s="412" t="s">
        <v>1248</v>
      </c>
      <c r="C1360" s="412" t="s">
        <v>505</v>
      </c>
      <c r="D1360" s="1590"/>
      <c r="E1360" s="2224" t="s">
        <v>1924</v>
      </c>
      <c r="F1360" s="505">
        <v>2350</v>
      </c>
      <c r="G1360" s="2782" t="s">
        <v>946</v>
      </c>
      <c r="H1360" s="2636"/>
      <c r="I1360" s="2636">
        <v>1500</v>
      </c>
      <c r="J1360" s="2636"/>
      <c r="K1360" s="2593"/>
      <c r="L1360" s="2592"/>
      <c r="M1360" s="2592">
        <v>1500</v>
      </c>
      <c r="N1360" s="73"/>
      <c r="O1360" s="86"/>
      <c r="P1360" s="1817" t="e">
        <f>INDEX(#REF!,MATCH(F1360,#REF!,0),2)</f>
        <v>#REF!</v>
      </c>
      <c r="Q1360" s="43"/>
      <c r="R1360" s="43"/>
      <c r="S1360" s="43"/>
      <c r="T1360" s="43"/>
      <c r="U1360" s="43"/>
      <c r="V1360" s="43"/>
      <c r="W1360" s="43"/>
      <c r="X1360" s="43"/>
      <c r="Y1360" s="43"/>
      <c r="Z1360" s="43"/>
      <c r="AA1360" s="43"/>
      <c r="AB1360" s="43"/>
      <c r="AC1360" s="43"/>
      <c r="AD1360" s="43"/>
      <c r="AE1360" s="43"/>
      <c r="AF1360" s="43"/>
      <c r="AG1360" s="43"/>
      <c r="AH1360" s="43"/>
      <c r="AI1360" s="43"/>
      <c r="AJ1360" s="43"/>
      <c r="AK1360" s="43"/>
      <c r="AL1360" s="43"/>
      <c r="AM1360" s="43"/>
      <c r="AN1360" s="43"/>
      <c r="AO1360" s="43"/>
      <c r="AP1360" s="43"/>
      <c r="AQ1360" s="43"/>
      <c r="AR1360" s="43"/>
      <c r="AS1360" s="43"/>
      <c r="AT1360" s="43"/>
      <c r="AU1360" s="43"/>
      <c r="AV1360" s="43"/>
    </row>
    <row r="1361" spans="1:48">
      <c r="A1361" s="412"/>
      <c r="B1361" s="412" t="s">
        <v>1248</v>
      </c>
      <c r="C1361" s="412" t="s">
        <v>505</v>
      </c>
      <c r="D1361" s="1590"/>
      <c r="E1361" s="2224" t="s">
        <v>1924</v>
      </c>
      <c r="F1361" s="505">
        <v>2350</v>
      </c>
      <c r="G1361" s="2787" t="s">
        <v>597</v>
      </c>
      <c r="H1361" s="2636"/>
      <c r="I1361" s="2636">
        <v>100</v>
      </c>
      <c r="J1361" s="2636"/>
      <c r="K1361" s="2593"/>
      <c r="L1361" s="2592"/>
      <c r="M1361" s="2592">
        <v>100</v>
      </c>
      <c r="N1361" s="73"/>
      <c r="O1361" s="86"/>
      <c r="P1361" s="1817" t="e">
        <f>INDEX(#REF!,MATCH(F1361,#REF!,0),2)</f>
        <v>#REF!</v>
      </c>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3"/>
      <c r="AT1361" s="43"/>
      <c r="AU1361" s="43"/>
      <c r="AV1361" s="43"/>
    </row>
    <row r="1362" spans="1:48">
      <c r="A1362" s="412"/>
      <c r="B1362" s="412" t="s">
        <v>1248</v>
      </c>
      <c r="C1362" s="412" t="s">
        <v>505</v>
      </c>
      <c r="D1362" s="1590"/>
      <c r="E1362" s="2224" t="s">
        <v>1924</v>
      </c>
      <c r="F1362" s="505">
        <v>2350</v>
      </c>
      <c r="G1362" s="2787" t="s">
        <v>637</v>
      </c>
      <c r="H1362" s="2636"/>
      <c r="I1362" s="2636">
        <v>700</v>
      </c>
      <c r="J1362" s="2636"/>
      <c r="K1362" s="2593"/>
      <c r="L1362" s="2592"/>
      <c r="M1362" s="2592">
        <v>700</v>
      </c>
      <c r="N1362" s="73"/>
      <c r="O1362" s="86"/>
      <c r="P1362" s="1817" t="e">
        <f>INDEX(#REF!,MATCH(F1362,#REF!,0),2)</f>
        <v>#REF!</v>
      </c>
      <c r="Q1362" s="11"/>
      <c r="R1362" s="11"/>
      <c r="S1362" s="11"/>
      <c r="T1362" s="11"/>
      <c r="U1362" s="11"/>
      <c r="V1362" s="11"/>
      <c r="W1362" s="4"/>
      <c r="X1362" s="11"/>
      <c r="Y1362" s="11"/>
      <c r="Z1362" s="11"/>
      <c r="AA1362" s="11"/>
      <c r="AB1362" s="11"/>
      <c r="AC1362" s="11"/>
      <c r="AD1362" s="11"/>
      <c r="AE1362" s="11"/>
      <c r="AF1362" s="11"/>
      <c r="AG1362" s="11"/>
      <c r="AH1362" s="11"/>
      <c r="AI1362" s="11"/>
      <c r="AJ1362" s="11"/>
      <c r="AK1362" s="11"/>
      <c r="AL1362" s="11"/>
      <c r="AM1362" s="11"/>
      <c r="AN1362" s="11"/>
      <c r="AO1362" s="11"/>
      <c r="AP1362" s="11"/>
      <c r="AQ1362" s="11"/>
      <c r="AR1362" s="11"/>
      <c r="AS1362" s="11"/>
      <c r="AT1362" s="11"/>
      <c r="AU1362" s="11"/>
      <c r="AV1362" s="11"/>
    </row>
    <row r="1363" spans="1:48">
      <c r="A1363" s="412"/>
      <c r="B1363" s="412" t="s">
        <v>1248</v>
      </c>
      <c r="C1363" s="412" t="s">
        <v>505</v>
      </c>
      <c r="D1363" s="1590"/>
      <c r="E1363" s="2224" t="s">
        <v>1924</v>
      </c>
      <c r="F1363" s="505">
        <v>2350</v>
      </c>
      <c r="G1363" s="2787" t="s">
        <v>3746</v>
      </c>
      <c r="H1363" s="2636"/>
      <c r="I1363" s="2636">
        <v>250</v>
      </c>
      <c r="J1363" s="2636"/>
      <c r="K1363" s="2593"/>
      <c r="L1363" s="2592"/>
      <c r="M1363" s="2592">
        <v>1000</v>
      </c>
      <c r="N1363" s="73"/>
      <c r="O1363" s="86"/>
      <c r="P1363" s="1817" t="e">
        <f>INDEX(#REF!,MATCH(F1363,#REF!,0),2)</f>
        <v>#REF!</v>
      </c>
      <c r="Q1363" s="11"/>
      <c r="R1363" s="11"/>
      <c r="S1363" s="11"/>
      <c r="T1363" s="11"/>
      <c r="U1363" s="11"/>
      <c r="V1363" s="11"/>
      <c r="W1363" s="4"/>
      <c r="X1363" s="11"/>
      <c r="Y1363" s="11"/>
      <c r="Z1363" s="11"/>
      <c r="AA1363" s="11"/>
      <c r="AB1363" s="11"/>
      <c r="AC1363" s="11"/>
      <c r="AD1363" s="11"/>
      <c r="AE1363" s="11"/>
      <c r="AF1363" s="11"/>
      <c r="AG1363" s="11"/>
      <c r="AH1363" s="11"/>
      <c r="AI1363" s="11"/>
      <c r="AJ1363" s="11"/>
      <c r="AK1363" s="11"/>
      <c r="AL1363" s="11"/>
      <c r="AM1363" s="11"/>
      <c r="AN1363" s="11"/>
      <c r="AO1363" s="11"/>
      <c r="AP1363" s="11"/>
      <c r="AQ1363" s="11"/>
      <c r="AR1363" s="11"/>
      <c r="AS1363" s="11"/>
      <c r="AT1363" s="11"/>
      <c r="AU1363" s="11"/>
      <c r="AV1363" s="11"/>
    </row>
    <row r="1364" spans="1:48" s="243" customFormat="1" ht="22.5">
      <c r="A1364" s="412"/>
      <c r="B1364" s="412" t="s">
        <v>1248</v>
      </c>
      <c r="C1364" s="412" t="s">
        <v>505</v>
      </c>
      <c r="D1364" s="1590"/>
      <c r="E1364" s="2224" t="s">
        <v>1924</v>
      </c>
      <c r="F1364" s="505">
        <v>2350</v>
      </c>
      <c r="G1364" s="2782" t="s">
        <v>3747</v>
      </c>
      <c r="H1364" s="2636"/>
      <c r="I1364" s="2636">
        <v>1000</v>
      </c>
      <c r="J1364" s="2636"/>
      <c r="K1364" s="2593"/>
      <c r="L1364" s="2592"/>
      <c r="M1364" s="2592">
        <v>765</v>
      </c>
      <c r="N1364" s="73"/>
      <c r="O1364" s="86"/>
      <c r="P1364" s="1817" t="e">
        <f>INDEX(#REF!,MATCH(F1364,#REF!,0),2)</f>
        <v>#REF!</v>
      </c>
      <c r="W1364" s="1813"/>
    </row>
    <row r="1365" spans="1:48" ht="22.5">
      <c r="A1365" s="2790"/>
      <c r="B1365" s="412" t="s">
        <v>1248</v>
      </c>
      <c r="C1365" s="412" t="s">
        <v>505</v>
      </c>
      <c r="D1365" s="1590"/>
      <c r="E1365" s="2224" t="s">
        <v>1924</v>
      </c>
      <c r="F1365" s="505">
        <v>2350</v>
      </c>
      <c r="G1365" s="2782" t="s">
        <v>3738</v>
      </c>
      <c r="H1365" s="2776"/>
      <c r="I1365" s="2776">
        <v>500</v>
      </c>
      <c r="J1365" s="2776"/>
      <c r="K1365" s="2777"/>
      <c r="L1365" s="2779"/>
      <c r="M1365" s="2779">
        <v>600</v>
      </c>
      <c r="N1365" s="73"/>
      <c r="O1365" s="86"/>
      <c r="P1365" s="1817"/>
      <c r="Q1365" s="1779"/>
      <c r="R1365" s="1779"/>
      <c r="S1365" s="1779"/>
      <c r="T1365" s="1779"/>
      <c r="U1365" s="1779"/>
      <c r="V1365" s="1779"/>
      <c r="W1365" s="43"/>
      <c r="X1365" s="1779"/>
      <c r="Y1365" s="1779"/>
      <c r="Z1365" s="1779"/>
      <c r="AA1365" s="1779"/>
      <c r="AB1365" s="1779"/>
      <c r="AC1365" s="1779"/>
      <c r="AD1365" s="1779"/>
      <c r="AE1365" s="1779"/>
      <c r="AF1365" s="1779"/>
      <c r="AG1365" s="1779"/>
      <c r="AH1365" s="1779"/>
      <c r="AI1365" s="1779"/>
      <c r="AJ1365" s="1779"/>
      <c r="AK1365" s="1779"/>
      <c r="AL1365" s="1779"/>
      <c r="AM1365" s="1779"/>
      <c r="AN1365" s="1779"/>
      <c r="AO1365" s="1779"/>
      <c r="AP1365" s="1779"/>
      <c r="AQ1365" s="1779"/>
      <c r="AR1365" s="1779"/>
      <c r="AS1365" s="1779"/>
      <c r="AT1365" s="1779"/>
      <c r="AU1365" s="1779"/>
      <c r="AV1365" s="1779"/>
    </row>
    <row r="1366" spans="1:48" ht="22.5">
      <c r="A1366" s="1376"/>
      <c r="B1366" s="412" t="s">
        <v>1248</v>
      </c>
      <c r="C1366" s="412" t="s">
        <v>507</v>
      </c>
      <c r="D1366" s="1590"/>
      <c r="E1366" s="2224" t="s">
        <v>1924</v>
      </c>
      <c r="F1366" s="505">
        <v>2350</v>
      </c>
      <c r="G1366" s="2774" t="s">
        <v>3748</v>
      </c>
      <c r="H1366" s="2636"/>
      <c r="I1366" s="2636">
        <v>600</v>
      </c>
      <c r="J1366" s="2636"/>
      <c r="K1366" s="2593"/>
      <c r="L1366" s="2592"/>
      <c r="M1366" s="2592">
        <v>660</v>
      </c>
      <c r="N1366" s="73"/>
      <c r="O1366" s="86"/>
      <c r="P1366" s="1817" t="e">
        <f>INDEX(#REF!,MATCH(F1366,#REF!,0),2)</f>
        <v>#REF!</v>
      </c>
      <c r="Q1366" s="1779"/>
      <c r="R1366" s="1779"/>
      <c r="S1366" s="1779"/>
      <c r="T1366" s="1779"/>
      <c r="U1366" s="1779"/>
      <c r="V1366" s="1779"/>
      <c r="W1366" s="43"/>
      <c r="X1366" s="1779"/>
      <c r="Y1366" s="1779"/>
      <c r="Z1366" s="1779"/>
      <c r="AA1366" s="1779"/>
      <c r="AB1366" s="1779"/>
      <c r="AC1366" s="1779"/>
      <c r="AD1366" s="1779"/>
      <c r="AE1366" s="1779"/>
      <c r="AF1366" s="1779"/>
      <c r="AG1366" s="1779"/>
      <c r="AH1366" s="1779"/>
      <c r="AI1366" s="1779"/>
      <c r="AJ1366" s="1779"/>
      <c r="AK1366" s="1779"/>
      <c r="AL1366" s="1779"/>
      <c r="AM1366" s="1779"/>
      <c r="AN1366" s="1779"/>
      <c r="AO1366" s="1779"/>
      <c r="AP1366" s="1779"/>
      <c r="AQ1366" s="1779"/>
      <c r="AR1366" s="1779"/>
      <c r="AS1366" s="1779"/>
      <c r="AT1366" s="1779"/>
      <c r="AU1366" s="1779"/>
      <c r="AV1366" s="1779"/>
    </row>
    <row r="1367" spans="1:48">
      <c r="A1367" s="506"/>
      <c r="B1367" s="506" t="s">
        <v>1248</v>
      </c>
      <c r="C1367" s="506" t="s">
        <v>507</v>
      </c>
      <c r="D1367" s="1589">
        <v>920</v>
      </c>
      <c r="E1367" s="2223" t="s">
        <v>1924</v>
      </c>
      <c r="F1367" s="540">
        <v>2361</v>
      </c>
      <c r="G1367" s="411" t="s">
        <v>3759</v>
      </c>
      <c r="H1367" s="2635">
        <v>623</v>
      </c>
      <c r="I1367" s="2635"/>
      <c r="J1367" s="2635"/>
      <c r="K1367" s="2647"/>
      <c r="L1367" s="2604">
        <v>594</v>
      </c>
      <c r="M1367" s="2604"/>
      <c r="N1367" s="73" t="s">
        <v>3758</v>
      </c>
      <c r="O1367" s="86"/>
      <c r="P1367" s="1817" t="e">
        <f>INDEX(#REF!,MATCH(F1367,#REF!,0),2)</f>
        <v>#REF!</v>
      </c>
      <c r="Q1367" s="1779"/>
      <c r="R1367" s="1779"/>
      <c r="S1367" s="1779"/>
      <c r="T1367" s="1779"/>
      <c r="U1367" s="1779"/>
      <c r="V1367" s="1779"/>
      <c r="W1367" s="43"/>
      <c r="X1367" s="1779"/>
      <c r="Y1367" s="1779"/>
      <c r="Z1367" s="1779"/>
      <c r="AA1367" s="1779"/>
      <c r="AB1367" s="1779"/>
      <c r="AC1367" s="1779"/>
      <c r="AD1367" s="1779"/>
      <c r="AE1367" s="1779"/>
      <c r="AF1367" s="1779"/>
      <c r="AG1367" s="1779"/>
      <c r="AH1367" s="1779"/>
      <c r="AI1367" s="1779"/>
      <c r="AJ1367" s="1779"/>
      <c r="AK1367" s="1779"/>
      <c r="AL1367" s="1779"/>
      <c r="AM1367" s="1779"/>
      <c r="AN1367" s="1779"/>
      <c r="AO1367" s="1779"/>
      <c r="AP1367" s="1779"/>
      <c r="AQ1367" s="1779"/>
      <c r="AR1367" s="1779"/>
      <c r="AS1367" s="1779"/>
      <c r="AT1367" s="1779"/>
      <c r="AU1367" s="1779"/>
      <c r="AV1367" s="1779"/>
    </row>
    <row r="1368" spans="1:48" ht="33.75">
      <c r="A1368" s="412"/>
      <c r="B1368" s="412" t="s">
        <v>1248</v>
      </c>
      <c r="C1368" s="412" t="s">
        <v>507</v>
      </c>
      <c r="D1368" s="1590"/>
      <c r="E1368" s="2224" t="s">
        <v>1924</v>
      </c>
      <c r="F1368" s="505">
        <v>2361</v>
      </c>
      <c r="G1368" s="2774" t="s">
        <v>3741</v>
      </c>
      <c r="H1368" s="2636"/>
      <c r="I1368" s="2636">
        <v>623</v>
      </c>
      <c r="J1368" s="2636"/>
      <c r="K1368" s="2593"/>
      <c r="L1368" s="2592"/>
      <c r="M1368" s="2592">
        <v>594</v>
      </c>
      <c r="N1368" s="73"/>
      <c r="O1368" s="86"/>
      <c r="P1368" s="1817" t="e">
        <f>INDEX(#REF!,MATCH(F1368,#REF!,0),2)</f>
        <v>#REF!</v>
      </c>
      <c r="Q1368" s="1779"/>
      <c r="R1368" s="1779"/>
      <c r="S1368" s="1779"/>
      <c r="T1368" s="1779"/>
      <c r="U1368" s="1779"/>
      <c r="V1368" s="1779"/>
      <c r="W1368" s="43"/>
      <c r="X1368" s="1779"/>
      <c r="Y1368" s="1779"/>
      <c r="Z1368" s="1779"/>
      <c r="AA1368" s="1779"/>
      <c r="AB1368" s="1779"/>
      <c r="AC1368" s="1779"/>
      <c r="AD1368" s="1779"/>
      <c r="AE1368" s="1779"/>
      <c r="AF1368" s="1779"/>
      <c r="AG1368" s="1779"/>
      <c r="AH1368" s="1779"/>
      <c r="AI1368" s="1779"/>
      <c r="AJ1368" s="1779"/>
      <c r="AK1368" s="1779"/>
      <c r="AL1368" s="1779"/>
      <c r="AM1368" s="1779"/>
      <c r="AN1368" s="1779"/>
      <c r="AO1368" s="1779"/>
      <c r="AP1368" s="1779"/>
      <c r="AQ1368" s="1779"/>
      <c r="AR1368" s="1779"/>
      <c r="AS1368" s="1779"/>
      <c r="AT1368" s="1779"/>
      <c r="AU1368" s="1779"/>
      <c r="AV1368" s="1779"/>
    </row>
    <row r="1369" spans="1:48">
      <c r="A1369" s="506"/>
      <c r="B1369" s="506" t="s">
        <v>1248</v>
      </c>
      <c r="C1369" s="506" t="s">
        <v>507</v>
      </c>
      <c r="D1369" s="1589">
        <v>920</v>
      </c>
      <c r="E1369" s="2223" t="s">
        <v>1924</v>
      </c>
      <c r="F1369" s="540">
        <v>2370</v>
      </c>
      <c r="G1369" s="411" t="s">
        <v>382</v>
      </c>
      <c r="H1369" s="2635">
        <v>5450</v>
      </c>
      <c r="I1369" s="2635"/>
      <c r="J1369" s="2635">
        <v>3847</v>
      </c>
      <c r="K1369" s="2647"/>
      <c r="L1369" s="2604">
        <v>9450</v>
      </c>
      <c r="M1369" s="2604"/>
      <c r="N1369" s="73"/>
      <c r="O1369" s="86"/>
      <c r="P1369" s="1817" t="e">
        <f>INDEX(#REF!,MATCH(F1369,#REF!,0),2)</f>
        <v>#REF!</v>
      </c>
      <c r="Q1369" s="1779"/>
      <c r="R1369" s="1779"/>
      <c r="S1369" s="1779"/>
      <c r="T1369" s="1779"/>
      <c r="U1369" s="1779"/>
      <c r="V1369" s="1779"/>
      <c r="W1369" s="43"/>
      <c r="X1369" s="1779"/>
      <c r="Y1369" s="1779"/>
      <c r="Z1369" s="1779"/>
      <c r="AA1369" s="1779"/>
      <c r="AB1369" s="1779"/>
      <c r="AC1369" s="1779"/>
      <c r="AD1369" s="1779"/>
      <c r="AE1369" s="1779"/>
      <c r="AF1369" s="1779"/>
      <c r="AG1369" s="1779"/>
      <c r="AH1369" s="1779"/>
      <c r="AI1369" s="1779"/>
      <c r="AJ1369" s="1779"/>
      <c r="AK1369" s="1779"/>
      <c r="AL1369" s="1779"/>
      <c r="AM1369" s="1779"/>
      <c r="AN1369" s="1779"/>
      <c r="AO1369" s="1779"/>
      <c r="AP1369" s="1779"/>
      <c r="AQ1369" s="1779"/>
      <c r="AR1369" s="1779"/>
      <c r="AS1369" s="1779"/>
      <c r="AT1369" s="1779"/>
      <c r="AU1369" s="1779"/>
      <c r="AV1369" s="1779"/>
    </row>
    <row r="1370" spans="1:48" ht="22.5">
      <c r="A1370" s="412"/>
      <c r="B1370" s="412" t="s">
        <v>1248</v>
      </c>
      <c r="C1370" s="412" t="s">
        <v>507</v>
      </c>
      <c r="D1370" s="1590"/>
      <c r="E1370" s="2224" t="s">
        <v>1924</v>
      </c>
      <c r="F1370" s="505">
        <v>2370</v>
      </c>
      <c r="G1370" s="2774" t="s">
        <v>3749</v>
      </c>
      <c r="H1370" s="2636"/>
      <c r="I1370" s="2636">
        <v>3150</v>
      </c>
      <c r="J1370" s="2636"/>
      <c r="K1370" s="2593"/>
      <c r="L1370" s="2592"/>
      <c r="M1370" s="2592">
        <v>5850</v>
      </c>
      <c r="N1370" s="73"/>
      <c r="O1370" s="86"/>
      <c r="P1370" s="1817" t="e">
        <f>INDEX(#REF!,MATCH(F1370,#REF!,0),2)</f>
        <v>#REF!</v>
      </c>
      <c r="Q1370" s="1779"/>
      <c r="R1370" s="1779"/>
      <c r="S1370" s="1779"/>
      <c r="T1370" s="1779"/>
      <c r="U1370" s="1779"/>
      <c r="V1370" s="1779"/>
      <c r="W1370" s="43"/>
      <c r="X1370" s="1779"/>
      <c r="Y1370" s="1779"/>
      <c r="Z1370" s="1779"/>
      <c r="AA1370" s="1779"/>
      <c r="AB1370" s="1779"/>
      <c r="AC1370" s="1779"/>
      <c r="AD1370" s="1779"/>
      <c r="AE1370" s="1779"/>
      <c r="AF1370" s="1779"/>
      <c r="AG1370" s="1779"/>
      <c r="AH1370" s="1779"/>
      <c r="AI1370" s="1779"/>
      <c r="AJ1370" s="1779"/>
      <c r="AK1370" s="1779"/>
      <c r="AL1370" s="1779"/>
      <c r="AM1370" s="1779"/>
      <c r="AN1370" s="1779"/>
      <c r="AO1370" s="1779"/>
      <c r="AP1370" s="1779"/>
      <c r="AQ1370" s="1779"/>
      <c r="AR1370" s="1779"/>
      <c r="AS1370" s="1779"/>
      <c r="AT1370" s="1779"/>
      <c r="AU1370" s="1779"/>
      <c r="AV1370" s="1779"/>
    </row>
    <row r="1371" spans="1:48" ht="20.45" customHeight="1">
      <c r="A1371" s="2790"/>
      <c r="B1371" s="412" t="s">
        <v>1248</v>
      </c>
      <c r="C1371" s="412" t="s">
        <v>507</v>
      </c>
      <c r="D1371" s="1590"/>
      <c r="E1371" s="2224" t="s">
        <v>1924</v>
      </c>
      <c r="F1371" s="505">
        <v>2370</v>
      </c>
      <c r="G1371" s="2774" t="s">
        <v>3740</v>
      </c>
      <c r="H1371" s="2776"/>
      <c r="I1371" s="2776">
        <v>2000</v>
      </c>
      <c r="J1371" s="2776"/>
      <c r="K1371" s="2777"/>
      <c r="L1371" s="2779"/>
      <c r="M1371" s="2779">
        <v>3100</v>
      </c>
      <c r="N1371" s="73" t="s">
        <v>5999</v>
      </c>
      <c r="O1371" s="86"/>
      <c r="P1371" s="1817"/>
      <c r="Q1371" s="11"/>
      <c r="R1371" s="11"/>
      <c r="S1371" s="11"/>
      <c r="T1371" s="11"/>
      <c r="U1371" s="11"/>
      <c r="V1371" s="11"/>
      <c r="W1371" s="4"/>
      <c r="X1371" s="11"/>
      <c r="Y1371" s="11"/>
      <c r="Z1371" s="11"/>
      <c r="AA1371" s="11"/>
      <c r="AB1371" s="11"/>
      <c r="AC1371" s="11"/>
      <c r="AD1371" s="11"/>
      <c r="AE1371" s="11"/>
      <c r="AF1371" s="11"/>
      <c r="AG1371" s="11"/>
      <c r="AH1371" s="11"/>
      <c r="AI1371" s="11"/>
      <c r="AJ1371" s="11"/>
      <c r="AK1371" s="11"/>
      <c r="AL1371" s="11"/>
      <c r="AM1371" s="11"/>
      <c r="AN1371" s="11"/>
      <c r="AO1371" s="11"/>
      <c r="AP1371" s="11"/>
      <c r="AQ1371" s="11"/>
      <c r="AR1371" s="11"/>
      <c r="AS1371" s="11"/>
      <c r="AT1371" s="11"/>
      <c r="AU1371" s="11"/>
      <c r="AV1371" s="11"/>
    </row>
    <row r="1372" spans="1:48" ht="15" customHeight="1">
      <c r="A1372" s="412"/>
      <c r="B1372" s="412" t="s">
        <v>1248</v>
      </c>
      <c r="C1372" s="412" t="s">
        <v>507</v>
      </c>
      <c r="D1372" s="1590"/>
      <c r="E1372" s="2224" t="s">
        <v>1924</v>
      </c>
      <c r="F1372" s="505">
        <v>2370</v>
      </c>
      <c r="G1372" s="2774" t="s">
        <v>985</v>
      </c>
      <c r="H1372" s="2636"/>
      <c r="I1372" s="2636">
        <v>300</v>
      </c>
      <c r="J1372" s="2636"/>
      <c r="K1372" s="2593"/>
      <c r="L1372" s="2592"/>
      <c r="M1372" s="2592">
        <v>500</v>
      </c>
      <c r="N1372" s="73"/>
      <c r="O1372" s="86"/>
      <c r="P1372" s="1817" t="e">
        <f>INDEX(#REF!,MATCH(F1372,#REF!,0),2)</f>
        <v>#REF!</v>
      </c>
      <c r="Q1372" s="11"/>
      <c r="R1372" s="11"/>
      <c r="S1372" s="11"/>
      <c r="T1372" s="11"/>
      <c r="U1372" s="11"/>
      <c r="V1372" s="11"/>
      <c r="W1372" s="4"/>
      <c r="X1372" s="11"/>
      <c r="Y1372" s="11"/>
      <c r="Z1372" s="11"/>
      <c r="AA1372" s="11"/>
      <c r="AB1372" s="11"/>
      <c r="AC1372" s="11"/>
      <c r="AD1372" s="11"/>
      <c r="AE1372" s="11"/>
      <c r="AF1372" s="11"/>
      <c r="AG1372" s="11"/>
      <c r="AH1372" s="11"/>
      <c r="AI1372" s="11"/>
      <c r="AJ1372" s="11"/>
      <c r="AK1372" s="11"/>
      <c r="AL1372" s="11"/>
      <c r="AM1372" s="11"/>
      <c r="AN1372" s="11"/>
      <c r="AO1372" s="11"/>
      <c r="AP1372" s="11"/>
      <c r="AQ1372" s="11"/>
      <c r="AR1372" s="11"/>
      <c r="AS1372" s="11"/>
      <c r="AT1372" s="11"/>
      <c r="AU1372" s="11"/>
      <c r="AV1372" s="11"/>
    </row>
    <row r="1373" spans="1:48" ht="20.45" customHeight="1">
      <c r="A1373" s="506"/>
      <c r="B1373" s="506" t="s">
        <v>512</v>
      </c>
      <c r="C1373" s="506" t="s">
        <v>506</v>
      </c>
      <c r="D1373" s="1589">
        <v>920</v>
      </c>
      <c r="E1373" s="2223" t="s">
        <v>1923</v>
      </c>
      <c r="F1373" s="540">
        <v>2370</v>
      </c>
      <c r="G1373" s="411" t="s">
        <v>382</v>
      </c>
      <c r="H1373" s="2766">
        <v>1870</v>
      </c>
      <c r="I1373" s="2635"/>
      <c r="J1373" s="2635"/>
      <c r="K1373" s="2593"/>
      <c r="L1373" s="2788">
        <v>1870</v>
      </c>
      <c r="M1373" s="2604"/>
      <c r="N1373" s="73"/>
      <c r="O1373" s="86"/>
      <c r="P1373" s="1817" t="e">
        <f>INDEX(#REF!,MATCH(F1373,#REF!,0),2)</f>
        <v>#REF!</v>
      </c>
      <c r="Q1373" s="11"/>
      <c r="R1373" s="11"/>
      <c r="S1373" s="11"/>
      <c r="T1373" s="11"/>
      <c r="U1373" s="11"/>
      <c r="V1373" s="11"/>
      <c r="W1373" s="4"/>
      <c r="X1373" s="11"/>
      <c r="Y1373" s="11"/>
      <c r="Z1373" s="11"/>
      <c r="AA1373" s="11"/>
      <c r="AB1373" s="11"/>
      <c r="AC1373" s="11"/>
      <c r="AD1373" s="11"/>
      <c r="AE1373" s="11"/>
      <c r="AF1373" s="11"/>
      <c r="AG1373" s="11"/>
      <c r="AH1373" s="11"/>
      <c r="AI1373" s="11"/>
      <c r="AJ1373" s="11"/>
      <c r="AK1373" s="11"/>
      <c r="AL1373" s="11"/>
      <c r="AM1373" s="11"/>
      <c r="AN1373" s="11"/>
      <c r="AO1373" s="11"/>
      <c r="AP1373" s="11"/>
      <c r="AQ1373" s="11"/>
      <c r="AR1373" s="11"/>
      <c r="AS1373" s="11"/>
      <c r="AT1373" s="11"/>
      <c r="AU1373" s="11"/>
      <c r="AV1373" s="11"/>
    </row>
    <row r="1374" spans="1:48">
      <c r="A1374" s="412"/>
      <c r="B1374" s="412" t="s">
        <v>512</v>
      </c>
      <c r="C1374" s="412" t="s">
        <v>506</v>
      </c>
      <c r="D1374" s="1590"/>
      <c r="E1374" s="2224" t="s">
        <v>1923</v>
      </c>
      <c r="F1374" s="505">
        <v>2370</v>
      </c>
      <c r="G1374" s="719" t="s">
        <v>3243</v>
      </c>
      <c r="H1374" s="2636"/>
      <c r="I1374" s="2636">
        <v>1870</v>
      </c>
      <c r="J1374" s="2636"/>
      <c r="K1374" s="2593"/>
      <c r="L1374" s="2592"/>
      <c r="M1374" s="2592">
        <v>1870</v>
      </c>
      <c r="N1374" s="73"/>
      <c r="O1374" s="86"/>
      <c r="P1374" s="1817" t="e">
        <f>INDEX(#REF!,MATCH(F1374,#REF!,0),2)</f>
        <v>#REF!</v>
      </c>
      <c r="Q1374" s="11"/>
      <c r="R1374" s="11"/>
      <c r="S1374" s="11"/>
      <c r="T1374" s="11"/>
      <c r="U1374" s="11"/>
      <c r="V1374" s="11"/>
      <c r="W1374" s="4"/>
      <c r="X1374" s="11"/>
      <c r="Y1374" s="11"/>
      <c r="Z1374" s="11"/>
      <c r="AA1374" s="11"/>
      <c r="AB1374" s="11"/>
      <c r="AC1374" s="11"/>
      <c r="AD1374" s="11"/>
      <c r="AE1374" s="11"/>
      <c r="AF1374" s="11"/>
      <c r="AG1374" s="11"/>
      <c r="AH1374" s="11"/>
      <c r="AI1374" s="11"/>
      <c r="AJ1374" s="11"/>
      <c r="AK1374" s="11"/>
      <c r="AL1374" s="11"/>
      <c r="AM1374" s="11"/>
      <c r="AN1374" s="11"/>
      <c r="AO1374" s="11"/>
      <c r="AP1374" s="11"/>
      <c r="AQ1374" s="11"/>
      <c r="AR1374" s="11"/>
      <c r="AS1374" s="11"/>
      <c r="AT1374" s="11"/>
      <c r="AU1374" s="11"/>
      <c r="AV1374" s="11"/>
    </row>
    <row r="1375" spans="1:48">
      <c r="A1375" s="412"/>
      <c r="B1375" s="412" t="s">
        <v>512</v>
      </c>
      <c r="C1375" s="412" t="s">
        <v>506</v>
      </c>
      <c r="D1375" s="1590"/>
      <c r="E1375" s="2224" t="s">
        <v>1923</v>
      </c>
      <c r="F1375" s="505">
        <v>2370</v>
      </c>
      <c r="G1375" s="719" t="s">
        <v>1097</v>
      </c>
      <c r="H1375" s="2636"/>
      <c r="I1375" s="2636"/>
      <c r="J1375" s="2636"/>
      <c r="K1375" s="2593"/>
      <c r="L1375" s="2594"/>
      <c r="M1375" s="2594"/>
      <c r="N1375" s="73"/>
      <c r="O1375" s="86"/>
      <c r="P1375" s="1817" t="e">
        <f>INDEX(#REF!,MATCH(F1375,#REF!,0),2)</f>
        <v>#REF!</v>
      </c>
      <c r="Q1375" s="11"/>
      <c r="R1375" s="11"/>
      <c r="S1375" s="11"/>
      <c r="T1375" s="11"/>
      <c r="U1375" s="11"/>
      <c r="V1375" s="11"/>
      <c r="W1375" s="4"/>
      <c r="X1375" s="11"/>
      <c r="Y1375" s="11"/>
      <c r="Z1375" s="11"/>
      <c r="AA1375" s="11"/>
      <c r="AB1375" s="11"/>
      <c r="AC1375" s="11"/>
      <c r="AD1375" s="11"/>
      <c r="AE1375" s="11"/>
      <c r="AF1375" s="11"/>
      <c r="AG1375" s="11"/>
      <c r="AH1375" s="11"/>
      <c r="AI1375" s="11"/>
      <c r="AJ1375" s="11"/>
      <c r="AK1375" s="11"/>
      <c r="AL1375" s="11"/>
      <c r="AM1375" s="11"/>
      <c r="AN1375" s="11"/>
      <c r="AO1375" s="11"/>
      <c r="AP1375" s="11"/>
      <c r="AQ1375" s="11"/>
      <c r="AR1375" s="11"/>
      <c r="AS1375" s="11"/>
      <c r="AT1375" s="11"/>
      <c r="AU1375" s="11"/>
      <c r="AV1375" s="11"/>
    </row>
    <row r="1376" spans="1:48">
      <c r="A1376" s="506"/>
      <c r="B1376" s="506" t="s">
        <v>1248</v>
      </c>
      <c r="C1376" s="506" t="s">
        <v>505</v>
      </c>
      <c r="D1376" s="1589">
        <v>920</v>
      </c>
      <c r="E1376" s="2223" t="s">
        <v>1924</v>
      </c>
      <c r="F1376" s="540">
        <v>2390</v>
      </c>
      <c r="G1376" s="411" t="s">
        <v>253</v>
      </c>
      <c r="H1376" s="2635">
        <v>400</v>
      </c>
      <c r="I1376" s="2635"/>
      <c r="J1376" s="2635"/>
      <c r="K1376" s="2647"/>
      <c r="L1376" s="2604">
        <v>500</v>
      </c>
      <c r="M1376" s="2606"/>
      <c r="N1376" s="73"/>
      <c r="O1376" s="86"/>
      <c r="P1376" s="1817" t="e">
        <f>INDEX(#REF!,MATCH(F1376,#REF!,0),2)</f>
        <v>#REF!</v>
      </c>
      <c r="Q1376" s="11"/>
      <c r="R1376" s="11"/>
      <c r="S1376" s="11"/>
      <c r="T1376" s="11"/>
      <c r="U1376" s="11"/>
      <c r="V1376" s="11"/>
      <c r="W1376" s="4"/>
      <c r="X1376" s="11"/>
      <c r="Y1376" s="11"/>
      <c r="Z1376" s="11"/>
      <c r="AA1376" s="11"/>
      <c r="AB1376" s="11"/>
      <c r="AC1376" s="11"/>
      <c r="AD1376" s="11"/>
      <c r="AE1376" s="11"/>
      <c r="AF1376" s="11"/>
      <c r="AG1376" s="11"/>
      <c r="AH1376" s="11"/>
      <c r="AI1376" s="11"/>
      <c r="AJ1376" s="11"/>
      <c r="AK1376" s="11"/>
      <c r="AL1376" s="11"/>
      <c r="AM1376" s="11"/>
      <c r="AN1376" s="11"/>
      <c r="AO1376" s="11"/>
      <c r="AP1376" s="11"/>
      <c r="AQ1376" s="11"/>
      <c r="AR1376" s="11"/>
      <c r="AS1376" s="11"/>
      <c r="AT1376" s="11"/>
      <c r="AU1376" s="11"/>
      <c r="AV1376" s="11"/>
    </row>
    <row r="1377" spans="1:48">
      <c r="A1377" s="412"/>
      <c r="B1377" s="412" t="s">
        <v>1248</v>
      </c>
      <c r="C1377" s="412" t="s">
        <v>505</v>
      </c>
      <c r="D1377" s="1590"/>
      <c r="E1377" s="2224" t="s">
        <v>1924</v>
      </c>
      <c r="F1377" s="505">
        <v>2390</v>
      </c>
      <c r="G1377" s="811" t="s">
        <v>1079</v>
      </c>
      <c r="H1377" s="2636"/>
      <c r="I1377" s="2636">
        <v>400</v>
      </c>
      <c r="J1377" s="2636"/>
      <c r="K1377" s="2593"/>
      <c r="L1377" s="2594"/>
      <c r="M1377" s="2592">
        <v>500</v>
      </c>
      <c r="N1377" s="73"/>
      <c r="O1377" s="86"/>
      <c r="P1377" s="1817" t="e">
        <f>INDEX(#REF!,MATCH(F1377,#REF!,0),2)</f>
        <v>#REF!</v>
      </c>
      <c r="Q1377" s="11"/>
      <c r="R1377" s="11"/>
      <c r="S1377" s="11"/>
      <c r="T1377" s="11"/>
      <c r="U1377" s="11"/>
      <c r="V1377" s="11"/>
      <c r="W1377" s="4"/>
      <c r="X1377" s="11"/>
      <c r="Y1377" s="11"/>
      <c r="Z1377" s="11"/>
      <c r="AA1377" s="11"/>
      <c r="AB1377" s="11"/>
      <c r="AC1377" s="11"/>
      <c r="AD1377" s="11"/>
      <c r="AE1377" s="11"/>
      <c r="AF1377" s="11"/>
      <c r="AG1377" s="11"/>
      <c r="AH1377" s="11"/>
      <c r="AI1377" s="11"/>
      <c r="AJ1377" s="11"/>
      <c r="AK1377" s="11"/>
      <c r="AL1377" s="11"/>
      <c r="AM1377" s="11"/>
      <c r="AN1377" s="11"/>
      <c r="AO1377" s="11"/>
      <c r="AP1377" s="11"/>
      <c r="AQ1377" s="11"/>
      <c r="AR1377" s="11"/>
      <c r="AS1377" s="11"/>
      <c r="AT1377" s="11"/>
      <c r="AU1377" s="11"/>
      <c r="AV1377" s="11"/>
    </row>
    <row r="1378" spans="1:48" ht="22.5">
      <c r="A1378" s="506"/>
      <c r="B1378" s="506" t="s">
        <v>1248</v>
      </c>
      <c r="C1378" s="506" t="s">
        <v>570</v>
      </c>
      <c r="D1378" s="1589">
        <v>920</v>
      </c>
      <c r="E1378" s="2223" t="s">
        <v>1924</v>
      </c>
      <c r="F1378" s="540">
        <v>5120</v>
      </c>
      <c r="G1378" s="411" t="s">
        <v>899</v>
      </c>
      <c r="H1378" s="2635">
        <v>0</v>
      </c>
      <c r="I1378" s="2635"/>
      <c r="J1378" s="2635"/>
      <c r="K1378" s="2647"/>
      <c r="L1378" s="2604">
        <v>600</v>
      </c>
      <c r="M1378" s="2604"/>
      <c r="N1378" s="73"/>
      <c r="O1378" s="86"/>
      <c r="P1378" s="1817" t="e">
        <f>INDEX(#REF!,MATCH(F1378,#REF!,0),2)</f>
        <v>#REF!</v>
      </c>
      <c r="Q1378" s="11"/>
      <c r="R1378" s="11"/>
      <c r="S1378" s="11"/>
      <c r="T1378" s="11"/>
      <c r="U1378" s="11"/>
      <c r="V1378" s="11"/>
      <c r="W1378" s="4"/>
      <c r="X1378" s="11"/>
      <c r="Y1378" s="11"/>
      <c r="Z1378" s="11"/>
      <c r="AA1378" s="11"/>
      <c r="AB1378" s="11"/>
      <c r="AC1378" s="11"/>
      <c r="AD1378" s="11"/>
      <c r="AE1378" s="11"/>
      <c r="AF1378" s="11"/>
      <c r="AG1378" s="11"/>
      <c r="AH1378" s="11"/>
      <c r="AI1378" s="11"/>
      <c r="AJ1378" s="11"/>
      <c r="AK1378" s="11"/>
      <c r="AL1378" s="11"/>
      <c r="AM1378" s="11"/>
      <c r="AN1378" s="11"/>
      <c r="AO1378" s="11"/>
      <c r="AP1378" s="11"/>
      <c r="AQ1378" s="11"/>
      <c r="AR1378" s="11"/>
      <c r="AS1378" s="11"/>
      <c r="AT1378" s="11"/>
      <c r="AU1378" s="11"/>
      <c r="AV1378" s="11"/>
    </row>
    <row r="1379" spans="1:48" ht="101.25">
      <c r="A1379" s="412"/>
      <c r="B1379" s="412" t="s">
        <v>1248</v>
      </c>
      <c r="C1379" s="412" t="s">
        <v>570</v>
      </c>
      <c r="D1379" s="1590"/>
      <c r="E1379" s="2224" t="s">
        <v>1924</v>
      </c>
      <c r="F1379" s="505">
        <v>5120</v>
      </c>
      <c r="G1379" s="2774" t="s">
        <v>3753</v>
      </c>
      <c r="H1379" s="2636"/>
      <c r="I1379" s="2636">
        <v>300</v>
      </c>
      <c r="J1379" s="2636"/>
      <c r="K1379" s="2593"/>
      <c r="L1379" s="2592"/>
      <c r="M1379" s="2592">
        <v>600</v>
      </c>
      <c r="N1379" s="4083" t="s">
        <v>5758</v>
      </c>
      <c r="O1379" s="86"/>
      <c r="P1379" s="1817" t="e">
        <f>INDEX(#REF!,MATCH(F1379,#REF!,0),2)</f>
        <v>#REF!</v>
      </c>
      <c r="Q1379" s="11"/>
      <c r="R1379" s="11"/>
      <c r="S1379" s="11"/>
      <c r="T1379" s="11"/>
      <c r="U1379" s="11"/>
      <c r="V1379" s="11"/>
      <c r="W1379" s="4"/>
      <c r="X1379" s="11"/>
      <c r="Y1379" s="11"/>
      <c r="Z1379" s="11"/>
      <c r="AA1379" s="11"/>
      <c r="AB1379" s="11"/>
      <c r="AC1379" s="11"/>
      <c r="AD1379" s="11"/>
      <c r="AE1379" s="11"/>
      <c r="AF1379" s="11"/>
      <c r="AG1379" s="11"/>
      <c r="AH1379" s="11"/>
      <c r="AI1379" s="11"/>
      <c r="AJ1379" s="11"/>
      <c r="AK1379" s="11"/>
      <c r="AL1379" s="11"/>
      <c r="AM1379" s="11"/>
      <c r="AN1379" s="11"/>
      <c r="AO1379" s="11"/>
      <c r="AP1379" s="11"/>
      <c r="AQ1379" s="11"/>
      <c r="AR1379" s="11"/>
      <c r="AS1379" s="11"/>
      <c r="AT1379" s="11"/>
      <c r="AU1379" s="11"/>
      <c r="AV1379" s="11"/>
    </row>
    <row r="1380" spans="1:48">
      <c r="A1380" s="1882"/>
      <c r="B1380" s="412" t="s">
        <v>1248</v>
      </c>
      <c r="C1380" s="412" t="s">
        <v>570</v>
      </c>
      <c r="D1380" s="1590"/>
      <c r="E1380" s="2224" t="s">
        <v>1924</v>
      </c>
      <c r="F1380" s="505">
        <v>5120</v>
      </c>
      <c r="G1380" s="1577" t="s">
        <v>3189</v>
      </c>
      <c r="H1380" s="2636"/>
      <c r="I1380" s="2636">
        <v>-300</v>
      </c>
      <c r="J1380" s="2636"/>
      <c r="K1380" s="2593"/>
      <c r="L1380" s="2594"/>
      <c r="M1380" s="2594"/>
      <c r="N1380" s="73"/>
      <c r="O1380" s="86"/>
      <c r="P1380" s="1817" t="e">
        <f>INDEX(#REF!,MATCH(F1380,#REF!,0),2)</f>
        <v>#REF!</v>
      </c>
      <c r="Q1380" s="1779"/>
      <c r="R1380" s="1779"/>
      <c r="S1380" s="1779"/>
      <c r="T1380" s="1779"/>
      <c r="U1380" s="1779"/>
      <c r="V1380" s="1779"/>
      <c r="W1380" s="43"/>
      <c r="X1380" s="1779"/>
      <c r="Y1380" s="1779"/>
      <c r="Z1380" s="1779"/>
      <c r="AA1380" s="1779"/>
      <c r="AB1380" s="1779"/>
      <c r="AC1380" s="1779"/>
      <c r="AD1380" s="1779"/>
      <c r="AE1380" s="1779"/>
      <c r="AF1380" s="1779"/>
      <c r="AG1380" s="1779"/>
      <c r="AH1380" s="1779"/>
      <c r="AI1380" s="1779"/>
      <c r="AJ1380" s="1779"/>
      <c r="AK1380" s="1779"/>
      <c r="AL1380" s="1779"/>
      <c r="AM1380" s="1779"/>
      <c r="AN1380" s="1779"/>
      <c r="AO1380" s="1779"/>
      <c r="AP1380" s="1779"/>
      <c r="AQ1380" s="1779"/>
      <c r="AR1380" s="1779"/>
      <c r="AS1380" s="1779"/>
      <c r="AT1380" s="1779"/>
      <c r="AU1380" s="1779"/>
      <c r="AV1380" s="1779"/>
    </row>
    <row r="1381" spans="1:48">
      <c r="A1381" s="506"/>
      <c r="B1381" s="506" t="s">
        <v>1250</v>
      </c>
      <c r="C1381" s="506" t="s">
        <v>509</v>
      </c>
      <c r="D1381" s="1589">
        <v>920</v>
      </c>
      <c r="E1381" s="2223" t="s">
        <v>1924</v>
      </c>
      <c r="F1381" s="540">
        <v>5238</v>
      </c>
      <c r="G1381" s="411" t="s">
        <v>257</v>
      </c>
      <c r="H1381" s="2635">
        <v>5916</v>
      </c>
      <c r="I1381" s="2635"/>
      <c r="J1381" s="2635"/>
      <c r="K1381" s="2647"/>
      <c r="L1381" s="2604">
        <v>3400</v>
      </c>
      <c r="M1381" s="2789"/>
      <c r="N1381" s="73"/>
      <c r="O1381" s="86"/>
      <c r="P1381" s="1817" t="e">
        <f>INDEX(#REF!,MATCH(F1381,#REF!,0),2)</f>
        <v>#REF!</v>
      </c>
      <c r="Q1381" s="11"/>
      <c r="R1381" s="11"/>
      <c r="S1381" s="11"/>
      <c r="T1381" s="11"/>
      <c r="U1381" s="11"/>
      <c r="V1381" s="11"/>
      <c r="W1381" s="4"/>
      <c r="X1381" s="11"/>
      <c r="Y1381" s="11"/>
      <c r="Z1381" s="11"/>
      <c r="AA1381" s="11"/>
      <c r="AB1381" s="11"/>
      <c r="AC1381" s="11"/>
      <c r="AD1381" s="11"/>
      <c r="AE1381" s="11"/>
      <c r="AF1381" s="11"/>
      <c r="AG1381" s="11"/>
      <c r="AH1381" s="11"/>
      <c r="AI1381" s="11"/>
      <c r="AJ1381" s="11"/>
      <c r="AK1381" s="11"/>
      <c r="AL1381" s="11"/>
      <c r="AM1381" s="11"/>
      <c r="AN1381" s="11"/>
      <c r="AO1381" s="11"/>
      <c r="AP1381" s="11"/>
      <c r="AQ1381" s="11"/>
      <c r="AR1381" s="11"/>
      <c r="AS1381" s="11"/>
      <c r="AT1381" s="11"/>
      <c r="AU1381" s="11"/>
      <c r="AV1381" s="11"/>
    </row>
    <row r="1382" spans="1:48" s="243" customFormat="1">
      <c r="A1382" s="412"/>
      <c r="B1382" s="412" t="s">
        <v>1250</v>
      </c>
      <c r="C1382" s="412" t="s">
        <v>509</v>
      </c>
      <c r="D1382" s="1590"/>
      <c r="E1382" s="2224" t="s">
        <v>1924</v>
      </c>
      <c r="F1382" s="505">
        <v>5238</v>
      </c>
      <c r="G1382" s="2774" t="s">
        <v>3754</v>
      </c>
      <c r="H1382" s="2636"/>
      <c r="I1382" s="2636">
        <v>1300</v>
      </c>
      <c r="J1382" s="2636"/>
      <c r="K1382" s="2593"/>
      <c r="L1382" s="2592"/>
      <c r="M1382" s="2592">
        <v>1000</v>
      </c>
      <c r="N1382" s="73"/>
      <c r="O1382" s="86"/>
      <c r="P1382" s="1817" t="e">
        <f>INDEX(#REF!,MATCH(F1382,#REF!,0),2)</f>
        <v>#REF!</v>
      </c>
      <c r="W1382" s="1813"/>
    </row>
    <row r="1383" spans="1:48" s="243" customFormat="1">
      <c r="A1383" s="412"/>
      <c r="B1383" s="412" t="s">
        <v>1250</v>
      </c>
      <c r="C1383" s="412" t="s">
        <v>509</v>
      </c>
      <c r="D1383" s="1590"/>
      <c r="E1383" s="2224" t="s">
        <v>1924</v>
      </c>
      <c r="F1383" s="505">
        <v>5238</v>
      </c>
      <c r="G1383" s="2774" t="s">
        <v>3755</v>
      </c>
      <c r="H1383" s="2636"/>
      <c r="I1383" s="2636">
        <v>1534</v>
      </c>
      <c r="J1383" s="2636"/>
      <c r="K1383" s="2593"/>
      <c r="L1383" s="2592"/>
      <c r="M1383" s="2592">
        <v>1000</v>
      </c>
      <c r="N1383" s="73"/>
      <c r="O1383" s="86"/>
      <c r="P1383" s="1817" t="e">
        <f>INDEX(#REF!,MATCH(F1383,#REF!,0),2)</f>
        <v>#REF!</v>
      </c>
      <c r="W1383" s="1813"/>
    </row>
    <row r="1384" spans="1:48">
      <c r="A1384" s="768"/>
      <c r="B1384" s="412" t="s">
        <v>1248</v>
      </c>
      <c r="C1384" s="412" t="s">
        <v>507</v>
      </c>
      <c r="D1384" s="1590"/>
      <c r="E1384" s="2224" t="s">
        <v>1924</v>
      </c>
      <c r="F1384" s="505">
        <v>5238</v>
      </c>
      <c r="G1384" s="772" t="s">
        <v>521</v>
      </c>
      <c r="H1384" s="2636"/>
      <c r="I1384" s="2636">
        <v>800</v>
      </c>
      <c r="J1384" s="2636"/>
      <c r="K1384" s="2593"/>
      <c r="L1384" s="2592"/>
      <c r="M1384" s="2592">
        <v>800</v>
      </c>
      <c r="N1384" s="73"/>
      <c r="O1384" s="86"/>
      <c r="P1384" s="1817" t="e">
        <f>INDEX(#REF!,MATCH(F1384,#REF!,0),2)</f>
        <v>#REF!</v>
      </c>
      <c r="Q1384" s="11"/>
      <c r="R1384" s="11"/>
      <c r="S1384" s="11"/>
      <c r="T1384" s="11"/>
      <c r="U1384" s="11"/>
      <c r="V1384" s="11"/>
      <c r="W1384" s="4"/>
      <c r="X1384" s="11"/>
      <c r="Y1384" s="11"/>
      <c r="Z1384" s="11"/>
      <c r="AA1384" s="11"/>
      <c r="AB1384" s="11"/>
      <c r="AC1384" s="11"/>
      <c r="AD1384" s="11"/>
      <c r="AE1384" s="11"/>
      <c r="AF1384" s="11"/>
      <c r="AG1384" s="11"/>
      <c r="AH1384" s="11"/>
      <c r="AI1384" s="11"/>
      <c r="AJ1384" s="11"/>
      <c r="AK1384" s="11"/>
      <c r="AL1384" s="11"/>
      <c r="AM1384" s="11"/>
      <c r="AN1384" s="11"/>
      <c r="AO1384" s="11"/>
      <c r="AP1384" s="11"/>
      <c r="AQ1384" s="11"/>
      <c r="AR1384" s="11"/>
      <c r="AS1384" s="11"/>
      <c r="AT1384" s="11"/>
      <c r="AU1384" s="11"/>
      <c r="AV1384" s="11"/>
    </row>
    <row r="1385" spans="1:48" ht="22.5">
      <c r="A1385" s="1376"/>
      <c r="B1385" s="412" t="s">
        <v>1248</v>
      </c>
      <c r="C1385" s="412" t="s">
        <v>507</v>
      </c>
      <c r="D1385" s="1590"/>
      <c r="E1385" s="2224" t="s">
        <v>1924</v>
      </c>
      <c r="F1385" s="505">
        <v>5238</v>
      </c>
      <c r="G1385" s="2774" t="s">
        <v>3743</v>
      </c>
      <c r="H1385" s="2636"/>
      <c r="I1385" s="2636">
        <v>3000</v>
      </c>
      <c r="J1385" s="2636"/>
      <c r="K1385" s="2593"/>
      <c r="L1385" s="2592"/>
      <c r="M1385" s="2592">
        <v>600</v>
      </c>
      <c r="N1385" s="73"/>
      <c r="O1385" s="86"/>
      <c r="P1385" s="1817" t="e">
        <f>INDEX(#REF!,MATCH(F1385,#REF!,0),2)</f>
        <v>#REF!</v>
      </c>
      <c r="Q1385" s="11"/>
      <c r="R1385" s="11"/>
      <c r="S1385" s="11"/>
      <c r="T1385" s="11"/>
      <c r="U1385" s="11"/>
      <c r="V1385" s="11"/>
      <c r="W1385" s="4"/>
      <c r="X1385" s="11"/>
      <c r="Y1385" s="11"/>
      <c r="Z1385" s="11"/>
      <c r="AA1385" s="11"/>
      <c r="AB1385" s="11"/>
      <c r="AC1385" s="11"/>
      <c r="AD1385" s="11"/>
      <c r="AE1385" s="11"/>
      <c r="AF1385" s="11"/>
      <c r="AG1385" s="11"/>
      <c r="AH1385" s="11"/>
      <c r="AI1385" s="11"/>
      <c r="AJ1385" s="11"/>
      <c r="AK1385" s="11"/>
      <c r="AL1385" s="11"/>
      <c r="AM1385" s="11"/>
      <c r="AN1385" s="11"/>
      <c r="AO1385" s="11"/>
      <c r="AP1385" s="11"/>
      <c r="AQ1385" s="11"/>
      <c r="AR1385" s="11"/>
      <c r="AS1385" s="11"/>
      <c r="AT1385" s="11"/>
      <c r="AU1385" s="11"/>
      <c r="AV1385" s="11"/>
    </row>
    <row r="1386" spans="1:48" ht="22.5">
      <c r="A1386" s="1882"/>
      <c r="B1386" s="412" t="s">
        <v>1250</v>
      </c>
      <c r="C1386" s="412" t="s">
        <v>509</v>
      </c>
      <c r="D1386" s="1590"/>
      <c r="E1386" s="2224" t="s">
        <v>1924</v>
      </c>
      <c r="F1386" s="505">
        <v>5238</v>
      </c>
      <c r="G1386" s="1884" t="s">
        <v>3127</v>
      </c>
      <c r="H1386" s="2636"/>
      <c r="I1386" s="2636">
        <v>-344</v>
      </c>
      <c r="J1386" s="2636"/>
      <c r="K1386" s="2593"/>
      <c r="L1386" s="2594"/>
      <c r="M1386" s="2594"/>
      <c r="N1386" s="73"/>
      <c r="O1386" s="86"/>
      <c r="P1386" s="1817" t="e">
        <f>INDEX(#REF!,MATCH(F1386,#REF!,0),2)</f>
        <v>#REF!</v>
      </c>
      <c r="Q1386" s="1779"/>
      <c r="R1386" s="1779"/>
      <c r="S1386" s="1779"/>
      <c r="T1386" s="1779"/>
      <c r="U1386" s="1779"/>
      <c r="V1386" s="1779"/>
      <c r="W1386" s="43"/>
      <c r="X1386" s="1779"/>
      <c r="Y1386" s="1779"/>
      <c r="Z1386" s="1779"/>
      <c r="AA1386" s="1779"/>
      <c r="AB1386" s="1779"/>
      <c r="AC1386" s="1779"/>
      <c r="AD1386" s="1779"/>
      <c r="AE1386" s="1779"/>
      <c r="AF1386" s="1779"/>
      <c r="AG1386" s="1779"/>
      <c r="AH1386" s="1779"/>
      <c r="AI1386" s="1779"/>
      <c r="AJ1386" s="1779"/>
      <c r="AK1386" s="1779"/>
      <c r="AL1386" s="1779"/>
      <c r="AM1386" s="1779"/>
      <c r="AN1386" s="1779"/>
      <c r="AO1386" s="1779"/>
      <c r="AP1386" s="1779"/>
      <c r="AQ1386" s="1779"/>
      <c r="AR1386" s="1779"/>
      <c r="AS1386" s="1779"/>
      <c r="AT1386" s="1779"/>
      <c r="AU1386" s="1779"/>
      <c r="AV1386" s="1779"/>
    </row>
    <row r="1387" spans="1:48">
      <c r="A1387" s="1882"/>
      <c r="B1387" s="412" t="s">
        <v>1250</v>
      </c>
      <c r="C1387" s="412" t="s">
        <v>509</v>
      </c>
      <c r="D1387" s="1590"/>
      <c r="E1387" s="2224" t="s">
        <v>1924</v>
      </c>
      <c r="F1387" s="505">
        <v>5238</v>
      </c>
      <c r="G1387" s="1577" t="s">
        <v>3190</v>
      </c>
      <c r="H1387" s="2636"/>
      <c r="I1387" s="2636">
        <v>-374</v>
      </c>
      <c r="J1387" s="2636"/>
      <c r="K1387" s="2593"/>
      <c r="L1387" s="2594"/>
      <c r="M1387" s="2594"/>
      <c r="N1387" s="73"/>
      <c r="O1387" s="86"/>
      <c r="P1387" s="1817" t="e">
        <f>INDEX(#REF!,MATCH(F1387,#REF!,0),2)</f>
        <v>#REF!</v>
      </c>
      <c r="Q1387" s="1779"/>
      <c r="R1387" s="1779"/>
      <c r="S1387" s="1779"/>
      <c r="T1387" s="1779"/>
      <c r="U1387" s="1779"/>
      <c r="V1387" s="1779"/>
      <c r="W1387" s="43"/>
      <c r="X1387" s="1779"/>
      <c r="Y1387" s="1779"/>
      <c r="Z1387" s="1779"/>
      <c r="AA1387" s="1779"/>
      <c r="AB1387" s="1779"/>
      <c r="AC1387" s="1779"/>
      <c r="AD1387" s="1779"/>
      <c r="AE1387" s="1779"/>
      <c r="AF1387" s="1779"/>
      <c r="AG1387" s="1779"/>
      <c r="AH1387" s="1779"/>
      <c r="AI1387" s="1779"/>
      <c r="AJ1387" s="1779"/>
      <c r="AK1387" s="1779"/>
      <c r="AL1387" s="1779"/>
      <c r="AM1387" s="1779"/>
      <c r="AN1387" s="1779"/>
      <c r="AO1387" s="1779"/>
      <c r="AP1387" s="1779"/>
      <c r="AQ1387" s="1779"/>
      <c r="AR1387" s="1779"/>
      <c r="AS1387" s="1779"/>
      <c r="AT1387" s="1779"/>
      <c r="AU1387" s="1779"/>
      <c r="AV1387" s="1779"/>
    </row>
    <row r="1388" spans="1:48">
      <c r="A1388" s="506"/>
      <c r="B1388" s="506" t="s">
        <v>1250</v>
      </c>
      <c r="C1388" s="506" t="s">
        <v>509</v>
      </c>
      <c r="D1388" s="1589">
        <v>920</v>
      </c>
      <c r="E1388" s="2223" t="s">
        <v>1924</v>
      </c>
      <c r="F1388" s="540">
        <v>5239</v>
      </c>
      <c r="G1388" s="411" t="s">
        <v>256</v>
      </c>
      <c r="H1388" s="2635">
        <v>4344</v>
      </c>
      <c r="I1388" s="2635"/>
      <c r="J1388" s="2635">
        <v>4343.8999999999996</v>
      </c>
      <c r="K1388" s="2647"/>
      <c r="L1388" s="2604">
        <v>8200</v>
      </c>
      <c r="M1388" s="2604"/>
      <c r="N1388" s="73"/>
      <c r="O1388" s="86"/>
      <c r="P1388" s="1817" t="e">
        <f>INDEX(#REF!,MATCH(F1388,#REF!,0),2)</f>
        <v>#REF!</v>
      </c>
      <c r="Q1388" s="1779"/>
      <c r="R1388" s="1779"/>
      <c r="S1388" s="1779"/>
      <c r="T1388" s="1779"/>
      <c r="U1388" s="1779"/>
      <c r="V1388" s="1779"/>
      <c r="W1388" s="43"/>
      <c r="X1388" s="1779"/>
      <c r="Y1388" s="1779"/>
      <c r="Z1388" s="1779"/>
      <c r="AA1388" s="1779"/>
      <c r="AB1388" s="1779"/>
      <c r="AC1388" s="1779"/>
      <c r="AD1388" s="1779"/>
      <c r="AE1388" s="1779"/>
      <c r="AF1388" s="1779"/>
      <c r="AG1388" s="1779"/>
      <c r="AH1388" s="1779"/>
      <c r="AI1388" s="1779"/>
      <c r="AJ1388" s="1779"/>
      <c r="AK1388" s="1779"/>
      <c r="AL1388" s="1779"/>
      <c r="AM1388" s="1779"/>
      <c r="AN1388" s="1779"/>
      <c r="AO1388" s="1779"/>
      <c r="AP1388" s="1779"/>
      <c r="AQ1388" s="1779"/>
      <c r="AR1388" s="1779"/>
      <c r="AS1388" s="1779"/>
      <c r="AT1388" s="1779"/>
      <c r="AU1388" s="1779"/>
      <c r="AV1388" s="1779"/>
    </row>
    <row r="1389" spans="1:48">
      <c r="A1389" s="762"/>
      <c r="B1389" s="412" t="s">
        <v>1250</v>
      </c>
      <c r="C1389" s="412" t="s">
        <v>509</v>
      </c>
      <c r="D1389" s="1590"/>
      <c r="E1389" s="2224" t="s">
        <v>1924</v>
      </c>
      <c r="F1389" s="4090">
        <v>5239</v>
      </c>
      <c r="G1389" s="4092" t="s">
        <v>3756</v>
      </c>
      <c r="H1389" s="4093"/>
      <c r="I1389" s="4093"/>
      <c r="J1389" s="4093"/>
      <c r="K1389" s="4094"/>
      <c r="L1389" s="4095"/>
      <c r="M1389" s="4095">
        <v>1200</v>
      </c>
      <c r="N1389" s="73"/>
      <c r="O1389" s="86"/>
      <c r="P1389" s="1817" t="e">
        <f>INDEX(#REF!,MATCH(F1389,#REF!,0),2)</f>
        <v>#REF!</v>
      </c>
      <c r="Q1389" s="1779"/>
      <c r="R1389" s="1779"/>
      <c r="S1389" s="1779"/>
      <c r="T1389" s="1779"/>
      <c r="U1389" s="1779"/>
      <c r="V1389" s="1779"/>
      <c r="W1389" s="43"/>
      <c r="X1389" s="1779"/>
      <c r="Y1389" s="1779"/>
      <c r="Z1389" s="1779"/>
      <c r="AA1389" s="1779"/>
      <c r="AB1389" s="1779"/>
      <c r="AC1389" s="1779"/>
      <c r="AD1389" s="1779"/>
      <c r="AE1389" s="1779"/>
      <c r="AF1389" s="1779"/>
      <c r="AG1389" s="1779"/>
      <c r="AH1389" s="1779"/>
      <c r="AI1389" s="1779"/>
      <c r="AJ1389" s="1779"/>
      <c r="AK1389" s="1779"/>
      <c r="AL1389" s="1779"/>
      <c r="AM1389" s="1779"/>
      <c r="AN1389" s="1779"/>
      <c r="AO1389" s="1779"/>
      <c r="AP1389" s="1779"/>
      <c r="AQ1389" s="1779"/>
      <c r="AR1389" s="1779"/>
      <c r="AS1389" s="1779"/>
      <c r="AT1389" s="1779"/>
      <c r="AU1389" s="1779"/>
      <c r="AV1389" s="1779"/>
    </row>
    <row r="1390" spans="1:48">
      <c r="A1390" s="2790"/>
      <c r="B1390" s="412" t="s">
        <v>1250</v>
      </c>
      <c r="C1390" s="412" t="s">
        <v>509</v>
      </c>
      <c r="D1390" s="1590"/>
      <c r="E1390" s="2224" t="s">
        <v>1924</v>
      </c>
      <c r="F1390" s="505">
        <v>5239</v>
      </c>
      <c r="G1390" s="2774" t="s">
        <v>3757</v>
      </c>
      <c r="H1390" s="2776"/>
      <c r="I1390" s="2776"/>
      <c r="J1390" s="2776"/>
      <c r="K1390" s="2777"/>
      <c r="L1390" s="2779"/>
      <c r="M1390" s="2779">
        <v>7000</v>
      </c>
      <c r="N1390" s="73"/>
      <c r="O1390" s="86"/>
      <c r="P1390" s="1817"/>
      <c r="Q1390" s="1779"/>
      <c r="R1390" s="1779"/>
      <c r="S1390" s="1779"/>
      <c r="T1390" s="1779"/>
      <c r="U1390" s="1779"/>
      <c r="V1390" s="1779"/>
      <c r="W1390" s="43"/>
      <c r="X1390" s="1779"/>
      <c r="Y1390" s="1779"/>
      <c r="Z1390" s="1779"/>
      <c r="AA1390" s="1779"/>
      <c r="AB1390" s="1779"/>
      <c r="AC1390" s="1779"/>
      <c r="AD1390" s="1779"/>
      <c r="AE1390" s="1779"/>
      <c r="AF1390" s="1779"/>
      <c r="AG1390" s="1779"/>
      <c r="AH1390" s="1779"/>
      <c r="AI1390" s="1779"/>
      <c r="AJ1390" s="1779"/>
      <c r="AK1390" s="1779"/>
      <c r="AL1390" s="1779"/>
      <c r="AM1390" s="1779"/>
      <c r="AN1390" s="1779"/>
      <c r="AO1390" s="1779"/>
      <c r="AP1390" s="1779"/>
      <c r="AQ1390" s="1779"/>
      <c r="AR1390" s="1779"/>
      <c r="AS1390" s="1779"/>
      <c r="AT1390" s="1779"/>
      <c r="AU1390" s="1779"/>
      <c r="AV1390" s="1779"/>
    </row>
    <row r="1391" spans="1:48" s="243" customFormat="1">
      <c r="A1391" s="1563"/>
      <c r="B1391" s="412" t="s">
        <v>1250</v>
      </c>
      <c r="C1391" s="412" t="s">
        <v>507</v>
      </c>
      <c r="D1391" s="1590"/>
      <c r="E1391" s="2224" t="s">
        <v>1924</v>
      </c>
      <c r="F1391" s="505">
        <v>5239</v>
      </c>
      <c r="G1391" s="1567" t="s">
        <v>2224</v>
      </c>
      <c r="H1391" s="2636"/>
      <c r="I1391" s="2636">
        <v>4000</v>
      </c>
      <c r="J1391" s="2636"/>
      <c r="K1391" s="2593"/>
      <c r="L1391" s="2594"/>
      <c r="M1391" s="2594"/>
      <c r="N1391" s="73"/>
      <c r="O1391" s="86"/>
      <c r="P1391" s="1817" t="e">
        <f>INDEX(#REF!,MATCH(F1391,#REF!,0),2)</f>
        <v>#REF!</v>
      </c>
      <c r="W1391" s="1813"/>
    </row>
    <row r="1392" spans="1:48" ht="11.45" customHeight="1">
      <c r="A1392" s="1882"/>
      <c r="B1392" s="412" t="s">
        <v>1250</v>
      </c>
      <c r="C1392" s="412" t="s">
        <v>507</v>
      </c>
      <c r="D1392" s="1590"/>
      <c r="E1392" s="2224" t="s">
        <v>1924</v>
      </c>
      <c r="F1392" s="505">
        <v>5239</v>
      </c>
      <c r="G1392" s="1884" t="s">
        <v>3127</v>
      </c>
      <c r="H1392" s="2636"/>
      <c r="I1392" s="2636">
        <v>344</v>
      </c>
      <c r="J1392" s="2636"/>
      <c r="K1392" s="2593"/>
      <c r="L1392" s="2594"/>
      <c r="M1392" s="2594"/>
      <c r="N1392" s="73"/>
      <c r="O1392" s="86"/>
      <c r="P1392" s="1817" t="e">
        <f>INDEX(#REF!,MATCH(F1392,#REF!,0),2)</f>
        <v>#REF!</v>
      </c>
      <c r="Q1392" s="1779"/>
      <c r="R1392" s="1779"/>
      <c r="S1392" s="1779"/>
      <c r="T1392" s="1779"/>
      <c r="U1392" s="1779"/>
      <c r="V1392" s="1779"/>
      <c r="W1392" s="43"/>
      <c r="X1392" s="1779"/>
      <c r="Y1392" s="1779"/>
      <c r="Z1392" s="1779"/>
      <c r="AA1392" s="1779"/>
      <c r="AB1392" s="1779"/>
      <c r="AC1392" s="1779"/>
      <c r="AD1392" s="1779"/>
      <c r="AE1392" s="1779"/>
      <c r="AF1392" s="1779"/>
      <c r="AG1392" s="1779"/>
      <c r="AH1392" s="1779"/>
      <c r="AI1392" s="1779"/>
      <c r="AJ1392" s="1779"/>
      <c r="AK1392" s="1779"/>
      <c r="AL1392" s="1779"/>
      <c r="AM1392" s="1779"/>
      <c r="AN1392" s="1779"/>
      <c r="AO1392" s="1779"/>
      <c r="AP1392" s="1779"/>
      <c r="AQ1392" s="1779"/>
      <c r="AR1392" s="1779"/>
      <c r="AS1392" s="1779"/>
      <c r="AT1392" s="1779"/>
      <c r="AU1392" s="1779"/>
      <c r="AV1392" s="1779"/>
    </row>
    <row r="1393" spans="1:48" ht="11.45" customHeight="1">
      <c r="A1393" s="1376"/>
      <c r="B1393" s="412" t="s">
        <v>1250</v>
      </c>
      <c r="C1393" s="412" t="s">
        <v>507</v>
      </c>
      <c r="D1393" s="1590"/>
      <c r="E1393" s="2224" t="s">
        <v>1924</v>
      </c>
      <c r="F1393" s="505">
        <v>5239</v>
      </c>
      <c r="G1393" s="1374" t="s">
        <v>2004</v>
      </c>
      <c r="H1393" s="2636"/>
      <c r="I1393" s="2636"/>
      <c r="J1393" s="2636"/>
      <c r="K1393" s="2593"/>
      <c r="L1393" s="2594"/>
      <c r="M1393" s="2594"/>
      <c r="N1393" s="73"/>
      <c r="O1393" s="86"/>
      <c r="P1393" s="1817" t="e">
        <f>INDEX(#REF!,MATCH(F1393,#REF!,0),2)</f>
        <v>#REF!</v>
      </c>
      <c r="Q1393" s="1779"/>
      <c r="R1393" s="1779"/>
      <c r="S1393" s="1779"/>
      <c r="T1393" s="1779"/>
      <c r="U1393" s="1779"/>
      <c r="V1393" s="1779"/>
      <c r="W1393" s="43"/>
      <c r="X1393" s="1779"/>
      <c r="Y1393" s="1779"/>
      <c r="Z1393" s="1779"/>
      <c r="AA1393" s="1779"/>
      <c r="AB1393" s="1779"/>
      <c r="AC1393" s="1779"/>
      <c r="AD1393" s="1779"/>
      <c r="AE1393" s="1779"/>
      <c r="AF1393" s="1779"/>
      <c r="AG1393" s="1779"/>
      <c r="AH1393" s="1779"/>
      <c r="AI1393" s="1779"/>
      <c r="AJ1393" s="1779"/>
      <c r="AK1393" s="1779"/>
      <c r="AL1393" s="1779"/>
      <c r="AM1393" s="1779"/>
      <c r="AN1393" s="1779"/>
      <c r="AO1393" s="1779"/>
      <c r="AP1393" s="1779"/>
      <c r="AQ1393" s="1779"/>
      <c r="AR1393" s="1779"/>
      <c r="AS1393" s="1779"/>
      <c r="AT1393" s="1779"/>
      <c r="AU1393" s="1779"/>
      <c r="AV1393" s="1779"/>
    </row>
    <row r="1394" spans="1:48" ht="11.45" customHeight="1">
      <c r="A1394" s="506"/>
      <c r="B1394" s="506" t="s">
        <v>663</v>
      </c>
      <c r="C1394" s="506" t="s">
        <v>652</v>
      </c>
      <c r="D1394" s="1589">
        <v>960</v>
      </c>
      <c r="E1394" s="2232" t="s">
        <v>1905</v>
      </c>
      <c r="F1394" s="540">
        <v>1119</v>
      </c>
      <c r="G1394" s="411" t="s">
        <v>385</v>
      </c>
      <c r="H1394" s="943">
        <v>446839.96000000031</v>
      </c>
      <c r="I1394" s="621"/>
      <c r="J1394" s="622">
        <v>354288.15</v>
      </c>
      <c r="K1394" s="524"/>
      <c r="L1394" s="624">
        <v>548762.88000000012</v>
      </c>
      <c r="M1394" s="624"/>
      <c r="N1394" s="2804"/>
      <c r="O1394" s="86"/>
      <c r="P1394" s="1817" t="e">
        <f>INDEX(#REF!,MATCH(F1394,#REF!,0),2)</f>
        <v>#REF!</v>
      </c>
      <c r="Q1394" s="1779"/>
      <c r="R1394" s="1779"/>
      <c r="S1394" s="1779"/>
      <c r="T1394" s="1779"/>
      <c r="U1394" s="1779"/>
      <c r="V1394" s="1779"/>
      <c r="W1394" s="43"/>
      <c r="X1394" s="1779"/>
      <c r="Y1394" s="1779"/>
      <c r="Z1394" s="1779"/>
      <c r="AA1394" s="1779"/>
      <c r="AB1394" s="1779"/>
      <c r="AC1394" s="1779"/>
      <c r="AD1394" s="1779"/>
      <c r="AE1394" s="1779"/>
      <c r="AF1394" s="1779"/>
      <c r="AG1394" s="1779"/>
      <c r="AH1394" s="1779"/>
      <c r="AI1394" s="1779"/>
      <c r="AJ1394" s="1779"/>
      <c r="AK1394" s="1779"/>
      <c r="AL1394" s="1779"/>
      <c r="AM1394" s="1779"/>
      <c r="AN1394" s="1779"/>
      <c r="AO1394" s="1779"/>
      <c r="AP1394" s="1779"/>
      <c r="AQ1394" s="1779"/>
      <c r="AR1394" s="1779"/>
      <c r="AS1394" s="1779"/>
      <c r="AT1394" s="1779"/>
      <c r="AU1394" s="1779"/>
      <c r="AV1394" s="1779"/>
    </row>
    <row r="1395" spans="1:48" ht="19.899999999999999" customHeight="1">
      <c r="A1395" s="412"/>
      <c r="B1395" s="412" t="s">
        <v>663</v>
      </c>
      <c r="C1395" s="412" t="s">
        <v>652</v>
      </c>
      <c r="D1395" s="1590"/>
      <c r="E1395" s="2224" t="s">
        <v>1905</v>
      </c>
      <c r="F1395" s="505">
        <v>1119</v>
      </c>
      <c r="G1395" s="516" t="s">
        <v>663</v>
      </c>
      <c r="H1395" s="2814"/>
      <c r="I1395" s="2800">
        <v>481968.96000000031</v>
      </c>
      <c r="J1395" s="2815"/>
      <c r="K1395" s="2816"/>
      <c r="L1395" s="2803"/>
      <c r="M1395" s="2803">
        <v>548762.88000000012</v>
      </c>
      <c r="N1395" s="2804"/>
      <c r="O1395" s="86"/>
      <c r="P1395" s="1817" t="e">
        <f>INDEX(#REF!,MATCH(F1395,#REF!,0),2)</f>
        <v>#REF!</v>
      </c>
      <c r="Q1395" s="1779"/>
      <c r="R1395" s="1779"/>
      <c r="S1395" s="1779"/>
      <c r="T1395" s="1779"/>
      <c r="U1395" s="1779"/>
      <c r="V1395" s="1779"/>
      <c r="W1395" s="43"/>
      <c r="X1395" s="1779"/>
      <c r="Y1395" s="1779"/>
      <c r="Z1395" s="1779"/>
      <c r="AA1395" s="1779"/>
      <c r="AB1395" s="1779"/>
      <c r="AC1395" s="1779"/>
      <c r="AD1395" s="1779"/>
      <c r="AE1395" s="1779"/>
      <c r="AF1395" s="1779"/>
      <c r="AG1395" s="1779"/>
      <c r="AH1395" s="1779"/>
      <c r="AI1395" s="1779"/>
      <c r="AJ1395" s="1779"/>
      <c r="AK1395" s="1779"/>
      <c r="AL1395" s="1779"/>
      <c r="AM1395" s="1779"/>
      <c r="AN1395" s="1779"/>
      <c r="AO1395" s="1779"/>
      <c r="AP1395" s="1779"/>
      <c r="AQ1395" s="1779"/>
      <c r="AR1395" s="1779"/>
      <c r="AS1395" s="1779"/>
      <c r="AT1395" s="1779"/>
      <c r="AU1395" s="1779"/>
      <c r="AV1395" s="1779"/>
    </row>
    <row r="1396" spans="1:48" ht="30.6" customHeight="1">
      <c r="A1396" s="412"/>
      <c r="B1396" s="412" t="s">
        <v>663</v>
      </c>
      <c r="C1396" s="412" t="s">
        <v>652</v>
      </c>
      <c r="D1396" s="1590"/>
      <c r="E1396" s="2224" t="s">
        <v>1905</v>
      </c>
      <c r="F1396" s="505">
        <v>1119</v>
      </c>
      <c r="G1396" s="516" t="s">
        <v>3112</v>
      </c>
      <c r="H1396" s="2814"/>
      <c r="I1396" s="2800">
        <v>-129</v>
      </c>
      <c r="J1396" s="2815"/>
      <c r="K1396" s="2816"/>
      <c r="L1396" s="2803"/>
      <c r="M1396" s="2803"/>
      <c r="N1396" s="2804"/>
      <c r="O1396" s="86"/>
      <c r="P1396" s="1817" t="e">
        <f>INDEX(#REF!,MATCH(F1396,#REF!,0),2)</f>
        <v>#REF!</v>
      </c>
      <c r="Q1396" s="1779"/>
      <c r="R1396" s="1779"/>
      <c r="S1396" s="1779"/>
      <c r="T1396" s="1779"/>
      <c r="U1396" s="1779"/>
      <c r="V1396" s="1779"/>
      <c r="W1396" s="43"/>
      <c r="X1396" s="1779"/>
      <c r="Y1396" s="1779"/>
      <c r="Z1396" s="1779"/>
      <c r="AA1396" s="1779"/>
      <c r="AB1396" s="1779"/>
      <c r="AC1396" s="1779"/>
      <c r="AD1396" s="1779"/>
      <c r="AE1396" s="1779"/>
      <c r="AF1396" s="1779"/>
      <c r="AG1396" s="1779"/>
      <c r="AH1396" s="1779"/>
      <c r="AI1396" s="1779"/>
      <c r="AJ1396" s="1779"/>
      <c r="AK1396" s="1779"/>
      <c r="AL1396" s="1779"/>
      <c r="AM1396" s="1779"/>
      <c r="AN1396" s="1779"/>
      <c r="AO1396" s="1779"/>
      <c r="AP1396" s="1779"/>
      <c r="AQ1396" s="1779"/>
      <c r="AR1396" s="1779"/>
      <c r="AS1396" s="1779"/>
      <c r="AT1396" s="1779"/>
      <c r="AU1396" s="1779"/>
      <c r="AV1396" s="1779"/>
    </row>
    <row r="1397" spans="1:48" ht="27.6" customHeight="1">
      <c r="A1397" s="1882"/>
      <c r="B1397" s="412" t="s">
        <v>663</v>
      </c>
      <c r="C1397" s="412" t="s">
        <v>652</v>
      </c>
      <c r="D1397" s="1590"/>
      <c r="E1397" s="2224" t="s">
        <v>1905</v>
      </c>
      <c r="F1397" s="505">
        <v>1119</v>
      </c>
      <c r="G1397" s="1911" t="s">
        <v>3146</v>
      </c>
      <c r="H1397" s="2814"/>
      <c r="I1397" s="2800">
        <v>-7000</v>
      </c>
      <c r="J1397" s="2815"/>
      <c r="K1397" s="2816"/>
      <c r="L1397" s="2803"/>
      <c r="M1397" s="2803"/>
      <c r="N1397" s="2804"/>
      <c r="O1397" s="86"/>
      <c r="P1397" s="1817" t="e">
        <f>INDEX(#REF!,MATCH(F1397,#REF!,0),2)</f>
        <v>#REF!</v>
      </c>
      <c r="Q1397" s="1779"/>
      <c r="R1397" s="1779"/>
      <c r="S1397" s="1779"/>
      <c r="T1397" s="1779"/>
      <c r="U1397" s="1779"/>
      <c r="V1397" s="1779"/>
      <c r="W1397" s="43"/>
      <c r="X1397" s="1779"/>
      <c r="Y1397" s="1779"/>
      <c r="Z1397" s="1779"/>
      <c r="AA1397" s="1779"/>
      <c r="AB1397" s="1779"/>
      <c r="AC1397" s="1779"/>
      <c r="AD1397" s="1779"/>
      <c r="AE1397" s="1779"/>
      <c r="AF1397" s="1779"/>
      <c r="AG1397" s="1779"/>
      <c r="AH1397" s="1779"/>
      <c r="AI1397" s="1779"/>
      <c r="AJ1397" s="1779"/>
      <c r="AK1397" s="1779"/>
      <c r="AL1397" s="1779"/>
      <c r="AM1397" s="1779"/>
      <c r="AN1397" s="1779"/>
      <c r="AO1397" s="1779"/>
      <c r="AP1397" s="1779"/>
      <c r="AQ1397" s="1779"/>
      <c r="AR1397" s="1779"/>
      <c r="AS1397" s="1779"/>
      <c r="AT1397" s="1779"/>
      <c r="AU1397" s="1779"/>
      <c r="AV1397" s="1779"/>
    </row>
    <row r="1398" spans="1:48" ht="11.45" customHeight="1">
      <c r="A1398" s="1882"/>
      <c r="B1398" s="412" t="s">
        <v>663</v>
      </c>
      <c r="C1398" s="412" t="s">
        <v>652</v>
      </c>
      <c r="D1398" s="1590"/>
      <c r="E1398" s="2224" t="s">
        <v>1905</v>
      </c>
      <c r="F1398" s="505">
        <v>1119</v>
      </c>
      <c r="G1398" s="1911" t="s">
        <v>3147</v>
      </c>
      <c r="H1398" s="2814"/>
      <c r="I1398" s="2800">
        <v>-1000</v>
      </c>
      <c r="J1398" s="2815"/>
      <c r="K1398" s="2816"/>
      <c r="L1398" s="2803"/>
      <c r="M1398" s="2803"/>
      <c r="N1398" s="2804"/>
      <c r="O1398" s="86"/>
      <c r="P1398" s="1817" t="e">
        <f>INDEX(#REF!,MATCH(F1398,#REF!,0),2)</f>
        <v>#REF!</v>
      </c>
      <c r="Q1398" s="1779"/>
      <c r="R1398" s="1779"/>
      <c r="S1398" s="1779"/>
      <c r="T1398" s="1779"/>
      <c r="U1398" s="1779"/>
      <c r="V1398" s="1779"/>
      <c r="W1398" s="43"/>
      <c r="X1398" s="1779"/>
      <c r="Y1398" s="1779"/>
      <c r="Z1398" s="1779"/>
      <c r="AA1398" s="1779"/>
      <c r="AB1398" s="1779"/>
      <c r="AC1398" s="1779"/>
      <c r="AD1398" s="1779"/>
      <c r="AE1398" s="1779"/>
      <c r="AF1398" s="1779"/>
      <c r="AG1398" s="1779"/>
      <c r="AH1398" s="1779"/>
      <c r="AI1398" s="1779"/>
      <c r="AJ1398" s="1779"/>
      <c r="AK1398" s="1779"/>
      <c r="AL1398" s="1779"/>
      <c r="AM1398" s="1779"/>
      <c r="AN1398" s="1779"/>
      <c r="AO1398" s="1779"/>
      <c r="AP1398" s="1779"/>
      <c r="AQ1398" s="1779"/>
      <c r="AR1398" s="1779"/>
      <c r="AS1398" s="1779"/>
      <c r="AT1398" s="1779"/>
      <c r="AU1398" s="1779"/>
      <c r="AV1398" s="1779"/>
    </row>
    <row r="1399" spans="1:48" ht="13.9" customHeight="1">
      <c r="A1399" s="1882"/>
      <c r="B1399" s="412" t="s">
        <v>663</v>
      </c>
      <c r="C1399" s="412" t="s">
        <v>652</v>
      </c>
      <c r="D1399" s="1590"/>
      <c r="E1399" s="2224" t="s">
        <v>1905</v>
      </c>
      <c r="F1399" s="505">
        <v>1119</v>
      </c>
      <c r="G1399" s="1911" t="s">
        <v>3148</v>
      </c>
      <c r="H1399" s="2814"/>
      <c r="I1399" s="2800">
        <v>-3000</v>
      </c>
      <c r="J1399" s="2815"/>
      <c r="K1399" s="2816"/>
      <c r="L1399" s="2803"/>
      <c r="M1399" s="2803"/>
      <c r="N1399" s="2804"/>
      <c r="O1399" s="86"/>
      <c r="P1399" s="1817" t="e">
        <f>INDEX(#REF!,MATCH(F1399,#REF!,0),2)</f>
        <v>#REF!</v>
      </c>
      <c r="Q1399" s="1779"/>
      <c r="R1399" s="1779"/>
      <c r="S1399" s="1779"/>
      <c r="T1399" s="1779"/>
      <c r="U1399" s="1779"/>
      <c r="V1399" s="1779"/>
      <c r="W1399" s="43"/>
      <c r="X1399" s="1779"/>
      <c r="Y1399" s="1779"/>
      <c r="Z1399" s="1779"/>
      <c r="AA1399" s="1779"/>
      <c r="AB1399" s="1779"/>
      <c r="AC1399" s="1779"/>
      <c r="AD1399" s="1779"/>
      <c r="AE1399" s="1779"/>
      <c r="AF1399" s="1779"/>
      <c r="AG1399" s="1779"/>
      <c r="AH1399" s="1779"/>
      <c r="AI1399" s="1779"/>
      <c r="AJ1399" s="1779"/>
      <c r="AK1399" s="1779"/>
      <c r="AL1399" s="1779"/>
      <c r="AM1399" s="1779"/>
      <c r="AN1399" s="1779"/>
      <c r="AO1399" s="1779"/>
      <c r="AP1399" s="1779"/>
      <c r="AQ1399" s="1779"/>
      <c r="AR1399" s="1779"/>
      <c r="AS1399" s="1779"/>
      <c r="AT1399" s="1779"/>
      <c r="AU1399" s="1779"/>
      <c r="AV1399" s="1779"/>
    </row>
    <row r="1400" spans="1:48" ht="11.45" customHeight="1">
      <c r="A1400" s="412"/>
      <c r="B1400" s="412" t="s">
        <v>663</v>
      </c>
      <c r="C1400" s="412" t="s">
        <v>652</v>
      </c>
      <c r="D1400" s="1590"/>
      <c r="E1400" s="2224" t="s">
        <v>1905</v>
      </c>
      <c r="F1400" s="505">
        <v>1119</v>
      </c>
      <c r="G1400" s="516" t="s">
        <v>3149</v>
      </c>
      <c r="H1400" s="2814"/>
      <c r="I1400" s="2800">
        <v>-24000</v>
      </c>
      <c r="J1400" s="2815"/>
      <c r="K1400" s="2816"/>
      <c r="L1400" s="2803"/>
      <c r="M1400" s="2803"/>
      <c r="N1400" s="2804"/>
      <c r="O1400" s="86"/>
      <c r="P1400" s="1817" t="e">
        <f>INDEX(#REF!,MATCH(F1400,#REF!,0),2)</f>
        <v>#REF!</v>
      </c>
      <c r="Q1400" s="1779"/>
      <c r="R1400" s="1779"/>
      <c r="S1400" s="1779"/>
      <c r="T1400" s="1779"/>
      <c r="U1400" s="1779"/>
      <c r="V1400" s="1779"/>
      <c r="W1400" s="43"/>
      <c r="X1400" s="1779"/>
      <c r="Y1400" s="1779"/>
      <c r="Z1400" s="1779"/>
      <c r="AA1400" s="1779"/>
      <c r="AB1400" s="1779"/>
      <c r="AC1400" s="1779"/>
      <c r="AD1400" s="1779"/>
      <c r="AE1400" s="1779"/>
      <c r="AF1400" s="1779"/>
      <c r="AG1400" s="1779"/>
      <c r="AH1400" s="1779"/>
      <c r="AI1400" s="1779"/>
      <c r="AJ1400" s="1779"/>
      <c r="AK1400" s="1779"/>
      <c r="AL1400" s="1779"/>
      <c r="AM1400" s="1779"/>
      <c r="AN1400" s="1779"/>
      <c r="AO1400" s="1779"/>
      <c r="AP1400" s="1779"/>
      <c r="AQ1400" s="1779"/>
      <c r="AR1400" s="1779"/>
      <c r="AS1400" s="1779"/>
      <c r="AT1400" s="1779"/>
      <c r="AU1400" s="1779"/>
      <c r="AV1400" s="1779"/>
    </row>
    <row r="1401" spans="1:48" ht="11.45" customHeight="1">
      <c r="A1401" s="506"/>
      <c r="B1401" s="506" t="s">
        <v>512</v>
      </c>
      <c r="C1401" s="506" t="s">
        <v>506</v>
      </c>
      <c r="D1401" s="1589">
        <v>960</v>
      </c>
      <c r="E1401" s="2232" t="s">
        <v>1904</v>
      </c>
      <c r="F1401" s="540">
        <v>1119</v>
      </c>
      <c r="G1401" s="411" t="s">
        <v>386</v>
      </c>
      <c r="H1401" s="945">
        <v>515672.6</v>
      </c>
      <c r="I1401" s="623"/>
      <c r="J1401" s="622"/>
      <c r="K1401" s="524"/>
      <c r="L1401" s="625">
        <v>562181.48</v>
      </c>
      <c r="M1401" s="625"/>
      <c r="N1401" s="2804"/>
      <c r="O1401" s="86"/>
      <c r="P1401" s="1817" t="e">
        <f>INDEX(#REF!,MATCH(F1401,#REF!,0),2)</f>
        <v>#REF!</v>
      </c>
      <c r="Q1401" s="1779"/>
      <c r="R1401" s="1779"/>
      <c r="S1401" s="1779"/>
      <c r="T1401" s="1779"/>
      <c r="U1401" s="1779"/>
      <c r="V1401" s="1779"/>
      <c r="W1401" s="43"/>
      <c r="X1401" s="1779"/>
      <c r="Y1401" s="1779"/>
      <c r="Z1401" s="1779"/>
      <c r="AA1401" s="1779"/>
      <c r="AB1401" s="1779"/>
      <c r="AC1401" s="1779"/>
      <c r="AD1401" s="1779"/>
      <c r="AE1401" s="1779"/>
      <c r="AF1401" s="1779"/>
      <c r="AG1401" s="1779"/>
      <c r="AH1401" s="1779"/>
      <c r="AI1401" s="1779"/>
      <c r="AJ1401" s="1779"/>
      <c r="AK1401" s="1779"/>
      <c r="AL1401" s="1779"/>
      <c r="AM1401" s="1779"/>
      <c r="AN1401" s="1779"/>
      <c r="AO1401" s="1779"/>
      <c r="AP1401" s="1779"/>
      <c r="AQ1401" s="1779"/>
      <c r="AR1401" s="1779"/>
      <c r="AS1401" s="1779"/>
      <c r="AT1401" s="1779"/>
      <c r="AU1401" s="1779"/>
      <c r="AV1401" s="1779"/>
    </row>
    <row r="1402" spans="1:48" ht="19.899999999999999" customHeight="1">
      <c r="A1402" s="412"/>
      <c r="B1402" s="412" t="s">
        <v>512</v>
      </c>
      <c r="C1402" s="412" t="s">
        <v>506</v>
      </c>
      <c r="D1402" s="1590"/>
      <c r="E1402" s="2224" t="s">
        <v>1904</v>
      </c>
      <c r="F1402" s="505">
        <v>1119</v>
      </c>
      <c r="G1402" s="516" t="s">
        <v>1083</v>
      </c>
      <c r="H1402" s="944"/>
      <c r="I1402" s="523"/>
      <c r="J1402" s="522"/>
      <c r="K1402" s="524"/>
      <c r="L1402" s="539"/>
      <c r="M1402" s="539"/>
      <c r="N1402" s="2804"/>
      <c r="O1402" s="86"/>
      <c r="P1402" s="1817" t="e">
        <f>INDEX(#REF!,MATCH(F1402,#REF!,0),2)</f>
        <v>#REF!</v>
      </c>
      <c r="Q1402" s="1779"/>
      <c r="R1402" s="1779"/>
      <c r="S1402" s="1779"/>
      <c r="T1402" s="1779"/>
      <c r="U1402" s="1779"/>
      <c r="V1402" s="1779"/>
      <c r="W1402" s="43"/>
      <c r="X1402" s="1779"/>
      <c r="Y1402" s="1779"/>
      <c r="Z1402" s="1779"/>
      <c r="AA1402" s="1779"/>
      <c r="AB1402" s="1779"/>
      <c r="AC1402" s="1779"/>
      <c r="AD1402" s="1779"/>
      <c r="AE1402" s="1779"/>
      <c r="AF1402" s="1779"/>
      <c r="AG1402" s="1779"/>
      <c r="AH1402" s="1779"/>
      <c r="AI1402" s="1779"/>
      <c r="AJ1402" s="1779"/>
      <c r="AK1402" s="1779"/>
      <c r="AL1402" s="1779"/>
      <c r="AM1402" s="1779"/>
      <c r="AN1402" s="1779"/>
      <c r="AO1402" s="1779"/>
      <c r="AP1402" s="1779"/>
      <c r="AQ1402" s="1779"/>
      <c r="AR1402" s="1779"/>
      <c r="AS1402" s="1779"/>
      <c r="AT1402" s="1779"/>
      <c r="AU1402" s="1779"/>
      <c r="AV1402" s="1779"/>
    </row>
    <row r="1403" spans="1:48" ht="21.75" customHeight="1">
      <c r="A1403" s="412"/>
      <c r="B1403" s="412" t="s">
        <v>512</v>
      </c>
      <c r="C1403" s="412" t="s">
        <v>506</v>
      </c>
      <c r="D1403" s="1590"/>
      <c r="E1403" s="2224" t="s">
        <v>1904</v>
      </c>
      <c r="F1403" s="505">
        <v>1119</v>
      </c>
      <c r="G1403" s="516" t="s">
        <v>663</v>
      </c>
      <c r="H1403" s="944"/>
      <c r="I1403" s="523">
        <v>473330.6</v>
      </c>
      <c r="J1403" s="522"/>
      <c r="K1403" s="524"/>
      <c r="L1403" s="539"/>
      <c r="M1403" s="539">
        <v>519839.48</v>
      </c>
      <c r="N1403" s="2804"/>
      <c r="O1403" s="86"/>
      <c r="P1403" s="1817" t="e">
        <f>INDEX(#REF!,MATCH(F1403,#REF!,0),2)</f>
        <v>#REF!</v>
      </c>
      <c r="Q1403" s="1779"/>
      <c r="R1403" s="1779"/>
      <c r="S1403" s="1779"/>
      <c r="T1403" s="1779"/>
      <c r="U1403" s="1779"/>
      <c r="V1403" s="1779"/>
      <c r="W1403" s="43"/>
      <c r="X1403" s="1779"/>
      <c r="Y1403" s="1779"/>
      <c r="Z1403" s="1779"/>
      <c r="AA1403" s="1779"/>
      <c r="AB1403" s="1779"/>
      <c r="AC1403" s="1779"/>
      <c r="AD1403" s="1779"/>
      <c r="AE1403" s="1779"/>
      <c r="AF1403" s="1779"/>
      <c r="AG1403" s="1779"/>
      <c r="AH1403" s="1779"/>
      <c r="AI1403" s="1779"/>
      <c r="AJ1403" s="1779"/>
      <c r="AK1403" s="1779"/>
      <c r="AL1403" s="1779"/>
      <c r="AM1403" s="1779"/>
      <c r="AN1403" s="1779"/>
      <c r="AO1403" s="1779"/>
      <c r="AP1403" s="1779"/>
      <c r="AQ1403" s="1779"/>
      <c r="AR1403" s="1779"/>
      <c r="AS1403" s="1779"/>
      <c r="AT1403" s="1779"/>
      <c r="AU1403" s="1779"/>
      <c r="AV1403" s="1779"/>
    </row>
    <row r="1404" spans="1:48" ht="11.45" customHeight="1">
      <c r="A1404" s="1882"/>
      <c r="B1404" s="412" t="s">
        <v>512</v>
      </c>
      <c r="C1404" s="412" t="s">
        <v>506</v>
      </c>
      <c r="D1404" s="1590"/>
      <c r="E1404" s="2224" t="s">
        <v>1904</v>
      </c>
      <c r="F1404" s="505">
        <v>1119</v>
      </c>
      <c r="G1404" s="1911" t="s">
        <v>3130</v>
      </c>
      <c r="H1404" s="2307"/>
      <c r="I1404" s="2308">
        <v>42342</v>
      </c>
      <c r="J1404" s="2309"/>
      <c r="K1404" s="2310"/>
      <c r="L1404" s="2386"/>
      <c r="M1404" s="2386">
        <v>42342</v>
      </c>
      <c r="N1404" s="2804"/>
      <c r="O1404" s="86"/>
      <c r="P1404" s="1817" t="e">
        <f>INDEX(#REF!,MATCH(F1404,#REF!,0),2)</f>
        <v>#REF!</v>
      </c>
      <c r="Q1404" s="1779"/>
      <c r="R1404" s="1779"/>
      <c r="S1404" s="1779"/>
      <c r="T1404" s="1779"/>
      <c r="U1404" s="1779"/>
      <c r="V1404" s="1779"/>
      <c r="W1404" s="43"/>
      <c r="X1404" s="1779"/>
      <c r="Y1404" s="1779"/>
      <c r="Z1404" s="1779"/>
      <c r="AA1404" s="1779"/>
      <c r="AB1404" s="1779"/>
      <c r="AC1404" s="1779"/>
      <c r="AD1404" s="1779"/>
      <c r="AE1404" s="1779"/>
      <c r="AF1404" s="1779"/>
      <c r="AG1404" s="1779"/>
      <c r="AH1404" s="1779"/>
      <c r="AI1404" s="1779"/>
      <c r="AJ1404" s="1779"/>
      <c r="AK1404" s="1779"/>
      <c r="AL1404" s="1779"/>
      <c r="AM1404" s="1779"/>
      <c r="AN1404" s="1779"/>
      <c r="AO1404" s="1779"/>
      <c r="AP1404" s="1779"/>
      <c r="AQ1404" s="1779"/>
      <c r="AR1404" s="1779"/>
      <c r="AS1404" s="1779"/>
      <c r="AT1404" s="1779"/>
      <c r="AU1404" s="1779"/>
      <c r="AV1404" s="1779"/>
    </row>
    <row r="1405" spans="1:48" ht="21" customHeight="1">
      <c r="A1405" s="1465"/>
      <c r="B1405" s="412" t="s">
        <v>512</v>
      </c>
      <c r="C1405" s="412" t="s">
        <v>506</v>
      </c>
      <c r="D1405" s="1590"/>
      <c r="E1405" s="2224" t="s">
        <v>1904</v>
      </c>
      <c r="F1405" s="505">
        <v>1119</v>
      </c>
      <c r="G1405" s="1466" t="s">
        <v>2049</v>
      </c>
      <c r="H1405" s="1467"/>
      <c r="I1405" s="1468"/>
      <c r="J1405" s="1469"/>
      <c r="K1405" s="1470"/>
      <c r="L1405" s="2418"/>
      <c r="M1405" s="2418"/>
      <c r="N1405" s="2804"/>
      <c r="O1405" s="86"/>
      <c r="P1405" s="1817" t="e">
        <f>INDEX(#REF!,MATCH(F1405,#REF!,0),2)</f>
        <v>#REF!</v>
      </c>
      <c r="Q1405" s="1779"/>
      <c r="R1405" s="1779"/>
      <c r="S1405" s="1779"/>
      <c r="T1405" s="1779"/>
      <c r="U1405" s="1779"/>
      <c r="V1405" s="1779"/>
      <c r="W1405" s="43"/>
      <c r="X1405" s="1779"/>
      <c r="Y1405" s="1779"/>
      <c r="Z1405" s="1779"/>
      <c r="AA1405" s="1779"/>
      <c r="AB1405" s="1779"/>
      <c r="AC1405" s="1779"/>
      <c r="AD1405" s="1779"/>
      <c r="AE1405" s="1779"/>
      <c r="AF1405" s="1779"/>
      <c r="AG1405" s="1779"/>
      <c r="AH1405" s="1779"/>
      <c r="AI1405" s="1779"/>
      <c r="AJ1405" s="1779"/>
      <c r="AK1405" s="1779"/>
      <c r="AL1405" s="1779"/>
      <c r="AM1405" s="1779"/>
      <c r="AN1405" s="1779"/>
      <c r="AO1405" s="1779"/>
      <c r="AP1405" s="1779"/>
      <c r="AQ1405" s="1779"/>
      <c r="AR1405" s="1779"/>
      <c r="AS1405" s="1779"/>
      <c r="AT1405" s="1779"/>
      <c r="AU1405" s="1779"/>
      <c r="AV1405" s="1779"/>
    </row>
    <row r="1406" spans="1:48" ht="15.75" customHeight="1">
      <c r="A1406" s="412"/>
      <c r="B1406" s="412" t="s">
        <v>512</v>
      </c>
      <c r="C1406" s="412" t="s">
        <v>506</v>
      </c>
      <c r="D1406" s="1590"/>
      <c r="E1406" s="2224" t="s">
        <v>1904</v>
      </c>
      <c r="F1406" s="505">
        <v>1119</v>
      </c>
      <c r="G1406" s="516" t="s">
        <v>1177</v>
      </c>
      <c r="H1406" s="944"/>
      <c r="I1406" s="523"/>
      <c r="J1406" s="522"/>
      <c r="K1406" s="524"/>
      <c r="L1406" s="539"/>
      <c r="M1406" s="539"/>
      <c r="N1406" s="2804"/>
      <c r="O1406" s="86"/>
      <c r="P1406" s="1817" t="e">
        <f>INDEX(#REF!,MATCH(F1406,#REF!,0),2)</f>
        <v>#REF!</v>
      </c>
      <c r="Q1406" s="1779"/>
      <c r="R1406" s="1779"/>
      <c r="S1406" s="1779"/>
      <c r="T1406" s="1779"/>
      <c r="U1406" s="1779"/>
      <c r="V1406" s="1779"/>
      <c r="W1406" s="43"/>
      <c r="X1406" s="1779"/>
      <c r="Y1406" s="1779"/>
      <c r="Z1406" s="1779"/>
      <c r="AA1406" s="1779"/>
      <c r="AB1406" s="1779"/>
      <c r="AC1406" s="1779"/>
      <c r="AD1406" s="1779"/>
      <c r="AE1406" s="1779"/>
      <c r="AF1406" s="1779"/>
      <c r="AG1406" s="1779"/>
      <c r="AH1406" s="1779"/>
      <c r="AI1406" s="1779"/>
      <c r="AJ1406" s="1779"/>
      <c r="AK1406" s="1779"/>
      <c r="AL1406" s="1779"/>
      <c r="AM1406" s="1779"/>
      <c r="AN1406" s="1779"/>
      <c r="AO1406" s="1779"/>
      <c r="AP1406" s="1779"/>
      <c r="AQ1406" s="1779"/>
      <c r="AR1406" s="1779"/>
      <c r="AS1406" s="1779"/>
      <c r="AT1406" s="1779"/>
      <c r="AU1406" s="1779"/>
      <c r="AV1406" s="1779"/>
    </row>
    <row r="1407" spans="1:48" ht="19.149999999999999" customHeight="1">
      <c r="A1407" s="506"/>
      <c r="B1407" s="506" t="s">
        <v>663</v>
      </c>
      <c r="C1407" s="506" t="s">
        <v>652</v>
      </c>
      <c r="D1407" s="1589">
        <v>960</v>
      </c>
      <c r="E1407" s="2223" t="s">
        <v>1905</v>
      </c>
      <c r="F1407" s="540">
        <v>1146</v>
      </c>
      <c r="G1407" s="411" t="s">
        <v>922</v>
      </c>
      <c r="H1407" s="2817">
        <v>3500</v>
      </c>
      <c r="I1407" s="2818"/>
      <c r="J1407" s="2819">
        <v>2410.2199999999998</v>
      </c>
      <c r="K1407" s="2816"/>
      <c r="L1407" s="2818">
        <v>1000</v>
      </c>
      <c r="M1407" s="2818"/>
      <c r="N1407" s="2804"/>
      <c r="O1407" s="86"/>
      <c r="P1407" s="1817" t="e">
        <f>INDEX(#REF!,MATCH(F1407,#REF!,0),2)</f>
        <v>#REF!</v>
      </c>
      <c r="Q1407" s="1779"/>
      <c r="R1407" s="1779"/>
      <c r="S1407" s="1779"/>
      <c r="T1407" s="1779"/>
      <c r="U1407" s="1779"/>
      <c r="V1407" s="1779"/>
      <c r="W1407" s="43"/>
      <c r="X1407" s="1779"/>
      <c r="Y1407" s="1779"/>
      <c r="Z1407" s="1779"/>
      <c r="AA1407" s="1779"/>
      <c r="AB1407" s="1779"/>
      <c r="AC1407" s="1779"/>
      <c r="AD1407" s="1779"/>
      <c r="AE1407" s="1779"/>
      <c r="AF1407" s="1779"/>
      <c r="AG1407" s="1779"/>
      <c r="AH1407" s="1779"/>
      <c r="AI1407" s="1779"/>
      <c r="AJ1407" s="1779"/>
      <c r="AK1407" s="1779"/>
      <c r="AL1407" s="1779"/>
      <c r="AM1407" s="1779"/>
      <c r="AN1407" s="1779"/>
      <c r="AO1407" s="1779"/>
      <c r="AP1407" s="1779"/>
      <c r="AQ1407" s="1779"/>
      <c r="AR1407" s="1779"/>
      <c r="AS1407" s="1779"/>
      <c r="AT1407" s="1779"/>
      <c r="AU1407" s="1779"/>
      <c r="AV1407" s="1779"/>
    </row>
    <row r="1408" spans="1:48" ht="15" customHeight="1">
      <c r="A1408" s="412"/>
      <c r="B1408" s="412" t="s">
        <v>663</v>
      </c>
      <c r="C1408" s="412" t="s">
        <v>652</v>
      </c>
      <c r="D1408" s="1590"/>
      <c r="E1408" s="2224" t="s">
        <v>1905</v>
      </c>
      <c r="F1408" s="505">
        <v>1146</v>
      </c>
      <c r="G1408" s="516" t="s">
        <v>663</v>
      </c>
      <c r="H1408" s="2814"/>
      <c r="I1408" s="2800">
        <v>3500</v>
      </c>
      <c r="J1408" s="2815"/>
      <c r="K1408" s="2816"/>
      <c r="L1408" s="2800"/>
      <c r="M1408" s="2800">
        <v>1000</v>
      </c>
      <c r="N1408" s="2804"/>
      <c r="O1408" s="86"/>
      <c r="P1408" s="1817" t="e">
        <f>INDEX(#REF!,MATCH(F1408,#REF!,0),2)</f>
        <v>#REF!</v>
      </c>
      <c r="Q1408" s="1779"/>
      <c r="R1408" s="1779"/>
      <c r="S1408" s="1779"/>
      <c r="T1408" s="1779"/>
      <c r="U1408" s="1779"/>
      <c r="V1408" s="1779"/>
      <c r="W1408" s="43"/>
      <c r="X1408" s="1779"/>
      <c r="Y1408" s="1779"/>
      <c r="Z1408" s="1779"/>
      <c r="AA1408" s="1779"/>
      <c r="AB1408" s="1779"/>
      <c r="AC1408" s="1779"/>
      <c r="AD1408" s="1779"/>
      <c r="AE1408" s="1779"/>
      <c r="AF1408" s="1779"/>
      <c r="AG1408" s="1779"/>
      <c r="AH1408" s="1779"/>
      <c r="AI1408" s="1779"/>
      <c r="AJ1408" s="1779"/>
      <c r="AK1408" s="1779"/>
      <c r="AL1408" s="1779"/>
      <c r="AM1408" s="1779"/>
      <c r="AN1408" s="1779"/>
      <c r="AO1408" s="1779"/>
      <c r="AP1408" s="1779"/>
      <c r="AQ1408" s="1779"/>
      <c r="AR1408" s="1779"/>
      <c r="AS1408" s="1779"/>
      <c r="AT1408" s="1779"/>
      <c r="AU1408" s="1779"/>
      <c r="AV1408" s="1779"/>
    </row>
    <row r="1409" spans="1:48" ht="11.45" customHeight="1">
      <c r="A1409" s="506"/>
      <c r="B1409" s="506" t="s">
        <v>512</v>
      </c>
      <c r="C1409" s="506" t="s">
        <v>506</v>
      </c>
      <c r="D1409" s="1589">
        <v>960</v>
      </c>
      <c r="E1409" s="2223" t="s">
        <v>1904</v>
      </c>
      <c r="F1409" s="540">
        <v>1146</v>
      </c>
      <c r="G1409" s="411" t="s">
        <v>922</v>
      </c>
      <c r="H1409" s="945">
        <v>3500</v>
      </c>
      <c r="I1409" s="623"/>
      <c r="J1409" s="622"/>
      <c r="K1409" s="524"/>
      <c r="L1409" s="2420">
        <v>3500</v>
      </c>
      <c r="M1409" s="2419"/>
      <c r="N1409" s="2804"/>
      <c r="O1409" s="86"/>
      <c r="P1409" s="1817" t="e">
        <f>INDEX(#REF!,MATCH(F1409,#REF!,0),2)</f>
        <v>#REF!</v>
      </c>
      <c r="Q1409" s="1779"/>
      <c r="R1409" s="1779"/>
      <c r="S1409" s="1779"/>
      <c r="T1409" s="1779"/>
      <c r="U1409" s="1779"/>
      <c r="V1409" s="1779"/>
      <c r="W1409" s="43"/>
      <c r="X1409" s="1779"/>
      <c r="Y1409" s="1779"/>
      <c r="Z1409" s="1779"/>
      <c r="AA1409" s="1779"/>
      <c r="AB1409" s="1779"/>
      <c r="AC1409" s="1779"/>
      <c r="AD1409" s="1779"/>
      <c r="AE1409" s="1779"/>
      <c r="AF1409" s="1779"/>
      <c r="AG1409" s="1779"/>
      <c r="AH1409" s="1779"/>
      <c r="AI1409" s="1779"/>
      <c r="AJ1409" s="1779"/>
      <c r="AK1409" s="1779"/>
      <c r="AL1409" s="1779"/>
      <c r="AM1409" s="1779"/>
      <c r="AN1409" s="1779"/>
      <c r="AO1409" s="1779"/>
      <c r="AP1409" s="1779"/>
      <c r="AQ1409" s="1779"/>
      <c r="AR1409" s="1779"/>
      <c r="AS1409" s="1779"/>
      <c r="AT1409" s="1779"/>
      <c r="AU1409" s="1779"/>
      <c r="AV1409" s="1779"/>
    </row>
    <row r="1410" spans="1:48" ht="11.45" customHeight="1">
      <c r="A1410" s="412"/>
      <c r="B1410" s="412" t="s">
        <v>512</v>
      </c>
      <c r="C1410" s="412" t="s">
        <v>506</v>
      </c>
      <c r="D1410" s="1590"/>
      <c r="E1410" s="2224" t="s">
        <v>1904</v>
      </c>
      <c r="F1410" s="505">
        <v>1146</v>
      </c>
      <c r="G1410" s="516" t="s">
        <v>1216</v>
      </c>
      <c r="H1410" s="944"/>
      <c r="I1410" s="523">
        <v>3500</v>
      </c>
      <c r="J1410" s="522"/>
      <c r="K1410" s="524"/>
      <c r="L1410" s="539"/>
      <c r="M1410" s="539">
        <v>3500</v>
      </c>
      <c r="N1410" s="2804"/>
      <c r="O1410" s="86"/>
      <c r="P1410" s="1817" t="e">
        <f>INDEX(#REF!,MATCH(F1410,#REF!,0),2)</f>
        <v>#REF!</v>
      </c>
      <c r="Q1410" s="1779"/>
      <c r="R1410" s="1779"/>
      <c r="S1410" s="1779"/>
      <c r="T1410" s="1779"/>
      <c r="U1410" s="1779"/>
      <c r="V1410" s="1779"/>
      <c r="W1410" s="43"/>
      <c r="X1410" s="1779"/>
      <c r="Y1410" s="1779"/>
      <c r="Z1410" s="1779"/>
      <c r="AA1410" s="1779"/>
      <c r="AB1410" s="1779"/>
      <c r="AC1410" s="1779"/>
      <c r="AD1410" s="1779"/>
      <c r="AE1410" s="1779"/>
      <c r="AF1410" s="1779"/>
      <c r="AG1410" s="1779"/>
      <c r="AH1410" s="1779"/>
      <c r="AI1410" s="1779"/>
      <c r="AJ1410" s="1779"/>
      <c r="AK1410" s="1779"/>
      <c r="AL1410" s="1779"/>
      <c r="AM1410" s="1779"/>
      <c r="AN1410" s="1779"/>
      <c r="AO1410" s="1779"/>
      <c r="AP1410" s="1779"/>
      <c r="AQ1410" s="1779"/>
      <c r="AR1410" s="1779"/>
      <c r="AS1410" s="1779"/>
      <c r="AT1410" s="1779"/>
      <c r="AU1410" s="1779"/>
      <c r="AV1410" s="1779"/>
    </row>
    <row r="1411" spans="1:48" ht="13.9" customHeight="1">
      <c r="A1411" s="412"/>
      <c r="B1411" s="412" t="s">
        <v>512</v>
      </c>
      <c r="C1411" s="412" t="s">
        <v>506</v>
      </c>
      <c r="D1411" s="1590"/>
      <c r="E1411" s="2224" t="s">
        <v>1904</v>
      </c>
      <c r="F1411" s="505">
        <v>1146</v>
      </c>
      <c r="G1411" s="516" t="s">
        <v>1177</v>
      </c>
      <c r="H1411" s="944"/>
      <c r="I1411" s="523"/>
      <c r="J1411" s="522"/>
      <c r="K1411" s="524"/>
      <c r="L1411" s="539"/>
      <c r="M1411" s="539"/>
      <c r="N1411" s="2804"/>
      <c r="O1411" s="86"/>
      <c r="P1411" s="1817" t="e">
        <f>INDEX(#REF!,MATCH(F1411,#REF!,0),2)</f>
        <v>#REF!</v>
      </c>
      <c r="Q1411" s="1779"/>
      <c r="R1411" s="1779"/>
      <c r="S1411" s="1779"/>
      <c r="T1411" s="1779"/>
      <c r="U1411" s="1779"/>
      <c r="V1411" s="1779"/>
      <c r="W1411" s="43"/>
      <c r="X1411" s="1779"/>
      <c r="Y1411" s="1779"/>
      <c r="Z1411" s="1779"/>
      <c r="AA1411" s="1779"/>
      <c r="AB1411" s="1779"/>
      <c r="AC1411" s="1779"/>
      <c r="AD1411" s="1779"/>
      <c r="AE1411" s="1779"/>
      <c r="AF1411" s="1779"/>
      <c r="AG1411" s="1779"/>
      <c r="AH1411" s="1779"/>
      <c r="AI1411" s="1779"/>
      <c r="AJ1411" s="1779"/>
      <c r="AK1411" s="1779"/>
      <c r="AL1411" s="1779"/>
      <c r="AM1411" s="1779"/>
      <c r="AN1411" s="1779"/>
      <c r="AO1411" s="1779"/>
      <c r="AP1411" s="1779"/>
      <c r="AQ1411" s="1779"/>
      <c r="AR1411" s="1779"/>
      <c r="AS1411" s="1779"/>
      <c r="AT1411" s="1779"/>
      <c r="AU1411" s="1779"/>
      <c r="AV1411" s="1779"/>
    </row>
    <row r="1412" spans="1:48" ht="20.45" customHeight="1">
      <c r="A1412" s="506"/>
      <c r="B1412" s="506" t="s">
        <v>512</v>
      </c>
      <c r="C1412" s="506" t="s">
        <v>506</v>
      </c>
      <c r="D1412" s="1589">
        <v>960</v>
      </c>
      <c r="E1412" s="2223" t="s">
        <v>1904</v>
      </c>
      <c r="F1412" s="540">
        <v>1147</v>
      </c>
      <c r="G1412" s="411" t="s">
        <v>653</v>
      </c>
      <c r="H1412" s="945">
        <v>3500</v>
      </c>
      <c r="I1412" s="623"/>
      <c r="J1412" s="622"/>
      <c r="K1412" s="524"/>
      <c r="L1412" s="2420">
        <v>3500</v>
      </c>
      <c r="M1412" s="2419"/>
      <c r="N1412" s="2804"/>
      <c r="O1412" s="86"/>
      <c r="P1412" s="1817" t="e">
        <f>INDEX(#REF!,MATCH(F1412,#REF!,0),2)</f>
        <v>#REF!</v>
      </c>
      <c r="Q1412" s="1779"/>
      <c r="R1412" s="1779"/>
      <c r="S1412" s="1779"/>
      <c r="T1412" s="1779"/>
      <c r="U1412" s="1779"/>
      <c r="V1412" s="1779"/>
      <c r="W1412" s="43"/>
      <c r="X1412" s="1779"/>
      <c r="Y1412" s="1779"/>
      <c r="Z1412" s="1779"/>
      <c r="AA1412" s="1779"/>
      <c r="AB1412" s="1779"/>
      <c r="AC1412" s="1779"/>
      <c r="AD1412" s="1779"/>
      <c r="AE1412" s="1779"/>
      <c r="AF1412" s="1779"/>
      <c r="AG1412" s="1779"/>
      <c r="AH1412" s="1779"/>
      <c r="AI1412" s="1779"/>
      <c r="AJ1412" s="1779"/>
      <c r="AK1412" s="1779"/>
      <c r="AL1412" s="1779"/>
      <c r="AM1412" s="1779"/>
      <c r="AN1412" s="1779"/>
      <c r="AO1412" s="1779"/>
      <c r="AP1412" s="1779"/>
      <c r="AQ1412" s="1779"/>
      <c r="AR1412" s="1779"/>
      <c r="AS1412" s="1779"/>
      <c r="AT1412" s="1779"/>
      <c r="AU1412" s="1779"/>
      <c r="AV1412" s="1779"/>
    </row>
    <row r="1413" spans="1:48" ht="20.45" customHeight="1">
      <c r="A1413" s="412"/>
      <c r="B1413" s="412" t="s">
        <v>512</v>
      </c>
      <c r="C1413" s="412" t="s">
        <v>506</v>
      </c>
      <c r="D1413" s="1590"/>
      <c r="E1413" s="2224" t="s">
        <v>1904</v>
      </c>
      <c r="F1413" s="505">
        <v>1147</v>
      </c>
      <c r="G1413" s="516"/>
      <c r="H1413" s="944"/>
      <c r="I1413" s="523">
        <v>3500</v>
      </c>
      <c r="J1413" s="522"/>
      <c r="K1413" s="524"/>
      <c r="L1413" s="539"/>
      <c r="M1413" s="539">
        <v>3500</v>
      </c>
      <c r="N1413" s="2804"/>
      <c r="O1413" s="86"/>
      <c r="P1413" s="1817" t="e">
        <f>INDEX(#REF!,MATCH(F1413,#REF!,0),2)</f>
        <v>#REF!</v>
      </c>
      <c r="Q1413" s="1779"/>
      <c r="R1413" s="1779"/>
      <c r="S1413" s="1779"/>
      <c r="T1413" s="1779"/>
      <c r="U1413" s="1779"/>
      <c r="V1413" s="1779"/>
      <c r="W1413" s="43"/>
      <c r="X1413" s="1779"/>
      <c r="Y1413" s="1779"/>
      <c r="Z1413" s="1779"/>
      <c r="AA1413" s="1779"/>
      <c r="AB1413" s="1779"/>
      <c r="AC1413" s="1779"/>
      <c r="AD1413" s="1779"/>
      <c r="AE1413" s="1779"/>
      <c r="AF1413" s="1779"/>
      <c r="AG1413" s="1779"/>
      <c r="AH1413" s="1779"/>
      <c r="AI1413" s="1779"/>
      <c r="AJ1413" s="1779"/>
      <c r="AK1413" s="1779"/>
      <c r="AL1413" s="1779"/>
      <c r="AM1413" s="1779"/>
      <c r="AN1413" s="1779"/>
      <c r="AO1413" s="1779"/>
      <c r="AP1413" s="1779"/>
      <c r="AQ1413" s="1779"/>
      <c r="AR1413" s="1779"/>
      <c r="AS1413" s="1779"/>
      <c r="AT1413" s="1779"/>
      <c r="AU1413" s="1779"/>
      <c r="AV1413" s="1779"/>
    </row>
    <row r="1414" spans="1:48" ht="11.45" customHeight="1">
      <c r="A1414" s="412"/>
      <c r="B1414" s="412" t="s">
        <v>512</v>
      </c>
      <c r="C1414" s="412" t="s">
        <v>506</v>
      </c>
      <c r="D1414" s="1590"/>
      <c r="E1414" s="2224" t="s">
        <v>1904</v>
      </c>
      <c r="F1414" s="505">
        <v>1147</v>
      </c>
      <c r="G1414" s="516" t="s">
        <v>1178</v>
      </c>
      <c r="H1414" s="944"/>
      <c r="I1414" s="523"/>
      <c r="J1414" s="522"/>
      <c r="K1414" s="524"/>
      <c r="L1414" s="539"/>
      <c r="M1414" s="539"/>
      <c r="N1414" s="2804"/>
      <c r="O1414" s="86"/>
      <c r="P1414" s="1817" t="e">
        <f>INDEX(#REF!,MATCH(F1414,#REF!,0),2)</f>
        <v>#REF!</v>
      </c>
      <c r="Q1414" s="1779"/>
      <c r="R1414" s="1779"/>
      <c r="S1414" s="1779"/>
      <c r="T1414" s="1779"/>
      <c r="U1414" s="1779"/>
      <c r="V1414" s="1779"/>
      <c r="W1414" s="43"/>
      <c r="X1414" s="1779"/>
      <c r="Y1414" s="1779"/>
      <c r="Z1414" s="1779"/>
      <c r="AA1414" s="1779"/>
      <c r="AB1414" s="1779"/>
      <c r="AC1414" s="1779"/>
      <c r="AD1414" s="1779"/>
      <c r="AE1414" s="1779"/>
      <c r="AF1414" s="1779"/>
      <c r="AG1414" s="1779"/>
      <c r="AH1414" s="1779"/>
      <c r="AI1414" s="1779"/>
      <c r="AJ1414" s="1779"/>
      <c r="AK1414" s="1779"/>
      <c r="AL1414" s="1779"/>
      <c r="AM1414" s="1779"/>
      <c r="AN1414" s="1779"/>
      <c r="AO1414" s="1779"/>
      <c r="AP1414" s="1779"/>
      <c r="AQ1414" s="1779"/>
      <c r="AR1414" s="1779"/>
      <c r="AS1414" s="1779"/>
      <c r="AT1414" s="1779"/>
      <c r="AU1414" s="1779"/>
      <c r="AV1414" s="1779"/>
    </row>
    <row r="1415" spans="1:48" ht="13.9" customHeight="1">
      <c r="A1415" s="412"/>
      <c r="B1415" s="412" t="s">
        <v>512</v>
      </c>
      <c r="C1415" s="412" t="s">
        <v>506</v>
      </c>
      <c r="D1415" s="1590"/>
      <c r="E1415" s="2224" t="s">
        <v>1904</v>
      </c>
      <c r="F1415" s="505">
        <v>1147</v>
      </c>
      <c r="G1415" s="516" t="s">
        <v>1180</v>
      </c>
      <c r="H1415" s="944"/>
      <c r="I1415" s="523"/>
      <c r="J1415" s="522"/>
      <c r="K1415" s="524"/>
      <c r="L1415" s="539"/>
      <c r="M1415" s="539"/>
      <c r="N1415" s="2804"/>
      <c r="O1415" s="86"/>
      <c r="P1415" s="1817" t="e">
        <f>INDEX(#REF!,MATCH(F1415,#REF!,0),2)</f>
        <v>#REF!</v>
      </c>
      <c r="Q1415" s="1779"/>
      <c r="R1415" s="1779"/>
      <c r="S1415" s="1779"/>
      <c r="T1415" s="1779"/>
      <c r="U1415" s="1779"/>
      <c r="V1415" s="1779"/>
      <c r="W1415" s="43"/>
      <c r="X1415" s="1779"/>
      <c r="Y1415" s="1779"/>
      <c r="Z1415" s="1779"/>
      <c r="AA1415" s="1779"/>
      <c r="AB1415" s="1779"/>
      <c r="AC1415" s="1779"/>
      <c r="AD1415" s="1779"/>
      <c r="AE1415" s="1779"/>
      <c r="AF1415" s="1779"/>
      <c r="AG1415" s="1779"/>
      <c r="AH1415" s="1779"/>
      <c r="AI1415" s="1779"/>
      <c r="AJ1415" s="1779"/>
      <c r="AK1415" s="1779"/>
      <c r="AL1415" s="1779"/>
      <c r="AM1415" s="1779"/>
      <c r="AN1415" s="1779"/>
      <c r="AO1415" s="1779"/>
      <c r="AP1415" s="1779"/>
      <c r="AQ1415" s="1779"/>
      <c r="AR1415" s="1779"/>
      <c r="AS1415" s="1779"/>
      <c r="AT1415" s="1779"/>
      <c r="AU1415" s="1779"/>
      <c r="AV1415" s="1779"/>
    </row>
    <row r="1416" spans="1:48" ht="13.9" customHeight="1">
      <c r="A1416" s="506"/>
      <c r="B1416" s="506" t="s">
        <v>663</v>
      </c>
      <c r="C1416" s="506" t="s">
        <v>652</v>
      </c>
      <c r="D1416" s="1589">
        <v>960</v>
      </c>
      <c r="E1416" s="2223" t="s">
        <v>1905</v>
      </c>
      <c r="F1416" s="540">
        <v>1147</v>
      </c>
      <c r="G1416" s="411" t="s">
        <v>226</v>
      </c>
      <c r="H1416" s="2817">
        <v>76809</v>
      </c>
      <c r="I1416" s="2818"/>
      <c r="J1416" s="2819">
        <v>38716.83</v>
      </c>
      <c r="K1416" s="2816"/>
      <c r="L1416" s="2818">
        <v>88793.340000000011</v>
      </c>
      <c r="M1416" s="2818"/>
      <c r="N1416" s="2804"/>
      <c r="O1416" s="86"/>
      <c r="P1416" s="1817" t="e">
        <f>INDEX(#REF!,MATCH(F1416,#REF!,0),2)</f>
        <v>#REF!</v>
      </c>
      <c r="Q1416" s="1779"/>
      <c r="R1416" s="1779"/>
      <c r="S1416" s="1779"/>
      <c r="T1416" s="1779"/>
      <c r="U1416" s="1779"/>
      <c r="V1416" s="1779"/>
      <c r="W1416" s="43"/>
      <c r="X1416" s="1779"/>
      <c r="Y1416" s="1779"/>
      <c r="Z1416" s="1779"/>
      <c r="AA1416" s="1779"/>
      <c r="AB1416" s="1779"/>
      <c r="AC1416" s="1779"/>
      <c r="AD1416" s="1779"/>
      <c r="AE1416" s="1779"/>
      <c r="AF1416" s="1779"/>
      <c r="AG1416" s="1779"/>
      <c r="AH1416" s="1779"/>
      <c r="AI1416" s="1779"/>
      <c r="AJ1416" s="1779"/>
      <c r="AK1416" s="1779"/>
      <c r="AL1416" s="1779"/>
      <c r="AM1416" s="1779"/>
      <c r="AN1416" s="1779"/>
      <c r="AO1416" s="1779"/>
      <c r="AP1416" s="1779"/>
      <c r="AQ1416" s="1779"/>
      <c r="AR1416" s="1779"/>
      <c r="AS1416" s="1779"/>
      <c r="AT1416" s="1779"/>
      <c r="AU1416" s="1779"/>
      <c r="AV1416" s="1779"/>
    </row>
    <row r="1417" spans="1:48" ht="11.45" customHeight="1">
      <c r="A1417" s="412"/>
      <c r="B1417" s="412" t="s">
        <v>663</v>
      </c>
      <c r="C1417" s="412" t="s">
        <v>652</v>
      </c>
      <c r="D1417" s="1590"/>
      <c r="E1417" s="2224" t="s">
        <v>1905</v>
      </c>
      <c r="F1417" s="505">
        <v>1147</v>
      </c>
      <c r="G1417" s="516" t="s">
        <v>663</v>
      </c>
      <c r="H1417" s="2814"/>
      <c r="I1417" s="2800">
        <v>79309.380000000048</v>
      </c>
      <c r="J1417" s="2815"/>
      <c r="K1417" s="2816"/>
      <c r="L1417" s="2800"/>
      <c r="M1417" s="2800">
        <v>88793.340000000011</v>
      </c>
      <c r="N1417" s="2804"/>
      <c r="O1417" s="86"/>
      <c r="P1417" s="1817" t="e">
        <f>INDEX(#REF!,MATCH(F1417,#REF!,0),2)</f>
        <v>#REF!</v>
      </c>
      <c r="Q1417" s="1779"/>
      <c r="R1417" s="1779"/>
      <c r="S1417" s="1779"/>
      <c r="T1417" s="1779"/>
      <c r="U1417" s="1779"/>
      <c r="V1417" s="1779"/>
      <c r="W1417" s="43"/>
      <c r="X1417" s="1779"/>
      <c r="Y1417" s="1779"/>
      <c r="Z1417" s="1779"/>
      <c r="AA1417" s="1779"/>
      <c r="AB1417" s="1779"/>
      <c r="AC1417" s="1779"/>
      <c r="AD1417" s="1779"/>
      <c r="AE1417" s="1779"/>
      <c r="AF1417" s="1779"/>
      <c r="AG1417" s="1779"/>
      <c r="AH1417" s="1779"/>
      <c r="AI1417" s="1779"/>
      <c r="AJ1417" s="1779"/>
      <c r="AK1417" s="1779"/>
      <c r="AL1417" s="1779"/>
      <c r="AM1417" s="1779"/>
      <c r="AN1417" s="1779"/>
      <c r="AO1417" s="1779"/>
      <c r="AP1417" s="1779"/>
      <c r="AQ1417" s="1779"/>
      <c r="AR1417" s="1779"/>
      <c r="AS1417" s="1779"/>
      <c r="AT1417" s="1779"/>
      <c r="AU1417" s="1779"/>
      <c r="AV1417" s="1779"/>
    </row>
    <row r="1418" spans="1:48" ht="11.45" customHeight="1">
      <c r="A1418" s="1370"/>
      <c r="B1418" s="412" t="s">
        <v>663</v>
      </c>
      <c r="C1418" s="412" t="s">
        <v>652</v>
      </c>
      <c r="D1418" s="1590"/>
      <c r="E1418" s="2224" t="s">
        <v>1905</v>
      </c>
      <c r="F1418" s="505">
        <v>1147</v>
      </c>
      <c r="G1418" s="1411" t="s">
        <v>2017</v>
      </c>
      <c r="H1418" s="2814"/>
      <c r="I1418" s="2800"/>
      <c r="J1418" s="2815"/>
      <c r="K1418" s="2816"/>
      <c r="L1418" s="2800"/>
      <c r="M1418" s="2800"/>
      <c r="N1418" s="2804"/>
      <c r="O1418" s="86"/>
      <c r="P1418" s="1817" t="e">
        <f>INDEX(#REF!,MATCH(F1418,#REF!,0),2)</f>
        <v>#REF!</v>
      </c>
      <c r="Q1418" s="1779"/>
      <c r="R1418" s="1779"/>
      <c r="S1418" s="1779"/>
      <c r="T1418" s="1779"/>
      <c r="U1418" s="1779"/>
      <c r="V1418" s="1779"/>
      <c r="W1418" s="43"/>
      <c r="X1418" s="1779"/>
      <c r="Y1418" s="1779"/>
      <c r="Z1418" s="1779"/>
      <c r="AA1418" s="1779"/>
      <c r="AB1418" s="1779"/>
      <c r="AC1418" s="1779"/>
      <c r="AD1418" s="1779"/>
      <c r="AE1418" s="1779"/>
      <c r="AF1418" s="1779"/>
      <c r="AG1418" s="1779"/>
      <c r="AH1418" s="1779"/>
      <c r="AI1418" s="1779"/>
      <c r="AJ1418" s="1779"/>
      <c r="AK1418" s="1779"/>
      <c r="AL1418" s="1779"/>
      <c r="AM1418" s="1779"/>
      <c r="AN1418" s="1779"/>
      <c r="AO1418" s="1779"/>
      <c r="AP1418" s="1779"/>
      <c r="AQ1418" s="1779"/>
      <c r="AR1418" s="1779"/>
      <c r="AS1418" s="1779"/>
      <c r="AT1418" s="1779"/>
      <c r="AU1418" s="1779"/>
      <c r="AV1418" s="1779"/>
    </row>
    <row r="1419" spans="1:48" ht="11.45" customHeight="1">
      <c r="A1419" s="506"/>
      <c r="B1419" s="506" t="s">
        <v>512</v>
      </c>
      <c r="C1419" s="506" t="s">
        <v>506</v>
      </c>
      <c r="D1419" s="1589">
        <v>960</v>
      </c>
      <c r="E1419" s="2223" t="s">
        <v>1904</v>
      </c>
      <c r="F1419" s="540">
        <v>1148</v>
      </c>
      <c r="G1419" s="411" t="s">
        <v>227</v>
      </c>
      <c r="H1419" s="945"/>
      <c r="I1419" s="623"/>
      <c r="J1419" s="622"/>
      <c r="K1419" s="524"/>
      <c r="L1419" s="2419"/>
      <c r="M1419" s="2419"/>
      <c r="N1419" s="2804"/>
      <c r="O1419" s="86"/>
      <c r="P1419" s="1817" t="e">
        <f>INDEX(#REF!,MATCH(F1419,#REF!,0),2)</f>
        <v>#REF!</v>
      </c>
      <c r="Q1419" s="1779"/>
      <c r="R1419" s="1779"/>
      <c r="S1419" s="1779"/>
      <c r="T1419" s="1779"/>
      <c r="U1419" s="1779"/>
      <c r="V1419" s="1779"/>
      <c r="W1419" s="43"/>
      <c r="X1419" s="1779"/>
      <c r="Y1419" s="1779"/>
      <c r="Z1419" s="1779"/>
      <c r="AA1419" s="1779"/>
      <c r="AB1419" s="1779"/>
      <c r="AC1419" s="1779"/>
      <c r="AD1419" s="1779"/>
      <c r="AE1419" s="1779"/>
      <c r="AF1419" s="1779"/>
      <c r="AG1419" s="1779"/>
      <c r="AH1419" s="1779"/>
      <c r="AI1419" s="1779"/>
      <c r="AJ1419" s="1779"/>
      <c r="AK1419" s="1779"/>
      <c r="AL1419" s="1779"/>
      <c r="AM1419" s="1779"/>
      <c r="AN1419" s="1779"/>
      <c r="AO1419" s="1779"/>
      <c r="AP1419" s="1779"/>
      <c r="AQ1419" s="1779"/>
      <c r="AR1419" s="1779"/>
      <c r="AS1419" s="1779"/>
      <c r="AT1419" s="1779"/>
      <c r="AU1419" s="1779"/>
      <c r="AV1419" s="1779"/>
    </row>
    <row r="1420" spans="1:48" ht="22.9" customHeight="1">
      <c r="A1420" s="412"/>
      <c r="B1420" s="412" t="s">
        <v>512</v>
      </c>
      <c r="C1420" s="412" t="s">
        <v>506</v>
      </c>
      <c r="D1420" s="1590">
        <v>960</v>
      </c>
      <c r="E1420" s="2224" t="s">
        <v>1904</v>
      </c>
      <c r="F1420" s="505">
        <v>1148</v>
      </c>
      <c r="G1420" s="410"/>
      <c r="H1420" s="944"/>
      <c r="I1420" s="523"/>
      <c r="J1420" s="522"/>
      <c r="K1420" s="524"/>
      <c r="L1420" s="539"/>
      <c r="M1420" s="539"/>
      <c r="N1420" s="2804"/>
      <c r="O1420" s="86"/>
      <c r="P1420" s="1817"/>
      <c r="Q1420" s="1779"/>
      <c r="R1420" s="1779"/>
      <c r="S1420" s="1779"/>
      <c r="T1420" s="1779"/>
      <c r="U1420" s="1779"/>
      <c r="V1420" s="1779"/>
      <c r="W1420" s="43"/>
      <c r="X1420" s="1779"/>
      <c r="Y1420" s="1779"/>
      <c r="Z1420" s="1779"/>
      <c r="AA1420" s="1779"/>
      <c r="AB1420" s="1779"/>
      <c r="AC1420" s="1779"/>
      <c r="AD1420" s="1779"/>
      <c r="AE1420" s="1779"/>
      <c r="AF1420" s="1779"/>
      <c r="AG1420" s="1779"/>
      <c r="AH1420" s="1779"/>
      <c r="AI1420" s="1779"/>
      <c r="AJ1420" s="1779"/>
      <c r="AK1420" s="1779"/>
      <c r="AL1420" s="1779"/>
      <c r="AM1420" s="1779"/>
      <c r="AN1420" s="1779"/>
      <c r="AO1420" s="1779"/>
      <c r="AP1420" s="1779"/>
      <c r="AQ1420" s="1779"/>
      <c r="AR1420" s="1779"/>
      <c r="AS1420" s="1779"/>
      <c r="AT1420" s="1779"/>
      <c r="AU1420" s="1779"/>
      <c r="AV1420" s="1779"/>
    </row>
    <row r="1421" spans="1:48" ht="20.45" customHeight="1">
      <c r="A1421" s="506"/>
      <c r="B1421" s="506" t="s">
        <v>663</v>
      </c>
      <c r="C1421" s="506" t="s">
        <v>652</v>
      </c>
      <c r="D1421" s="1589">
        <v>960</v>
      </c>
      <c r="E1421" s="2223" t="s">
        <v>1905</v>
      </c>
      <c r="F1421" s="540">
        <v>1148</v>
      </c>
      <c r="G1421" s="411" t="s">
        <v>227</v>
      </c>
      <c r="H1421" s="2818">
        <v>2700</v>
      </c>
      <c r="I1421" s="2818"/>
      <c r="J1421" s="2818">
        <v>2100</v>
      </c>
      <c r="K1421" s="2816"/>
      <c r="L1421" s="2818">
        <v>300</v>
      </c>
      <c r="M1421" s="2818"/>
      <c r="N1421" s="2804"/>
      <c r="O1421" s="86"/>
      <c r="P1421" s="1817" t="e">
        <f>INDEX(#REF!,MATCH(F1421,#REF!,0),2)</f>
        <v>#REF!</v>
      </c>
      <c r="Q1421" s="1779"/>
      <c r="R1421" s="1779"/>
      <c r="S1421" s="1779"/>
      <c r="T1421" s="1779"/>
      <c r="U1421" s="1779"/>
      <c r="V1421" s="1779"/>
      <c r="W1421" s="43"/>
      <c r="X1421" s="1779"/>
      <c r="Y1421" s="1779"/>
      <c r="Z1421" s="1779"/>
      <c r="AA1421" s="1779"/>
      <c r="AB1421" s="1779"/>
      <c r="AC1421" s="1779"/>
      <c r="AD1421" s="1779"/>
      <c r="AE1421" s="1779"/>
      <c r="AF1421" s="1779"/>
      <c r="AG1421" s="1779"/>
      <c r="AH1421" s="1779"/>
      <c r="AI1421" s="1779"/>
      <c r="AJ1421" s="1779"/>
      <c r="AK1421" s="1779"/>
      <c r="AL1421" s="1779"/>
      <c r="AM1421" s="1779"/>
      <c r="AN1421" s="1779"/>
      <c r="AO1421" s="1779"/>
      <c r="AP1421" s="1779"/>
      <c r="AQ1421" s="1779"/>
      <c r="AR1421" s="1779"/>
      <c r="AS1421" s="1779"/>
      <c r="AT1421" s="1779"/>
      <c r="AU1421" s="1779"/>
      <c r="AV1421" s="1779"/>
    </row>
    <row r="1422" spans="1:48" ht="11.45" customHeight="1">
      <c r="A1422" s="412"/>
      <c r="B1422" s="412" t="s">
        <v>663</v>
      </c>
      <c r="C1422" s="412" t="s">
        <v>652</v>
      </c>
      <c r="D1422" s="1590"/>
      <c r="E1422" s="2224" t="s">
        <v>1905</v>
      </c>
      <c r="F1422" s="505">
        <v>1148</v>
      </c>
      <c r="G1422" s="519" t="s">
        <v>3776</v>
      </c>
      <c r="H1422" s="2800"/>
      <c r="I1422" s="2800">
        <v>2700</v>
      </c>
      <c r="J1422" s="2800"/>
      <c r="K1422" s="2816"/>
      <c r="L1422" s="2800"/>
      <c r="M1422" s="2800">
        <v>300</v>
      </c>
      <c r="N1422" s="1030" t="s">
        <v>3775</v>
      </c>
      <c r="O1422" s="86"/>
      <c r="P1422" s="1817" t="e">
        <f>INDEX(#REF!,MATCH(F1422,#REF!,0),2)</f>
        <v>#REF!</v>
      </c>
      <c r="Q1422" s="1779"/>
      <c r="R1422" s="1779"/>
      <c r="S1422" s="1779"/>
      <c r="T1422" s="1779"/>
      <c r="U1422" s="1779"/>
      <c r="V1422" s="1779"/>
      <c r="W1422" s="43"/>
      <c r="X1422" s="1779"/>
      <c r="Y1422" s="1779"/>
      <c r="Z1422" s="1779"/>
      <c r="AA1422" s="1779"/>
      <c r="AB1422" s="1779"/>
      <c r="AC1422" s="1779"/>
      <c r="AD1422" s="1779"/>
      <c r="AE1422" s="1779"/>
      <c r="AF1422" s="1779"/>
      <c r="AG1422" s="1779"/>
      <c r="AH1422" s="1779"/>
      <c r="AI1422" s="1779"/>
      <c r="AJ1422" s="1779"/>
      <c r="AK1422" s="1779"/>
      <c r="AL1422" s="1779"/>
      <c r="AM1422" s="1779"/>
      <c r="AN1422" s="1779"/>
      <c r="AO1422" s="1779"/>
      <c r="AP1422" s="1779"/>
      <c r="AQ1422" s="1779"/>
      <c r="AR1422" s="1779"/>
      <c r="AS1422" s="1779"/>
      <c r="AT1422" s="1779"/>
      <c r="AU1422" s="1779"/>
      <c r="AV1422" s="1779"/>
    </row>
    <row r="1423" spans="1:48" ht="11.45" customHeight="1">
      <c r="A1423" s="506"/>
      <c r="B1423" s="506" t="s">
        <v>1250</v>
      </c>
      <c r="C1423" s="506" t="s">
        <v>570</v>
      </c>
      <c r="D1423" s="1589">
        <v>960</v>
      </c>
      <c r="E1423" s="2223" t="s">
        <v>1905</v>
      </c>
      <c r="F1423" s="540">
        <v>1150</v>
      </c>
      <c r="G1423" s="411" t="s">
        <v>408</v>
      </c>
      <c r="H1423" s="2817">
        <v>0</v>
      </c>
      <c r="I1423" s="2818"/>
      <c r="J1423" s="2819"/>
      <c r="K1423" s="2816"/>
      <c r="L1423" s="2802">
        <v>0</v>
      </c>
      <c r="M1423" s="2802"/>
      <c r="N1423" s="2804"/>
      <c r="O1423" s="86"/>
      <c r="P1423" s="1817" t="e">
        <f>INDEX(#REF!,MATCH(F1423,#REF!,0),2)</f>
        <v>#REF!</v>
      </c>
      <c r="Q1423" s="1779"/>
      <c r="R1423" s="1779"/>
      <c r="S1423" s="1779"/>
      <c r="T1423" s="1779"/>
      <c r="U1423" s="1779"/>
      <c r="V1423" s="1779"/>
      <c r="W1423" s="43"/>
      <c r="X1423" s="1779"/>
      <c r="Y1423" s="1779"/>
      <c r="Z1423" s="1779"/>
      <c r="AA1423" s="1779"/>
      <c r="AB1423" s="1779"/>
      <c r="AC1423" s="1779"/>
      <c r="AD1423" s="1779"/>
      <c r="AE1423" s="1779"/>
      <c r="AF1423" s="1779"/>
      <c r="AG1423" s="1779"/>
      <c r="AH1423" s="1779"/>
      <c r="AI1423" s="1779"/>
      <c r="AJ1423" s="1779"/>
      <c r="AK1423" s="1779"/>
      <c r="AL1423" s="1779"/>
      <c r="AM1423" s="1779"/>
      <c r="AN1423" s="1779"/>
      <c r="AO1423" s="1779"/>
      <c r="AP1423" s="1779"/>
      <c r="AQ1423" s="1779"/>
      <c r="AR1423" s="1779"/>
      <c r="AS1423" s="1779"/>
      <c r="AT1423" s="1779"/>
      <c r="AU1423" s="1779"/>
      <c r="AV1423" s="1779"/>
    </row>
    <row r="1424" spans="1:48" ht="11.45" customHeight="1">
      <c r="A1424" s="412"/>
      <c r="B1424" s="412" t="s">
        <v>1250</v>
      </c>
      <c r="C1424" s="412" t="s">
        <v>570</v>
      </c>
      <c r="D1424" s="1590"/>
      <c r="E1424" s="2224" t="s">
        <v>1905</v>
      </c>
      <c r="F1424" s="505">
        <v>1150</v>
      </c>
      <c r="G1424" s="410"/>
      <c r="H1424" s="2814"/>
      <c r="I1424" s="2800"/>
      <c r="J1424" s="2815"/>
      <c r="K1424" s="2816"/>
      <c r="L1424" s="2800"/>
      <c r="M1424" s="2800"/>
      <c r="N1424" s="2804"/>
      <c r="O1424" s="86"/>
      <c r="P1424" s="1817" t="e">
        <f>INDEX(#REF!,MATCH(F1424,#REF!,0),2)</f>
        <v>#REF!</v>
      </c>
      <c r="Q1424" s="1779"/>
      <c r="R1424" s="1779"/>
      <c r="S1424" s="1779"/>
      <c r="T1424" s="1779"/>
      <c r="U1424" s="1779"/>
      <c r="V1424" s="1779"/>
      <c r="W1424" s="43"/>
      <c r="X1424" s="1779"/>
      <c r="Y1424" s="1779"/>
      <c r="Z1424" s="1779"/>
      <c r="AA1424" s="1779"/>
      <c r="AB1424" s="1779"/>
      <c r="AC1424" s="1779"/>
      <c r="AD1424" s="1779"/>
      <c r="AE1424" s="1779"/>
      <c r="AF1424" s="1779"/>
      <c r="AG1424" s="1779"/>
      <c r="AH1424" s="1779"/>
      <c r="AI1424" s="1779"/>
      <c r="AJ1424" s="1779"/>
      <c r="AK1424" s="1779"/>
      <c r="AL1424" s="1779"/>
      <c r="AM1424" s="1779"/>
      <c r="AN1424" s="1779"/>
      <c r="AO1424" s="1779"/>
      <c r="AP1424" s="1779"/>
      <c r="AQ1424" s="1779"/>
      <c r="AR1424" s="1779"/>
      <c r="AS1424" s="1779"/>
      <c r="AT1424" s="1779"/>
      <c r="AU1424" s="1779"/>
      <c r="AV1424" s="1779"/>
    </row>
    <row r="1425" spans="1:48" ht="11.45" customHeight="1">
      <c r="A1425" s="506"/>
      <c r="B1425" s="506" t="s">
        <v>663</v>
      </c>
      <c r="C1425" s="506" t="s">
        <v>652</v>
      </c>
      <c r="D1425" s="1589">
        <v>960</v>
      </c>
      <c r="E1425" s="2223" t="s">
        <v>1905</v>
      </c>
      <c r="F1425" s="540">
        <v>1210</v>
      </c>
      <c r="G1425" s="411" t="s">
        <v>228</v>
      </c>
      <c r="H1425" s="2817">
        <v>139559.71945082981</v>
      </c>
      <c r="I1425" s="2802"/>
      <c r="J1425" s="2819">
        <v>94457.16</v>
      </c>
      <c r="K1425" s="2816"/>
      <c r="L1425" s="2818">
        <v>158371.46412716992</v>
      </c>
      <c r="M1425" s="2818"/>
      <c r="N1425" s="2804"/>
      <c r="O1425" s="86"/>
      <c r="P1425" s="1817" t="e">
        <f>INDEX(#REF!,MATCH(F1425,#REF!,0),2)</f>
        <v>#REF!</v>
      </c>
      <c r="Q1425" s="1779"/>
      <c r="R1425" s="1779"/>
      <c r="S1425" s="1779"/>
      <c r="T1425" s="1779"/>
      <c r="U1425" s="1779"/>
      <c r="V1425" s="1779"/>
      <c r="W1425" s="43"/>
      <c r="X1425" s="1779"/>
      <c r="Y1425" s="1779"/>
      <c r="Z1425" s="1779"/>
      <c r="AA1425" s="1779"/>
      <c r="AB1425" s="1779"/>
      <c r="AC1425" s="1779"/>
      <c r="AD1425" s="1779"/>
      <c r="AE1425" s="1779"/>
      <c r="AF1425" s="1779"/>
      <c r="AG1425" s="1779"/>
      <c r="AH1425" s="1779"/>
      <c r="AI1425" s="1779"/>
      <c r="AJ1425" s="1779"/>
      <c r="AK1425" s="1779"/>
      <c r="AL1425" s="1779"/>
      <c r="AM1425" s="1779"/>
      <c r="AN1425" s="1779"/>
      <c r="AO1425" s="1779"/>
      <c r="AP1425" s="1779"/>
      <c r="AQ1425" s="1779"/>
      <c r="AR1425" s="1779"/>
      <c r="AS1425" s="1779"/>
      <c r="AT1425" s="1779"/>
      <c r="AU1425" s="1779"/>
      <c r="AV1425" s="1779"/>
    </row>
    <row r="1426" spans="1:48" ht="11.45" customHeight="1">
      <c r="A1426" s="412"/>
      <c r="B1426" s="412" t="s">
        <v>663</v>
      </c>
      <c r="C1426" s="412" t="s">
        <v>652</v>
      </c>
      <c r="D1426" s="1590"/>
      <c r="E1426" s="2224" t="s">
        <v>1905</v>
      </c>
      <c r="F1426" s="505">
        <v>1210</v>
      </c>
      <c r="G1426" s="516" t="s">
        <v>663</v>
      </c>
      <c r="H1426" s="2814"/>
      <c r="I1426" s="2800">
        <v>139559.71945082981</v>
      </c>
      <c r="J1426" s="2815"/>
      <c r="K1426" s="2816"/>
      <c r="L1426" s="2800"/>
      <c r="M1426" s="2800">
        <v>158371.46412716992</v>
      </c>
      <c r="N1426" s="2804"/>
      <c r="O1426" s="86"/>
      <c r="P1426" s="1817" t="e">
        <f>INDEX(#REF!,MATCH(F1426,#REF!,0),2)</f>
        <v>#REF!</v>
      </c>
      <c r="Q1426" s="1779"/>
      <c r="R1426" s="1779"/>
      <c r="S1426" s="1779"/>
      <c r="T1426" s="1779"/>
      <c r="U1426" s="1779"/>
      <c r="V1426" s="1779"/>
      <c r="W1426" s="43"/>
      <c r="X1426" s="1779"/>
      <c r="Y1426" s="1779"/>
      <c r="Z1426" s="1779"/>
      <c r="AA1426" s="1779"/>
      <c r="AB1426" s="1779"/>
      <c r="AC1426" s="1779"/>
      <c r="AD1426" s="1779"/>
      <c r="AE1426" s="1779"/>
      <c r="AF1426" s="1779"/>
      <c r="AG1426" s="1779"/>
      <c r="AH1426" s="1779"/>
      <c r="AI1426" s="1779"/>
      <c r="AJ1426" s="1779"/>
      <c r="AK1426" s="1779"/>
      <c r="AL1426" s="1779"/>
      <c r="AM1426" s="1779"/>
      <c r="AN1426" s="1779"/>
      <c r="AO1426" s="1779"/>
      <c r="AP1426" s="1779"/>
      <c r="AQ1426" s="1779"/>
      <c r="AR1426" s="1779"/>
      <c r="AS1426" s="1779"/>
      <c r="AT1426" s="1779"/>
      <c r="AU1426" s="1779"/>
      <c r="AV1426" s="1779"/>
    </row>
    <row r="1427" spans="1:48" ht="12.6" customHeight="1">
      <c r="A1427" s="412"/>
      <c r="B1427" s="412" t="s">
        <v>663</v>
      </c>
      <c r="C1427" s="412" t="s">
        <v>652</v>
      </c>
      <c r="D1427" s="1590"/>
      <c r="E1427" s="2224" t="s">
        <v>1905</v>
      </c>
      <c r="F1427" s="505">
        <v>1210</v>
      </c>
      <c r="G1427" s="516" t="s">
        <v>1177</v>
      </c>
      <c r="H1427" s="2814"/>
      <c r="I1427" s="2800"/>
      <c r="J1427" s="2815"/>
      <c r="K1427" s="2816"/>
      <c r="L1427" s="2800"/>
      <c r="M1427" s="2800"/>
      <c r="N1427" s="2804"/>
      <c r="O1427" s="86"/>
      <c r="P1427" s="1817" t="e">
        <f>INDEX(#REF!,MATCH(F1427,#REF!,0),2)</f>
        <v>#REF!</v>
      </c>
      <c r="Q1427" s="1779"/>
      <c r="R1427" s="1779"/>
      <c r="S1427" s="1779"/>
      <c r="T1427" s="1779"/>
      <c r="U1427" s="1779"/>
      <c r="V1427" s="1779"/>
      <c r="W1427" s="43"/>
      <c r="X1427" s="1779"/>
      <c r="Y1427" s="1779"/>
      <c r="Z1427" s="1779"/>
      <c r="AA1427" s="1779"/>
      <c r="AB1427" s="1779"/>
      <c r="AC1427" s="1779"/>
      <c r="AD1427" s="1779"/>
      <c r="AE1427" s="1779"/>
      <c r="AF1427" s="1779"/>
      <c r="AG1427" s="1779"/>
      <c r="AH1427" s="1779"/>
      <c r="AI1427" s="1779"/>
      <c r="AJ1427" s="1779"/>
      <c r="AK1427" s="1779"/>
      <c r="AL1427" s="1779"/>
      <c r="AM1427" s="1779"/>
      <c r="AN1427" s="1779"/>
      <c r="AO1427" s="1779"/>
      <c r="AP1427" s="1779"/>
      <c r="AQ1427" s="1779"/>
      <c r="AR1427" s="1779"/>
      <c r="AS1427" s="1779"/>
      <c r="AT1427" s="1779"/>
      <c r="AU1427" s="1779"/>
      <c r="AV1427" s="1779"/>
    </row>
    <row r="1428" spans="1:48" ht="30" customHeight="1">
      <c r="A1428" s="506"/>
      <c r="B1428" s="506" t="s">
        <v>512</v>
      </c>
      <c r="C1428" s="506" t="s">
        <v>506</v>
      </c>
      <c r="D1428" s="1589">
        <v>960</v>
      </c>
      <c r="E1428" s="2223" t="s">
        <v>1904</v>
      </c>
      <c r="F1428" s="540">
        <v>1210</v>
      </c>
      <c r="G1428" s="411" t="s">
        <v>336</v>
      </c>
      <c r="H1428" s="945">
        <v>121256.28083999999</v>
      </c>
      <c r="I1428" s="625"/>
      <c r="J1428" s="622"/>
      <c r="K1428" s="524"/>
      <c r="L1428" s="625">
        <v>132227.72563200002</v>
      </c>
      <c r="M1428" s="625"/>
      <c r="N1428" s="2804"/>
      <c r="O1428" s="86"/>
      <c r="P1428" s="1817" t="e">
        <f>INDEX(#REF!,MATCH(F1428,#REF!,0),2)</f>
        <v>#REF!</v>
      </c>
      <c r="Q1428" s="1779"/>
      <c r="R1428" s="1779"/>
      <c r="S1428" s="1779"/>
      <c r="T1428" s="1779"/>
      <c r="U1428" s="1779"/>
      <c r="V1428" s="1779"/>
      <c r="W1428" s="43"/>
      <c r="X1428" s="1779"/>
      <c r="Y1428" s="1779"/>
      <c r="Z1428" s="1779"/>
      <c r="AA1428" s="1779"/>
      <c r="AB1428" s="1779"/>
      <c r="AC1428" s="1779"/>
      <c r="AD1428" s="1779"/>
      <c r="AE1428" s="1779"/>
      <c r="AF1428" s="1779"/>
      <c r="AG1428" s="1779"/>
      <c r="AH1428" s="1779"/>
      <c r="AI1428" s="1779"/>
      <c r="AJ1428" s="1779"/>
      <c r="AK1428" s="1779"/>
      <c r="AL1428" s="1779"/>
      <c r="AM1428" s="1779"/>
      <c r="AN1428" s="1779"/>
      <c r="AO1428" s="1779"/>
      <c r="AP1428" s="1779"/>
      <c r="AQ1428" s="1779"/>
      <c r="AR1428" s="1779"/>
      <c r="AS1428" s="1779"/>
      <c r="AT1428" s="1779"/>
      <c r="AU1428" s="1779"/>
      <c r="AV1428" s="1779"/>
    </row>
    <row r="1429" spans="1:48" ht="21" customHeight="1">
      <c r="A1429" s="412"/>
      <c r="B1429" s="412" t="s">
        <v>512</v>
      </c>
      <c r="C1429" s="412" t="s">
        <v>506</v>
      </c>
      <c r="D1429" s="1590"/>
      <c r="E1429" s="2224" t="s">
        <v>1904</v>
      </c>
      <c r="F1429" s="505">
        <v>1210</v>
      </c>
      <c r="G1429" s="516" t="s">
        <v>1216</v>
      </c>
      <c r="H1429" s="944"/>
      <c r="I1429" s="523">
        <v>111309.28083999999</v>
      </c>
      <c r="J1429" s="522"/>
      <c r="K1429" s="524"/>
      <c r="L1429" s="539"/>
      <c r="M1429" s="539">
        <v>122280.725632</v>
      </c>
      <c r="N1429" s="2804"/>
      <c r="O1429" s="86"/>
      <c r="P1429" s="1817" t="e">
        <f>INDEX(#REF!,MATCH(F1429,#REF!,0),2)</f>
        <v>#REF!</v>
      </c>
      <c r="Q1429" s="1779"/>
      <c r="R1429" s="1779"/>
      <c r="S1429" s="1779"/>
      <c r="T1429" s="1779"/>
      <c r="U1429" s="1779"/>
      <c r="V1429" s="1779"/>
      <c r="W1429" s="43"/>
      <c r="X1429" s="1779"/>
      <c r="Y1429" s="1779"/>
      <c r="Z1429" s="1779"/>
      <c r="AA1429" s="1779"/>
      <c r="AB1429" s="1779"/>
      <c r="AC1429" s="1779"/>
      <c r="AD1429" s="1779"/>
      <c r="AE1429" s="1779"/>
      <c r="AF1429" s="1779"/>
      <c r="AG1429" s="1779"/>
      <c r="AH1429" s="1779"/>
      <c r="AI1429" s="1779"/>
      <c r="AJ1429" s="1779"/>
      <c r="AK1429" s="1779"/>
      <c r="AL1429" s="1779"/>
      <c r="AM1429" s="1779"/>
      <c r="AN1429" s="1779"/>
      <c r="AO1429" s="1779"/>
      <c r="AP1429" s="1779"/>
      <c r="AQ1429" s="1779"/>
      <c r="AR1429" s="1779"/>
      <c r="AS1429" s="1779"/>
      <c r="AT1429" s="1779"/>
      <c r="AU1429" s="1779"/>
      <c r="AV1429" s="1779"/>
    </row>
    <row r="1430" spans="1:48" ht="11.45" customHeight="1">
      <c r="A1430" s="412"/>
      <c r="B1430" s="412" t="s">
        <v>512</v>
      </c>
      <c r="C1430" s="412" t="s">
        <v>506</v>
      </c>
      <c r="D1430" s="1590"/>
      <c r="E1430" s="2224" t="s">
        <v>1904</v>
      </c>
      <c r="F1430" s="505">
        <v>1210</v>
      </c>
      <c r="G1430" s="1911" t="s">
        <v>3130</v>
      </c>
      <c r="H1430" s="944"/>
      <c r="I1430" s="523">
        <v>9947</v>
      </c>
      <c r="J1430" s="522"/>
      <c r="K1430" s="524"/>
      <c r="L1430" s="539"/>
      <c r="M1430" s="539">
        <v>9947</v>
      </c>
      <c r="N1430" s="2804"/>
      <c r="O1430" s="86"/>
      <c r="P1430" s="1817" t="e">
        <f>INDEX(#REF!,MATCH(F1430,#REF!,0),2)</f>
        <v>#REF!</v>
      </c>
      <c r="Q1430" s="1779"/>
      <c r="R1430" s="1779"/>
      <c r="S1430" s="1779"/>
      <c r="T1430" s="1779"/>
      <c r="U1430" s="1779"/>
      <c r="V1430" s="1779"/>
      <c r="W1430" s="43"/>
      <c r="X1430" s="1779"/>
      <c r="Y1430" s="1779"/>
      <c r="Z1430" s="1779"/>
      <c r="AA1430" s="1779"/>
      <c r="AB1430" s="1779"/>
      <c r="AC1430" s="1779"/>
      <c r="AD1430" s="1779"/>
      <c r="AE1430" s="1779"/>
      <c r="AF1430" s="1779"/>
      <c r="AG1430" s="1779"/>
      <c r="AH1430" s="1779"/>
      <c r="AI1430" s="1779"/>
      <c r="AJ1430" s="1779"/>
      <c r="AK1430" s="1779"/>
      <c r="AL1430" s="1779"/>
      <c r="AM1430" s="1779"/>
      <c r="AN1430" s="1779"/>
      <c r="AO1430" s="1779"/>
      <c r="AP1430" s="1779"/>
      <c r="AQ1430" s="1779"/>
      <c r="AR1430" s="1779"/>
      <c r="AS1430" s="1779"/>
      <c r="AT1430" s="1779"/>
      <c r="AU1430" s="1779"/>
      <c r="AV1430" s="1779"/>
    </row>
    <row r="1431" spans="1:48" ht="11.45" customHeight="1">
      <c r="A1431" s="1465"/>
      <c r="B1431" s="412" t="s">
        <v>512</v>
      </c>
      <c r="C1431" s="412" t="s">
        <v>506</v>
      </c>
      <c r="D1431" s="1590"/>
      <c r="E1431" s="2224" t="s">
        <v>1904</v>
      </c>
      <c r="F1431" s="505">
        <v>1210</v>
      </c>
      <c r="G1431" s="1466" t="s">
        <v>2049</v>
      </c>
      <c r="H1431" s="1467"/>
      <c r="I1431" s="1468"/>
      <c r="J1431" s="1469"/>
      <c r="K1431" s="1470"/>
      <c r="L1431" s="2418"/>
      <c r="M1431" s="2418"/>
      <c r="N1431" s="2804"/>
      <c r="O1431" s="86"/>
      <c r="P1431" s="1817" t="e">
        <f>INDEX(#REF!,MATCH(F1431,#REF!,0),2)</f>
        <v>#REF!</v>
      </c>
      <c r="Q1431" s="1779"/>
      <c r="R1431" s="1779"/>
      <c r="S1431" s="1779"/>
      <c r="T1431" s="1779"/>
      <c r="U1431" s="1779"/>
      <c r="V1431" s="1779"/>
      <c r="W1431" s="43"/>
      <c r="X1431" s="1779"/>
      <c r="Y1431" s="1779"/>
      <c r="Z1431" s="1779"/>
      <c r="AA1431" s="1779"/>
      <c r="AB1431" s="1779"/>
      <c r="AC1431" s="1779"/>
      <c r="AD1431" s="1779"/>
      <c r="AE1431" s="1779"/>
      <c r="AF1431" s="1779"/>
      <c r="AG1431" s="1779"/>
      <c r="AH1431" s="1779"/>
      <c r="AI1431" s="1779"/>
      <c r="AJ1431" s="1779"/>
      <c r="AK1431" s="1779"/>
      <c r="AL1431" s="1779"/>
      <c r="AM1431" s="1779"/>
      <c r="AN1431" s="1779"/>
      <c r="AO1431" s="1779"/>
      <c r="AP1431" s="1779"/>
      <c r="AQ1431" s="1779"/>
      <c r="AR1431" s="1779"/>
      <c r="AS1431" s="1779"/>
      <c r="AT1431" s="1779"/>
      <c r="AU1431" s="1779"/>
      <c r="AV1431" s="1779"/>
    </row>
    <row r="1432" spans="1:48" ht="11.45" customHeight="1">
      <c r="A1432" s="412"/>
      <c r="B1432" s="412" t="s">
        <v>512</v>
      </c>
      <c r="C1432" s="412" t="s">
        <v>506</v>
      </c>
      <c r="D1432" s="1590"/>
      <c r="E1432" s="2224" t="s">
        <v>1904</v>
      </c>
      <c r="F1432" s="505">
        <v>1210</v>
      </c>
      <c r="G1432" s="516" t="s">
        <v>1177</v>
      </c>
      <c r="H1432" s="944"/>
      <c r="I1432" s="523"/>
      <c r="J1432" s="522"/>
      <c r="K1432" s="524"/>
      <c r="L1432" s="539"/>
      <c r="M1432" s="539"/>
      <c r="N1432" s="2804"/>
      <c r="O1432" s="86"/>
      <c r="P1432" s="1817" t="e">
        <f>INDEX(#REF!,MATCH(F1432,#REF!,0),2)</f>
        <v>#REF!</v>
      </c>
      <c r="Q1432" s="1779"/>
      <c r="R1432" s="1779"/>
      <c r="S1432" s="1779"/>
      <c r="T1432" s="1779"/>
      <c r="U1432" s="1779"/>
      <c r="V1432" s="1779"/>
      <c r="W1432" s="43"/>
      <c r="X1432" s="1779"/>
      <c r="Y1432" s="1779"/>
      <c r="Z1432" s="1779"/>
      <c r="AA1432" s="1779"/>
      <c r="AB1432" s="1779"/>
      <c r="AC1432" s="1779"/>
      <c r="AD1432" s="1779"/>
      <c r="AE1432" s="1779"/>
      <c r="AF1432" s="1779"/>
      <c r="AG1432" s="1779"/>
      <c r="AH1432" s="1779"/>
      <c r="AI1432" s="1779"/>
      <c r="AJ1432" s="1779"/>
      <c r="AK1432" s="1779"/>
      <c r="AL1432" s="1779"/>
      <c r="AM1432" s="1779"/>
      <c r="AN1432" s="1779"/>
      <c r="AO1432" s="1779"/>
      <c r="AP1432" s="1779"/>
      <c r="AQ1432" s="1779"/>
      <c r="AR1432" s="1779"/>
      <c r="AS1432" s="1779"/>
      <c r="AT1432" s="1779"/>
      <c r="AU1432" s="1779"/>
      <c r="AV1432" s="1779"/>
    </row>
    <row r="1433" spans="1:48" ht="11.45" customHeight="1">
      <c r="A1433" s="506"/>
      <c r="B1433" s="506" t="s">
        <v>663</v>
      </c>
      <c r="C1433" s="506" t="s">
        <v>652</v>
      </c>
      <c r="D1433" s="1589">
        <v>960</v>
      </c>
      <c r="E1433" s="2223" t="s">
        <v>1905</v>
      </c>
      <c r="F1433" s="540">
        <v>1221</v>
      </c>
      <c r="G1433" s="411" t="s">
        <v>387</v>
      </c>
      <c r="H1433" s="2817">
        <v>42708.922326170024</v>
      </c>
      <c r="I1433" s="2802"/>
      <c r="J1433" s="2819">
        <v>38344.230000000003</v>
      </c>
      <c r="K1433" s="2816"/>
      <c r="L1433" s="2818">
        <v>47751.742623830003</v>
      </c>
      <c r="M1433" s="2818"/>
      <c r="N1433" s="2804"/>
      <c r="O1433" s="86"/>
      <c r="P1433" s="1817" t="e">
        <f>INDEX(#REF!,MATCH(F1433,#REF!,0),2)</f>
        <v>#REF!</v>
      </c>
      <c r="Q1433" s="1779"/>
      <c r="R1433" s="1779"/>
      <c r="S1433" s="1779"/>
      <c r="T1433" s="1779"/>
      <c r="U1433" s="1779"/>
      <c r="V1433" s="1779"/>
      <c r="W1433" s="43"/>
      <c r="X1433" s="1779"/>
      <c r="Y1433" s="1779"/>
      <c r="Z1433" s="1779"/>
      <c r="AA1433" s="1779"/>
      <c r="AB1433" s="1779"/>
      <c r="AC1433" s="1779"/>
      <c r="AD1433" s="1779"/>
      <c r="AE1433" s="1779"/>
      <c r="AF1433" s="1779"/>
      <c r="AG1433" s="1779"/>
      <c r="AH1433" s="1779"/>
      <c r="AI1433" s="1779"/>
      <c r="AJ1433" s="1779"/>
      <c r="AK1433" s="1779"/>
      <c r="AL1433" s="1779"/>
      <c r="AM1433" s="1779"/>
      <c r="AN1433" s="1779"/>
      <c r="AO1433" s="1779"/>
      <c r="AP1433" s="1779"/>
      <c r="AQ1433" s="1779"/>
      <c r="AR1433" s="1779"/>
      <c r="AS1433" s="1779"/>
      <c r="AT1433" s="1779"/>
      <c r="AU1433" s="1779"/>
      <c r="AV1433" s="1779"/>
    </row>
    <row r="1434" spans="1:48" ht="13.9" customHeight="1">
      <c r="A1434" s="412"/>
      <c r="B1434" s="412" t="s">
        <v>663</v>
      </c>
      <c r="C1434" s="412" t="s">
        <v>652</v>
      </c>
      <c r="D1434" s="1590"/>
      <c r="E1434" s="2224" t="s">
        <v>1905</v>
      </c>
      <c r="F1434" s="505">
        <v>1221</v>
      </c>
      <c r="G1434" s="516" t="s">
        <v>1177</v>
      </c>
      <c r="H1434" s="2814"/>
      <c r="I1434" s="2800">
        <v>42708.922326170024</v>
      </c>
      <c r="J1434" s="2820"/>
      <c r="K1434" s="2816"/>
      <c r="L1434" s="2800"/>
      <c r="M1434" s="2800">
        <v>47751.742623830003</v>
      </c>
      <c r="N1434" s="2804"/>
      <c r="O1434" s="86"/>
      <c r="P1434" s="1817" t="e">
        <f>INDEX(#REF!,MATCH(F1434,#REF!,0),2)</f>
        <v>#REF!</v>
      </c>
      <c r="Q1434" s="1779"/>
      <c r="R1434" s="1779"/>
      <c r="S1434" s="1779"/>
      <c r="T1434" s="1779"/>
      <c r="U1434" s="1779"/>
      <c r="V1434" s="1779"/>
      <c r="W1434" s="43"/>
      <c r="X1434" s="1779"/>
      <c r="Y1434" s="1779"/>
      <c r="Z1434" s="1779"/>
      <c r="AA1434" s="1779"/>
      <c r="AB1434" s="1779"/>
      <c r="AC1434" s="1779"/>
      <c r="AD1434" s="1779"/>
      <c r="AE1434" s="1779"/>
      <c r="AF1434" s="1779"/>
      <c r="AG1434" s="1779"/>
      <c r="AH1434" s="1779"/>
      <c r="AI1434" s="1779"/>
      <c r="AJ1434" s="1779"/>
      <c r="AK1434" s="1779"/>
      <c r="AL1434" s="1779"/>
      <c r="AM1434" s="1779"/>
      <c r="AN1434" s="1779"/>
      <c r="AO1434" s="1779"/>
      <c r="AP1434" s="1779"/>
      <c r="AQ1434" s="1779"/>
      <c r="AR1434" s="1779"/>
      <c r="AS1434" s="1779"/>
      <c r="AT1434" s="1779"/>
      <c r="AU1434" s="1779"/>
      <c r="AV1434" s="1779"/>
    </row>
    <row r="1435" spans="1:48" ht="11.45" customHeight="1">
      <c r="A1435" s="1370"/>
      <c r="B1435" s="412" t="s">
        <v>663</v>
      </c>
      <c r="C1435" s="412" t="s">
        <v>652</v>
      </c>
      <c r="D1435" s="1590"/>
      <c r="E1435" s="2224" t="s">
        <v>1905</v>
      </c>
      <c r="F1435" s="505">
        <v>1221</v>
      </c>
      <c r="G1435" s="1411" t="s">
        <v>2017</v>
      </c>
      <c r="H1435" s="2814"/>
      <c r="I1435" s="2803"/>
      <c r="J1435" s="2820"/>
      <c r="K1435" s="2816"/>
      <c r="L1435" s="2800"/>
      <c r="M1435" s="2800"/>
      <c r="N1435" s="2804"/>
      <c r="O1435" s="86"/>
      <c r="P1435" s="1817" t="e">
        <f>INDEX(#REF!,MATCH(F1435,#REF!,0),2)</f>
        <v>#REF!</v>
      </c>
      <c r="Q1435" s="1779"/>
      <c r="R1435" s="1779"/>
      <c r="S1435" s="1779"/>
      <c r="T1435" s="1779"/>
      <c r="U1435" s="1779"/>
      <c r="V1435" s="1779"/>
      <c r="W1435" s="43"/>
      <c r="X1435" s="1779"/>
      <c r="Y1435" s="1779"/>
      <c r="Z1435" s="1779"/>
      <c r="AA1435" s="1779"/>
      <c r="AB1435" s="1779"/>
      <c r="AC1435" s="1779"/>
      <c r="AD1435" s="1779"/>
      <c r="AE1435" s="1779"/>
      <c r="AF1435" s="1779"/>
      <c r="AG1435" s="1779"/>
      <c r="AH1435" s="1779"/>
      <c r="AI1435" s="1779"/>
      <c r="AJ1435" s="1779"/>
      <c r="AK1435" s="1779"/>
      <c r="AL1435" s="1779"/>
      <c r="AM1435" s="1779"/>
      <c r="AN1435" s="1779"/>
      <c r="AO1435" s="1779"/>
      <c r="AP1435" s="1779"/>
      <c r="AQ1435" s="1779"/>
      <c r="AR1435" s="1779"/>
      <c r="AS1435" s="1779"/>
      <c r="AT1435" s="1779"/>
      <c r="AU1435" s="1779"/>
      <c r="AV1435" s="1779"/>
    </row>
    <row r="1436" spans="1:48" ht="11.45" customHeight="1">
      <c r="A1436" s="506"/>
      <c r="B1436" s="506" t="s">
        <v>512</v>
      </c>
      <c r="C1436" s="506" t="s">
        <v>506</v>
      </c>
      <c r="D1436" s="1589">
        <v>960</v>
      </c>
      <c r="E1436" s="2223" t="s">
        <v>1904</v>
      </c>
      <c r="F1436" s="540">
        <v>1221</v>
      </c>
      <c r="G1436" s="411" t="s">
        <v>387</v>
      </c>
      <c r="H1436" s="945">
        <v>2000</v>
      </c>
      <c r="I1436" s="625"/>
      <c r="J1436" s="622"/>
      <c r="K1436" s="524"/>
      <c r="L1436" s="623">
        <v>2000</v>
      </c>
      <c r="M1436" s="623"/>
      <c r="N1436" s="2804"/>
      <c r="O1436" s="86"/>
      <c r="P1436" s="1817" t="e">
        <f>INDEX(#REF!,MATCH(F1436,#REF!,0),2)</f>
        <v>#REF!</v>
      </c>
      <c r="Q1436" s="1779"/>
      <c r="R1436" s="1779"/>
      <c r="S1436" s="1779"/>
      <c r="T1436" s="1779"/>
      <c r="U1436" s="1779"/>
      <c r="V1436" s="1779"/>
      <c r="W1436" s="43"/>
      <c r="X1436" s="1779"/>
      <c r="Y1436" s="1779"/>
      <c r="Z1436" s="1779"/>
      <c r="AA1436" s="1779"/>
      <c r="AB1436" s="1779"/>
      <c r="AC1436" s="1779"/>
      <c r="AD1436" s="1779"/>
      <c r="AE1436" s="1779"/>
      <c r="AF1436" s="1779"/>
      <c r="AG1436" s="1779"/>
      <c r="AH1436" s="1779"/>
      <c r="AI1436" s="1779"/>
      <c r="AJ1436" s="1779"/>
      <c r="AK1436" s="1779"/>
      <c r="AL1436" s="1779"/>
      <c r="AM1436" s="1779"/>
      <c r="AN1436" s="1779"/>
      <c r="AO1436" s="1779"/>
      <c r="AP1436" s="1779"/>
      <c r="AQ1436" s="1779"/>
      <c r="AR1436" s="1779"/>
      <c r="AS1436" s="1779"/>
      <c r="AT1436" s="1779"/>
      <c r="AU1436" s="1779"/>
      <c r="AV1436" s="1779"/>
    </row>
    <row r="1437" spans="1:48" ht="11.45" customHeight="1">
      <c r="A1437" s="412"/>
      <c r="B1437" s="412" t="s">
        <v>512</v>
      </c>
      <c r="C1437" s="412" t="s">
        <v>506</v>
      </c>
      <c r="D1437" s="1590"/>
      <c r="E1437" s="2224" t="s">
        <v>1904</v>
      </c>
      <c r="F1437" s="505">
        <v>1221</v>
      </c>
      <c r="G1437" s="516"/>
      <c r="H1437" s="944"/>
      <c r="I1437" s="523">
        <v>2000</v>
      </c>
      <c r="J1437" s="516"/>
      <c r="K1437" s="524"/>
      <c r="L1437" s="523"/>
      <c r="M1437" s="523">
        <v>2000</v>
      </c>
      <c r="N1437" s="2804"/>
      <c r="O1437" s="86"/>
      <c r="P1437" s="1817" t="e">
        <f>INDEX(#REF!,MATCH(F1437,#REF!,0),2)</f>
        <v>#REF!</v>
      </c>
      <c r="Q1437" s="1779"/>
      <c r="R1437" s="1779"/>
      <c r="S1437" s="1779"/>
      <c r="T1437" s="1779"/>
      <c r="U1437" s="1779"/>
      <c r="V1437" s="1779"/>
      <c r="W1437" s="43"/>
      <c r="X1437" s="1779"/>
      <c r="Y1437" s="1779"/>
      <c r="Z1437" s="1779"/>
      <c r="AA1437" s="1779"/>
      <c r="AB1437" s="1779"/>
      <c r="AC1437" s="1779"/>
      <c r="AD1437" s="1779"/>
      <c r="AE1437" s="1779"/>
      <c r="AF1437" s="1779"/>
      <c r="AG1437" s="1779"/>
      <c r="AH1437" s="1779"/>
      <c r="AI1437" s="1779"/>
      <c r="AJ1437" s="1779"/>
      <c r="AK1437" s="1779"/>
      <c r="AL1437" s="1779"/>
      <c r="AM1437" s="1779"/>
      <c r="AN1437" s="1779"/>
      <c r="AO1437" s="1779"/>
      <c r="AP1437" s="1779"/>
      <c r="AQ1437" s="1779"/>
      <c r="AR1437" s="1779"/>
      <c r="AS1437" s="1779"/>
      <c r="AT1437" s="1779"/>
      <c r="AU1437" s="1779"/>
      <c r="AV1437" s="1779"/>
    </row>
    <row r="1438" spans="1:48" ht="21" customHeight="1">
      <c r="A1438" s="412"/>
      <c r="B1438" s="412" t="s">
        <v>512</v>
      </c>
      <c r="C1438" s="412" t="s">
        <v>506</v>
      </c>
      <c r="D1438" s="1590"/>
      <c r="E1438" s="2224" t="s">
        <v>1904</v>
      </c>
      <c r="F1438" s="505">
        <v>1221</v>
      </c>
      <c r="G1438" s="516" t="s">
        <v>1180</v>
      </c>
      <c r="H1438" s="944"/>
      <c r="I1438" s="523"/>
      <c r="J1438" s="516"/>
      <c r="K1438" s="524"/>
      <c r="L1438" s="539"/>
      <c r="M1438" s="539"/>
      <c r="N1438" s="2804"/>
      <c r="O1438" s="86"/>
      <c r="P1438" s="1817" t="e">
        <f>INDEX(#REF!,MATCH(F1438,#REF!,0),2)</f>
        <v>#REF!</v>
      </c>
      <c r="Q1438" s="43"/>
      <c r="R1438" s="43"/>
      <c r="S1438" s="43"/>
      <c r="T1438" s="43"/>
      <c r="U1438" s="43"/>
      <c r="V1438" s="43"/>
      <c r="W1438" s="43"/>
      <c r="X1438" s="43"/>
      <c r="Y1438" s="43"/>
      <c r="Z1438" s="43"/>
      <c r="AA1438" s="43"/>
      <c r="AB1438" s="43"/>
      <c r="AC1438" s="43"/>
      <c r="AD1438" s="43"/>
      <c r="AE1438" s="43"/>
      <c r="AF1438" s="43"/>
      <c r="AG1438" s="43"/>
      <c r="AH1438" s="43"/>
      <c r="AI1438" s="43"/>
      <c r="AJ1438" s="43"/>
      <c r="AK1438" s="43"/>
      <c r="AL1438" s="43"/>
      <c r="AM1438" s="43"/>
      <c r="AN1438" s="43"/>
    </row>
    <row r="1439" spans="1:48" ht="16.149999999999999" customHeight="1">
      <c r="A1439" s="506"/>
      <c r="B1439" s="506" t="s">
        <v>1248</v>
      </c>
      <c r="C1439" s="506" t="s">
        <v>652</v>
      </c>
      <c r="D1439" s="1589">
        <v>960</v>
      </c>
      <c r="E1439" s="2223" t="s">
        <v>1905</v>
      </c>
      <c r="F1439" s="540">
        <v>1228</v>
      </c>
      <c r="G1439" s="411" t="s">
        <v>230</v>
      </c>
      <c r="H1439" s="2817">
        <v>2151</v>
      </c>
      <c r="I1439" s="2802"/>
      <c r="J1439" s="2819">
        <v>1562.95</v>
      </c>
      <c r="K1439" s="2816"/>
      <c r="L1439" s="2818">
        <v>2500</v>
      </c>
      <c r="M1439" s="2818"/>
      <c r="N1439" s="2804"/>
      <c r="O1439" s="86"/>
      <c r="P1439" s="1817" t="e">
        <f>INDEX(#REF!,MATCH(F1439,#REF!,0),2)</f>
        <v>#REF!</v>
      </c>
      <c r="Q1439" s="43"/>
      <c r="R1439" s="43"/>
      <c r="S1439" s="43"/>
      <c r="T1439" s="43"/>
      <c r="U1439" s="43"/>
      <c r="V1439" s="43"/>
      <c r="W1439" s="43"/>
      <c r="X1439" s="43"/>
      <c r="Y1439" s="43"/>
      <c r="Z1439" s="43"/>
      <c r="AA1439" s="43"/>
      <c r="AB1439" s="43"/>
      <c r="AC1439" s="43"/>
      <c r="AD1439" s="43"/>
      <c r="AE1439" s="43"/>
      <c r="AF1439" s="43"/>
      <c r="AG1439" s="43"/>
      <c r="AH1439" s="43"/>
      <c r="AI1439" s="43"/>
      <c r="AJ1439" s="43"/>
      <c r="AK1439" s="43"/>
      <c r="AL1439" s="43"/>
      <c r="AM1439" s="43"/>
      <c r="AN1439" s="43"/>
    </row>
    <row r="1440" spans="1:48" ht="16.149999999999999" customHeight="1">
      <c r="A1440" s="418"/>
      <c r="B1440" s="412" t="s">
        <v>1248</v>
      </c>
      <c r="C1440" s="412" t="s">
        <v>652</v>
      </c>
      <c r="D1440" s="1590"/>
      <c r="E1440" s="2224" t="s">
        <v>1905</v>
      </c>
      <c r="F1440" s="505">
        <v>1228</v>
      </c>
      <c r="G1440" s="2774" t="s">
        <v>3777</v>
      </c>
      <c r="H1440" s="2814"/>
      <c r="I1440" s="2800">
        <v>2000</v>
      </c>
      <c r="J1440" s="2815"/>
      <c r="K1440" s="2821"/>
      <c r="L1440" s="2800"/>
      <c r="M1440" s="2779">
        <v>2000</v>
      </c>
      <c r="N1440" s="2805" t="s">
        <v>3794</v>
      </c>
      <c r="O1440" s="86"/>
      <c r="P1440" s="1817" t="e">
        <f>INDEX(#REF!,MATCH(F1440,#REF!,0),2)</f>
        <v>#REF!</v>
      </c>
      <c r="Q1440" s="43"/>
      <c r="R1440" s="43"/>
      <c r="S1440" s="43"/>
      <c r="T1440" s="43"/>
      <c r="U1440" s="43"/>
      <c r="V1440" s="43"/>
      <c r="W1440" s="43"/>
      <c r="X1440" s="43"/>
      <c r="Y1440" s="43"/>
      <c r="Z1440" s="43"/>
      <c r="AA1440" s="43"/>
      <c r="AB1440" s="43"/>
      <c r="AC1440" s="43"/>
      <c r="AD1440" s="43"/>
      <c r="AE1440" s="43"/>
      <c r="AF1440" s="43"/>
      <c r="AG1440" s="43"/>
      <c r="AH1440" s="43"/>
      <c r="AI1440" s="43"/>
      <c r="AJ1440" s="43"/>
      <c r="AK1440" s="43"/>
      <c r="AL1440" s="43"/>
      <c r="AM1440" s="43"/>
      <c r="AN1440" s="43"/>
    </row>
    <row r="1441" spans="1:48" ht="11.45" customHeight="1">
      <c r="A1441" s="412"/>
      <c r="B1441" s="412" t="s">
        <v>1248</v>
      </c>
      <c r="C1441" s="412" t="s">
        <v>652</v>
      </c>
      <c r="D1441" s="1590"/>
      <c r="E1441" s="2224" t="s">
        <v>1905</v>
      </c>
      <c r="F1441" s="505">
        <v>1228</v>
      </c>
      <c r="G1441" s="996" t="s">
        <v>830</v>
      </c>
      <c r="H1441" s="2822"/>
      <c r="I1441" s="2779">
        <v>250</v>
      </c>
      <c r="J1441" s="2776"/>
      <c r="K1441" s="2777"/>
      <c r="L1441" s="2779"/>
      <c r="M1441" s="2779">
        <v>500</v>
      </c>
      <c r="N1441" s="2804"/>
      <c r="O1441" s="86"/>
      <c r="P1441" s="1817" t="e">
        <f>INDEX(#REF!,MATCH(F1441,#REF!,0),2)</f>
        <v>#REF!</v>
      </c>
      <c r="Q1441" s="1779"/>
      <c r="R1441" s="1779"/>
      <c r="S1441" s="1779"/>
      <c r="T1441" s="1779"/>
      <c r="U1441" s="1779"/>
      <c r="V1441" s="1779"/>
      <c r="W1441" s="43"/>
      <c r="X1441" s="1779"/>
      <c r="Y1441" s="1779"/>
      <c r="Z1441" s="1779"/>
      <c r="AA1441" s="1779"/>
      <c r="AB1441" s="1779"/>
      <c r="AC1441" s="1779"/>
      <c r="AD1441" s="1779"/>
      <c r="AE1441" s="1779"/>
      <c r="AF1441" s="1779"/>
      <c r="AG1441" s="1779"/>
      <c r="AH1441" s="1779"/>
      <c r="AI1441" s="1779"/>
      <c r="AJ1441" s="1779"/>
      <c r="AK1441" s="1779"/>
      <c r="AL1441" s="1779"/>
      <c r="AM1441" s="1779"/>
      <c r="AN1441" s="1779"/>
      <c r="AO1441" s="1779"/>
      <c r="AP1441" s="1779"/>
      <c r="AQ1441" s="1779"/>
      <c r="AR1441" s="1779"/>
      <c r="AS1441" s="1779"/>
      <c r="AT1441" s="1779"/>
      <c r="AU1441" s="1779"/>
      <c r="AV1441" s="1779"/>
    </row>
    <row r="1442" spans="1:48" ht="20.45" customHeight="1">
      <c r="A1442" s="1882"/>
      <c r="B1442" s="412" t="s">
        <v>1248</v>
      </c>
      <c r="C1442" s="412" t="s">
        <v>652</v>
      </c>
      <c r="D1442" s="1590"/>
      <c r="E1442" s="2224" t="s">
        <v>1905</v>
      </c>
      <c r="F1442" s="505">
        <v>1228</v>
      </c>
      <c r="G1442" s="996" t="s">
        <v>3138</v>
      </c>
      <c r="H1442" s="2822"/>
      <c r="I1442" s="2779">
        <v>-98</v>
      </c>
      <c r="J1442" s="2776"/>
      <c r="K1442" s="2777"/>
      <c r="L1442" s="2778"/>
      <c r="M1442" s="2778"/>
      <c r="N1442" s="2804"/>
      <c r="O1442" s="86"/>
      <c r="P1442" s="1817" t="e">
        <f>INDEX(#REF!,MATCH(F1442,#REF!,0),2)</f>
        <v>#REF!</v>
      </c>
      <c r="Q1442" s="1779"/>
      <c r="R1442" s="1779"/>
      <c r="S1442" s="1779"/>
      <c r="T1442" s="1779"/>
      <c r="U1442" s="1779"/>
      <c r="V1442" s="1779"/>
      <c r="W1442" s="43"/>
      <c r="X1442" s="1779"/>
      <c r="Y1442" s="1779"/>
      <c r="Z1442" s="1779"/>
      <c r="AA1442" s="1779"/>
      <c r="AB1442" s="1779"/>
      <c r="AC1442" s="1779"/>
      <c r="AD1442" s="1779"/>
      <c r="AE1442" s="1779"/>
      <c r="AF1442" s="1779"/>
      <c r="AG1442" s="1779"/>
      <c r="AH1442" s="1779"/>
      <c r="AI1442" s="1779"/>
      <c r="AJ1442" s="1779"/>
      <c r="AK1442" s="1779"/>
      <c r="AL1442" s="1779"/>
      <c r="AM1442" s="1779"/>
      <c r="AN1442" s="1779"/>
      <c r="AO1442" s="1779"/>
      <c r="AP1442" s="1779"/>
      <c r="AQ1442" s="1779"/>
      <c r="AR1442" s="1779"/>
      <c r="AS1442" s="1779"/>
      <c r="AT1442" s="1779"/>
      <c r="AU1442" s="1779"/>
      <c r="AV1442" s="1779"/>
    </row>
    <row r="1443" spans="1:48" ht="11.45" customHeight="1">
      <c r="A1443" s="506"/>
      <c r="B1443" s="506" t="s">
        <v>1248</v>
      </c>
      <c r="C1443" s="506" t="s">
        <v>505</v>
      </c>
      <c r="D1443" s="1589">
        <v>960</v>
      </c>
      <c r="E1443" s="2223" t="s">
        <v>1905</v>
      </c>
      <c r="F1443" s="540">
        <v>2121</v>
      </c>
      <c r="G1443" s="411" t="s">
        <v>411</v>
      </c>
      <c r="H1443" s="2817">
        <v>1440</v>
      </c>
      <c r="I1443" s="2818"/>
      <c r="J1443" s="2819">
        <v>1000</v>
      </c>
      <c r="K1443" s="2816"/>
      <c r="L1443" s="2818">
        <v>440</v>
      </c>
      <c r="M1443" s="2818"/>
      <c r="N1443" s="2804"/>
      <c r="O1443" s="86"/>
      <c r="P1443" s="1817" t="e">
        <f>INDEX(#REF!,MATCH(F1443,#REF!,0),2)</f>
        <v>#REF!</v>
      </c>
      <c r="Q1443" s="1779"/>
      <c r="R1443" s="1779"/>
      <c r="S1443" s="1779"/>
      <c r="T1443" s="1779"/>
      <c r="U1443" s="1779"/>
      <c r="V1443" s="1779"/>
      <c r="W1443" s="43"/>
      <c r="X1443" s="1779"/>
      <c r="Y1443" s="1779"/>
      <c r="Z1443" s="1779"/>
      <c r="AA1443" s="1779"/>
      <c r="AB1443" s="1779"/>
      <c r="AC1443" s="1779"/>
      <c r="AD1443" s="1779"/>
      <c r="AE1443" s="1779"/>
      <c r="AF1443" s="1779"/>
      <c r="AG1443" s="1779"/>
      <c r="AH1443" s="1779"/>
      <c r="AI1443" s="1779"/>
      <c r="AJ1443" s="1779"/>
      <c r="AK1443" s="1779"/>
      <c r="AL1443" s="1779"/>
      <c r="AM1443" s="1779"/>
      <c r="AN1443" s="1779"/>
      <c r="AO1443" s="1779"/>
      <c r="AP1443" s="1779"/>
      <c r="AQ1443" s="1779"/>
      <c r="AR1443" s="1779"/>
      <c r="AS1443" s="1779"/>
      <c r="AT1443" s="1779"/>
      <c r="AU1443" s="1779"/>
      <c r="AV1443" s="1779"/>
    </row>
    <row r="1444" spans="1:48" ht="18" customHeight="1">
      <c r="A1444" s="412" t="s">
        <v>965</v>
      </c>
      <c r="B1444" s="412" t="s">
        <v>1248</v>
      </c>
      <c r="C1444" s="412" t="s">
        <v>505</v>
      </c>
      <c r="D1444" s="1590"/>
      <c r="E1444" s="2224" t="s">
        <v>1905</v>
      </c>
      <c r="F1444" s="505">
        <v>2121</v>
      </c>
      <c r="G1444" s="410" t="s">
        <v>964</v>
      </c>
      <c r="H1444" s="2814"/>
      <c r="I1444" s="2800">
        <v>440</v>
      </c>
      <c r="J1444" s="2815"/>
      <c r="K1444" s="2821"/>
      <c r="L1444" s="2800"/>
      <c r="M1444" s="2800">
        <v>440</v>
      </c>
      <c r="N1444" s="2804"/>
      <c r="O1444" s="86"/>
      <c r="P1444" s="1817" t="e">
        <f>INDEX(#REF!,MATCH(F1444,#REF!,0),2)</f>
        <v>#REF!</v>
      </c>
      <c r="Q1444" s="11"/>
      <c r="R1444" s="11"/>
      <c r="S1444" s="11"/>
      <c r="T1444" s="11"/>
      <c r="U1444" s="11"/>
      <c r="V1444" s="11"/>
      <c r="W1444" s="4"/>
      <c r="X1444" s="11"/>
      <c r="Y1444" s="11"/>
      <c r="Z1444" s="11"/>
      <c r="AA1444" s="11"/>
      <c r="AB1444" s="11"/>
      <c r="AC1444" s="11"/>
      <c r="AD1444" s="11"/>
      <c r="AE1444" s="11"/>
      <c r="AF1444" s="11"/>
      <c r="AG1444" s="11"/>
      <c r="AH1444" s="11"/>
      <c r="AI1444" s="11"/>
      <c r="AJ1444" s="11"/>
      <c r="AK1444" s="11"/>
      <c r="AL1444" s="11"/>
      <c r="AM1444" s="11"/>
      <c r="AN1444" s="11"/>
      <c r="AO1444" s="11"/>
      <c r="AP1444" s="11"/>
      <c r="AQ1444" s="11"/>
      <c r="AR1444" s="11"/>
      <c r="AS1444" s="11"/>
      <c r="AT1444" s="11"/>
      <c r="AU1444" s="11"/>
      <c r="AV1444" s="11"/>
    </row>
    <row r="1445" spans="1:48" ht="11.45" customHeight="1">
      <c r="A1445" s="506"/>
      <c r="B1445" s="506" t="s">
        <v>1248</v>
      </c>
      <c r="C1445" s="506" t="s">
        <v>505</v>
      </c>
      <c r="D1445" s="1589">
        <v>960</v>
      </c>
      <c r="E1445" s="2223" t="s">
        <v>1905</v>
      </c>
      <c r="F1445" s="540">
        <v>2122</v>
      </c>
      <c r="G1445" s="411" t="s">
        <v>796</v>
      </c>
      <c r="H1445" s="2817">
        <v>0</v>
      </c>
      <c r="I1445" s="2818"/>
      <c r="J1445" s="2819"/>
      <c r="K1445" s="2816"/>
      <c r="L1445" s="2818">
        <v>2500</v>
      </c>
      <c r="M1445" s="2818"/>
      <c r="N1445" s="2804"/>
      <c r="O1445" s="86"/>
      <c r="P1445" s="1817" t="e">
        <f>INDEX(#REF!,MATCH(F1445,#REF!,0),2)</f>
        <v>#REF!</v>
      </c>
      <c r="Q1445" s="11"/>
      <c r="R1445" s="11"/>
      <c r="S1445" s="11"/>
      <c r="T1445" s="11"/>
      <c r="U1445" s="11"/>
      <c r="V1445" s="11"/>
      <c r="W1445" s="4"/>
      <c r="X1445" s="11"/>
      <c r="Y1445" s="11"/>
      <c r="Z1445" s="11"/>
      <c r="AA1445" s="11"/>
      <c r="AB1445" s="11"/>
      <c r="AC1445" s="11"/>
      <c r="AD1445" s="11"/>
      <c r="AE1445" s="11"/>
      <c r="AF1445" s="11"/>
      <c r="AG1445" s="11"/>
      <c r="AH1445" s="11"/>
      <c r="AI1445" s="11"/>
      <c r="AJ1445" s="11"/>
      <c r="AK1445" s="11"/>
      <c r="AL1445" s="11"/>
      <c r="AM1445" s="11"/>
      <c r="AN1445" s="11"/>
      <c r="AO1445" s="11"/>
      <c r="AP1445" s="11"/>
      <c r="AQ1445" s="11"/>
      <c r="AR1445" s="11"/>
      <c r="AS1445" s="11"/>
      <c r="AT1445" s="11"/>
      <c r="AU1445" s="11"/>
      <c r="AV1445" s="11"/>
    </row>
    <row r="1446" spans="1:48" ht="22.9" customHeight="1">
      <c r="A1446" s="412" t="s">
        <v>966</v>
      </c>
      <c r="B1446" s="412" t="s">
        <v>1248</v>
      </c>
      <c r="C1446" s="412" t="s">
        <v>505</v>
      </c>
      <c r="D1446" s="1590"/>
      <c r="E1446" s="2224" t="s">
        <v>1905</v>
      </c>
      <c r="F1446" s="505">
        <v>2122</v>
      </c>
      <c r="G1446" s="410" t="s">
        <v>829</v>
      </c>
      <c r="H1446" s="2814"/>
      <c r="I1446" s="2800"/>
      <c r="J1446" s="2815"/>
      <c r="K1446" s="2821"/>
      <c r="L1446" s="2800"/>
      <c r="M1446" s="2800">
        <v>2500</v>
      </c>
      <c r="N1446" s="1030" t="s">
        <v>3778</v>
      </c>
      <c r="O1446" s="86"/>
      <c r="P1446" s="1817" t="e">
        <f>INDEX(#REF!,MATCH(F1446,#REF!,0),2)</f>
        <v>#REF!</v>
      </c>
      <c r="Q1446" s="1779"/>
      <c r="R1446" s="1779"/>
      <c r="S1446" s="1779"/>
      <c r="T1446" s="1779"/>
      <c r="U1446" s="1779"/>
      <c r="V1446" s="1779"/>
      <c r="W1446" s="43"/>
      <c r="X1446" s="1779"/>
      <c r="Y1446" s="1779"/>
      <c r="Z1446" s="1779"/>
      <c r="AA1446" s="1779"/>
      <c r="AB1446" s="1779"/>
      <c r="AC1446" s="1779"/>
      <c r="AD1446" s="1779"/>
      <c r="AE1446" s="1779"/>
      <c r="AF1446" s="1779"/>
      <c r="AG1446" s="1779"/>
      <c r="AH1446" s="1779"/>
      <c r="AI1446" s="1779"/>
      <c r="AJ1446" s="1779"/>
      <c r="AK1446" s="1779"/>
      <c r="AL1446" s="1779"/>
      <c r="AM1446" s="1779"/>
      <c r="AN1446" s="1779"/>
      <c r="AO1446" s="1779"/>
      <c r="AP1446" s="1779"/>
      <c r="AQ1446" s="1779"/>
      <c r="AR1446" s="1779"/>
      <c r="AS1446" s="1779"/>
      <c r="AT1446" s="1779"/>
      <c r="AU1446" s="1779"/>
      <c r="AV1446" s="1779"/>
    </row>
    <row r="1447" spans="1:48" ht="22.9" customHeight="1">
      <c r="A1447" s="506"/>
      <c r="B1447" s="506" t="s">
        <v>1248</v>
      </c>
      <c r="C1447" s="506" t="s">
        <v>505</v>
      </c>
      <c r="D1447" s="1589">
        <v>960</v>
      </c>
      <c r="E1447" s="2223" t="s">
        <v>1905</v>
      </c>
      <c r="F1447" s="540">
        <v>2210</v>
      </c>
      <c r="G1447" s="411" t="s">
        <v>879</v>
      </c>
      <c r="H1447" s="2817">
        <v>2050</v>
      </c>
      <c r="I1447" s="2818"/>
      <c r="J1447" s="2819">
        <v>865.63</v>
      </c>
      <c r="K1447" s="2816"/>
      <c r="L1447" s="2817">
        <v>1200</v>
      </c>
      <c r="M1447" s="2818"/>
      <c r="N1447" s="2804"/>
      <c r="O1447" s="86"/>
      <c r="P1447" s="1817" t="e">
        <f>INDEX(#REF!,MATCH(F1447,#REF!,0),2)</f>
        <v>#REF!</v>
      </c>
      <c r="Q1447" s="1779"/>
      <c r="R1447" s="1779"/>
      <c r="S1447" s="1779"/>
      <c r="T1447" s="1779"/>
      <c r="U1447" s="1779"/>
      <c r="V1447" s="1779"/>
      <c r="W1447" s="43"/>
      <c r="X1447" s="1779"/>
      <c r="Y1447" s="1779"/>
      <c r="Z1447" s="1779"/>
      <c r="AA1447" s="1779"/>
      <c r="AB1447" s="1779"/>
      <c r="AC1447" s="1779"/>
      <c r="AD1447" s="1779"/>
      <c r="AE1447" s="1779"/>
      <c r="AF1447" s="1779"/>
      <c r="AG1447" s="1779"/>
      <c r="AH1447" s="1779"/>
      <c r="AI1447" s="1779"/>
      <c r="AJ1447" s="1779"/>
      <c r="AK1447" s="1779"/>
      <c r="AL1447" s="1779"/>
      <c r="AM1447" s="1779"/>
      <c r="AN1447" s="1779"/>
      <c r="AO1447" s="1779"/>
      <c r="AP1447" s="1779"/>
      <c r="AQ1447" s="1779"/>
      <c r="AR1447" s="1779"/>
      <c r="AS1447" s="1779"/>
      <c r="AT1447" s="1779"/>
      <c r="AU1447" s="1779"/>
      <c r="AV1447" s="1779"/>
    </row>
    <row r="1448" spans="1:48" ht="22.5">
      <c r="A1448" s="412"/>
      <c r="B1448" s="412" t="s">
        <v>1248</v>
      </c>
      <c r="C1448" s="412" t="s">
        <v>505</v>
      </c>
      <c r="D1448" s="1590"/>
      <c r="E1448" s="2224" t="s">
        <v>1905</v>
      </c>
      <c r="F1448" s="505">
        <v>2210</v>
      </c>
      <c r="G1448" s="410" t="s">
        <v>681</v>
      </c>
      <c r="H1448" s="2814"/>
      <c r="I1448" s="2800">
        <v>150</v>
      </c>
      <c r="J1448" s="2815"/>
      <c r="K1448" s="2821"/>
      <c r="L1448" s="2800"/>
      <c r="M1448" s="2800">
        <v>250</v>
      </c>
      <c r="N1448" s="2804"/>
      <c r="O1448" s="86"/>
      <c r="P1448" s="1817" t="e">
        <f>INDEX(#REF!,MATCH(F1448,#REF!,0),2)</f>
        <v>#REF!</v>
      </c>
    </row>
    <row r="1449" spans="1:48" ht="17.25" customHeight="1">
      <c r="A1449" s="1563"/>
      <c r="B1449" s="412" t="s">
        <v>1248</v>
      </c>
      <c r="C1449" s="412" t="s">
        <v>505</v>
      </c>
      <c r="D1449" s="1590"/>
      <c r="E1449" s="2224" t="s">
        <v>1905</v>
      </c>
      <c r="F1449" s="505">
        <v>2210</v>
      </c>
      <c r="G1449" s="1567" t="s">
        <v>2268</v>
      </c>
      <c r="H1449" s="2814"/>
      <c r="I1449" s="2800">
        <v>950</v>
      </c>
      <c r="J1449" s="2815"/>
      <c r="K1449" s="2821"/>
      <c r="L1449" s="2800"/>
      <c r="M1449" s="2800">
        <v>950</v>
      </c>
      <c r="N1449" s="2806"/>
      <c r="O1449" s="86"/>
      <c r="P1449" s="1817" t="e">
        <f>INDEX(#REF!,MATCH(F1449,#REF!,0),2)</f>
        <v>#REF!</v>
      </c>
    </row>
    <row r="1450" spans="1:48">
      <c r="A1450" s="2281"/>
      <c r="B1450" s="2281" t="s">
        <v>1248</v>
      </c>
      <c r="C1450" s="2281" t="s">
        <v>505</v>
      </c>
      <c r="D1450" s="4392">
        <v>960</v>
      </c>
      <c r="E1450" s="2223" t="s">
        <v>1905</v>
      </c>
      <c r="F1450" s="4393">
        <v>2221</v>
      </c>
      <c r="G1450" s="4394" t="s">
        <v>317</v>
      </c>
      <c r="H1450" s="4395">
        <v>14610</v>
      </c>
      <c r="I1450" s="4395"/>
      <c r="J1450" s="4386"/>
      <c r="K1450" s="4387"/>
      <c r="L1450" s="4386">
        <v>0</v>
      </c>
      <c r="M1450" s="4386"/>
      <c r="N1450" s="4388"/>
      <c r="O1450" s="86"/>
      <c r="P1450" s="1817" t="e">
        <f>INDEX(#REF!,MATCH(F1450,#REF!,0),2)</f>
        <v>#REF!</v>
      </c>
    </row>
    <row r="1451" spans="1:48">
      <c r="A1451" s="2246"/>
      <c r="B1451" s="2246" t="s">
        <v>1248</v>
      </c>
      <c r="C1451" s="2246" t="s">
        <v>505</v>
      </c>
      <c r="D1451" s="4396"/>
      <c r="E1451" s="2224" t="s">
        <v>1905</v>
      </c>
      <c r="F1451" s="4397">
        <v>2221</v>
      </c>
      <c r="G1451" s="1054" t="s">
        <v>2660</v>
      </c>
      <c r="H1451" s="4398"/>
      <c r="I1451" s="4398">
        <v>14610</v>
      </c>
      <c r="J1451" s="4389"/>
      <c r="K1451" s="4390"/>
      <c r="L1451" s="4389"/>
      <c r="M1451" s="4389">
        <v>0</v>
      </c>
      <c r="N1451" s="4388" t="s">
        <v>5799</v>
      </c>
      <c r="O1451" s="86"/>
      <c r="P1451" s="1817" t="e">
        <f>INDEX(#REF!,MATCH(F1451,#REF!,0),2)</f>
        <v>#REF!</v>
      </c>
    </row>
    <row r="1452" spans="1:48">
      <c r="A1452" s="2281"/>
      <c r="B1452" s="2281" t="s">
        <v>1248</v>
      </c>
      <c r="C1452" s="2281" t="s">
        <v>505</v>
      </c>
      <c r="D1452" s="4392">
        <v>960</v>
      </c>
      <c r="E1452" s="2223" t="s">
        <v>1905</v>
      </c>
      <c r="F1452" s="4393">
        <v>2222</v>
      </c>
      <c r="G1452" s="4394" t="s">
        <v>272</v>
      </c>
      <c r="H1452" s="4395">
        <v>5400</v>
      </c>
      <c r="I1452" s="4395"/>
      <c r="J1452" s="4386"/>
      <c r="K1452" s="4387"/>
      <c r="L1452" s="4386">
        <v>0</v>
      </c>
      <c r="M1452" s="4386"/>
      <c r="N1452" s="4388"/>
      <c r="O1452" s="86"/>
      <c r="P1452" s="1817" t="e">
        <f>INDEX(#REF!,MATCH(F1452,#REF!,0),2)</f>
        <v>#REF!</v>
      </c>
    </row>
    <row r="1453" spans="1:48" ht="28.5" customHeight="1">
      <c r="A1453" s="2246"/>
      <c r="B1453" s="2246" t="s">
        <v>1248</v>
      </c>
      <c r="C1453" s="2246" t="s">
        <v>505</v>
      </c>
      <c r="D1453" s="4396"/>
      <c r="E1453" s="2224" t="s">
        <v>1905</v>
      </c>
      <c r="F1453" s="4397">
        <v>2222</v>
      </c>
      <c r="G1453" s="1054" t="s">
        <v>2661</v>
      </c>
      <c r="H1453" s="4398"/>
      <c r="I1453" s="4398">
        <v>5400</v>
      </c>
      <c r="J1453" s="4389"/>
      <c r="K1453" s="4390"/>
      <c r="L1453" s="4389"/>
      <c r="M1453" s="4389">
        <v>0</v>
      </c>
      <c r="N1453" s="4388" t="s">
        <v>5799</v>
      </c>
      <c r="O1453" s="86"/>
      <c r="P1453" s="1817" t="e">
        <f>INDEX(#REF!,MATCH(F1453,#REF!,0),2)</f>
        <v>#REF!</v>
      </c>
    </row>
    <row r="1454" spans="1:48" ht="34.15" customHeight="1">
      <c r="A1454" s="2281"/>
      <c r="B1454" s="2281" t="s">
        <v>1248</v>
      </c>
      <c r="C1454" s="2281" t="s">
        <v>505</v>
      </c>
      <c r="D1454" s="4392">
        <v>960</v>
      </c>
      <c r="E1454" s="2223" t="s">
        <v>1905</v>
      </c>
      <c r="F1454" s="4393">
        <v>2223</v>
      </c>
      <c r="G1454" s="4394" t="s">
        <v>273</v>
      </c>
      <c r="H1454" s="4395">
        <v>13280</v>
      </c>
      <c r="I1454" s="4395"/>
      <c r="J1454" s="4386"/>
      <c r="K1454" s="4387"/>
      <c r="L1454" s="4386">
        <v>0</v>
      </c>
      <c r="M1454" s="4386"/>
      <c r="N1454" s="4391"/>
      <c r="O1454" s="86"/>
      <c r="P1454" s="1817" t="e">
        <f>INDEX(#REF!,MATCH(F1454,#REF!,0),2)</f>
        <v>#REF!</v>
      </c>
      <c r="Q1454" s="11"/>
      <c r="R1454" s="11"/>
      <c r="S1454" s="11"/>
      <c r="T1454" s="11"/>
      <c r="U1454" s="11"/>
      <c r="V1454" s="11"/>
      <c r="W1454" s="4"/>
      <c r="X1454" s="11"/>
      <c r="Y1454" s="11"/>
      <c r="Z1454" s="11"/>
      <c r="AA1454" s="11"/>
      <c r="AB1454" s="11"/>
      <c r="AC1454" s="11"/>
      <c r="AD1454" s="11"/>
      <c r="AE1454" s="11"/>
      <c r="AF1454" s="11"/>
      <c r="AG1454" s="11"/>
      <c r="AH1454" s="11"/>
      <c r="AI1454" s="11"/>
      <c r="AJ1454" s="11"/>
      <c r="AK1454" s="11"/>
      <c r="AL1454" s="11"/>
      <c r="AM1454" s="11"/>
      <c r="AN1454" s="11"/>
      <c r="AO1454" s="11"/>
      <c r="AP1454" s="11"/>
      <c r="AQ1454" s="11"/>
      <c r="AR1454" s="11"/>
      <c r="AS1454" s="11"/>
      <c r="AT1454" s="11"/>
      <c r="AU1454" s="11"/>
      <c r="AV1454" s="11"/>
    </row>
    <row r="1455" spans="1:48" ht="15" customHeight="1">
      <c r="A1455" s="2246"/>
      <c r="B1455" s="2246" t="s">
        <v>1248</v>
      </c>
      <c r="C1455" s="2246" t="s">
        <v>505</v>
      </c>
      <c r="D1455" s="4396"/>
      <c r="E1455" s="2224" t="s">
        <v>1905</v>
      </c>
      <c r="F1455" s="4397">
        <v>2223</v>
      </c>
      <c r="G1455" s="1054" t="s">
        <v>2662</v>
      </c>
      <c r="H1455" s="4398"/>
      <c r="I1455" s="4398">
        <v>13280</v>
      </c>
      <c r="J1455" s="4389"/>
      <c r="K1455" s="4390"/>
      <c r="L1455" s="4389"/>
      <c r="M1455" s="4389">
        <v>0</v>
      </c>
      <c r="N1455" s="4388" t="s">
        <v>5799</v>
      </c>
      <c r="O1455" s="86"/>
      <c r="P1455" s="1817" t="e">
        <f>INDEX(#REF!,MATCH(F1455,#REF!,0),2)</f>
        <v>#REF!</v>
      </c>
      <c r="Q1455" s="1779"/>
      <c r="R1455" s="1779"/>
      <c r="S1455" s="1779"/>
      <c r="T1455" s="1779"/>
      <c r="U1455" s="1779"/>
      <c r="V1455" s="1779"/>
      <c r="W1455" s="43"/>
      <c r="X1455" s="1779"/>
      <c r="Y1455" s="1779"/>
      <c r="Z1455" s="1779"/>
      <c r="AA1455" s="1779"/>
      <c r="AB1455" s="1779"/>
      <c r="AC1455" s="1779"/>
      <c r="AD1455" s="1779"/>
      <c r="AE1455" s="1779"/>
      <c r="AF1455" s="1779"/>
      <c r="AG1455" s="1779"/>
      <c r="AH1455" s="1779"/>
      <c r="AI1455" s="1779"/>
      <c r="AJ1455" s="1779"/>
      <c r="AK1455" s="1779"/>
      <c r="AL1455" s="1779"/>
      <c r="AM1455" s="1779"/>
      <c r="AN1455" s="1779"/>
      <c r="AO1455" s="1779"/>
      <c r="AP1455" s="1779"/>
      <c r="AQ1455" s="1779"/>
      <c r="AR1455" s="1779"/>
      <c r="AS1455" s="1779"/>
      <c r="AT1455" s="1779"/>
      <c r="AU1455" s="1779"/>
      <c r="AV1455" s="1779"/>
    </row>
    <row r="1456" spans="1:48" ht="14.45" customHeight="1">
      <c r="A1456" s="755" t="s">
        <v>1478</v>
      </c>
      <c r="B1456" s="506" t="s">
        <v>1248</v>
      </c>
      <c r="C1456" s="506" t="s">
        <v>507</v>
      </c>
      <c r="D1456" s="1589">
        <v>960</v>
      </c>
      <c r="E1456" s="2223" t="s">
        <v>1905</v>
      </c>
      <c r="F1456" s="540">
        <v>2233</v>
      </c>
      <c r="G1456" s="411" t="s">
        <v>263</v>
      </c>
      <c r="H1456" s="2817">
        <v>7350</v>
      </c>
      <c r="I1456" s="2802"/>
      <c r="J1456" s="2819">
        <v>5037.24</v>
      </c>
      <c r="K1456" s="2816"/>
      <c r="L1456" s="2818">
        <v>10570</v>
      </c>
      <c r="M1456" s="2802"/>
      <c r="N1456" s="2561" t="s">
        <v>3779</v>
      </c>
      <c r="O1456" s="86"/>
      <c r="P1456" s="1817" t="e">
        <f>INDEX(#REF!,MATCH(F1456,#REF!,0),2)</f>
        <v>#REF!</v>
      </c>
      <c r="Q1456" s="11"/>
      <c r="R1456" s="11"/>
      <c r="S1456" s="11"/>
      <c r="T1456" s="11"/>
      <c r="U1456" s="11"/>
      <c r="V1456" s="11"/>
      <c r="W1456" s="4"/>
      <c r="X1456" s="11"/>
      <c r="Y1456" s="11"/>
      <c r="Z1456" s="11"/>
      <c r="AA1456" s="11"/>
      <c r="AB1456" s="11"/>
      <c r="AC1456" s="11"/>
      <c r="AD1456" s="11"/>
      <c r="AE1456" s="11"/>
      <c r="AF1456" s="11"/>
      <c r="AG1456" s="11"/>
      <c r="AH1456" s="11"/>
      <c r="AI1456" s="11"/>
      <c r="AJ1456" s="11"/>
      <c r="AK1456" s="11"/>
      <c r="AL1456" s="11"/>
      <c r="AM1456" s="11"/>
      <c r="AN1456" s="11"/>
      <c r="AO1456" s="11"/>
      <c r="AP1456" s="11"/>
      <c r="AQ1456" s="11"/>
      <c r="AR1456" s="11"/>
      <c r="AS1456" s="11"/>
      <c r="AT1456" s="11"/>
      <c r="AU1456" s="11"/>
      <c r="AV1456" s="11"/>
    </row>
    <row r="1457" spans="1:48" ht="14.45" customHeight="1">
      <c r="A1457" s="762" t="s">
        <v>1479</v>
      </c>
      <c r="B1457" s="412" t="s">
        <v>1248</v>
      </c>
      <c r="C1457" s="412" t="s">
        <v>507</v>
      </c>
      <c r="D1457" s="1590"/>
      <c r="E1457" s="2224" t="s">
        <v>1905</v>
      </c>
      <c r="F1457" s="505">
        <v>2233</v>
      </c>
      <c r="G1457" s="1014" t="s">
        <v>3780</v>
      </c>
      <c r="H1457" s="2822"/>
      <c r="I1457" s="2779">
        <v>350</v>
      </c>
      <c r="J1457" s="2776"/>
      <c r="K1457" s="2777"/>
      <c r="L1457" s="2778"/>
      <c r="M1457" s="2779">
        <v>500</v>
      </c>
      <c r="N1457" s="2804">
        <f>L1456-H1456</f>
        <v>3220</v>
      </c>
      <c r="O1457" s="86"/>
      <c r="P1457" s="1817" t="e">
        <f>INDEX(#REF!,MATCH(F1457,#REF!,0),2)</f>
        <v>#REF!</v>
      </c>
      <c r="Q1457" s="1779"/>
      <c r="R1457" s="1779"/>
      <c r="S1457" s="1779"/>
      <c r="T1457" s="1779"/>
      <c r="U1457" s="1779"/>
      <c r="V1457" s="1779"/>
      <c r="W1457" s="43"/>
      <c r="X1457" s="1779"/>
      <c r="Y1457" s="1779"/>
      <c r="Z1457" s="1779"/>
      <c r="AA1457" s="1779"/>
      <c r="AB1457" s="1779"/>
      <c r="AC1457" s="1779"/>
      <c r="AD1457" s="1779"/>
      <c r="AE1457" s="1779"/>
      <c r="AF1457" s="1779"/>
      <c r="AG1457" s="1779"/>
      <c r="AH1457" s="1779"/>
      <c r="AI1457" s="1779"/>
      <c r="AJ1457" s="1779"/>
      <c r="AK1457" s="1779"/>
      <c r="AL1457" s="1779"/>
      <c r="AM1457" s="1779"/>
      <c r="AN1457" s="1779"/>
      <c r="AO1457" s="1779"/>
      <c r="AP1457" s="1779"/>
      <c r="AQ1457" s="1779"/>
      <c r="AR1457" s="1779"/>
      <c r="AS1457" s="1779"/>
      <c r="AT1457" s="1779"/>
      <c r="AU1457" s="1779"/>
      <c r="AV1457" s="1779"/>
    </row>
    <row r="1458" spans="1:48" ht="20.45" customHeight="1">
      <c r="A1458" s="412" t="s">
        <v>1480</v>
      </c>
      <c r="B1458" s="412" t="s">
        <v>1248</v>
      </c>
      <c r="C1458" s="412" t="s">
        <v>507</v>
      </c>
      <c r="D1458" s="1590"/>
      <c r="E1458" s="2224" t="s">
        <v>1905</v>
      </c>
      <c r="F1458" s="505">
        <v>2233</v>
      </c>
      <c r="G1458" s="1014" t="s">
        <v>3781</v>
      </c>
      <c r="H1458" s="2822"/>
      <c r="I1458" s="2779">
        <v>300</v>
      </c>
      <c r="J1458" s="2776"/>
      <c r="K1458" s="2777"/>
      <c r="L1458" s="2778"/>
      <c r="M1458" s="2779">
        <v>500</v>
      </c>
      <c r="N1458" s="2804"/>
      <c r="O1458" s="86"/>
      <c r="P1458" s="1817" t="e">
        <f>INDEX(#REF!,MATCH(F1458,#REF!,0),2)</f>
        <v>#REF!</v>
      </c>
      <c r="Q1458" s="11"/>
      <c r="R1458" s="11"/>
      <c r="S1458" s="11"/>
      <c r="T1458" s="11"/>
      <c r="U1458" s="11"/>
      <c r="V1458" s="11"/>
      <c r="W1458" s="4"/>
      <c r="X1458" s="11"/>
      <c r="Y1458" s="11"/>
      <c r="Z1458" s="11"/>
      <c r="AA1458" s="11"/>
      <c r="AB1458" s="11"/>
      <c r="AC1458" s="11"/>
      <c r="AD1458" s="11"/>
      <c r="AE1458" s="11"/>
      <c r="AF1458" s="11"/>
      <c r="AG1458" s="11"/>
      <c r="AH1458" s="11"/>
      <c r="AI1458" s="11"/>
      <c r="AJ1458" s="11"/>
      <c r="AK1458" s="11"/>
      <c r="AL1458" s="11"/>
      <c r="AM1458" s="11"/>
      <c r="AN1458" s="11"/>
      <c r="AO1458" s="11"/>
      <c r="AP1458" s="11"/>
      <c r="AQ1458" s="11"/>
      <c r="AR1458" s="11"/>
      <c r="AS1458" s="11"/>
      <c r="AT1458" s="11"/>
      <c r="AU1458" s="11"/>
      <c r="AV1458" s="11"/>
    </row>
    <row r="1459" spans="1:48" ht="15" customHeight="1">
      <c r="A1459" s="412"/>
      <c r="B1459" s="412" t="s">
        <v>1248</v>
      </c>
      <c r="C1459" s="412" t="s">
        <v>507</v>
      </c>
      <c r="D1459" s="1590"/>
      <c r="E1459" s="2224" t="s">
        <v>1905</v>
      </c>
      <c r="F1459" s="505">
        <v>2233</v>
      </c>
      <c r="G1459" s="1014" t="s">
        <v>3782</v>
      </c>
      <c r="H1459" s="2822"/>
      <c r="I1459" s="2779">
        <v>500</v>
      </c>
      <c r="J1459" s="2776"/>
      <c r="K1459" s="2777"/>
      <c r="L1459" s="2778"/>
      <c r="M1459" s="2779">
        <v>500</v>
      </c>
      <c r="N1459" s="2804"/>
      <c r="O1459" s="86"/>
      <c r="P1459" s="1817" t="e">
        <f>INDEX(#REF!,MATCH(F1459,#REF!,0),2)</f>
        <v>#REF!</v>
      </c>
      <c r="Q1459" s="1779"/>
      <c r="R1459" s="1779"/>
      <c r="S1459" s="1779"/>
      <c r="T1459" s="1779"/>
      <c r="U1459" s="1779"/>
      <c r="V1459" s="1779"/>
      <c r="W1459" s="43"/>
      <c r="X1459" s="1779"/>
      <c r="Y1459" s="1779"/>
      <c r="Z1459" s="1779"/>
      <c r="AA1459" s="1779"/>
      <c r="AB1459" s="1779"/>
      <c r="AC1459" s="1779"/>
      <c r="AD1459" s="1779"/>
      <c r="AE1459" s="1779"/>
      <c r="AF1459" s="1779"/>
      <c r="AG1459" s="1779"/>
      <c r="AH1459" s="1779"/>
      <c r="AI1459" s="1779"/>
      <c r="AJ1459" s="1779"/>
      <c r="AK1459" s="1779"/>
      <c r="AL1459" s="1779"/>
      <c r="AM1459" s="1779"/>
      <c r="AN1459" s="1779"/>
      <c r="AO1459" s="1779"/>
      <c r="AP1459" s="1779"/>
      <c r="AQ1459" s="1779"/>
      <c r="AR1459" s="1779"/>
      <c r="AS1459" s="1779"/>
      <c r="AT1459" s="1779"/>
      <c r="AU1459" s="1779"/>
      <c r="AV1459" s="1779"/>
    </row>
    <row r="1460" spans="1:48" ht="11.45" customHeight="1">
      <c r="A1460" s="412"/>
      <c r="B1460" s="412" t="s">
        <v>1248</v>
      </c>
      <c r="C1460" s="412" t="s">
        <v>507</v>
      </c>
      <c r="D1460" s="1590"/>
      <c r="E1460" s="2224" t="s">
        <v>1905</v>
      </c>
      <c r="F1460" s="505">
        <v>2233</v>
      </c>
      <c r="G1460" s="1014" t="s">
        <v>3783</v>
      </c>
      <c r="H1460" s="2822"/>
      <c r="I1460" s="2779">
        <v>1270</v>
      </c>
      <c r="J1460" s="2776"/>
      <c r="K1460" s="2777"/>
      <c r="L1460" s="2778"/>
      <c r="M1460" s="2779">
        <v>1270</v>
      </c>
      <c r="N1460" s="2804"/>
      <c r="O1460" s="86"/>
      <c r="P1460" s="1817" t="e">
        <f>INDEX(#REF!,MATCH(F1460,#REF!,0),2)</f>
        <v>#REF!</v>
      </c>
      <c r="Q1460" s="11"/>
      <c r="R1460" s="11"/>
      <c r="S1460" s="11"/>
      <c r="T1460" s="11"/>
      <c r="U1460" s="11"/>
      <c r="V1460" s="11"/>
      <c r="W1460" s="4"/>
      <c r="X1460" s="11"/>
      <c r="Y1460" s="11"/>
      <c r="Z1460" s="11"/>
      <c r="AA1460" s="11"/>
      <c r="AB1460" s="11"/>
      <c r="AC1460" s="11"/>
      <c r="AD1460" s="11"/>
      <c r="AE1460" s="11"/>
      <c r="AF1460" s="11"/>
      <c r="AG1460" s="11"/>
      <c r="AH1460" s="11"/>
      <c r="AI1460" s="11"/>
      <c r="AJ1460" s="11"/>
      <c r="AK1460" s="11"/>
      <c r="AL1460" s="11"/>
      <c r="AM1460" s="11"/>
      <c r="AN1460" s="11"/>
      <c r="AO1460" s="11"/>
      <c r="AP1460" s="11"/>
      <c r="AQ1460" s="11"/>
      <c r="AR1460" s="11"/>
      <c r="AS1460" s="11"/>
      <c r="AT1460" s="11"/>
      <c r="AU1460" s="11"/>
      <c r="AV1460" s="11"/>
    </row>
    <row r="1461" spans="1:48" ht="17.45" customHeight="1">
      <c r="A1461" s="412"/>
      <c r="B1461" s="412" t="s">
        <v>1248</v>
      </c>
      <c r="C1461" s="412" t="s">
        <v>507</v>
      </c>
      <c r="D1461" s="1590"/>
      <c r="E1461" s="2224" t="s">
        <v>1905</v>
      </c>
      <c r="F1461" s="505">
        <v>2233</v>
      </c>
      <c r="G1461" s="1014" t="s">
        <v>3784</v>
      </c>
      <c r="H1461" s="2822"/>
      <c r="I1461" s="2779">
        <v>220</v>
      </c>
      <c r="J1461" s="2776"/>
      <c r="K1461" s="2777"/>
      <c r="L1461" s="2778"/>
      <c r="M1461" s="2779">
        <v>220</v>
      </c>
      <c r="N1461" s="2804"/>
      <c r="O1461" s="86"/>
      <c r="P1461" s="1817" t="e">
        <f>INDEX(#REF!,MATCH(F1461,#REF!,0),2)</f>
        <v>#REF!</v>
      </c>
      <c r="Q1461" s="1779"/>
      <c r="R1461" s="1779"/>
      <c r="S1461" s="1779"/>
      <c r="T1461" s="1779"/>
      <c r="U1461" s="1779"/>
      <c r="V1461" s="1779"/>
      <c r="W1461" s="43"/>
      <c r="X1461" s="1779"/>
      <c r="Y1461" s="1779"/>
      <c r="Z1461" s="1779"/>
      <c r="AA1461" s="1779"/>
      <c r="AB1461" s="1779"/>
      <c r="AC1461" s="1779"/>
      <c r="AD1461" s="1779"/>
      <c r="AE1461" s="1779"/>
      <c r="AF1461" s="1779"/>
      <c r="AG1461" s="1779"/>
      <c r="AH1461" s="1779"/>
      <c r="AI1461" s="1779"/>
      <c r="AJ1461" s="1779"/>
      <c r="AK1461" s="1779"/>
      <c r="AL1461" s="1779"/>
      <c r="AM1461" s="1779"/>
      <c r="AN1461" s="1779"/>
      <c r="AO1461" s="1779"/>
      <c r="AP1461" s="1779"/>
      <c r="AQ1461" s="1779"/>
      <c r="AR1461" s="1779"/>
      <c r="AS1461" s="1779"/>
      <c r="AT1461" s="1779"/>
      <c r="AU1461" s="1779"/>
      <c r="AV1461" s="1779"/>
    </row>
    <row r="1462" spans="1:48" ht="17.45" customHeight="1">
      <c r="A1462" s="412"/>
      <c r="B1462" s="412" t="s">
        <v>1248</v>
      </c>
      <c r="C1462" s="412" t="s">
        <v>507</v>
      </c>
      <c r="D1462" s="1590"/>
      <c r="E1462" s="2224" t="s">
        <v>1905</v>
      </c>
      <c r="F1462" s="505">
        <v>2233</v>
      </c>
      <c r="G1462" s="1014" t="s">
        <v>967</v>
      </c>
      <c r="H1462" s="2822"/>
      <c r="I1462" s="2779">
        <v>300</v>
      </c>
      <c r="J1462" s="2776"/>
      <c r="K1462" s="2777"/>
      <c r="L1462" s="2778"/>
      <c r="M1462" s="2779">
        <v>300</v>
      </c>
      <c r="N1462" s="2804"/>
      <c r="O1462" s="86"/>
      <c r="P1462" s="1817" t="e">
        <f>INDEX(#REF!,MATCH(F1462,#REF!,0),2)</f>
        <v>#REF!</v>
      </c>
      <c r="Q1462" s="1779"/>
      <c r="R1462" s="1779"/>
      <c r="S1462" s="1779"/>
      <c r="T1462" s="1779"/>
      <c r="U1462" s="1779"/>
      <c r="V1462" s="1779"/>
      <c r="W1462" s="43"/>
      <c r="X1462" s="1779"/>
      <c r="Y1462" s="1779"/>
      <c r="Z1462" s="1779"/>
      <c r="AA1462" s="1779"/>
      <c r="AB1462" s="1779"/>
      <c r="AC1462" s="1779"/>
      <c r="AD1462" s="1779"/>
      <c r="AE1462" s="1779"/>
      <c r="AF1462" s="1779"/>
      <c r="AG1462" s="1779"/>
      <c r="AH1462" s="1779"/>
      <c r="AI1462" s="1779"/>
      <c r="AJ1462" s="1779"/>
      <c r="AK1462" s="1779"/>
      <c r="AL1462" s="1779"/>
      <c r="AM1462" s="1779"/>
      <c r="AN1462" s="1779"/>
      <c r="AO1462" s="1779"/>
      <c r="AP1462" s="1779"/>
      <c r="AQ1462" s="1779"/>
      <c r="AR1462" s="1779"/>
      <c r="AS1462" s="1779"/>
      <c r="AT1462" s="1779"/>
      <c r="AU1462" s="1779"/>
      <c r="AV1462" s="1779"/>
    </row>
    <row r="1463" spans="1:48" ht="11.45" customHeight="1">
      <c r="A1463" s="412"/>
      <c r="B1463" s="412" t="s">
        <v>1248</v>
      </c>
      <c r="C1463" s="412" t="s">
        <v>507</v>
      </c>
      <c r="D1463" s="1590"/>
      <c r="E1463" s="2224" t="s">
        <v>1905</v>
      </c>
      <c r="F1463" s="505">
        <v>2233</v>
      </c>
      <c r="G1463" s="1014" t="s">
        <v>968</v>
      </c>
      <c r="H1463" s="2822"/>
      <c r="I1463" s="2779">
        <v>450</v>
      </c>
      <c r="J1463" s="2776"/>
      <c r="K1463" s="2777"/>
      <c r="L1463" s="2778"/>
      <c r="M1463" s="2779">
        <v>700</v>
      </c>
      <c r="N1463" s="2804"/>
      <c r="O1463" s="86"/>
      <c r="P1463" s="1817" t="e">
        <f>INDEX(#REF!,MATCH(F1463,#REF!,0),2)</f>
        <v>#REF!</v>
      </c>
      <c r="Q1463" s="1779"/>
      <c r="R1463" s="1779"/>
      <c r="S1463" s="1779"/>
      <c r="T1463" s="1779"/>
      <c r="U1463" s="1779"/>
      <c r="V1463" s="1779"/>
      <c r="W1463" s="43"/>
      <c r="X1463" s="1779"/>
      <c r="Y1463" s="1779"/>
      <c r="Z1463" s="1779"/>
      <c r="AA1463" s="1779"/>
      <c r="AB1463" s="1779"/>
      <c r="AC1463" s="1779"/>
      <c r="AD1463" s="1779"/>
      <c r="AE1463" s="1779"/>
      <c r="AF1463" s="1779"/>
      <c r="AG1463" s="1779"/>
      <c r="AH1463" s="1779"/>
      <c r="AI1463" s="1779"/>
      <c r="AJ1463" s="1779"/>
      <c r="AK1463" s="1779"/>
      <c r="AL1463" s="1779"/>
      <c r="AM1463" s="1779"/>
      <c r="AN1463" s="1779"/>
      <c r="AO1463" s="1779"/>
      <c r="AP1463" s="1779"/>
      <c r="AQ1463" s="1779"/>
      <c r="AR1463" s="1779"/>
      <c r="AS1463" s="1779"/>
      <c r="AT1463" s="1779"/>
      <c r="AU1463" s="1779"/>
      <c r="AV1463" s="1779"/>
    </row>
    <row r="1464" spans="1:48" ht="15" customHeight="1">
      <c r="A1464" s="412"/>
      <c r="B1464" s="412" t="s">
        <v>1248</v>
      </c>
      <c r="C1464" s="412" t="s">
        <v>507</v>
      </c>
      <c r="D1464" s="1590"/>
      <c r="E1464" s="2224" t="s">
        <v>1905</v>
      </c>
      <c r="F1464" s="505">
        <v>2233</v>
      </c>
      <c r="G1464" s="1014" t="s">
        <v>805</v>
      </c>
      <c r="H1464" s="2822"/>
      <c r="I1464" s="2779">
        <v>220</v>
      </c>
      <c r="J1464" s="2776"/>
      <c r="K1464" s="2777"/>
      <c r="L1464" s="2778"/>
      <c r="M1464" s="2779">
        <v>270</v>
      </c>
      <c r="N1464" s="2804"/>
      <c r="O1464" s="86"/>
      <c r="P1464" s="1817" t="e">
        <f>INDEX(#REF!,MATCH(F1464,#REF!,0),2)</f>
        <v>#REF!</v>
      </c>
      <c r="Q1464" s="43"/>
      <c r="R1464" s="43"/>
      <c r="S1464" s="43"/>
      <c r="T1464" s="43"/>
      <c r="U1464" s="43"/>
      <c r="V1464" s="43"/>
      <c r="W1464" s="43"/>
      <c r="X1464" s="43"/>
      <c r="Y1464" s="43"/>
      <c r="Z1464" s="43"/>
      <c r="AA1464" s="4"/>
      <c r="AB1464" s="43"/>
      <c r="AC1464" s="43"/>
      <c r="AD1464" s="43"/>
      <c r="AE1464" s="43"/>
      <c r="AF1464" s="43"/>
      <c r="AG1464" s="43"/>
      <c r="AH1464" s="43"/>
      <c r="AI1464" s="43"/>
      <c r="AJ1464" s="43"/>
      <c r="AK1464" s="43"/>
      <c r="AL1464" s="43"/>
      <c r="AM1464" s="43"/>
      <c r="AN1464" s="43"/>
    </row>
    <row r="1465" spans="1:48" ht="15" customHeight="1">
      <c r="A1465" s="412"/>
      <c r="B1465" s="412" t="s">
        <v>1248</v>
      </c>
      <c r="C1465" s="412" t="s">
        <v>507</v>
      </c>
      <c r="D1465" s="1590"/>
      <c r="E1465" s="2224" t="s">
        <v>1905</v>
      </c>
      <c r="F1465" s="505">
        <v>2233</v>
      </c>
      <c r="G1465" s="1014" t="s">
        <v>1672</v>
      </c>
      <c r="H1465" s="2822"/>
      <c r="I1465" s="2779">
        <v>400</v>
      </c>
      <c r="J1465" s="2776"/>
      <c r="K1465" s="2777"/>
      <c r="L1465" s="2778"/>
      <c r="M1465" s="2779">
        <v>480</v>
      </c>
      <c r="N1465" s="2804"/>
      <c r="O1465" s="86"/>
      <c r="P1465" s="1817" t="e">
        <f>INDEX(#REF!,MATCH(F1465,#REF!,0),2)</f>
        <v>#REF!</v>
      </c>
      <c r="Q1465" s="43"/>
      <c r="R1465" s="43"/>
      <c r="S1465" s="43"/>
      <c r="T1465" s="43"/>
      <c r="U1465" s="43"/>
      <c r="V1465" s="43"/>
      <c r="W1465" s="43"/>
      <c r="X1465" s="43"/>
      <c r="Y1465" s="43"/>
      <c r="Z1465" s="43"/>
      <c r="AA1465" s="4"/>
      <c r="AB1465" s="43"/>
      <c r="AC1465" s="43"/>
      <c r="AD1465" s="43"/>
      <c r="AE1465" s="43"/>
      <c r="AF1465" s="43"/>
      <c r="AG1465" s="43"/>
      <c r="AH1465" s="43"/>
      <c r="AI1465" s="43"/>
      <c r="AJ1465" s="43"/>
      <c r="AK1465" s="43"/>
      <c r="AL1465" s="43"/>
      <c r="AM1465" s="43"/>
      <c r="AN1465" s="43"/>
    </row>
    <row r="1466" spans="1:48" ht="11.45" customHeight="1">
      <c r="A1466" s="412"/>
      <c r="B1466" s="412" t="s">
        <v>1248</v>
      </c>
      <c r="C1466" s="412" t="s">
        <v>507</v>
      </c>
      <c r="D1466" s="1590"/>
      <c r="E1466" s="2224" t="s">
        <v>1905</v>
      </c>
      <c r="F1466" s="505">
        <v>2233</v>
      </c>
      <c r="G1466" s="1014" t="s">
        <v>806</v>
      </c>
      <c r="H1466" s="2822"/>
      <c r="I1466" s="2779">
        <v>200</v>
      </c>
      <c r="J1466" s="2776"/>
      <c r="K1466" s="2777"/>
      <c r="L1466" s="2778"/>
      <c r="M1466" s="2779">
        <v>480</v>
      </c>
      <c r="N1466" s="2804"/>
      <c r="O1466" s="86"/>
      <c r="P1466" s="1817" t="e">
        <f>INDEX(#REF!,MATCH(F1466,#REF!,0),2)</f>
        <v>#REF!</v>
      </c>
      <c r="Q1466" s="43"/>
      <c r="R1466" s="43"/>
      <c r="S1466" s="43"/>
      <c r="T1466" s="43"/>
      <c r="U1466" s="43"/>
      <c r="V1466" s="43"/>
      <c r="W1466" s="43"/>
      <c r="X1466" s="43"/>
      <c r="Y1466" s="43"/>
      <c r="Z1466" s="43"/>
      <c r="AA1466" s="4"/>
      <c r="AB1466" s="43"/>
      <c r="AC1466" s="43"/>
      <c r="AD1466" s="43"/>
      <c r="AE1466" s="43"/>
      <c r="AF1466" s="43"/>
      <c r="AG1466" s="43"/>
      <c r="AH1466" s="43"/>
      <c r="AI1466" s="43"/>
      <c r="AJ1466" s="43"/>
      <c r="AK1466" s="43"/>
      <c r="AL1466" s="43"/>
      <c r="AM1466" s="43"/>
      <c r="AN1466" s="43"/>
    </row>
    <row r="1467" spans="1:48" ht="11.45" customHeight="1">
      <c r="A1467" s="412"/>
      <c r="B1467" s="412" t="s">
        <v>1248</v>
      </c>
      <c r="C1467" s="412" t="s">
        <v>507</v>
      </c>
      <c r="D1467" s="1590"/>
      <c r="E1467" s="2224" t="s">
        <v>1905</v>
      </c>
      <c r="F1467" s="505">
        <v>2233</v>
      </c>
      <c r="G1467" s="1014" t="s">
        <v>807</v>
      </c>
      <c r="H1467" s="2822"/>
      <c r="I1467" s="2779">
        <v>170</v>
      </c>
      <c r="J1467" s="2776"/>
      <c r="K1467" s="2777"/>
      <c r="L1467" s="2778"/>
      <c r="M1467" s="2779">
        <v>250</v>
      </c>
      <c r="N1467" s="2804"/>
      <c r="O1467" s="86"/>
      <c r="P1467" s="1817" t="e">
        <f>INDEX(#REF!,MATCH(F1467,#REF!,0),2)</f>
        <v>#REF!</v>
      </c>
      <c r="Q1467" s="43"/>
      <c r="R1467" s="43"/>
      <c r="S1467" s="43"/>
      <c r="T1467" s="43"/>
      <c r="U1467" s="43"/>
      <c r="V1467" s="43"/>
      <c r="W1467" s="43"/>
      <c r="X1467" s="43"/>
      <c r="Y1467" s="43"/>
      <c r="Z1467" s="43"/>
      <c r="AA1467" s="43"/>
      <c r="AB1467" s="43"/>
      <c r="AC1467" s="43"/>
      <c r="AD1467" s="43"/>
      <c r="AE1467" s="43"/>
      <c r="AF1467" s="43"/>
      <c r="AG1467" s="43"/>
      <c r="AH1467" s="43"/>
      <c r="AI1467" s="43"/>
      <c r="AJ1467" s="43"/>
      <c r="AK1467" s="43"/>
      <c r="AL1467" s="43"/>
      <c r="AM1467" s="43"/>
      <c r="AN1467" s="43"/>
    </row>
    <row r="1468" spans="1:48" s="66" customFormat="1" ht="11.45" customHeight="1">
      <c r="A1468" s="412"/>
      <c r="B1468" s="412" t="s">
        <v>1248</v>
      </c>
      <c r="C1468" s="412" t="s">
        <v>507</v>
      </c>
      <c r="D1468" s="1590"/>
      <c r="E1468" s="2224" t="s">
        <v>1905</v>
      </c>
      <c r="F1468" s="505">
        <v>2233</v>
      </c>
      <c r="G1468" s="1014" t="s">
        <v>808</v>
      </c>
      <c r="H1468" s="2822"/>
      <c r="I1468" s="2779">
        <v>150</v>
      </c>
      <c r="J1468" s="2776"/>
      <c r="K1468" s="2777"/>
      <c r="L1468" s="2778"/>
      <c r="M1468" s="2779">
        <v>300</v>
      </c>
      <c r="N1468" s="2804"/>
      <c r="O1468" s="86"/>
      <c r="P1468" s="1817" t="e">
        <f>INDEX(#REF!,MATCH(F1468,#REF!,0),2)</f>
        <v>#REF!</v>
      </c>
      <c r="Q1468" s="168"/>
      <c r="R1468" s="168"/>
      <c r="S1468" s="168"/>
      <c r="T1468" s="168"/>
      <c r="U1468" s="168"/>
      <c r="V1468" s="168"/>
      <c r="W1468" s="43"/>
      <c r="X1468" s="168"/>
      <c r="Y1468" s="168"/>
      <c r="Z1468" s="168"/>
      <c r="AA1468" s="168"/>
      <c r="AB1468" s="168"/>
      <c r="AC1468" s="168"/>
      <c r="AD1468" s="168"/>
      <c r="AE1468" s="168"/>
      <c r="AF1468" s="168"/>
      <c r="AG1468" s="168"/>
      <c r="AH1468" s="168"/>
      <c r="AI1468" s="168"/>
      <c r="AJ1468" s="168"/>
      <c r="AK1468" s="168"/>
      <c r="AL1468" s="168"/>
      <c r="AM1468" s="168"/>
      <c r="AN1468" s="168"/>
    </row>
    <row r="1469" spans="1:48" ht="11.45" customHeight="1">
      <c r="A1469" s="412"/>
      <c r="B1469" s="412" t="s">
        <v>1248</v>
      </c>
      <c r="C1469" s="412" t="s">
        <v>507</v>
      </c>
      <c r="D1469" s="1590"/>
      <c r="E1469" s="2224" t="s">
        <v>1905</v>
      </c>
      <c r="F1469" s="505">
        <v>2233</v>
      </c>
      <c r="G1469" s="1014" t="s">
        <v>809</v>
      </c>
      <c r="H1469" s="2822"/>
      <c r="I1469" s="2779">
        <v>420</v>
      </c>
      <c r="J1469" s="2776"/>
      <c r="K1469" s="2777"/>
      <c r="L1469" s="2778"/>
      <c r="M1469" s="2779">
        <v>450</v>
      </c>
      <c r="N1469" s="2804"/>
      <c r="O1469" s="86"/>
      <c r="P1469" s="1817" t="e">
        <f>INDEX(#REF!,MATCH(F1469,#REF!,0),2)</f>
        <v>#REF!</v>
      </c>
      <c r="Q1469" s="43"/>
      <c r="R1469" s="43"/>
      <c r="S1469" s="43"/>
      <c r="T1469" s="43"/>
      <c r="U1469" s="43"/>
      <c r="V1469" s="43"/>
      <c r="W1469" s="43"/>
      <c r="X1469" s="43"/>
      <c r="Y1469" s="43"/>
      <c r="Z1469" s="43"/>
      <c r="AA1469" s="43"/>
      <c r="AB1469" s="43"/>
      <c r="AC1469" s="43"/>
      <c r="AD1469" s="43"/>
      <c r="AE1469" s="43"/>
      <c r="AF1469" s="43"/>
      <c r="AG1469" s="43"/>
      <c r="AH1469" s="43"/>
      <c r="AI1469" s="43"/>
      <c r="AJ1469" s="43"/>
      <c r="AK1469" s="43"/>
      <c r="AL1469" s="43"/>
      <c r="AM1469" s="43"/>
      <c r="AN1469" s="43"/>
    </row>
    <row r="1470" spans="1:48" ht="11.45" customHeight="1">
      <c r="A1470" s="412"/>
      <c r="B1470" s="412" t="s">
        <v>1248</v>
      </c>
      <c r="C1470" s="412" t="s">
        <v>507</v>
      </c>
      <c r="D1470" s="1590"/>
      <c r="E1470" s="2224" t="s">
        <v>1905</v>
      </c>
      <c r="F1470" s="505">
        <v>2233</v>
      </c>
      <c r="G1470" s="1014" t="s">
        <v>810</v>
      </c>
      <c r="H1470" s="2822"/>
      <c r="I1470" s="2779">
        <v>200</v>
      </c>
      <c r="J1470" s="2776"/>
      <c r="K1470" s="2777"/>
      <c r="L1470" s="2778"/>
      <c r="M1470" s="2779">
        <v>300</v>
      </c>
      <c r="N1470" s="2804"/>
      <c r="O1470" s="86"/>
      <c r="P1470" s="1817" t="e">
        <f>INDEX(#REF!,MATCH(F1470,#REF!,0),2)</f>
        <v>#REF!</v>
      </c>
      <c r="Q1470" s="43"/>
      <c r="R1470" s="43"/>
      <c r="S1470" s="43"/>
      <c r="T1470" s="43"/>
      <c r="U1470" s="43"/>
      <c r="V1470" s="43"/>
      <c r="W1470" s="43"/>
      <c r="X1470" s="43"/>
      <c r="Y1470" s="43"/>
      <c r="Z1470" s="43"/>
      <c r="AA1470" s="43"/>
      <c r="AB1470" s="43"/>
      <c r="AC1470" s="43"/>
      <c r="AD1470" s="43"/>
      <c r="AE1470" s="43"/>
      <c r="AF1470" s="43"/>
      <c r="AG1470" s="43"/>
      <c r="AH1470" s="43"/>
      <c r="AI1470" s="43"/>
      <c r="AJ1470" s="43"/>
      <c r="AK1470" s="43"/>
      <c r="AL1470" s="43"/>
      <c r="AM1470" s="43"/>
      <c r="AN1470" s="43"/>
    </row>
    <row r="1471" spans="1:48" ht="11.45" customHeight="1">
      <c r="A1471" s="412"/>
      <c r="B1471" s="412" t="s">
        <v>1248</v>
      </c>
      <c r="C1471" s="412" t="s">
        <v>507</v>
      </c>
      <c r="D1471" s="1590"/>
      <c r="E1471" s="2224" t="s">
        <v>1905</v>
      </c>
      <c r="F1471" s="505">
        <v>2233</v>
      </c>
      <c r="G1471" s="1014" t="s">
        <v>969</v>
      </c>
      <c r="H1471" s="2822"/>
      <c r="I1471" s="2779">
        <v>300</v>
      </c>
      <c r="J1471" s="2776"/>
      <c r="K1471" s="2777"/>
      <c r="L1471" s="2778"/>
      <c r="M1471" s="2779">
        <v>450</v>
      </c>
      <c r="N1471" s="2804"/>
      <c r="O1471" s="86"/>
      <c r="P1471" s="1817" t="e">
        <f>INDEX(#REF!,MATCH(F1471,#REF!,0),2)</f>
        <v>#REF!</v>
      </c>
      <c r="Q1471" s="43"/>
      <c r="R1471" s="43"/>
      <c r="S1471" s="43"/>
      <c r="T1471" s="43"/>
      <c r="U1471" s="43"/>
      <c r="V1471" s="43"/>
      <c r="W1471" s="43"/>
      <c r="X1471" s="43"/>
      <c r="Y1471" s="43"/>
      <c r="Z1471" s="43"/>
      <c r="AA1471" s="43"/>
      <c r="AB1471" s="43"/>
      <c r="AC1471" s="43"/>
      <c r="AD1471" s="43"/>
      <c r="AE1471" s="43"/>
      <c r="AF1471" s="43"/>
      <c r="AG1471" s="43"/>
      <c r="AH1471" s="43"/>
      <c r="AI1471" s="43"/>
      <c r="AJ1471" s="43"/>
      <c r="AK1471" s="43"/>
      <c r="AL1471" s="43"/>
      <c r="AM1471" s="43"/>
      <c r="AN1471" s="43"/>
    </row>
    <row r="1472" spans="1:48" ht="11.45" customHeight="1">
      <c r="A1472" s="412"/>
      <c r="B1472" s="412" t="s">
        <v>1248</v>
      </c>
      <c r="C1472" s="412" t="s">
        <v>507</v>
      </c>
      <c r="D1472" s="1590"/>
      <c r="E1472" s="2224" t="s">
        <v>1905</v>
      </c>
      <c r="F1472" s="505">
        <v>2233</v>
      </c>
      <c r="G1472" s="1014" t="s">
        <v>970</v>
      </c>
      <c r="H1472" s="2822"/>
      <c r="I1472" s="2779">
        <v>150</v>
      </c>
      <c r="J1472" s="2776"/>
      <c r="K1472" s="2777"/>
      <c r="L1472" s="2778"/>
      <c r="M1472" s="2779">
        <v>300</v>
      </c>
      <c r="N1472" s="2804"/>
      <c r="O1472" s="86"/>
      <c r="P1472" s="1817" t="e">
        <f>INDEX(#REF!,MATCH(F1472,#REF!,0),2)</f>
        <v>#REF!</v>
      </c>
      <c r="Q1472" s="43"/>
      <c r="R1472" s="43"/>
      <c r="S1472" s="43"/>
      <c r="T1472" s="43"/>
      <c r="U1472" s="43"/>
      <c r="V1472" s="43"/>
      <c r="W1472" s="43"/>
      <c r="X1472" s="43"/>
      <c r="Y1472" s="43"/>
      <c r="Z1472" s="43"/>
      <c r="AA1472" s="43"/>
      <c r="AB1472" s="43"/>
      <c r="AC1472" s="43"/>
      <c r="AD1472" s="43"/>
      <c r="AE1472" s="43"/>
      <c r="AF1472" s="43"/>
      <c r="AG1472" s="43"/>
      <c r="AH1472" s="43"/>
      <c r="AI1472" s="43"/>
      <c r="AJ1472" s="43"/>
      <c r="AK1472" s="43"/>
      <c r="AL1472" s="43"/>
      <c r="AM1472" s="43"/>
      <c r="AN1472" s="43"/>
    </row>
    <row r="1473" spans="1:48" ht="16.149999999999999" customHeight="1">
      <c r="A1473" s="412"/>
      <c r="B1473" s="412" t="s">
        <v>1248</v>
      </c>
      <c r="C1473" s="412" t="s">
        <v>507</v>
      </c>
      <c r="D1473" s="1590"/>
      <c r="E1473" s="2224" t="s">
        <v>1905</v>
      </c>
      <c r="F1473" s="505">
        <v>2233</v>
      </c>
      <c r="G1473" s="1014" t="s">
        <v>971</v>
      </c>
      <c r="H1473" s="2822"/>
      <c r="I1473" s="2779">
        <v>150</v>
      </c>
      <c r="J1473" s="2776"/>
      <c r="K1473" s="2777"/>
      <c r="L1473" s="2778"/>
      <c r="M1473" s="2779">
        <v>300</v>
      </c>
      <c r="N1473" s="2804"/>
      <c r="O1473" s="86"/>
      <c r="P1473" s="1817" t="e">
        <f>INDEX(#REF!,MATCH(F1473,#REF!,0),2)</f>
        <v>#REF!</v>
      </c>
      <c r="Q1473" s="43"/>
      <c r="R1473" s="43"/>
      <c r="S1473" s="43"/>
      <c r="T1473" s="43"/>
      <c r="U1473" s="43"/>
      <c r="V1473" s="43"/>
      <c r="W1473" s="43"/>
      <c r="X1473" s="43"/>
      <c r="Y1473" s="43"/>
      <c r="Z1473" s="43"/>
      <c r="AA1473" s="43"/>
      <c r="AB1473" s="43"/>
      <c r="AC1473" s="43"/>
      <c r="AD1473" s="43"/>
      <c r="AE1473" s="43"/>
      <c r="AF1473" s="43"/>
      <c r="AG1473" s="43"/>
      <c r="AH1473" s="43"/>
      <c r="AI1473" s="43"/>
      <c r="AJ1473" s="43"/>
      <c r="AK1473" s="43"/>
      <c r="AL1473" s="43"/>
      <c r="AM1473" s="43"/>
    </row>
    <row r="1474" spans="1:48" ht="16.149999999999999" customHeight="1">
      <c r="A1474" s="412"/>
      <c r="B1474" s="412" t="s">
        <v>1248</v>
      </c>
      <c r="C1474" s="412" t="s">
        <v>507</v>
      </c>
      <c r="D1474" s="1590"/>
      <c r="E1474" s="2224" t="s">
        <v>1905</v>
      </c>
      <c r="F1474" s="505">
        <v>2233</v>
      </c>
      <c r="G1474" s="1014" t="s">
        <v>811</v>
      </c>
      <c r="H1474" s="2822"/>
      <c r="I1474" s="2779">
        <v>1600</v>
      </c>
      <c r="J1474" s="2776"/>
      <c r="K1474" s="2777"/>
      <c r="L1474" s="2778"/>
      <c r="M1474" s="2779">
        <v>3000</v>
      </c>
      <c r="N1474" s="2804"/>
      <c r="O1474" s="86"/>
      <c r="P1474" s="1817" t="e">
        <f>INDEX(#REF!,MATCH(F1474,#REF!,0),2)</f>
        <v>#REF!</v>
      </c>
      <c r="Q1474" s="43"/>
      <c r="R1474" s="43"/>
      <c r="S1474" s="43"/>
      <c r="T1474" s="43"/>
      <c r="U1474" s="43"/>
      <c r="V1474" s="43"/>
      <c r="W1474" s="43"/>
      <c r="X1474" s="43"/>
      <c r="Y1474" s="43"/>
      <c r="Z1474" s="43"/>
      <c r="AA1474" s="43"/>
      <c r="AB1474" s="43"/>
      <c r="AC1474" s="43"/>
      <c r="AD1474" s="43"/>
      <c r="AE1474" s="43"/>
      <c r="AF1474" s="43"/>
      <c r="AG1474" s="43"/>
      <c r="AH1474" s="43"/>
      <c r="AI1474" s="43"/>
      <c r="AJ1474" s="43"/>
      <c r="AK1474" s="43"/>
      <c r="AL1474" s="43"/>
      <c r="AM1474" s="43"/>
      <c r="AN1474" s="43"/>
    </row>
    <row r="1475" spans="1:48" ht="16.149999999999999" customHeight="1">
      <c r="A1475" s="506"/>
      <c r="B1475" s="506" t="s">
        <v>1249</v>
      </c>
      <c r="C1475" s="506" t="s">
        <v>510</v>
      </c>
      <c r="D1475" s="1589">
        <v>960</v>
      </c>
      <c r="E1475" s="2223" t="s">
        <v>1905</v>
      </c>
      <c r="F1475" s="540">
        <v>2233</v>
      </c>
      <c r="G1475" s="411" t="s">
        <v>263</v>
      </c>
      <c r="H1475" s="2817">
        <v>2000</v>
      </c>
      <c r="I1475" s="2818"/>
      <c r="J1475" s="2819"/>
      <c r="K1475" s="2816"/>
      <c r="L1475" s="2802">
        <v>0</v>
      </c>
      <c r="M1475" s="2802"/>
      <c r="N1475" s="43" t="s">
        <v>3785</v>
      </c>
      <c r="O1475" s="1817"/>
      <c r="P1475" s="1817" t="e">
        <f>INDEX(#REF!,MATCH(F1475,#REF!,0),2)</f>
        <v>#REF!</v>
      </c>
      <c r="Q1475" s="43"/>
      <c r="R1475" s="43"/>
      <c r="S1475" s="43"/>
      <c r="T1475" s="43"/>
      <c r="U1475" s="43"/>
      <c r="V1475" s="43"/>
      <c r="W1475" s="43"/>
      <c r="X1475" s="43"/>
      <c r="Y1475" s="43"/>
      <c r="Z1475" s="43"/>
      <c r="AA1475" s="43"/>
      <c r="AB1475" s="43"/>
      <c r="AC1475" s="43"/>
      <c r="AD1475" s="43"/>
      <c r="AE1475" s="43"/>
      <c r="AF1475" s="43"/>
      <c r="AG1475" s="43"/>
      <c r="AH1475" s="43"/>
      <c r="AI1475" s="43"/>
      <c r="AJ1475" s="43"/>
      <c r="AK1475" s="43"/>
      <c r="AL1475" s="43"/>
      <c r="AM1475" s="43"/>
      <c r="AN1475" s="43"/>
    </row>
    <row r="1476" spans="1:48" ht="33.75">
      <c r="A1476" s="1882"/>
      <c r="B1476" s="1882" t="s">
        <v>1249</v>
      </c>
      <c r="C1476" s="1882" t="s">
        <v>510</v>
      </c>
      <c r="D1476" s="1935"/>
      <c r="E1476" s="2229" t="s">
        <v>1905</v>
      </c>
      <c r="F1476" s="1936">
        <v>2233</v>
      </c>
      <c r="G1476" s="1911" t="s">
        <v>3147</v>
      </c>
      <c r="H1476" s="2822"/>
      <c r="I1476" s="2779">
        <v>1000</v>
      </c>
      <c r="J1476" s="2776"/>
      <c r="K1476" s="2777"/>
      <c r="L1476" s="2778"/>
      <c r="M1476" s="2778"/>
      <c r="N1476" s="2804"/>
      <c r="O1476" s="86"/>
      <c r="P1476" s="1817" t="e">
        <f>INDEX(#REF!,MATCH(F1476,#REF!,0),2)</f>
        <v>#REF!</v>
      </c>
      <c r="Q1476" s="43"/>
      <c r="R1476" s="43"/>
      <c r="S1476" s="43"/>
      <c r="T1476" s="43"/>
      <c r="U1476" s="43"/>
      <c r="V1476" s="43"/>
      <c r="W1476" s="43"/>
      <c r="X1476" s="43"/>
      <c r="Y1476" s="43"/>
      <c r="Z1476" s="43"/>
      <c r="AA1476" s="43"/>
      <c r="AB1476" s="43"/>
      <c r="AC1476" s="43"/>
      <c r="AD1476" s="43"/>
      <c r="AE1476" s="43"/>
      <c r="AF1476" s="43"/>
      <c r="AG1476" s="43"/>
      <c r="AH1476" s="43"/>
      <c r="AI1476" s="43"/>
      <c r="AJ1476" s="43"/>
      <c r="AK1476" s="43"/>
      <c r="AL1476" s="43"/>
      <c r="AM1476" s="43"/>
      <c r="AN1476" s="43"/>
    </row>
    <row r="1477" spans="1:48" ht="22.5">
      <c r="A1477" s="1882"/>
      <c r="B1477" s="1882" t="s">
        <v>1249</v>
      </c>
      <c r="C1477" s="1882" t="s">
        <v>510</v>
      </c>
      <c r="D1477" s="1935"/>
      <c r="E1477" s="2229" t="s">
        <v>1905</v>
      </c>
      <c r="F1477" s="1936">
        <v>2233</v>
      </c>
      <c r="G1477" s="1911" t="s">
        <v>3237</v>
      </c>
      <c r="H1477" s="2822"/>
      <c r="I1477" s="2779">
        <v>1000</v>
      </c>
      <c r="J1477" s="2776"/>
      <c r="K1477" s="2777"/>
      <c r="L1477" s="2778"/>
      <c r="M1477" s="2778"/>
      <c r="N1477" s="2804"/>
      <c r="O1477" s="86"/>
      <c r="P1477" s="1817" t="e">
        <f>INDEX(#REF!,MATCH(F1477,#REF!,0),2)</f>
        <v>#REF!</v>
      </c>
      <c r="Q1477" s="43"/>
      <c r="R1477" s="43"/>
      <c r="S1477" s="43"/>
      <c r="T1477" s="43"/>
      <c r="U1477" s="43"/>
      <c r="V1477" s="43"/>
      <c r="W1477" s="43"/>
      <c r="X1477" s="43"/>
      <c r="Y1477" s="43"/>
      <c r="Z1477" s="43"/>
      <c r="AA1477" s="43"/>
      <c r="AB1477" s="43"/>
      <c r="AC1477" s="43"/>
      <c r="AD1477" s="43"/>
      <c r="AE1477" s="43"/>
      <c r="AF1477" s="43"/>
      <c r="AG1477" s="43"/>
      <c r="AH1477" s="43"/>
      <c r="AI1477" s="43"/>
      <c r="AJ1477" s="43"/>
      <c r="AK1477" s="43"/>
      <c r="AL1477" s="43"/>
      <c r="AM1477" s="43"/>
      <c r="AN1477" s="43"/>
    </row>
    <row r="1478" spans="1:48" ht="51" customHeight="1">
      <c r="A1478" s="506"/>
      <c r="B1478" s="506" t="s">
        <v>1248</v>
      </c>
      <c r="C1478" s="506" t="s">
        <v>507</v>
      </c>
      <c r="D1478" s="1589">
        <v>960</v>
      </c>
      <c r="E1478" s="2223" t="s">
        <v>1905</v>
      </c>
      <c r="F1478" s="540">
        <v>2234</v>
      </c>
      <c r="G1478" s="411" t="s">
        <v>375</v>
      </c>
      <c r="H1478" s="2817">
        <v>4255</v>
      </c>
      <c r="I1478" s="2818"/>
      <c r="J1478" s="2819">
        <v>23.5</v>
      </c>
      <c r="K1478" s="2816"/>
      <c r="L1478" s="2818">
        <v>1325</v>
      </c>
      <c r="M1478" s="2818"/>
      <c r="N1478" s="73" t="s">
        <v>6139</v>
      </c>
      <c r="O1478" s="86"/>
      <c r="P1478" s="1817" t="e">
        <f>INDEX(#REF!,MATCH(F1478,#REF!,0),2)</f>
        <v>#REF!</v>
      </c>
      <c r="Q1478" s="43"/>
      <c r="R1478" s="43"/>
      <c r="S1478" s="43"/>
      <c r="T1478" s="43"/>
      <c r="U1478" s="43"/>
      <c r="V1478" s="43"/>
      <c r="W1478" s="43"/>
      <c r="X1478" s="43"/>
      <c r="Y1478" s="43"/>
      <c r="Z1478" s="43"/>
      <c r="AA1478" s="43"/>
      <c r="AB1478" s="43"/>
      <c r="AC1478" s="43"/>
      <c r="AD1478" s="43"/>
      <c r="AE1478" s="43"/>
      <c r="AF1478" s="43"/>
      <c r="AG1478" s="43"/>
      <c r="AH1478" s="43"/>
      <c r="AI1478" s="43"/>
      <c r="AJ1478" s="43"/>
      <c r="AK1478" s="43"/>
      <c r="AL1478" s="43"/>
      <c r="AM1478" s="43"/>
      <c r="AN1478" s="43"/>
    </row>
    <row r="1479" spans="1:48" ht="51" customHeight="1">
      <c r="A1479" s="418"/>
      <c r="B1479" s="418" t="s">
        <v>1248</v>
      </c>
      <c r="C1479" s="418" t="s">
        <v>507</v>
      </c>
      <c r="D1479" s="1614"/>
      <c r="E1479" s="2224" t="s">
        <v>1905</v>
      </c>
      <c r="F1479" s="505">
        <v>2234</v>
      </c>
      <c r="G1479" s="410" t="s">
        <v>3786</v>
      </c>
      <c r="H1479" s="2814"/>
      <c r="I1479" s="2800">
        <v>2080</v>
      </c>
      <c r="J1479" s="2815"/>
      <c r="K1479" s="2821"/>
      <c r="L1479" s="2800"/>
      <c r="M1479" s="2779">
        <v>450</v>
      </c>
      <c r="N1479" s="149" t="s">
        <v>6001</v>
      </c>
      <c r="O1479" s="86"/>
      <c r="P1479" s="1817" t="e">
        <f>INDEX(#REF!,MATCH(F1479,#REF!,0),2)</f>
        <v>#REF!</v>
      </c>
      <c r="Q1479" s="43"/>
      <c r="R1479" s="43"/>
      <c r="S1479" s="43"/>
      <c r="T1479" s="43"/>
      <c r="U1479" s="43"/>
      <c r="V1479" s="43"/>
      <c r="W1479" s="43"/>
      <c r="X1479" s="43"/>
      <c r="Y1479" s="43"/>
      <c r="Z1479" s="43"/>
      <c r="AA1479" s="43"/>
      <c r="AB1479" s="43"/>
      <c r="AC1479" s="43"/>
      <c r="AD1479" s="43"/>
      <c r="AE1479" s="43"/>
      <c r="AF1479" s="43"/>
      <c r="AG1479" s="43"/>
      <c r="AH1479" s="43"/>
      <c r="AI1479" s="43"/>
      <c r="AJ1479" s="43"/>
      <c r="AK1479" s="43"/>
      <c r="AL1479" s="43"/>
      <c r="AM1479" s="43"/>
      <c r="AN1479" s="43"/>
    </row>
    <row r="1480" spans="1:48" ht="21" customHeight="1">
      <c r="A1480" s="418"/>
      <c r="B1480" s="418" t="s">
        <v>1248</v>
      </c>
      <c r="C1480" s="418" t="s">
        <v>507</v>
      </c>
      <c r="D1480" s="1614"/>
      <c r="E1480" s="2224" t="s">
        <v>1905</v>
      </c>
      <c r="F1480" s="505">
        <v>2234</v>
      </c>
      <c r="G1480" s="410" t="s">
        <v>3787</v>
      </c>
      <c r="H1480" s="2814"/>
      <c r="I1480" s="2800">
        <v>2175</v>
      </c>
      <c r="J1480" s="2815"/>
      <c r="K1480" s="2821"/>
      <c r="L1480" s="2800"/>
      <c r="M1480" s="2779">
        <v>875</v>
      </c>
      <c r="N1480" s="2805" t="s">
        <v>6138</v>
      </c>
      <c r="O1480" s="86"/>
      <c r="P1480" s="1817" t="e">
        <f>INDEX(#REF!,MATCH(F1480,#REF!,0),2)</f>
        <v>#REF!</v>
      </c>
      <c r="Q1480" s="1779"/>
      <c r="R1480" s="1779"/>
      <c r="S1480" s="1779"/>
      <c r="T1480" s="1779"/>
      <c r="U1480" s="1779"/>
      <c r="V1480" s="1779"/>
      <c r="W1480" s="43"/>
      <c r="X1480" s="1779"/>
      <c r="Y1480" s="1779"/>
      <c r="Z1480" s="1779"/>
      <c r="AA1480" s="1779"/>
      <c r="AB1480" s="1779"/>
      <c r="AC1480" s="1779"/>
      <c r="AD1480" s="1779"/>
      <c r="AE1480" s="1779"/>
      <c r="AF1480" s="1779"/>
      <c r="AG1480" s="1779"/>
      <c r="AH1480" s="1779"/>
      <c r="AI1480" s="1779"/>
      <c r="AJ1480" s="1779"/>
      <c r="AK1480" s="1779"/>
      <c r="AL1480" s="1779"/>
      <c r="AM1480" s="1779"/>
      <c r="AN1480" s="1779"/>
      <c r="AO1480" s="1779"/>
      <c r="AP1480" s="1779"/>
      <c r="AQ1480" s="1779"/>
      <c r="AR1480" s="1779"/>
      <c r="AS1480" s="1779"/>
      <c r="AT1480" s="1779"/>
      <c r="AU1480" s="1779"/>
      <c r="AV1480" s="1779"/>
    </row>
    <row r="1481" spans="1:48">
      <c r="A1481" s="506"/>
      <c r="B1481" s="506" t="s">
        <v>1248</v>
      </c>
      <c r="C1481" s="506" t="s">
        <v>507</v>
      </c>
      <c r="D1481" s="1589">
        <v>960</v>
      </c>
      <c r="E1481" s="2223" t="s">
        <v>1905</v>
      </c>
      <c r="F1481" s="540">
        <v>2235</v>
      </c>
      <c r="G1481" s="411" t="s">
        <v>1570</v>
      </c>
      <c r="H1481" s="2817">
        <v>1300</v>
      </c>
      <c r="I1481" s="2802"/>
      <c r="J1481" s="2819"/>
      <c r="K1481" s="2816"/>
      <c r="L1481" s="2818">
        <v>2600</v>
      </c>
      <c r="M1481" s="2802"/>
      <c r="N1481" s="2804"/>
      <c r="O1481" s="86"/>
      <c r="P1481" s="1817" t="e">
        <f>INDEX(#REF!,MATCH(F1481,#REF!,0),2)</f>
        <v>#REF!</v>
      </c>
      <c r="Q1481" s="43"/>
      <c r="R1481" s="43"/>
      <c r="S1481" s="43"/>
      <c r="T1481" s="43"/>
      <c r="U1481" s="43"/>
      <c r="V1481" s="43"/>
      <c r="W1481" s="43"/>
      <c r="X1481" s="43"/>
      <c r="Y1481" s="43"/>
      <c r="Z1481" s="43"/>
      <c r="AA1481" s="43"/>
      <c r="AB1481" s="43"/>
      <c r="AC1481" s="43"/>
      <c r="AD1481" s="43"/>
      <c r="AE1481" s="43"/>
      <c r="AF1481" s="43"/>
      <c r="AG1481" s="43"/>
      <c r="AH1481" s="43"/>
      <c r="AI1481" s="43"/>
      <c r="AJ1481" s="43"/>
      <c r="AK1481" s="43"/>
      <c r="AL1481" s="43"/>
      <c r="AM1481" s="43"/>
      <c r="AN1481" s="43"/>
    </row>
    <row r="1482" spans="1:48" ht="12.6" customHeight="1">
      <c r="A1482" s="412" t="s">
        <v>1489</v>
      </c>
      <c r="B1482" s="412" t="s">
        <v>1248</v>
      </c>
      <c r="C1482" s="412" t="s">
        <v>507</v>
      </c>
      <c r="D1482" s="1590"/>
      <c r="E1482" s="2224" t="s">
        <v>1905</v>
      </c>
      <c r="F1482" s="505">
        <v>2235</v>
      </c>
      <c r="G1482" s="410" t="s">
        <v>1488</v>
      </c>
      <c r="H1482" s="2814"/>
      <c r="I1482" s="2800">
        <v>1300</v>
      </c>
      <c r="J1482" s="2815"/>
      <c r="K1482" s="2821"/>
      <c r="L1482" s="2800"/>
      <c r="M1482" s="2779">
        <v>2600</v>
      </c>
      <c r="N1482" s="2561" t="s">
        <v>3792</v>
      </c>
      <c r="O1482" s="86"/>
      <c r="P1482" s="1817" t="e">
        <f>INDEX(#REF!,MATCH(F1482,#REF!,0),2)</f>
        <v>#REF!</v>
      </c>
      <c r="Q1482" s="43"/>
      <c r="R1482" s="43"/>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row>
    <row r="1483" spans="1:48" ht="42.6" customHeight="1">
      <c r="A1483" s="506"/>
      <c r="B1483" s="506" t="s">
        <v>1248</v>
      </c>
      <c r="C1483" s="506" t="s">
        <v>507</v>
      </c>
      <c r="D1483" s="1589">
        <v>960</v>
      </c>
      <c r="E1483" s="2223" t="s">
        <v>1905</v>
      </c>
      <c r="F1483" s="540">
        <v>2239</v>
      </c>
      <c r="G1483" s="411" t="s">
        <v>237</v>
      </c>
      <c r="H1483" s="2817">
        <v>17350</v>
      </c>
      <c r="I1483" s="2802"/>
      <c r="J1483" s="2819">
        <v>10296.31</v>
      </c>
      <c r="K1483" s="2816"/>
      <c r="L1483" s="2818">
        <v>22450</v>
      </c>
      <c r="M1483" s="2802"/>
      <c r="N1483" s="2804">
        <f>L1483-H1483</f>
        <v>5100</v>
      </c>
      <c r="O1483" s="86"/>
      <c r="P1483" s="1817" t="e">
        <f>INDEX(#REF!,MATCH(F1483,#REF!,0),2)</f>
        <v>#REF!</v>
      </c>
      <c r="Q1483" s="1779"/>
      <c r="R1483" s="1779"/>
      <c r="S1483" s="1779"/>
      <c r="T1483" s="1779"/>
      <c r="U1483" s="1779"/>
      <c r="V1483" s="1779"/>
      <c r="W1483" s="43"/>
      <c r="X1483" s="1779"/>
      <c r="Y1483" s="1779"/>
      <c r="Z1483" s="1779"/>
      <c r="AA1483" s="1779"/>
      <c r="AB1483" s="1779"/>
      <c r="AC1483" s="1779"/>
      <c r="AD1483" s="1779"/>
      <c r="AE1483" s="1779"/>
      <c r="AF1483" s="1779"/>
      <c r="AG1483" s="1779"/>
      <c r="AH1483" s="1779"/>
      <c r="AI1483" s="1779"/>
      <c r="AJ1483" s="1779"/>
      <c r="AK1483" s="1779"/>
      <c r="AL1483" s="1779"/>
      <c r="AM1483" s="1779"/>
      <c r="AN1483" s="1779"/>
      <c r="AO1483" s="1779"/>
      <c r="AP1483" s="1779"/>
      <c r="AQ1483" s="1779"/>
      <c r="AR1483" s="1779"/>
      <c r="AS1483" s="1779"/>
      <c r="AT1483" s="1779"/>
      <c r="AU1483" s="1779"/>
      <c r="AV1483" s="1779"/>
    </row>
    <row r="1484" spans="1:48" ht="78.599999999999994" customHeight="1">
      <c r="A1484" s="418"/>
      <c r="B1484" s="418" t="s">
        <v>1248</v>
      </c>
      <c r="C1484" s="418" t="s">
        <v>507</v>
      </c>
      <c r="D1484" s="1614"/>
      <c r="E1484" s="2224" t="s">
        <v>1905</v>
      </c>
      <c r="F1484" s="505">
        <v>2239</v>
      </c>
      <c r="G1484" s="410" t="s">
        <v>717</v>
      </c>
      <c r="H1484" s="2822"/>
      <c r="I1484" s="2779">
        <v>50</v>
      </c>
      <c r="J1484" s="2776"/>
      <c r="K1484" s="2829"/>
      <c r="L1484" s="2778"/>
      <c r="M1484" s="2779">
        <v>50</v>
      </c>
      <c r="N1484" s="2804"/>
      <c r="O1484" s="86"/>
      <c r="P1484" s="1817" t="e">
        <f>INDEX(#REF!,MATCH(F1484,#REF!,0),2)</f>
        <v>#REF!</v>
      </c>
      <c r="Q1484" s="1779"/>
      <c r="R1484" s="1779"/>
      <c r="S1484" s="1779"/>
      <c r="T1484" s="1779"/>
      <c r="U1484" s="1779"/>
      <c r="V1484" s="1779"/>
      <c r="W1484" s="43"/>
      <c r="X1484" s="1779"/>
      <c r="Y1484" s="1779"/>
      <c r="Z1484" s="1779"/>
      <c r="AA1484" s="1779"/>
      <c r="AB1484" s="1779"/>
      <c r="AC1484" s="1779"/>
      <c r="AD1484" s="1779"/>
      <c r="AE1484" s="1779"/>
      <c r="AF1484" s="1779"/>
      <c r="AG1484" s="1779"/>
      <c r="AH1484" s="1779"/>
      <c r="AI1484" s="1779"/>
      <c r="AJ1484" s="1779"/>
      <c r="AK1484" s="1779"/>
      <c r="AL1484" s="1779"/>
      <c r="AM1484" s="1779"/>
      <c r="AN1484" s="1779"/>
      <c r="AO1484" s="1779"/>
      <c r="AP1484" s="1779"/>
      <c r="AQ1484" s="1779"/>
      <c r="AR1484" s="1779"/>
      <c r="AS1484" s="1779"/>
      <c r="AT1484" s="1779"/>
      <c r="AU1484" s="1779"/>
      <c r="AV1484" s="1779"/>
    </row>
    <row r="1485" spans="1:48" ht="20.45" customHeight="1">
      <c r="A1485" s="412" t="s">
        <v>1480</v>
      </c>
      <c r="B1485" s="412" t="s">
        <v>1248</v>
      </c>
      <c r="C1485" s="412" t="s">
        <v>507</v>
      </c>
      <c r="D1485" s="1590"/>
      <c r="E1485" s="2224" t="s">
        <v>1905</v>
      </c>
      <c r="F1485" s="505">
        <v>2239</v>
      </c>
      <c r="G1485" s="410" t="s">
        <v>1483</v>
      </c>
      <c r="H1485" s="2814"/>
      <c r="I1485" s="2800">
        <v>12000</v>
      </c>
      <c r="J1485" s="2815"/>
      <c r="K1485" s="2821"/>
      <c r="L1485" s="2803"/>
      <c r="M1485" s="2800">
        <v>13200.000000000002</v>
      </c>
      <c r="N1485" s="2561" t="s">
        <v>3788</v>
      </c>
      <c r="O1485" s="86"/>
      <c r="P1485" s="1817" t="e">
        <f>INDEX(#REF!,MATCH(F1485,#REF!,0),2)</f>
        <v>#REF!</v>
      </c>
      <c r="Q1485" s="1779"/>
      <c r="R1485" s="1779"/>
      <c r="S1485" s="1779"/>
      <c r="T1485" s="1779"/>
      <c r="U1485" s="1779"/>
      <c r="V1485" s="1779"/>
      <c r="W1485" s="43"/>
      <c r="X1485" s="1779"/>
      <c r="Y1485" s="1779"/>
      <c r="Z1485" s="1779"/>
      <c r="AA1485" s="1779"/>
      <c r="AB1485" s="1779"/>
      <c r="AC1485" s="1779"/>
      <c r="AD1485" s="1779"/>
      <c r="AE1485" s="1779"/>
      <c r="AF1485" s="1779"/>
      <c r="AG1485" s="1779"/>
      <c r="AH1485" s="1779"/>
      <c r="AI1485" s="1779"/>
      <c r="AJ1485" s="1779"/>
      <c r="AK1485" s="1779"/>
      <c r="AL1485" s="1779"/>
      <c r="AM1485" s="1779"/>
      <c r="AN1485" s="1779"/>
      <c r="AO1485" s="1779"/>
      <c r="AP1485" s="1779"/>
      <c r="AQ1485" s="1779"/>
      <c r="AR1485" s="1779"/>
      <c r="AS1485" s="1779"/>
      <c r="AT1485" s="1779"/>
      <c r="AU1485" s="1779"/>
      <c r="AV1485" s="1779"/>
    </row>
    <row r="1486" spans="1:48" ht="20.45" customHeight="1">
      <c r="A1486" s="412" t="s">
        <v>1485</v>
      </c>
      <c r="B1486" s="412" t="s">
        <v>1248</v>
      </c>
      <c r="C1486" s="412" t="s">
        <v>507</v>
      </c>
      <c r="D1486" s="1590"/>
      <c r="E1486" s="2224" t="s">
        <v>1905</v>
      </c>
      <c r="F1486" s="505">
        <v>2239</v>
      </c>
      <c r="G1486" s="410" t="s">
        <v>1484</v>
      </c>
      <c r="H1486" s="2814"/>
      <c r="I1486" s="2800">
        <v>3200</v>
      </c>
      <c r="J1486" s="2815"/>
      <c r="K1486" s="2821"/>
      <c r="L1486" s="2803"/>
      <c r="M1486" s="2800">
        <v>5200</v>
      </c>
      <c r="N1486" s="2561" t="s">
        <v>3789</v>
      </c>
      <c r="O1486" s="86"/>
      <c r="P1486" s="1817" t="e">
        <f>INDEX(#REF!,MATCH(F1486,#REF!,0),2)</f>
        <v>#REF!</v>
      </c>
      <c r="Q1486" s="1779"/>
      <c r="R1486" s="1779"/>
      <c r="S1486" s="1779"/>
      <c r="T1486" s="1779"/>
      <c r="U1486" s="1779"/>
      <c r="V1486" s="1779"/>
      <c r="W1486" s="43"/>
      <c r="X1486" s="1779"/>
      <c r="Y1486" s="1779"/>
      <c r="Z1486" s="1779"/>
      <c r="AA1486" s="1779"/>
      <c r="AB1486" s="1779"/>
      <c r="AC1486" s="1779"/>
      <c r="AD1486" s="1779"/>
      <c r="AE1486" s="1779"/>
      <c r="AF1486" s="1779"/>
      <c r="AG1486" s="1779"/>
      <c r="AH1486" s="1779"/>
      <c r="AI1486" s="1779"/>
      <c r="AJ1486" s="1779"/>
      <c r="AK1486" s="1779"/>
      <c r="AL1486" s="1779"/>
      <c r="AM1486" s="1779"/>
      <c r="AN1486" s="1779"/>
      <c r="AO1486" s="1779"/>
      <c r="AP1486" s="1779"/>
      <c r="AQ1486" s="1779"/>
      <c r="AR1486" s="1779"/>
      <c r="AS1486" s="1779"/>
      <c r="AT1486" s="1779"/>
      <c r="AU1486" s="1779"/>
      <c r="AV1486" s="1779"/>
    </row>
    <row r="1487" spans="1:48" ht="13.15" customHeight="1">
      <c r="A1487" s="412" t="s">
        <v>1487</v>
      </c>
      <c r="B1487" s="412" t="s">
        <v>1248</v>
      </c>
      <c r="C1487" s="412" t="s">
        <v>507</v>
      </c>
      <c r="D1487" s="1590"/>
      <c r="E1487" s="2224" t="s">
        <v>1905</v>
      </c>
      <c r="F1487" s="505">
        <v>2239</v>
      </c>
      <c r="G1487" s="410" t="s">
        <v>1486</v>
      </c>
      <c r="H1487" s="2814"/>
      <c r="I1487" s="2800">
        <v>200</v>
      </c>
      <c r="J1487" s="2815"/>
      <c r="K1487" s="2821"/>
      <c r="L1487" s="2803"/>
      <c r="M1487" s="2800">
        <v>350</v>
      </c>
      <c r="N1487" s="2561" t="s">
        <v>3790</v>
      </c>
      <c r="O1487" s="86"/>
      <c r="P1487" s="1817" t="e">
        <f>INDEX(#REF!,MATCH(F1487,#REF!,0),2)</f>
        <v>#REF!</v>
      </c>
      <c r="Q1487" s="1779"/>
      <c r="R1487" s="1779"/>
      <c r="S1487" s="1779"/>
      <c r="T1487" s="1779"/>
      <c r="U1487" s="1779"/>
      <c r="V1487" s="1779"/>
      <c r="W1487" s="43"/>
      <c r="X1487" s="1779"/>
      <c r="Y1487" s="1779"/>
      <c r="Z1487" s="1779"/>
      <c r="AA1487" s="1779"/>
      <c r="AB1487" s="1779"/>
      <c r="AC1487" s="1779"/>
      <c r="AD1487" s="1779"/>
      <c r="AE1487" s="1779"/>
      <c r="AF1487" s="1779"/>
      <c r="AG1487" s="1779"/>
      <c r="AH1487" s="1779"/>
      <c r="AI1487" s="1779"/>
      <c r="AJ1487" s="1779"/>
      <c r="AK1487" s="1779"/>
      <c r="AL1487" s="1779"/>
      <c r="AM1487" s="1779"/>
      <c r="AN1487" s="1779"/>
      <c r="AO1487" s="1779"/>
      <c r="AP1487" s="1779"/>
      <c r="AQ1487" s="1779"/>
      <c r="AR1487" s="1779"/>
      <c r="AS1487" s="1779"/>
      <c r="AT1487" s="1779"/>
      <c r="AU1487" s="1779"/>
      <c r="AV1487" s="1779"/>
    </row>
    <row r="1488" spans="1:48" ht="13.15" customHeight="1">
      <c r="A1488" s="1563" t="s">
        <v>1487</v>
      </c>
      <c r="B1488" s="412" t="s">
        <v>1248</v>
      </c>
      <c r="C1488" s="412" t="s">
        <v>507</v>
      </c>
      <c r="D1488" s="1636"/>
      <c r="E1488" s="2224" t="s">
        <v>1905</v>
      </c>
      <c r="F1488" s="1642">
        <v>2239</v>
      </c>
      <c r="G1488" s="1567" t="s">
        <v>2269</v>
      </c>
      <c r="H1488" s="2814"/>
      <c r="I1488" s="2800">
        <v>250</v>
      </c>
      <c r="J1488" s="2815"/>
      <c r="K1488" s="2821"/>
      <c r="L1488" s="2803"/>
      <c r="M1488" s="2800">
        <v>2000</v>
      </c>
      <c r="N1488" s="2561" t="s">
        <v>3791</v>
      </c>
      <c r="O1488" s="86"/>
      <c r="P1488" s="1817" t="e">
        <f>INDEX(#REF!,MATCH(F1488,#REF!,0),2)</f>
        <v>#REF!</v>
      </c>
      <c r="Q1488" s="1779"/>
      <c r="R1488" s="1779"/>
      <c r="S1488" s="1779"/>
      <c r="T1488" s="1779"/>
      <c r="U1488" s="1779"/>
      <c r="V1488" s="1779"/>
      <c r="W1488" s="43"/>
      <c r="X1488" s="1779"/>
      <c r="Y1488" s="1779"/>
      <c r="Z1488" s="1779"/>
      <c r="AA1488" s="1779"/>
      <c r="AB1488" s="1779"/>
      <c r="AC1488" s="1779"/>
      <c r="AD1488" s="1779"/>
      <c r="AE1488" s="1779"/>
      <c r="AF1488" s="1779"/>
      <c r="AG1488" s="1779"/>
      <c r="AH1488" s="1779"/>
      <c r="AI1488" s="1779"/>
      <c r="AJ1488" s="1779"/>
      <c r="AK1488" s="1779"/>
      <c r="AL1488" s="1779"/>
      <c r="AM1488" s="1779"/>
      <c r="AN1488" s="1779"/>
      <c r="AO1488" s="1779"/>
      <c r="AP1488" s="1779"/>
      <c r="AQ1488" s="1779"/>
      <c r="AR1488" s="1779"/>
      <c r="AS1488" s="1779"/>
      <c r="AT1488" s="1779"/>
      <c r="AU1488" s="1779"/>
      <c r="AV1488" s="1779"/>
    </row>
    <row r="1489" spans="1:48" ht="11.45" customHeight="1">
      <c r="A1489" s="412"/>
      <c r="B1489" s="412" t="s">
        <v>1248</v>
      </c>
      <c r="C1489" s="412" t="s">
        <v>507</v>
      </c>
      <c r="D1489" s="1590"/>
      <c r="E1489" s="2224" t="s">
        <v>1905</v>
      </c>
      <c r="F1489" s="505">
        <v>2239</v>
      </c>
      <c r="G1489" s="410" t="s">
        <v>718</v>
      </c>
      <c r="H1489" s="2814"/>
      <c r="I1489" s="2800">
        <v>300</v>
      </c>
      <c r="J1489" s="2815"/>
      <c r="K1489" s="2821"/>
      <c r="L1489" s="2803"/>
      <c r="M1489" s="2800">
        <v>300</v>
      </c>
      <c r="N1489" s="2804"/>
      <c r="O1489" s="86"/>
      <c r="P1489" s="1817" t="e">
        <f>INDEX(#REF!,MATCH(F1489,#REF!,0),2)</f>
        <v>#REF!</v>
      </c>
      <c r="Q1489" s="1779"/>
      <c r="R1489" s="1779"/>
      <c r="S1489" s="1779"/>
      <c r="T1489" s="1779"/>
      <c r="U1489" s="1779"/>
      <c r="V1489" s="1779"/>
      <c r="W1489" s="43"/>
      <c r="X1489" s="1779"/>
      <c r="Y1489" s="1779"/>
      <c r="Z1489" s="1779"/>
      <c r="AA1489" s="1779"/>
      <c r="AB1489" s="1779"/>
      <c r="AC1489" s="1779"/>
      <c r="AD1489" s="1779"/>
      <c r="AE1489" s="1779"/>
      <c r="AF1489" s="1779"/>
      <c r="AG1489" s="1779"/>
      <c r="AH1489" s="1779"/>
      <c r="AI1489" s="1779"/>
      <c r="AJ1489" s="1779"/>
      <c r="AK1489" s="1779"/>
      <c r="AL1489" s="1779"/>
      <c r="AM1489" s="1779"/>
      <c r="AN1489" s="1779"/>
      <c r="AO1489" s="1779"/>
      <c r="AP1489" s="1779"/>
      <c r="AQ1489" s="1779"/>
      <c r="AR1489" s="1779"/>
      <c r="AS1489" s="1779"/>
      <c r="AT1489" s="1779"/>
      <c r="AU1489" s="1779"/>
      <c r="AV1489" s="1779"/>
    </row>
    <row r="1490" spans="1:48" ht="11.45" customHeight="1">
      <c r="A1490" s="412" t="s">
        <v>1491</v>
      </c>
      <c r="B1490" s="412" t="s">
        <v>1248</v>
      </c>
      <c r="C1490" s="412" t="s">
        <v>507</v>
      </c>
      <c r="D1490" s="1590"/>
      <c r="E1490" s="2224" t="s">
        <v>1905</v>
      </c>
      <c r="F1490" s="505">
        <v>2239</v>
      </c>
      <c r="G1490" s="410" t="s">
        <v>1490</v>
      </c>
      <c r="H1490" s="2814"/>
      <c r="I1490" s="2800">
        <v>300</v>
      </c>
      <c r="J1490" s="2815"/>
      <c r="K1490" s="2821"/>
      <c r="L1490" s="2803"/>
      <c r="M1490" s="2800">
        <v>300</v>
      </c>
      <c r="N1490" s="2804"/>
      <c r="O1490" s="86"/>
      <c r="P1490" s="1817" t="e">
        <f>INDEX(#REF!,MATCH(F1490,#REF!,0),2)</f>
        <v>#REF!</v>
      </c>
      <c r="Q1490" s="1779"/>
      <c r="R1490" s="1779"/>
      <c r="S1490" s="1779"/>
      <c r="T1490" s="1779"/>
      <c r="U1490" s="1779"/>
      <c r="V1490" s="1779"/>
      <c r="W1490" s="43"/>
      <c r="X1490" s="1779"/>
      <c r="Y1490" s="1779"/>
      <c r="Z1490" s="1779"/>
      <c r="AA1490" s="1779"/>
      <c r="AB1490" s="1779"/>
      <c r="AC1490" s="1779"/>
      <c r="AD1490" s="1779"/>
      <c r="AE1490" s="1779"/>
      <c r="AF1490" s="1779"/>
      <c r="AG1490" s="1779"/>
      <c r="AH1490" s="1779"/>
      <c r="AI1490" s="1779"/>
      <c r="AJ1490" s="1779"/>
      <c r="AK1490" s="1779"/>
      <c r="AL1490" s="1779"/>
      <c r="AM1490" s="1779"/>
      <c r="AN1490" s="1779"/>
      <c r="AO1490" s="1779"/>
      <c r="AP1490" s="1779"/>
      <c r="AQ1490" s="1779"/>
      <c r="AR1490" s="1779"/>
      <c r="AS1490" s="1779"/>
      <c r="AT1490" s="1779"/>
      <c r="AU1490" s="1779"/>
      <c r="AV1490" s="1779"/>
    </row>
    <row r="1491" spans="1:48" ht="45.6" customHeight="1">
      <c r="A1491" s="412" t="s">
        <v>972</v>
      </c>
      <c r="B1491" s="412" t="s">
        <v>1248</v>
      </c>
      <c r="C1491" s="412" t="s">
        <v>507</v>
      </c>
      <c r="D1491" s="1590"/>
      <c r="E1491" s="2224" t="s">
        <v>1905</v>
      </c>
      <c r="F1491" s="505">
        <v>2239</v>
      </c>
      <c r="G1491" s="410" t="s">
        <v>1482</v>
      </c>
      <c r="H1491" s="2814"/>
      <c r="I1491" s="2800">
        <v>200</v>
      </c>
      <c r="J1491" s="2815"/>
      <c r="K1491" s="2821"/>
      <c r="L1491" s="2803"/>
      <c r="M1491" s="2800">
        <v>200</v>
      </c>
      <c r="N1491" s="2804"/>
      <c r="O1491" s="86"/>
      <c r="P1491" s="1817" t="e">
        <f>INDEX(#REF!,MATCH(F1491,#REF!,0),2)</f>
        <v>#REF!</v>
      </c>
      <c r="Q1491" s="43"/>
      <c r="R1491" s="43"/>
      <c r="S1491" s="43"/>
      <c r="T1491" s="43"/>
      <c r="U1491" s="43"/>
      <c r="V1491" s="43"/>
      <c r="W1491" s="43"/>
      <c r="X1491" s="43"/>
      <c r="Y1491" s="43"/>
      <c r="Z1491" s="43"/>
      <c r="AA1491" s="43"/>
      <c r="AB1491" s="43"/>
      <c r="AC1491" s="43"/>
      <c r="AD1491" s="43"/>
      <c r="AE1491" s="43"/>
      <c r="AF1491" s="43"/>
      <c r="AG1491" s="43"/>
    </row>
    <row r="1492" spans="1:48">
      <c r="A1492" s="412"/>
      <c r="B1492" s="412" t="s">
        <v>1248</v>
      </c>
      <c r="C1492" s="412" t="s">
        <v>507</v>
      </c>
      <c r="D1492" s="1590"/>
      <c r="E1492" s="2224" t="s">
        <v>1905</v>
      </c>
      <c r="F1492" s="505">
        <v>2239</v>
      </c>
      <c r="G1492" s="410" t="s">
        <v>812</v>
      </c>
      <c r="H1492" s="2814"/>
      <c r="I1492" s="2800">
        <v>350</v>
      </c>
      <c r="J1492" s="2815"/>
      <c r="K1492" s="2821"/>
      <c r="L1492" s="2803"/>
      <c r="M1492" s="2800">
        <v>350</v>
      </c>
      <c r="N1492" s="2804"/>
      <c r="O1492" s="86"/>
      <c r="P1492" s="1817" t="e">
        <f>INDEX(#REF!,MATCH(F1492,#REF!,0),2)</f>
        <v>#REF!</v>
      </c>
    </row>
    <row r="1493" spans="1:48" ht="45">
      <c r="A1493" s="412"/>
      <c r="B1493" s="412" t="s">
        <v>1248</v>
      </c>
      <c r="C1493" s="412" t="s">
        <v>509</v>
      </c>
      <c r="D1493" s="1590"/>
      <c r="E1493" s="2224" t="s">
        <v>1905</v>
      </c>
      <c r="F1493" s="505">
        <v>2239</v>
      </c>
      <c r="G1493" s="410" t="s">
        <v>1492</v>
      </c>
      <c r="H1493" s="2814"/>
      <c r="I1493" s="2800">
        <v>500</v>
      </c>
      <c r="J1493" s="2815"/>
      <c r="K1493" s="2821"/>
      <c r="L1493" s="2803"/>
      <c r="M1493" s="2800">
        <v>500</v>
      </c>
      <c r="N1493" s="2804"/>
      <c r="O1493" s="86"/>
      <c r="P1493" s="1817" t="e">
        <f>INDEX(#REF!,MATCH(F1493,#REF!,0),2)</f>
        <v>#REF!</v>
      </c>
    </row>
    <row r="1494" spans="1:48" ht="15.6" customHeight="1">
      <c r="A1494" s="988"/>
      <c r="B1494" s="988" t="s">
        <v>1248</v>
      </c>
      <c r="C1494" s="988" t="s">
        <v>505</v>
      </c>
      <c r="D1494" s="1589">
        <v>960</v>
      </c>
      <c r="E1494" s="2223" t="s">
        <v>1905</v>
      </c>
      <c r="F1494" s="1010">
        <v>2241</v>
      </c>
      <c r="G1494" s="990" t="s">
        <v>276</v>
      </c>
      <c r="H1494" s="2823">
        <v>0</v>
      </c>
      <c r="I1494" s="2823"/>
      <c r="J1494" s="2824"/>
      <c r="K1494" s="2825"/>
      <c r="L1494" s="2823">
        <v>0</v>
      </c>
      <c r="M1494" s="2823"/>
      <c r="N1494" s="2804"/>
      <c r="O1494" s="86"/>
      <c r="P1494" s="1817" t="e">
        <f>INDEX(#REF!,MATCH(F1494,#REF!,0),2)</f>
        <v>#REF!</v>
      </c>
      <c r="Q1494" s="1779"/>
      <c r="R1494" s="1779"/>
      <c r="S1494" s="1779"/>
      <c r="T1494" s="1779"/>
      <c r="U1494" s="1779"/>
      <c r="V1494" s="1779"/>
      <c r="W1494" s="43"/>
      <c r="X1494" s="1779"/>
      <c r="Y1494" s="1779"/>
      <c r="Z1494" s="1779"/>
      <c r="AA1494" s="1779"/>
      <c r="AB1494" s="1779"/>
      <c r="AC1494" s="1779"/>
      <c r="AD1494" s="1779"/>
      <c r="AE1494" s="1779"/>
      <c r="AF1494" s="1779"/>
      <c r="AG1494" s="1779"/>
      <c r="AH1494" s="1779"/>
      <c r="AI1494" s="1779"/>
      <c r="AJ1494" s="1779"/>
      <c r="AK1494" s="1779"/>
      <c r="AL1494" s="1779"/>
      <c r="AM1494" s="1779"/>
      <c r="AN1494" s="1779"/>
      <c r="AO1494" s="1779"/>
      <c r="AP1494" s="1779"/>
      <c r="AQ1494" s="1779"/>
      <c r="AR1494" s="1779"/>
      <c r="AS1494" s="1779"/>
      <c r="AT1494" s="1779"/>
      <c r="AU1494" s="1779"/>
      <c r="AV1494" s="1779"/>
    </row>
    <row r="1495" spans="1:48" ht="15.6" customHeight="1">
      <c r="A1495" s="1003"/>
      <c r="B1495" s="1003" t="s">
        <v>1248</v>
      </c>
      <c r="C1495" s="1003" t="s">
        <v>505</v>
      </c>
      <c r="D1495" s="1590"/>
      <c r="E1495" s="2224" t="s">
        <v>1905</v>
      </c>
      <c r="F1495" s="1011">
        <v>2241</v>
      </c>
      <c r="G1495" s="1007" t="s">
        <v>1560</v>
      </c>
      <c r="H1495" s="2830"/>
      <c r="I1495" s="2826"/>
      <c r="J1495" s="2827"/>
      <c r="K1495" s="2831"/>
      <c r="L1495" s="2826"/>
      <c r="M1495" s="2826"/>
      <c r="N1495" s="2804"/>
      <c r="O1495" s="86"/>
      <c r="P1495" s="1817" t="e">
        <f>INDEX(#REF!,MATCH(F1495,#REF!,0),2)</f>
        <v>#REF!</v>
      </c>
      <c r="Q1495" s="1779"/>
      <c r="R1495" s="1779"/>
      <c r="S1495" s="1779"/>
      <c r="T1495" s="1779"/>
      <c r="U1495" s="1779"/>
      <c r="V1495" s="1779"/>
      <c r="W1495" s="43"/>
      <c r="X1495" s="1779"/>
      <c r="Y1495" s="1779"/>
      <c r="Z1495" s="1779"/>
      <c r="AA1495" s="1779"/>
      <c r="AB1495" s="1779"/>
      <c r="AC1495" s="1779"/>
      <c r="AD1495" s="1779"/>
      <c r="AE1495" s="1779"/>
      <c r="AF1495" s="1779"/>
      <c r="AG1495" s="1779"/>
      <c r="AH1495" s="1779"/>
      <c r="AI1495" s="1779"/>
      <c r="AJ1495" s="1779"/>
      <c r="AK1495" s="1779"/>
      <c r="AL1495" s="1779"/>
      <c r="AM1495" s="1779"/>
      <c r="AN1495" s="1779"/>
      <c r="AO1495" s="1779"/>
      <c r="AP1495" s="1779"/>
      <c r="AQ1495" s="1779"/>
      <c r="AR1495" s="1779"/>
      <c r="AS1495" s="1779"/>
      <c r="AT1495" s="1779"/>
      <c r="AU1495" s="1779"/>
      <c r="AV1495" s="1779"/>
    </row>
    <row r="1496" spans="1:48" ht="21" customHeight="1">
      <c r="A1496" s="506"/>
      <c r="B1496" s="506" t="s">
        <v>1248</v>
      </c>
      <c r="C1496" s="506" t="s">
        <v>505</v>
      </c>
      <c r="D1496" s="1589">
        <v>960</v>
      </c>
      <c r="E1496" s="2223" t="s">
        <v>1905</v>
      </c>
      <c r="F1496" s="540">
        <v>2243</v>
      </c>
      <c r="G1496" s="411" t="s">
        <v>279</v>
      </c>
      <c r="H1496" s="2817">
        <v>7452</v>
      </c>
      <c r="I1496" s="2818"/>
      <c r="J1496" s="2819">
        <v>3872.35</v>
      </c>
      <c r="K1496" s="2816"/>
      <c r="L1496" s="2818">
        <v>8500</v>
      </c>
      <c r="M1496" s="2818"/>
      <c r="N1496" s="2804"/>
      <c r="O1496" s="86"/>
      <c r="P1496" s="1817" t="e">
        <f>INDEX(#REF!,MATCH(F1496,#REF!,0),2)</f>
        <v>#REF!</v>
      </c>
      <c r="Q1496" s="1779"/>
      <c r="R1496" s="1779"/>
      <c r="S1496" s="1779"/>
      <c r="T1496" s="1779"/>
      <c r="U1496" s="1779"/>
      <c r="V1496" s="1779"/>
      <c r="W1496" s="43"/>
      <c r="X1496" s="1779"/>
      <c r="Y1496" s="1779"/>
      <c r="Z1496" s="1779"/>
      <c r="AA1496" s="1779"/>
      <c r="AB1496" s="1779"/>
      <c r="AC1496" s="1779"/>
      <c r="AD1496" s="1779"/>
      <c r="AE1496" s="1779"/>
      <c r="AF1496" s="1779"/>
      <c r="AG1496" s="1779"/>
      <c r="AH1496" s="1779"/>
      <c r="AI1496" s="1779"/>
      <c r="AJ1496" s="1779"/>
      <c r="AK1496" s="1779"/>
      <c r="AL1496" s="1779"/>
      <c r="AM1496" s="1779"/>
      <c r="AN1496" s="1779"/>
      <c r="AO1496" s="1779"/>
      <c r="AP1496" s="1779"/>
      <c r="AQ1496" s="1779"/>
      <c r="AR1496" s="1779"/>
      <c r="AS1496" s="1779"/>
      <c r="AT1496" s="1779"/>
      <c r="AU1496" s="1779"/>
      <c r="AV1496" s="1779"/>
    </row>
    <row r="1497" spans="1:48" ht="15.6" customHeight="1">
      <c r="A1497" s="412"/>
      <c r="B1497" s="412" t="s">
        <v>1248</v>
      </c>
      <c r="C1497" s="412" t="s">
        <v>505</v>
      </c>
      <c r="D1497" s="1590"/>
      <c r="E1497" s="2224" t="s">
        <v>1905</v>
      </c>
      <c r="F1497" s="505">
        <v>2243</v>
      </c>
      <c r="G1497" s="410" t="s">
        <v>523</v>
      </c>
      <c r="H1497" s="2822"/>
      <c r="I1497" s="2779">
        <v>5000</v>
      </c>
      <c r="J1497" s="2776"/>
      <c r="K1497" s="2777"/>
      <c r="L1497" s="2779"/>
      <c r="M1497" s="2779">
        <v>5000</v>
      </c>
      <c r="N1497" s="2804"/>
      <c r="O1497" s="86"/>
      <c r="P1497" s="1817" t="e">
        <f>INDEX(#REF!,MATCH(F1497,#REF!,0),2)</f>
        <v>#REF!</v>
      </c>
      <c r="Q1497" s="1779"/>
      <c r="R1497" s="1779"/>
      <c r="S1497" s="1779"/>
      <c r="T1497" s="1779"/>
      <c r="U1497" s="1779"/>
      <c r="V1497" s="1779"/>
      <c r="W1497" s="43"/>
      <c r="X1497" s="1779"/>
      <c r="Y1497" s="1779"/>
      <c r="Z1497" s="1779"/>
      <c r="AA1497" s="1779"/>
      <c r="AB1497" s="1779"/>
      <c r="AC1497" s="1779"/>
      <c r="AD1497" s="1779"/>
      <c r="AE1497" s="1779"/>
      <c r="AF1497" s="1779"/>
      <c r="AG1497" s="1779"/>
      <c r="AH1497" s="1779"/>
      <c r="AI1497" s="1779"/>
      <c r="AJ1497" s="1779"/>
      <c r="AK1497" s="1779"/>
      <c r="AL1497" s="1779"/>
      <c r="AM1497" s="1779"/>
      <c r="AN1497" s="1779"/>
      <c r="AO1497" s="1779"/>
      <c r="AP1497" s="1779"/>
      <c r="AQ1497" s="1779"/>
      <c r="AR1497" s="1779"/>
      <c r="AS1497" s="1779"/>
      <c r="AT1497" s="1779"/>
      <c r="AU1497" s="1779"/>
      <c r="AV1497" s="1779"/>
    </row>
    <row r="1498" spans="1:48" ht="15.6" customHeight="1">
      <c r="A1498" s="412"/>
      <c r="B1498" s="412" t="s">
        <v>1248</v>
      </c>
      <c r="C1498" s="412" t="s">
        <v>505</v>
      </c>
      <c r="D1498" s="1590"/>
      <c r="E1498" s="2224" t="s">
        <v>1905</v>
      </c>
      <c r="F1498" s="505">
        <v>2243</v>
      </c>
      <c r="G1498" s="410" t="s">
        <v>607</v>
      </c>
      <c r="H1498" s="2822"/>
      <c r="I1498" s="2779">
        <v>600</v>
      </c>
      <c r="J1498" s="2776"/>
      <c r="K1498" s="2777"/>
      <c r="L1498" s="2779"/>
      <c r="M1498" s="2779">
        <v>1000</v>
      </c>
      <c r="N1498" s="2807" t="s">
        <v>3793</v>
      </c>
      <c r="O1498" s="86"/>
      <c r="P1498" s="1817" t="e">
        <f>INDEX(#REF!,MATCH(F1498,#REF!,0),2)</f>
        <v>#REF!</v>
      </c>
      <c r="Q1498" s="1779"/>
      <c r="R1498" s="1779"/>
      <c r="S1498" s="1779"/>
      <c r="T1498" s="1779"/>
      <c r="U1498" s="1779"/>
      <c r="V1498" s="1779"/>
      <c r="W1498" s="43"/>
      <c r="X1498" s="1779"/>
      <c r="Y1498" s="1779"/>
      <c r="Z1498" s="1779"/>
      <c r="AA1498" s="1779"/>
      <c r="AB1498" s="1779"/>
      <c r="AC1498" s="1779"/>
      <c r="AD1498" s="1779"/>
      <c r="AE1498" s="1779"/>
      <c r="AF1498" s="1779"/>
      <c r="AG1498" s="1779"/>
      <c r="AH1498" s="1779"/>
      <c r="AI1498" s="1779"/>
      <c r="AJ1498" s="1779"/>
      <c r="AK1498" s="1779"/>
      <c r="AL1498" s="1779"/>
      <c r="AM1498" s="1779"/>
      <c r="AN1498" s="1779"/>
      <c r="AO1498" s="1779"/>
      <c r="AP1498" s="1779"/>
      <c r="AQ1498" s="1779"/>
      <c r="AR1498" s="1779"/>
      <c r="AS1498" s="1779"/>
      <c r="AT1498" s="1779"/>
      <c r="AU1498" s="1779"/>
      <c r="AV1498" s="1779"/>
    </row>
    <row r="1499" spans="1:48" ht="20.45" customHeight="1">
      <c r="A1499" s="412"/>
      <c r="B1499" s="412" t="s">
        <v>1248</v>
      </c>
      <c r="C1499" s="412" t="s">
        <v>505</v>
      </c>
      <c r="D1499" s="1590"/>
      <c r="E1499" s="2224" t="s">
        <v>1905</v>
      </c>
      <c r="F1499" s="505">
        <v>2243</v>
      </c>
      <c r="G1499" s="410" t="s">
        <v>474</v>
      </c>
      <c r="H1499" s="2822"/>
      <c r="I1499" s="2779">
        <v>500</v>
      </c>
      <c r="J1499" s="2776"/>
      <c r="K1499" s="2777"/>
      <c r="L1499" s="2779"/>
      <c r="M1499" s="2779">
        <v>500</v>
      </c>
      <c r="N1499" s="2807"/>
      <c r="O1499" s="86"/>
      <c r="P1499" s="1817" t="e">
        <f>INDEX(#REF!,MATCH(F1499,#REF!,0),2)</f>
        <v>#REF!</v>
      </c>
      <c r="Q1499" s="1779"/>
      <c r="R1499" s="1779"/>
      <c r="S1499" s="1779"/>
      <c r="T1499" s="1779"/>
      <c r="U1499" s="1779"/>
      <c r="V1499" s="1779"/>
      <c r="W1499" s="43"/>
      <c r="X1499" s="1779"/>
      <c r="Y1499" s="1779"/>
      <c r="Z1499" s="1779"/>
      <c r="AA1499" s="1779"/>
      <c r="AB1499" s="1779"/>
      <c r="AC1499" s="1779"/>
      <c r="AD1499" s="1779"/>
      <c r="AE1499" s="1779"/>
      <c r="AF1499" s="1779"/>
      <c r="AG1499" s="1779"/>
      <c r="AH1499" s="1779"/>
      <c r="AI1499" s="1779"/>
      <c r="AJ1499" s="1779"/>
      <c r="AK1499" s="1779"/>
      <c r="AL1499" s="1779"/>
      <c r="AM1499" s="1779"/>
      <c r="AN1499" s="1779"/>
      <c r="AO1499" s="1779"/>
      <c r="AP1499" s="1779"/>
      <c r="AQ1499" s="1779"/>
      <c r="AR1499" s="1779"/>
      <c r="AS1499" s="1779"/>
      <c r="AT1499" s="1779"/>
      <c r="AU1499" s="1779"/>
      <c r="AV1499" s="1779"/>
    </row>
    <row r="1500" spans="1:48">
      <c r="A1500" s="762"/>
      <c r="B1500" s="762" t="s">
        <v>1248</v>
      </c>
      <c r="C1500" s="412" t="s">
        <v>505</v>
      </c>
      <c r="D1500" s="1590"/>
      <c r="E1500" s="2224" t="s">
        <v>1905</v>
      </c>
      <c r="F1500" s="505">
        <v>2243</v>
      </c>
      <c r="G1500" s="772" t="s">
        <v>1493</v>
      </c>
      <c r="H1500" s="2822"/>
      <c r="I1500" s="2779">
        <v>1000</v>
      </c>
      <c r="J1500" s="2776"/>
      <c r="K1500" s="2777"/>
      <c r="L1500" s="2779"/>
      <c r="M1500" s="2779">
        <v>1000</v>
      </c>
      <c r="N1500" s="2807"/>
      <c r="O1500" s="86"/>
      <c r="P1500" s="1817" t="e">
        <f>INDEX(#REF!,MATCH(F1500,#REF!,0),2)</f>
        <v>#REF!</v>
      </c>
    </row>
    <row r="1501" spans="1:48" ht="22.5">
      <c r="A1501" s="412"/>
      <c r="B1501" s="412" t="s">
        <v>1248</v>
      </c>
      <c r="C1501" s="412" t="s">
        <v>505</v>
      </c>
      <c r="D1501" s="1590"/>
      <c r="E1501" s="2224" t="s">
        <v>1905</v>
      </c>
      <c r="F1501" s="505">
        <v>2243</v>
      </c>
      <c r="G1501" s="410" t="s">
        <v>555</v>
      </c>
      <c r="H1501" s="2822"/>
      <c r="I1501" s="2779">
        <v>400</v>
      </c>
      <c r="J1501" s="2776"/>
      <c r="K1501" s="2777"/>
      <c r="L1501" s="2779"/>
      <c r="M1501" s="2779">
        <v>1000</v>
      </c>
      <c r="N1501" s="2807" t="s">
        <v>3793</v>
      </c>
      <c r="O1501" s="86"/>
      <c r="P1501" s="1817" t="e">
        <f>INDEX(#REF!,MATCH(F1501,#REF!,0),2)</f>
        <v>#REF!</v>
      </c>
    </row>
    <row r="1502" spans="1:48">
      <c r="A1502" s="988"/>
      <c r="B1502" s="988" t="s">
        <v>1248</v>
      </c>
      <c r="C1502" s="988" t="s">
        <v>505</v>
      </c>
      <c r="D1502" s="1589">
        <v>960</v>
      </c>
      <c r="E1502" s="2223" t="s">
        <v>1905</v>
      </c>
      <c r="F1502" s="1010">
        <v>2244</v>
      </c>
      <c r="G1502" s="990" t="s">
        <v>518</v>
      </c>
      <c r="H1502" s="2823"/>
      <c r="I1502" s="2823"/>
      <c r="J1502" s="2824"/>
      <c r="K1502" s="2825"/>
      <c r="L1502" s="2832"/>
      <c r="M1502" s="2832"/>
      <c r="N1502" s="2804"/>
      <c r="O1502" s="86"/>
      <c r="P1502" s="1817" t="e">
        <f>INDEX(#REF!,MATCH(F1502,#REF!,0),2)</f>
        <v>#REF!</v>
      </c>
    </row>
    <row r="1503" spans="1:48" ht="45">
      <c r="A1503" s="1003"/>
      <c r="B1503" s="1003" t="s">
        <v>1248</v>
      </c>
      <c r="C1503" s="1003" t="s">
        <v>505</v>
      </c>
      <c r="D1503" s="1590"/>
      <c r="E1503" s="2224" t="s">
        <v>1905</v>
      </c>
      <c r="F1503" s="1011">
        <v>2244</v>
      </c>
      <c r="G1503" s="996" t="s">
        <v>1561</v>
      </c>
      <c r="H1503" s="2826"/>
      <c r="I1503" s="2826"/>
      <c r="J1503" s="2827"/>
      <c r="K1503" s="2831"/>
      <c r="L1503" s="2833"/>
      <c r="M1503" s="2833"/>
      <c r="N1503" s="2804"/>
      <c r="O1503" s="86"/>
      <c r="P1503" s="1817" t="e">
        <f>INDEX(#REF!,MATCH(F1503,#REF!,0),2)</f>
        <v>#REF!</v>
      </c>
    </row>
    <row r="1504" spans="1:48">
      <c r="A1504" s="988"/>
      <c r="B1504" s="988" t="s">
        <v>1248</v>
      </c>
      <c r="C1504" s="988" t="s">
        <v>505</v>
      </c>
      <c r="D1504" s="1589">
        <v>960</v>
      </c>
      <c r="E1504" s="2223" t="s">
        <v>1905</v>
      </c>
      <c r="F1504" s="1010">
        <v>2247</v>
      </c>
      <c r="G1504" s="990" t="s">
        <v>309</v>
      </c>
      <c r="H1504" s="2823">
        <v>11196</v>
      </c>
      <c r="I1504" s="2823"/>
      <c r="J1504" s="2824">
        <v>145.47999999999999</v>
      </c>
      <c r="K1504" s="2825"/>
      <c r="L1504" s="2823">
        <v>15000</v>
      </c>
      <c r="M1504" s="2823"/>
      <c r="N1504" s="2804">
        <f>M1506-I1506</f>
        <v>3950</v>
      </c>
      <c r="O1504" s="86"/>
      <c r="P1504" s="1817" t="e">
        <f>INDEX(#REF!,MATCH(F1504,#REF!,0),2)</f>
        <v>#REF!</v>
      </c>
    </row>
    <row r="1505" spans="1:48" ht="22.5">
      <c r="A1505" s="1003"/>
      <c r="B1505" s="1003" t="s">
        <v>1248</v>
      </c>
      <c r="C1505" s="1003" t="s">
        <v>505</v>
      </c>
      <c r="D1505" s="1590"/>
      <c r="E1505" s="2224" t="s">
        <v>1905</v>
      </c>
      <c r="F1505" s="1011">
        <v>2247</v>
      </c>
      <c r="G1505" s="996" t="s">
        <v>3138</v>
      </c>
      <c r="H1505" s="2833"/>
      <c r="I1505" s="2826">
        <v>146</v>
      </c>
      <c r="J1505" s="2827"/>
      <c r="K1505" s="2828"/>
      <c r="L1505" s="2826"/>
      <c r="M1505" s="2826"/>
      <c r="N1505" s="2807"/>
      <c r="O1505" s="86"/>
      <c r="P1505" s="1817" t="e">
        <f>INDEX(#REF!,MATCH(F1505,#REF!,0),2)</f>
        <v>#REF!</v>
      </c>
    </row>
    <row r="1506" spans="1:48" ht="11.45" customHeight="1">
      <c r="A1506" s="2775"/>
      <c r="B1506" s="1003" t="s">
        <v>1248</v>
      </c>
      <c r="C1506" s="1003" t="s">
        <v>505</v>
      </c>
      <c r="D1506" s="1590"/>
      <c r="E1506" s="2224" t="s">
        <v>1905</v>
      </c>
      <c r="F1506" s="1011">
        <v>2247</v>
      </c>
      <c r="G1506" s="2774" t="s">
        <v>3777</v>
      </c>
      <c r="H1506" s="2833"/>
      <c r="I1506" s="2826">
        <v>11050</v>
      </c>
      <c r="J1506" s="2827"/>
      <c r="K1506" s="2828"/>
      <c r="L1506" s="2826"/>
      <c r="M1506" s="2826">
        <v>15000</v>
      </c>
      <c r="N1506" s="2804" t="s">
        <v>3794</v>
      </c>
      <c r="O1506" s="86"/>
      <c r="P1506" s="1817"/>
      <c r="Q1506" s="1779"/>
      <c r="R1506" s="1779"/>
      <c r="S1506" s="1779"/>
      <c r="T1506" s="1779"/>
      <c r="U1506" s="1779"/>
      <c r="V1506" s="1779"/>
      <c r="W1506" s="43"/>
      <c r="X1506" s="1779"/>
      <c r="Y1506" s="1779"/>
      <c r="Z1506" s="1779"/>
      <c r="AA1506" s="1779"/>
      <c r="AB1506" s="1779"/>
      <c r="AC1506" s="1779"/>
      <c r="AD1506" s="1779"/>
      <c r="AE1506" s="1779"/>
      <c r="AF1506" s="1779"/>
      <c r="AG1506" s="1779"/>
      <c r="AH1506" s="1779"/>
      <c r="AI1506" s="1779"/>
      <c r="AJ1506" s="1779"/>
      <c r="AK1506" s="1779"/>
      <c r="AL1506" s="1779"/>
      <c r="AM1506" s="1779"/>
      <c r="AN1506" s="1779"/>
      <c r="AO1506" s="1779"/>
      <c r="AP1506" s="1779"/>
      <c r="AQ1506" s="1779"/>
      <c r="AR1506" s="1779"/>
      <c r="AS1506" s="1779"/>
      <c r="AT1506" s="1779"/>
      <c r="AU1506" s="1779"/>
      <c r="AV1506" s="1779"/>
    </row>
    <row r="1507" spans="1:48" ht="19.899999999999999" customHeight="1">
      <c r="A1507" s="988"/>
      <c r="B1507" s="988" t="s">
        <v>1248</v>
      </c>
      <c r="C1507" s="988" t="s">
        <v>505</v>
      </c>
      <c r="D1507" s="1589">
        <v>960</v>
      </c>
      <c r="E1507" s="2223" t="s">
        <v>1905</v>
      </c>
      <c r="F1507" s="1010">
        <v>2250</v>
      </c>
      <c r="G1507" s="990" t="s">
        <v>1254</v>
      </c>
      <c r="H1507" s="2823">
        <v>3854</v>
      </c>
      <c r="I1507" s="2823"/>
      <c r="J1507" s="2824">
        <v>3714.05</v>
      </c>
      <c r="K1507" s="2825"/>
      <c r="L1507" s="2823">
        <v>7075.15</v>
      </c>
      <c r="M1507" s="2823"/>
      <c r="N1507" s="2804"/>
      <c r="O1507" s="86"/>
      <c r="P1507" s="1817" t="e">
        <f>INDEX(#REF!,MATCH(F1507,#REF!,0),2)</f>
        <v>#REF!</v>
      </c>
      <c r="Q1507" s="43"/>
      <c r="R1507" s="43"/>
      <c r="S1507" s="43"/>
      <c r="T1507" s="43"/>
      <c r="U1507" s="43"/>
      <c r="V1507" s="43"/>
      <c r="W1507" s="43"/>
      <c r="X1507" s="43"/>
      <c r="Y1507" s="43"/>
      <c r="Z1507" s="43"/>
      <c r="AA1507" s="4"/>
      <c r="AB1507" s="43"/>
      <c r="AC1507" s="43"/>
      <c r="AD1507" s="43"/>
      <c r="AE1507" s="43"/>
      <c r="AF1507" s="43"/>
      <c r="AG1507" s="43"/>
      <c r="AH1507" s="43"/>
      <c r="AI1507" s="43"/>
      <c r="AJ1507" s="43"/>
      <c r="AK1507" s="43"/>
      <c r="AL1507" s="43"/>
      <c r="AM1507" s="43"/>
      <c r="AN1507" s="43"/>
    </row>
    <row r="1508" spans="1:48" ht="40.15" customHeight="1">
      <c r="A1508" s="418"/>
      <c r="B1508" s="418" t="s">
        <v>1248</v>
      </c>
      <c r="C1508" s="418" t="s">
        <v>507</v>
      </c>
      <c r="D1508" s="1614"/>
      <c r="E1508" s="2224" t="s">
        <v>1905</v>
      </c>
      <c r="F1508" s="1011">
        <v>2250</v>
      </c>
      <c r="G1508" s="410" t="s">
        <v>1481</v>
      </c>
      <c r="H1508" s="2822"/>
      <c r="I1508" s="2779">
        <v>129</v>
      </c>
      <c r="J1508" s="2776"/>
      <c r="K1508" s="2829"/>
      <c r="L1508" s="2779"/>
      <c r="M1508" s="2779">
        <v>129</v>
      </c>
      <c r="N1508" s="2804"/>
      <c r="O1508" s="86"/>
      <c r="P1508" s="1817" t="e">
        <f>INDEX(#REF!,MATCH(F1508,#REF!,0),2)</f>
        <v>#REF!</v>
      </c>
      <c r="Q1508" s="11"/>
      <c r="R1508" s="11"/>
      <c r="S1508" s="11"/>
      <c r="T1508" s="11"/>
      <c r="U1508" s="11"/>
      <c r="V1508" s="11"/>
      <c r="W1508" s="4"/>
      <c r="X1508" s="11"/>
      <c r="Y1508" s="11"/>
      <c r="Z1508" s="11"/>
      <c r="AA1508" s="11"/>
      <c r="AB1508" s="11"/>
      <c r="AC1508" s="11"/>
      <c r="AD1508" s="11"/>
      <c r="AE1508" s="11"/>
      <c r="AF1508" s="11"/>
      <c r="AG1508" s="11"/>
      <c r="AH1508" s="11"/>
      <c r="AI1508" s="11"/>
      <c r="AJ1508" s="11"/>
      <c r="AK1508" s="11"/>
      <c r="AL1508" s="11"/>
      <c r="AM1508" s="11"/>
      <c r="AN1508" s="11"/>
      <c r="AO1508" s="11"/>
      <c r="AP1508" s="11"/>
      <c r="AQ1508" s="11"/>
      <c r="AR1508" s="11"/>
      <c r="AS1508" s="11"/>
      <c r="AT1508" s="11"/>
      <c r="AU1508" s="11"/>
      <c r="AV1508" s="11"/>
    </row>
    <row r="1509" spans="1:48" ht="19.149999999999999" customHeight="1">
      <c r="A1509" s="412"/>
      <c r="B1509" s="412" t="s">
        <v>1248</v>
      </c>
      <c r="C1509" s="412" t="s">
        <v>507</v>
      </c>
      <c r="D1509" s="1590"/>
      <c r="E1509" s="2224" t="s">
        <v>1905</v>
      </c>
      <c r="F1509" s="1011">
        <v>2250</v>
      </c>
      <c r="G1509" s="3941" t="s">
        <v>3795</v>
      </c>
      <c r="H1509" s="2814"/>
      <c r="I1509" s="2800">
        <v>75</v>
      </c>
      <c r="J1509" s="2815"/>
      <c r="K1509" s="2821"/>
      <c r="L1509" s="2800"/>
      <c r="M1509" s="2779">
        <v>2100</v>
      </c>
      <c r="N1509" s="2807"/>
      <c r="O1509" s="86"/>
      <c r="P1509" s="1817" t="e">
        <f>INDEX(#REF!,MATCH(F1509,#REF!,0),2)</f>
        <v>#REF!</v>
      </c>
      <c r="Q1509" s="11"/>
      <c r="R1509" s="11"/>
      <c r="S1509" s="11"/>
      <c r="T1509" s="11"/>
      <c r="U1509" s="11"/>
      <c r="V1509" s="11"/>
      <c r="W1509" s="4"/>
      <c r="X1509" s="11"/>
      <c r="Y1509" s="11"/>
      <c r="Z1509" s="11"/>
      <c r="AA1509" s="11"/>
      <c r="AB1509" s="11"/>
      <c r="AC1509" s="11"/>
      <c r="AD1509" s="11"/>
      <c r="AE1509" s="11"/>
      <c r="AF1509" s="11"/>
      <c r="AG1509" s="11"/>
      <c r="AH1509" s="11"/>
      <c r="AI1509" s="11"/>
      <c r="AJ1509" s="11"/>
      <c r="AK1509" s="11"/>
      <c r="AL1509" s="11"/>
      <c r="AM1509" s="11"/>
      <c r="AN1509" s="11"/>
      <c r="AO1509" s="11"/>
      <c r="AP1509" s="11"/>
      <c r="AQ1509" s="11"/>
      <c r="AR1509" s="11"/>
      <c r="AS1509" s="11"/>
      <c r="AT1509" s="11"/>
      <c r="AU1509" s="11"/>
      <c r="AV1509" s="11"/>
    </row>
    <row r="1510" spans="1:48" ht="19.149999999999999" customHeight="1">
      <c r="A1510" s="557"/>
      <c r="B1510" s="412" t="s">
        <v>1248</v>
      </c>
      <c r="C1510" s="412" t="s">
        <v>507</v>
      </c>
      <c r="D1510" s="1590"/>
      <c r="E1510" s="2224" t="s">
        <v>1905</v>
      </c>
      <c r="F1510" s="1011">
        <v>2250</v>
      </c>
      <c r="G1510" s="2801" t="s">
        <v>3796</v>
      </c>
      <c r="H1510" s="2834"/>
      <c r="I1510" s="2779">
        <v>3650</v>
      </c>
      <c r="J1510" s="2815"/>
      <c r="K1510" s="2835"/>
      <c r="L1510" s="2836"/>
      <c r="M1510" s="2779">
        <v>4015</v>
      </c>
      <c r="N1510" s="2805"/>
      <c r="O1510" s="86"/>
      <c r="P1510" s="1817" t="e">
        <f>INDEX(#REF!,MATCH(F1510,#REF!,0),2)</f>
        <v>#REF!</v>
      </c>
      <c r="Q1510" s="11"/>
      <c r="R1510" s="11"/>
      <c r="S1510" s="11"/>
      <c r="T1510" s="11"/>
      <c r="U1510" s="11"/>
      <c r="V1510" s="11"/>
      <c r="W1510" s="4"/>
      <c r="X1510" s="11"/>
      <c r="Y1510" s="11"/>
      <c r="Z1510" s="11"/>
      <c r="AA1510" s="11"/>
      <c r="AB1510" s="11"/>
      <c r="AC1510" s="11"/>
      <c r="AD1510" s="11"/>
      <c r="AE1510" s="11"/>
      <c r="AF1510" s="11"/>
      <c r="AG1510" s="11"/>
      <c r="AH1510" s="11"/>
      <c r="AI1510" s="11"/>
      <c r="AJ1510" s="11"/>
      <c r="AK1510" s="11"/>
      <c r="AL1510" s="11"/>
      <c r="AM1510" s="11"/>
      <c r="AN1510" s="11"/>
      <c r="AO1510" s="11"/>
      <c r="AP1510" s="11"/>
      <c r="AQ1510" s="11"/>
      <c r="AR1510" s="11"/>
      <c r="AS1510" s="11"/>
      <c r="AT1510" s="11"/>
      <c r="AU1510" s="11"/>
      <c r="AV1510" s="11"/>
    </row>
    <row r="1511" spans="1:48" ht="45">
      <c r="A1511" s="412"/>
      <c r="B1511" s="412" t="s">
        <v>1248</v>
      </c>
      <c r="C1511" s="412" t="s">
        <v>505</v>
      </c>
      <c r="D1511" s="1590"/>
      <c r="E1511" s="2224" t="s">
        <v>1905</v>
      </c>
      <c r="F1511" s="505">
        <v>2250</v>
      </c>
      <c r="G1511" s="410" t="s">
        <v>388</v>
      </c>
      <c r="H1511" s="2814"/>
      <c r="I1511" s="2800">
        <v>450</v>
      </c>
      <c r="J1511" s="2815"/>
      <c r="K1511" s="2821"/>
      <c r="L1511" s="2800"/>
      <c r="M1511" s="2779">
        <v>450</v>
      </c>
      <c r="N1511" s="2804"/>
      <c r="O1511" s="86"/>
      <c r="P1511" s="1817" t="e">
        <f>INDEX(#REF!,MATCH(F1511,#REF!,0),2)</f>
        <v>#REF!</v>
      </c>
    </row>
    <row r="1512" spans="1:48" ht="19.149999999999999" customHeight="1">
      <c r="A1512" s="762"/>
      <c r="B1512" s="412" t="s">
        <v>1248</v>
      </c>
      <c r="C1512" s="412" t="s">
        <v>505</v>
      </c>
      <c r="D1512" s="1590"/>
      <c r="E1512" s="2224" t="s">
        <v>1905</v>
      </c>
      <c r="F1512" s="505">
        <v>2250</v>
      </c>
      <c r="G1512" s="772" t="s">
        <v>1477</v>
      </c>
      <c r="H1512" s="2814"/>
      <c r="I1512" s="2800">
        <v>500</v>
      </c>
      <c r="J1512" s="2815"/>
      <c r="K1512" s="2821"/>
      <c r="L1512" s="2800"/>
      <c r="M1512" s="2779">
        <v>381.15</v>
      </c>
      <c r="N1512" s="2401" t="s">
        <v>5230</v>
      </c>
      <c r="O1512" s="86"/>
      <c r="P1512" s="1817" t="e">
        <f>INDEX(#REF!,MATCH(F1512,#REF!,0),2)</f>
        <v>#REF!</v>
      </c>
    </row>
    <row r="1513" spans="1:48" ht="15" customHeight="1">
      <c r="A1513" s="988"/>
      <c r="B1513" s="988" t="s">
        <v>1248</v>
      </c>
      <c r="C1513" s="988" t="s">
        <v>505</v>
      </c>
      <c r="D1513" s="1589">
        <v>960</v>
      </c>
      <c r="E1513" s="2223" t="s">
        <v>1905</v>
      </c>
      <c r="F1513" s="1010">
        <v>2261</v>
      </c>
      <c r="G1513" s="990" t="s">
        <v>330</v>
      </c>
      <c r="H1513" s="2823">
        <v>0</v>
      </c>
      <c r="I1513" s="2823"/>
      <c r="J1513" s="2824"/>
      <c r="K1513" s="2825"/>
      <c r="L1513" s="2832">
        <v>0</v>
      </c>
      <c r="M1513" s="2832"/>
      <c r="N1513" s="2804"/>
      <c r="O1513" s="86"/>
      <c r="P1513" s="1817" t="e">
        <f>INDEX(#REF!,MATCH(F1513,#REF!,0),2)</f>
        <v>#REF!</v>
      </c>
      <c r="Q1513" s="1779"/>
      <c r="R1513" s="1779"/>
      <c r="S1513" s="1779"/>
      <c r="T1513" s="1779"/>
      <c r="U1513" s="1779"/>
      <c r="V1513" s="1779"/>
      <c r="W1513" s="43"/>
      <c r="X1513" s="1779"/>
      <c r="Y1513" s="1779"/>
      <c r="Z1513" s="1779"/>
      <c r="AA1513" s="1779"/>
      <c r="AB1513" s="1779"/>
      <c r="AC1513" s="1779"/>
      <c r="AD1513" s="1779"/>
      <c r="AE1513" s="1779"/>
      <c r="AF1513" s="1779"/>
      <c r="AG1513" s="1779"/>
      <c r="AH1513" s="1779"/>
      <c r="AI1513" s="1779"/>
      <c r="AJ1513" s="1779"/>
      <c r="AK1513" s="1779"/>
      <c r="AL1513" s="1779"/>
      <c r="AM1513" s="1779"/>
      <c r="AN1513" s="1779"/>
      <c r="AO1513" s="1779"/>
      <c r="AP1513" s="1779"/>
      <c r="AQ1513" s="1779"/>
      <c r="AR1513" s="1779"/>
      <c r="AS1513" s="1779"/>
      <c r="AT1513" s="1779"/>
      <c r="AU1513" s="1779"/>
      <c r="AV1513" s="1779"/>
    </row>
    <row r="1514" spans="1:48" ht="22.5">
      <c r="A1514" s="992"/>
      <c r="B1514" s="992" t="s">
        <v>1248</v>
      </c>
      <c r="C1514" s="992" t="s">
        <v>505</v>
      </c>
      <c r="D1514" s="1590"/>
      <c r="E1514" s="2224" t="s">
        <v>1905</v>
      </c>
      <c r="F1514" s="1011">
        <v>2261</v>
      </c>
      <c r="G1514" s="996" t="s">
        <v>1508</v>
      </c>
      <c r="H1514" s="2826"/>
      <c r="I1514" s="2826"/>
      <c r="J1514" s="2827"/>
      <c r="K1514" s="2828"/>
      <c r="L1514" s="2833"/>
      <c r="M1514" s="2833"/>
      <c r="N1514" s="2804"/>
      <c r="O1514" s="86"/>
      <c r="P1514" s="1817" t="e">
        <f>INDEX(#REF!,MATCH(F1514,#REF!,0),2)</f>
        <v>#REF!</v>
      </c>
      <c r="Q1514" s="1779"/>
      <c r="R1514" s="1779"/>
      <c r="S1514" s="1779"/>
      <c r="T1514" s="1779"/>
      <c r="U1514" s="1779"/>
      <c r="V1514" s="1779"/>
      <c r="W1514" s="43"/>
      <c r="X1514" s="1779"/>
      <c r="Y1514" s="1779"/>
      <c r="Z1514" s="1779"/>
      <c r="AA1514" s="1779"/>
      <c r="AB1514" s="1779"/>
      <c r="AC1514" s="1779"/>
      <c r="AD1514" s="1779"/>
      <c r="AE1514" s="1779"/>
      <c r="AF1514" s="1779"/>
      <c r="AG1514" s="1779"/>
      <c r="AH1514" s="1779"/>
      <c r="AI1514" s="1779"/>
      <c r="AJ1514" s="1779"/>
      <c r="AK1514" s="1779"/>
      <c r="AL1514" s="1779"/>
      <c r="AM1514" s="1779"/>
      <c r="AN1514" s="1779"/>
      <c r="AO1514" s="1779"/>
      <c r="AP1514" s="1779"/>
      <c r="AQ1514" s="1779"/>
      <c r="AR1514" s="1779"/>
      <c r="AS1514" s="1779"/>
      <c r="AT1514" s="1779"/>
      <c r="AU1514" s="1779"/>
      <c r="AV1514" s="1779"/>
    </row>
    <row r="1515" spans="1:48" ht="26.45" customHeight="1">
      <c r="A1515" s="506"/>
      <c r="B1515" s="506" t="s">
        <v>1248</v>
      </c>
      <c r="C1515" s="506" t="s">
        <v>507</v>
      </c>
      <c r="D1515" s="1589">
        <v>960</v>
      </c>
      <c r="E1515" s="2223" t="s">
        <v>1905</v>
      </c>
      <c r="F1515" s="540">
        <v>2311</v>
      </c>
      <c r="G1515" s="411" t="s">
        <v>245</v>
      </c>
      <c r="H1515" s="2817">
        <v>4400</v>
      </c>
      <c r="I1515" s="2818"/>
      <c r="J1515" s="2819">
        <v>1159.3599999999999</v>
      </c>
      <c r="K1515" s="2816"/>
      <c r="L1515" s="2818">
        <v>4850</v>
      </c>
      <c r="M1515" s="2818"/>
      <c r="N1515" s="2804"/>
      <c r="O1515" s="86"/>
      <c r="P1515" s="1817" t="e">
        <f>INDEX(#REF!,MATCH(F1515,#REF!,0),2)</f>
        <v>#REF!</v>
      </c>
      <c r="Q1515" s="1779"/>
      <c r="R1515" s="1779"/>
      <c r="S1515" s="1779"/>
      <c r="T1515" s="1779"/>
      <c r="U1515" s="1779"/>
      <c r="V1515" s="1779"/>
      <c r="W1515" s="43"/>
      <c r="X1515" s="1779"/>
      <c r="Y1515" s="1779"/>
      <c r="Z1515" s="1779"/>
      <c r="AA1515" s="1779"/>
      <c r="AB1515" s="1779"/>
      <c r="AC1515" s="1779"/>
      <c r="AD1515" s="1779"/>
      <c r="AE1515" s="1779"/>
      <c r="AF1515" s="1779"/>
      <c r="AG1515" s="1779"/>
      <c r="AH1515" s="1779"/>
      <c r="AI1515" s="1779"/>
      <c r="AJ1515" s="1779"/>
      <c r="AK1515" s="1779"/>
      <c r="AL1515" s="1779"/>
      <c r="AM1515" s="1779"/>
      <c r="AN1515" s="1779"/>
      <c r="AO1515" s="1779"/>
      <c r="AP1515" s="1779"/>
      <c r="AQ1515" s="1779"/>
      <c r="AR1515" s="1779"/>
      <c r="AS1515" s="1779"/>
      <c r="AT1515" s="1779"/>
      <c r="AU1515" s="1779"/>
      <c r="AV1515" s="1779"/>
    </row>
    <row r="1516" spans="1:48" ht="25.9" customHeight="1">
      <c r="A1516" s="412"/>
      <c r="B1516" s="412" t="s">
        <v>1248</v>
      </c>
      <c r="C1516" s="412" t="s">
        <v>507</v>
      </c>
      <c r="D1516" s="1590"/>
      <c r="E1516" s="2224" t="s">
        <v>1905</v>
      </c>
      <c r="F1516" s="505">
        <v>2311</v>
      </c>
      <c r="G1516" s="1567" t="s">
        <v>1494</v>
      </c>
      <c r="H1516" s="2814"/>
      <c r="I1516" s="2800">
        <v>2900</v>
      </c>
      <c r="J1516" s="2815"/>
      <c r="K1516" s="2821"/>
      <c r="L1516" s="2800"/>
      <c r="M1516" s="2800">
        <v>2900</v>
      </c>
      <c r="N1516" s="2804"/>
      <c r="O1516" s="86"/>
      <c r="P1516" s="1817" t="e">
        <f>INDEX(#REF!,MATCH(F1516,#REF!,0),2)</f>
        <v>#REF!</v>
      </c>
      <c r="Q1516" s="1779"/>
      <c r="R1516" s="1779"/>
      <c r="S1516" s="1779"/>
      <c r="T1516" s="1779"/>
      <c r="U1516" s="1779"/>
      <c r="V1516" s="1779"/>
      <c r="W1516" s="43"/>
      <c r="X1516" s="1779"/>
      <c r="Y1516" s="1779"/>
      <c r="Z1516" s="1779"/>
      <c r="AA1516" s="1779"/>
      <c r="AB1516" s="1779"/>
      <c r="AC1516" s="1779"/>
      <c r="AD1516" s="1779"/>
      <c r="AE1516" s="1779"/>
      <c r="AF1516" s="1779"/>
      <c r="AG1516" s="1779"/>
      <c r="AH1516" s="1779"/>
      <c r="AI1516" s="1779"/>
      <c r="AJ1516" s="1779"/>
      <c r="AK1516" s="1779"/>
      <c r="AL1516" s="1779"/>
      <c r="AM1516" s="1779"/>
      <c r="AN1516" s="1779"/>
      <c r="AO1516" s="1779"/>
      <c r="AP1516" s="1779"/>
      <c r="AQ1516" s="1779"/>
      <c r="AR1516" s="1779"/>
      <c r="AS1516" s="1779"/>
      <c r="AT1516" s="1779"/>
      <c r="AU1516" s="1779"/>
      <c r="AV1516" s="1779"/>
    </row>
    <row r="1517" spans="1:48" ht="12.6" customHeight="1">
      <c r="A1517" s="412"/>
      <c r="B1517" s="412" t="s">
        <v>1248</v>
      </c>
      <c r="C1517" s="412" t="s">
        <v>507</v>
      </c>
      <c r="D1517" s="1590"/>
      <c r="E1517" s="2224" t="s">
        <v>1905</v>
      </c>
      <c r="F1517" s="505">
        <v>2311</v>
      </c>
      <c r="G1517" s="410" t="s">
        <v>389</v>
      </c>
      <c r="H1517" s="2814"/>
      <c r="I1517" s="2800">
        <v>500</v>
      </c>
      <c r="J1517" s="2815"/>
      <c r="K1517" s="2821"/>
      <c r="L1517" s="2800"/>
      <c r="M1517" s="2800">
        <v>700</v>
      </c>
      <c r="N1517" s="2807" t="s">
        <v>3797</v>
      </c>
      <c r="O1517" s="86"/>
      <c r="P1517" s="1817" t="e">
        <f>INDEX(#REF!,MATCH(F1517,#REF!,0),2)</f>
        <v>#REF!</v>
      </c>
      <c r="Q1517" s="1779"/>
      <c r="R1517" s="1779"/>
      <c r="S1517" s="1779"/>
      <c r="T1517" s="1779"/>
      <c r="U1517" s="1779"/>
      <c r="V1517" s="1779"/>
      <c r="W1517" s="43"/>
      <c r="X1517" s="1779"/>
      <c r="Y1517" s="1779"/>
      <c r="Z1517" s="1779"/>
      <c r="AA1517" s="1779"/>
      <c r="AB1517" s="1779"/>
      <c r="AC1517" s="1779"/>
      <c r="AD1517" s="1779"/>
      <c r="AE1517" s="1779"/>
      <c r="AF1517" s="1779"/>
      <c r="AG1517" s="1779"/>
      <c r="AH1517" s="1779"/>
      <c r="AI1517" s="1779"/>
      <c r="AJ1517" s="1779"/>
      <c r="AK1517" s="1779"/>
      <c r="AL1517" s="1779"/>
      <c r="AM1517" s="1779"/>
      <c r="AN1517" s="1779"/>
      <c r="AO1517" s="1779"/>
      <c r="AP1517" s="1779"/>
      <c r="AQ1517" s="1779"/>
      <c r="AR1517" s="1779"/>
      <c r="AS1517" s="1779"/>
      <c r="AT1517" s="1779"/>
      <c r="AU1517" s="1779"/>
      <c r="AV1517" s="1779"/>
    </row>
    <row r="1518" spans="1:48" ht="33" customHeight="1">
      <c r="A1518" s="412"/>
      <c r="B1518" s="412" t="s">
        <v>1248</v>
      </c>
      <c r="C1518" s="412" t="s">
        <v>507</v>
      </c>
      <c r="D1518" s="1590"/>
      <c r="E1518" s="2224" t="s">
        <v>1905</v>
      </c>
      <c r="F1518" s="505">
        <v>2311</v>
      </c>
      <c r="G1518" s="410" t="s">
        <v>973</v>
      </c>
      <c r="H1518" s="2814"/>
      <c r="I1518" s="2800">
        <v>1000</v>
      </c>
      <c r="J1518" s="2815"/>
      <c r="K1518" s="2821"/>
      <c r="L1518" s="2800"/>
      <c r="M1518" s="2800">
        <v>1250</v>
      </c>
      <c r="N1518" s="2807" t="s">
        <v>3798</v>
      </c>
      <c r="O1518" s="86"/>
      <c r="P1518" s="1817" t="e">
        <f>INDEX(#REF!,MATCH(F1518,#REF!,0),2)</f>
        <v>#REF!</v>
      </c>
      <c r="Q1518" s="4"/>
      <c r="R1518" s="4"/>
      <c r="S1518" s="4"/>
      <c r="T1518" s="4"/>
      <c r="U1518" s="4"/>
      <c r="V1518" s="4"/>
      <c r="W1518" s="4"/>
      <c r="X1518" s="4"/>
      <c r="Y1518" s="4"/>
      <c r="Z1518" s="4"/>
      <c r="AA1518" s="4"/>
      <c r="AB1518" s="4"/>
      <c r="AC1518" s="4"/>
      <c r="AD1518" s="4"/>
      <c r="AE1518" s="4"/>
      <c r="AF1518" s="4"/>
      <c r="AG1518" s="4"/>
      <c r="AH1518" s="4"/>
      <c r="AI1518" s="4"/>
      <c r="AJ1518" s="4"/>
      <c r="AK1518" s="4"/>
      <c r="AL1518" s="4"/>
      <c r="AM1518" s="4"/>
      <c r="AN1518" s="4"/>
    </row>
    <row r="1519" spans="1:48" ht="11.45" customHeight="1">
      <c r="A1519" s="506" t="s">
        <v>1495</v>
      </c>
      <c r="B1519" s="506" t="s">
        <v>1250</v>
      </c>
      <c r="C1519" s="506" t="s">
        <v>509</v>
      </c>
      <c r="D1519" s="1589">
        <v>960</v>
      </c>
      <c r="E1519" s="2223" t="s">
        <v>1905</v>
      </c>
      <c r="F1519" s="540">
        <v>2312</v>
      </c>
      <c r="G1519" s="411" t="s">
        <v>249</v>
      </c>
      <c r="H1519" s="2817">
        <v>7500</v>
      </c>
      <c r="I1519" s="2802"/>
      <c r="J1519" s="2819">
        <v>5627.4199999999983</v>
      </c>
      <c r="K1519" s="2816"/>
      <c r="L1519" s="2818">
        <v>8000</v>
      </c>
      <c r="M1519" s="2802"/>
      <c r="N1519" s="2804"/>
      <c r="O1519" s="86"/>
      <c r="P1519" s="1817" t="e">
        <f>INDEX(#REF!,MATCH(F1519,#REF!,0),2)</f>
        <v>#REF!</v>
      </c>
      <c r="Q1519" s="43"/>
      <c r="R1519" s="43"/>
      <c r="S1519" s="43"/>
      <c r="T1519" s="43"/>
      <c r="U1519" s="43"/>
      <c r="V1519" s="43"/>
      <c r="W1519" s="43"/>
      <c r="X1519" s="43"/>
      <c r="Y1519" s="43"/>
      <c r="Z1519" s="43"/>
      <c r="AA1519" s="43"/>
      <c r="AB1519" s="43"/>
      <c r="AC1519" s="43"/>
      <c r="AD1519" s="43"/>
      <c r="AE1519" s="43"/>
      <c r="AF1519" s="43"/>
      <c r="AG1519" s="43"/>
      <c r="AH1519" s="43"/>
      <c r="AI1519" s="43"/>
      <c r="AJ1519" s="43"/>
      <c r="AK1519" s="43"/>
      <c r="AL1519" s="43"/>
      <c r="AM1519" s="43"/>
      <c r="AN1519" s="43"/>
    </row>
    <row r="1520" spans="1:48" ht="31.9" customHeight="1">
      <c r="A1520" s="489"/>
      <c r="B1520" s="412" t="s">
        <v>1250</v>
      </c>
      <c r="C1520" s="412" t="s">
        <v>509</v>
      </c>
      <c r="D1520" s="1590"/>
      <c r="E1520" s="2224" t="s">
        <v>1905</v>
      </c>
      <c r="F1520" s="505">
        <v>2312</v>
      </c>
      <c r="G1520" s="490" t="s">
        <v>1496</v>
      </c>
      <c r="H1520" s="2814"/>
      <c r="I1520" s="2800">
        <v>1000</v>
      </c>
      <c r="J1520" s="2815"/>
      <c r="K1520" s="2821"/>
      <c r="L1520" s="2803"/>
      <c r="M1520" s="2800">
        <v>1500</v>
      </c>
      <c r="N1520" s="2807" t="s">
        <v>3800</v>
      </c>
      <c r="O1520" s="86"/>
      <c r="P1520" s="1817" t="e">
        <f>INDEX(#REF!,MATCH(F1520,#REF!,0),2)</f>
        <v>#REF!</v>
      </c>
      <c r="Q1520" s="1779"/>
      <c r="R1520" s="1779"/>
      <c r="S1520" s="1779"/>
      <c r="T1520" s="1779"/>
      <c r="U1520" s="1779"/>
      <c r="V1520" s="1779"/>
      <c r="W1520" s="43"/>
      <c r="X1520" s="1779"/>
      <c r="Y1520" s="1779"/>
      <c r="Z1520" s="1779"/>
      <c r="AA1520" s="1779"/>
      <c r="AB1520" s="1779"/>
      <c r="AC1520" s="1779"/>
      <c r="AD1520" s="1779"/>
      <c r="AE1520" s="1779"/>
      <c r="AF1520" s="1779"/>
      <c r="AG1520" s="1779"/>
      <c r="AH1520" s="1779"/>
      <c r="AI1520" s="1779"/>
      <c r="AJ1520" s="1779"/>
      <c r="AK1520" s="1779"/>
      <c r="AL1520" s="1779"/>
      <c r="AM1520" s="1779"/>
      <c r="AN1520" s="1779"/>
      <c r="AO1520" s="1779"/>
      <c r="AP1520" s="1779"/>
      <c r="AQ1520" s="1779"/>
      <c r="AR1520" s="1779"/>
      <c r="AS1520" s="1779"/>
      <c r="AT1520" s="1779"/>
      <c r="AU1520" s="1779"/>
      <c r="AV1520" s="1779"/>
    </row>
    <row r="1521" spans="1:48" ht="35.450000000000003" customHeight="1">
      <c r="A1521" s="489"/>
      <c r="B1521" s="412" t="s">
        <v>1250</v>
      </c>
      <c r="C1521" s="412" t="s">
        <v>509</v>
      </c>
      <c r="D1521" s="1590"/>
      <c r="E1521" s="2224" t="s">
        <v>1905</v>
      </c>
      <c r="F1521" s="505">
        <v>2312</v>
      </c>
      <c r="G1521" s="490" t="s">
        <v>719</v>
      </c>
      <c r="H1521" s="2814"/>
      <c r="I1521" s="2800">
        <v>3000</v>
      </c>
      <c r="J1521" s="2815"/>
      <c r="K1521" s="2821"/>
      <c r="L1521" s="2803"/>
      <c r="M1521" s="2800">
        <v>3000</v>
      </c>
      <c r="N1521" s="2804"/>
      <c r="O1521" s="86"/>
      <c r="P1521" s="1817" t="e">
        <f>INDEX(#REF!,MATCH(F1521,#REF!,0),2)</f>
        <v>#REF!</v>
      </c>
      <c r="Q1521" s="1779"/>
      <c r="R1521" s="1779"/>
      <c r="S1521" s="1779"/>
      <c r="T1521" s="1779"/>
      <c r="U1521" s="1779"/>
      <c r="V1521" s="1779"/>
      <c r="W1521" s="43"/>
      <c r="X1521" s="1779"/>
      <c r="Y1521" s="1779"/>
      <c r="Z1521" s="1779"/>
      <c r="AA1521" s="1779"/>
      <c r="AB1521" s="1779"/>
      <c r="AC1521" s="1779"/>
      <c r="AD1521" s="1779"/>
      <c r="AE1521" s="1779"/>
      <c r="AF1521" s="1779"/>
      <c r="AG1521" s="1779"/>
      <c r="AH1521" s="1779"/>
      <c r="AI1521" s="1779"/>
      <c r="AJ1521" s="1779"/>
      <c r="AK1521" s="1779"/>
      <c r="AL1521" s="1779"/>
      <c r="AM1521" s="1779"/>
      <c r="AN1521" s="1779"/>
      <c r="AO1521" s="1779"/>
      <c r="AP1521" s="1779"/>
      <c r="AQ1521" s="1779"/>
      <c r="AR1521" s="1779"/>
      <c r="AS1521" s="1779"/>
      <c r="AT1521" s="1779"/>
      <c r="AU1521" s="1779"/>
      <c r="AV1521" s="1779"/>
    </row>
    <row r="1522" spans="1:48" ht="12.6" customHeight="1">
      <c r="A1522" s="489"/>
      <c r="B1522" s="412" t="s">
        <v>1250</v>
      </c>
      <c r="C1522" s="412" t="s">
        <v>509</v>
      </c>
      <c r="D1522" s="1590"/>
      <c r="E1522" s="2224" t="s">
        <v>1905</v>
      </c>
      <c r="F1522" s="505">
        <v>2312</v>
      </c>
      <c r="G1522" s="490" t="s">
        <v>3803</v>
      </c>
      <c r="H1522" s="2822"/>
      <c r="I1522" s="2779">
        <v>1500</v>
      </c>
      <c r="J1522" s="2776"/>
      <c r="K1522" s="2777"/>
      <c r="L1522" s="2778"/>
      <c r="M1522" s="2779">
        <v>1500</v>
      </c>
      <c r="N1522" s="2807" t="s">
        <v>3802</v>
      </c>
      <c r="O1522" s="86"/>
      <c r="P1522" s="1817" t="e">
        <f>INDEX(#REF!,MATCH(F1522,#REF!,0),2)</f>
        <v>#REF!</v>
      </c>
      <c r="Q1522" s="1779"/>
      <c r="R1522" s="1779"/>
      <c r="S1522" s="1779"/>
      <c r="T1522" s="1779"/>
      <c r="U1522" s="1779"/>
      <c r="V1522" s="1779"/>
      <c r="W1522" s="43"/>
      <c r="X1522" s="1779"/>
      <c r="Y1522" s="1779"/>
      <c r="Z1522" s="1779"/>
      <c r="AA1522" s="1779"/>
      <c r="AB1522" s="1779"/>
      <c r="AC1522" s="1779"/>
      <c r="AD1522" s="1779"/>
      <c r="AE1522" s="1779"/>
      <c r="AF1522" s="1779"/>
      <c r="AG1522" s="1779"/>
      <c r="AH1522" s="1779"/>
      <c r="AI1522" s="1779"/>
      <c r="AJ1522" s="1779"/>
      <c r="AK1522" s="1779"/>
      <c r="AL1522" s="1779"/>
      <c r="AM1522" s="1779"/>
      <c r="AN1522" s="1779"/>
      <c r="AO1522" s="1779"/>
      <c r="AP1522" s="1779"/>
      <c r="AQ1522" s="1779"/>
      <c r="AR1522" s="1779"/>
      <c r="AS1522" s="1779"/>
      <c r="AT1522" s="1779"/>
      <c r="AU1522" s="1779"/>
      <c r="AV1522" s="1779"/>
    </row>
    <row r="1523" spans="1:48" ht="98.45" customHeight="1">
      <c r="A1523" s="2072"/>
      <c r="B1523" s="412" t="s">
        <v>1250</v>
      </c>
      <c r="C1523" s="412" t="s">
        <v>509</v>
      </c>
      <c r="D1523" s="1590"/>
      <c r="E1523" s="2224" t="s">
        <v>1905</v>
      </c>
      <c r="F1523" s="505">
        <v>2312</v>
      </c>
      <c r="G1523" s="1887" t="s">
        <v>3029</v>
      </c>
      <c r="H1523" s="2822"/>
      <c r="I1523" s="2779">
        <v>2000</v>
      </c>
      <c r="J1523" s="2776"/>
      <c r="K1523" s="2777"/>
      <c r="L1523" s="2778"/>
      <c r="M1523" s="2779">
        <v>2000</v>
      </c>
      <c r="N1523" s="2807" t="s">
        <v>3804</v>
      </c>
      <c r="O1523" s="86"/>
      <c r="P1523" s="1817" t="e">
        <f>INDEX(#REF!,MATCH(F1523,#REF!,0),2)</f>
        <v>#REF!</v>
      </c>
      <c r="Q1523" s="1779"/>
      <c r="R1523" s="1779"/>
      <c r="S1523" s="1779"/>
      <c r="T1523" s="1779"/>
      <c r="U1523" s="1779"/>
      <c r="V1523" s="1779"/>
      <c r="W1523" s="43"/>
      <c r="X1523" s="1779"/>
      <c r="Y1523" s="1779"/>
      <c r="Z1523" s="1779"/>
      <c r="AA1523" s="1779"/>
      <c r="AB1523" s="1779"/>
      <c r="AC1523" s="1779"/>
      <c r="AD1523" s="1779"/>
      <c r="AE1523" s="1779"/>
      <c r="AF1523" s="1779"/>
      <c r="AG1523" s="1779"/>
      <c r="AH1523" s="1779"/>
      <c r="AI1523" s="1779"/>
      <c r="AJ1523" s="1779"/>
      <c r="AK1523" s="1779"/>
      <c r="AL1523" s="1779"/>
      <c r="AM1523" s="1779"/>
      <c r="AN1523" s="1779"/>
      <c r="AO1523" s="1779"/>
      <c r="AP1523" s="1779"/>
      <c r="AQ1523" s="1779"/>
      <c r="AR1523" s="1779"/>
      <c r="AS1523" s="1779"/>
      <c r="AT1523" s="1779"/>
      <c r="AU1523" s="1779"/>
      <c r="AV1523" s="1779"/>
    </row>
    <row r="1524" spans="1:48" ht="42" customHeight="1">
      <c r="A1524" s="506" t="s">
        <v>1495</v>
      </c>
      <c r="B1524" s="506" t="s">
        <v>1249</v>
      </c>
      <c r="C1524" s="506" t="s">
        <v>510</v>
      </c>
      <c r="D1524" s="1589">
        <v>960</v>
      </c>
      <c r="E1524" s="2223" t="s">
        <v>1905</v>
      </c>
      <c r="F1524" s="540">
        <v>2312</v>
      </c>
      <c r="G1524" s="411" t="s">
        <v>249</v>
      </c>
      <c r="H1524" s="2817">
        <v>26900</v>
      </c>
      <c r="I1524" s="2802"/>
      <c r="J1524" s="2819">
        <v>26900</v>
      </c>
      <c r="K1524" s="2816"/>
      <c r="L1524" s="2818">
        <v>15000</v>
      </c>
      <c r="M1524" s="2818"/>
      <c r="N1524" s="2804"/>
      <c r="O1524" s="86"/>
      <c r="P1524" s="1817" t="e">
        <f>INDEX(#REF!,MATCH(F1524,#REF!,0),2)</f>
        <v>#REF!</v>
      </c>
      <c r="Q1524" s="1779"/>
      <c r="R1524" s="1779"/>
      <c r="S1524" s="1779"/>
      <c r="T1524" s="1779"/>
      <c r="U1524" s="1779"/>
      <c r="V1524" s="1779"/>
      <c r="W1524" s="43"/>
      <c r="X1524" s="1779"/>
      <c r="Y1524" s="1779"/>
      <c r="Z1524" s="1779"/>
      <c r="AA1524" s="1779"/>
      <c r="AB1524" s="1779"/>
      <c r="AC1524" s="1779"/>
      <c r="AD1524" s="1779"/>
      <c r="AE1524" s="1779"/>
      <c r="AF1524" s="1779"/>
      <c r="AG1524" s="1779"/>
      <c r="AH1524" s="1779"/>
      <c r="AI1524" s="1779"/>
      <c r="AJ1524" s="1779"/>
      <c r="AK1524" s="1779"/>
      <c r="AL1524" s="1779"/>
      <c r="AM1524" s="1779"/>
      <c r="AN1524" s="1779"/>
      <c r="AO1524" s="1779"/>
      <c r="AP1524" s="1779"/>
      <c r="AQ1524" s="1779"/>
      <c r="AR1524" s="1779"/>
      <c r="AS1524" s="1779"/>
      <c r="AT1524" s="1779"/>
      <c r="AU1524" s="1779"/>
      <c r="AV1524" s="1779"/>
    </row>
    <row r="1525" spans="1:48" ht="90">
      <c r="A1525" s="489"/>
      <c r="B1525" s="412" t="s">
        <v>1249</v>
      </c>
      <c r="C1525" s="412" t="s">
        <v>510</v>
      </c>
      <c r="D1525" s="1590"/>
      <c r="E1525" s="2224" t="s">
        <v>1905</v>
      </c>
      <c r="F1525" s="505">
        <v>2312</v>
      </c>
      <c r="G1525" s="490" t="s">
        <v>3806</v>
      </c>
      <c r="H1525" s="2822"/>
      <c r="I1525" s="2779">
        <v>10000</v>
      </c>
      <c r="J1525" s="2776"/>
      <c r="K1525" s="2777"/>
      <c r="L1525" s="2779"/>
      <c r="M1525" s="2779">
        <v>15000</v>
      </c>
      <c r="N1525" s="2561"/>
      <c r="O1525" s="86"/>
      <c r="P1525" s="1817" t="e">
        <f>INDEX(#REF!,MATCH(F1525,#REF!,0),2)</f>
        <v>#REF!</v>
      </c>
    </row>
    <row r="1526" spans="1:48" ht="28.15" customHeight="1">
      <c r="A1526" s="1389"/>
      <c r="B1526" s="412" t="s">
        <v>1249</v>
      </c>
      <c r="C1526" s="412" t="s">
        <v>510</v>
      </c>
      <c r="D1526" s="1590"/>
      <c r="E1526" s="2224" t="s">
        <v>1905</v>
      </c>
      <c r="F1526" s="505">
        <v>2312</v>
      </c>
      <c r="G1526" s="490" t="s">
        <v>3248</v>
      </c>
      <c r="H1526" s="2822"/>
      <c r="I1526" s="2779">
        <v>10000</v>
      </c>
      <c r="J1526" s="2776"/>
      <c r="K1526" s="2777"/>
      <c r="L1526" s="2778"/>
      <c r="M1526" s="2778"/>
      <c r="N1526" s="2804"/>
      <c r="O1526" s="86"/>
      <c r="P1526" s="1817" t="e">
        <f>INDEX(#REF!,MATCH(F1526,#REF!,0),2)</f>
        <v>#REF!</v>
      </c>
      <c r="Q1526" s="1779"/>
      <c r="R1526" s="1779"/>
      <c r="S1526" s="1779"/>
      <c r="T1526" s="1779"/>
      <c r="U1526" s="1779"/>
      <c r="V1526" s="1779"/>
      <c r="W1526" s="43"/>
      <c r="X1526" s="1779"/>
      <c r="Y1526" s="1779"/>
      <c r="Z1526" s="1779"/>
      <c r="AA1526" s="1779"/>
      <c r="AB1526" s="1779"/>
      <c r="AC1526" s="1779"/>
      <c r="AD1526" s="1779"/>
      <c r="AE1526" s="1779"/>
      <c r="AF1526" s="1779"/>
      <c r="AG1526" s="1779"/>
      <c r="AH1526" s="1779"/>
      <c r="AI1526" s="1779"/>
      <c r="AJ1526" s="1779"/>
      <c r="AK1526" s="1779"/>
      <c r="AL1526" s="1779"/>
      <c r="AM1526" s="1779"/>
      <c r="AN1526" s="1779"/>
      <c r="AO1526" s="1779"/>
      <c r="AP1526" s="1779"/>
      <c r="AQ1526" s="1779"/>
      <c r="AR1526" s="1779"/>
      <c r="AS1526" s="1779"/>
      <c r="AT1526" s="1779"/>
      <c r="AU1526" s="1779"/>
      <c r="AV1526" s="1779"/>
    </row>
    <row r="1527" spans="1:48" ht="22.5">
      <c r="A1527" s="988"/>
      <c r="B1527" s="988" t="s">
        <v>1248</v>
      </c>
      <c r="C1527" s="988" t="s">
        <v>505</v>
      </c>
      <c r="D1527" s="1589">
        <v>960</v>
      </c>
      <c r="E1527" s="2223" t="s">
        <v>1905</v>
      </c>
      <c r="F1527" s="1010">
        <v>2314</v>
      </c>
      <c r="G1527" s="990" t="s">
        <v>2436</v>
      </c>
      <c r="H1527" s="2823">
        <v>5600</v>
      </c>
      <c r="I1527" s="2823"/>
      <c r="J1527" s="2824">
        <v>1606.84</v>
      </c>
      <c r="K1527" s="2825"/>
      <c r="L1527" s="2823">
        <v>5900</v>
      </c>
      <c r="M1527" s="2823"/>
      <c r="N1527" s="2804" t="s">
        <v>3842</v>
      </c>
      <c r="O1527" s="86"/>
      <c r="P1527" s="1817" t="e">
        <f>INDEX(#REF!,MATCH(F1527,#REF!,0),2)</f>
        <v>#REF!</v>
      </c>
      <c r="Q1527" s="11"/>
      <c r="R1527" s="11"/>
      <c r="S1527" s="11"/>
      <c r="T1527" s="11"/>
      <c r="U1527" s="11"/>
      <c r="V1527" s="11"/>
      <c r="W1527" s="4"/>
      <c r="X1527" s="11"/>
      <c r="Y1527" s="11"/>
      <c r="Z1527" s="11"/>
      <c r="AA1527" s="11"/>
      <c r="AB1527" s="11"/>
      <c r="AC1527" s="11"/>
      <c r="AD1527" s="11"/>
      <c r="AE1527" s="11"/>
      <c r="AF1527" s="11"/>
      <c r="AG1527" s="11"/>
      <c r="AH1527" s="11"/>
      <c r="AI1527" s="11"/>
      <c r="AJ1527" s="11"/>
      <c r="AK1527" s="11"/>
      <c r="AL1527" s="11"/>
      <c r="AM1527" s="11"/>
      <c r="AN1527" s="11"/>
      <c r="AO1527" s="11"/>
      <c r="AP1527" s="11"/>
      <c r="AQ1527" s="11"/>
      <c r="AR1527" s="11"/>
      <c r="AS1527" s="11"/>
      <c r="AT1527" s="11"/>
      <c r="AU1527" s="11"/>
      <c r="AV1527" s="11"/>
    </row>
    <row r="1528" spans="1:48" ht="22.5">
      <c r="A1528" s="412"/>
      <c r="B1528" s="412" t="s">
        <v>1248</v>
      </c>
      <c r="C1528" s="412" t="s">
        <v>505</v>
      </c>
      <c r="D1528" s="1590"/>
      <c r="E1528" s="2224" t="s">
        <v>1905</v>
      </c>
      <c r="F1528" s="505">
        <v>2314</v>
      </c>
      <c r="G1528" s="410" t="s">
        <v>3819</v>
      </c>
      <c r="H1528" s="2822"/>
      <c r="I1528" s="2779">
        <v>800</v>
      </c>
      <c r="J1528" s="2776"/>
      <c r="K1528" s="2777"/>
      <c r="L1528" s="2778"/>
      <c r="M1528" s="2779">
        <v>900</v>
      </c>
      <c r="N1528" s="1030"/>
      <c r="O1528" s="86"/>
      <c r="P1528" s="1817" t="e">
        <f>INDEX(#REF!,MATCH(F1528,#REF!,0),2)</f>
        <v>#REF!</v>
      </c>
      <c r="Q1528" s="11"/>
      <c r="R1528" s="11"/>
      <c r="S1528" s="11"/>
      <c r="T1528" s="11"/>
      <c r="U1528" s="11"/>
      <c r="V1528" s="11"/>
      <c r="W1528" s="4"/>
      <c r="X1528" s="11"/>
      <c r="Y1528" s="11"/>
      <c r="Z1528" s="11"/>
      <c r="AA1528" s="11"/>
      <c r="AB1528" s="11"/>
      <c r="AC1528" s="11"/>
      <c r="AD1528" s="11"/>
      <c r="AE1528" s="11"/>
      <c r="AF1528" s="11"/>
      <c r="AG1528" s="11"/>
      <c r="AH1528" s="11"/>
      <c r="AI1528" s="11"/>
      <c r="AJ1528" s="11"/>
      <c r="AK1528" s="11"/>
      <c r="AL1528" s="11"/>
      <c r="AM1528" s="11"/>
      <c r="AN1528" s="11"/>
      <c r="AO1528" s="11"/>
      <c r="AP1528" s="11"/>
      <c r="AQ1528" s="11"/>
      <c r="AR1528" s="11"/>
      <c r="AS1528" s="11"/>
      <c r="AT1528" s="11"/>
      <c r="AU1528" s="11"/>
      <c r="AV1528" s="11"/>
    </row>
    <row r="1529" spans="1:48" ht="24.6" customHeight="1">
      <c r="A1529" s="412"/>
      <c r="B1529" s="412" t="s">
        <v>1248</v>
      </c>
      <c r="C1529" s="412" t="s">
        <v>505</v>
      </c>
      <c r="D1529" s="1590"/>
      <c r="E1529" s="2224" t="s">
        <v>1905</v>
      </c>
      <c r="F1529" s="505">
        <v>2314</v>
      </c>
      <c r="G1529" s="410" t="s">
        <v>1052</v>
      </c>
      <c r="H1529" s="2822"/>
      <c r="I1529" s="2779">
        <v>3000</v>
      </c>
      <c r="J1529" s="2776"/>
      <c r="K1529" s="2777"/>
      <c r="L1529" s="2778"/>
      <c r="M1529" s="2779">
        <v>3000</v>
      </c>
      <c r="N1529" s="1030"/>
      <c r="O1529" s="86"/>
      <c r="P1529" s="1817" t="e">
        <f>INDEX(#REF!,MATCH(F1529,#REF!,0),2)</f>
        <v>#REF!</v>
      </c>
      <c r="Q1529" s="1779"/>
      <c r="R1529" s="1779"/>
      <c r="S1529" s="1779"/>
      <c r="T1529" s="1779"/>
      <c r="U1529" s="1779"/>
      <c r="V1529" s="1779"/>
      <c r="W1529" s="43"/>
      <c r="X1529" s="1779"/>
      <c r="Y1529" s="1779"/>
      <c r="Z1529" s="1779"/>
      <c r="AA1529" s="1779"/>
      <c r="AB1529" s="1779"/>
      <c r="AC1529" s="1779"/>
      <c r="AD1529" s="1779"/>
      <c r="AE1529" s="1779"/>
      <c r="AF1529" s="1779"/>
      <c r="AG1529" s="1779"/>
      <c r="AH1529" s="11"/>
      <c r="AI1529" s="11"/>
      <c r="AJ1529" s="11"/>
      <c r="AL1529" s="11"/>
      <c r="AM1529" s="11"/>
      <c r="AN1529" s="11"/>
      <c r="AO1529" s="11"/>
      <c r="AP1529" s="11"/>
      <c r="AQ1529" s="11"/>
      <c r="AR1529" s="11"/>
      <c r="AS1529" s="11"/>
      <c r="AT1529" s="11"/>
      <c r="AU1529" s="11"/>
      <c r="AV1529" s="11"/>
    </row>
    <row r="1530" spans="1:48" ht="22.5">
      <c r="A1530" s="412"/>
      <c r="B1530" s="412" t="s">
        <v>1248</v>
      </c>
      <c r="C1530" s="412" t="s">
        <v>505</v>
      </c>
      <c r="D1530" s="1590"/>
      <c r="E1530" s="2224" t="s">
        <v>1905</v>
      </c>
      <c r="F1530" s="505">
        <v>2314</v>
      </c>
      <c r="G1530" s="410" t="s">
        <v>3820</v>
      </c>
      <c r="H1530" s="2822"/>
      <c r="I1530" s="2779">
        <v>400</v>
      </c>
      <c r="J1530" s="2776"/>
      <c r="K1530" s="2777"/>
      <c r="L1530" s="2778"/>
      <c r="M1530" s="2779">
        <v>550</v>
      </c>
      <c r="N1530" s="1030" t="s">
        <v>3820</v>
      </c>
      <c r="O1530" s="86"/>
      <c r="P1530" s="1817" t="e">
        <f>INDEX(#REF!,MATCH(F1530,#REF!,0),2)</f>
        <v>#REF!</v>
      </c>
      <c r="Q1530" s="1779"/>
      <c r="R1530" s="1779"/>
      <c r="S1530" s="1779"/>
      <c r="T1530" s="1779"/>
      <c r="U1530" s="1779"/>
      <c r="V1530" s="1779"/>
      <c r="W1530" s="43"/>
      <c r="X1530" s="1779"/>
      <c r="Y1530" s="1779"/>
      <c r="Z1530" s="1779"/>
      <c r="AA1530" s="1779"/>
      <c r="AB1530" s="1779"/>
      <c r="AC1530" s="1779"/>
      <c r="AD1530" s="1779"/>
      <c r="AE1530" s="1779"/>
      <c r="AF1530" s="1779"/>
      <c r="AG1530" s="1779"/>
      <c r="AH1530" s="1779"/>
      <c r="AI1530" s="1779"/>
      <c r="AJ1530" s="1779"/>
      <c r="AK1530" s="1779"/>
      <c r="AL1530" s="1779"/>
      <c r="AM1530" s="1779"/>
      <c r="AN1530" s="1779"/>
      <c r="AO1530" s="1779"/>
      <c r="AP1530" s="1779"/>
      <c r="AQ1530" s="1779"/>
      <c r="AR1530" s="11"/>
      <c r="AS1530" s="11"/>
      <c r="AT1530" s="11"/>
      <c r="AU1530" s="11"/>
      <c r="AV1530" s="11"/>
    </row>
    <row r="1531" spans="1:48" ht="10.9" customHeight="1">
      <c r="A1531" s="412"/>
      <c r="B1531" s="412" t="s">
        <v>1248</v>
      </c>
      <c r="C1531" s="412" t="s">
        <v>505</v>
      </c>
      <c r="D1531" s="1590"/>
      <c r="E1531" s="2224" t="s">
        <v>1905</v>
      </c>
      <c r="F1531" s="505">
        <v>2314</v>
      </c>
      <c r="G1531" s="410" t="s">
        <v>3821</v>
      </c>
      <c r="H1531" s="2822"/>
      <c r="I1531" s="2779">
        <v>400</v>
      </c>
      <c r="J1531" s="2776"/>
      <c r="K1531" s="2777"/>
      <c r="L1531" s="2778"/>
      <c r="M1531" s="2779">
        <v>450</v>
      </c>
      <c r="N1531" s="1030" t="s">
        <v>3822</v>
      </c>
      <c r="O1531" s="86"/>
      <c r="P1531" s="1817" t="e">
        <f>INDEX(#REF!,MATCH(F1531,#REF!,0),2)</f>
        <v>#REF!</v>
      </c>
      <c r="Q1531" s="11"/>
      <c r="R1531" s="11"/>
      <c r="S1531" s="11"/>
      <c r="T1531" s="11"/>
      <c r="U1531" s="11"/>
      <c r="V1531" s="11"/>
      <c r="W1531" s="4"/>
      <c r="X1531" s="11"/>
      <c r="Y1531" s="11"/>
      <c r="Z1531" s="11"/>
      <c r="AA1531" s="11"/>
      <c r="AB1531" s="11"/>
      <c r="AC1531" s="11"/>
      <c r="AD1531" s="11"/>
      <c r="AE1531" s="11"/>
      <c r="AF1531" s="11"/>
      <c r="AG1531" s="11"/>
      <c r="AH1531" s="11"/>
      <c r="AI1531" s="11"/>
      <c r="AJ1531" s="11"/>
      <c r="AK1531" s="11"/>
      <c r="AL1531" s="11"/>
      <c r="AM1531" s="11"/>
      <c r="AN1531" s="11"/>
      <c r="AO1531" s="11"/>
      <c r="AP1531" s="11"/>
      <c r="AQ1531" s="11"/>
      <c r="AR1531" s="11"/>
      <c r="AS1531" s="11"/>
      <c r="AT1531" s="11"/>
      <c r="AU1531" s="11"/>
      <c r="AV1531" s="11"/>
    </row>
    <row r="1532" spans="1:48" ht="10.9" customHeight="1">
      <c r="A1532" s="412"/>
      <c r="B1532" s="412" t="s">
        <v>1248</v>
      </c>
      <c r="C1532" s="412" t="s">
        <v>505</v>
      </c>
      <c r="D1532" s="1590"/>
      <c r="E1532" s="2224" t="s">
        <v>1905</v>
      </c>
      <c r="F1532" s="505">
        <v>2314</v>
      </c>
      <c r="G1532" s="410" t="s">
        <v>1053</v>
      </c>
      <c r="H1532" s="2822"/>
      <c r="I1532" s="2779">
        <v>1000</v>
      </c>
      <c r="J1532" s="2776"/>
      <c r="K1532" s="2777"/>
      <c r="L1532" s="2778"/>
      <c r="M1532" s="2779">
        <v>1000</v>
      </c>
      <c r="N1532" s="1030"/>
      <c r="O1532" s="86"/>
      <c r="P1532" s="1817" t="e">
        <f>INDEX(#REF!,MATCH(F1532,#REF!,0),2)</f>
        <v>#REF!</v>
      </c>
      <c r="Q1532" s="1779"/>
      <c r="R1532" s="1779"/>
      <c r="S1532" s="1779"/>
      <c r="T1532" s="1779"/>
      <c r="U1532" s="1779"/>
      <c r="V1532" s="1779"/>
      <c r="W1532" s="43"/>
      <c r="X1532" s="1779"/>
      <c r="Y1532" s="1779"/>
      <c r="Z1532" s="1779"/>
      <c r="AA1532" s="1779"/>
      <c r="AB1532" s="1779"/>
      <c r="AC1532" s="1779"/>
      <c r="AD1532" s="1779"/>
      <c r="AE1532" s="1779"/>
      <c r="AF1532" s="1779"/>
      <c r="AG1532" s="1779"/>
      <c r="AH1532" s="1779"/>
      <c r="AI1532" s="1779"/>
      <c r="AJ1532" s="1779"/>
      <c r="AK1532" s="1779"/>
      <c r="AL1532" s="1779"/>
      <c r="AM1532" s="1779"/>
      <c r="AN1532" s="1779"/>
      <c r="AO1532" s="1779"/>
      <c r="AP1532" s="1779"/>
      <c r="AQ1532" s="1779"/>
      <c r="AR1532" s="1779"/>
      <c r="AS1532" s="1779"/>
      <c r="AT1532" s="1779"/>
      <c r="AU1532" s="1779"/>
      <c r="AV1532" s="1779"/>
    </row>
    <row r="1533" spans="1:48">
      <c r="A1533" s="597"/>
      <c r="B1533" s="597" t="s">
        <v>1248</v>
      </c>
      <c r="C1533" s="597" t="s">
        <v>505</v>
      </c>
      <c r="D1533" s="1589">
        <v>960</v>
      </c>
      <c r="E1533" s="2285" t="s">
        <v>1905</v>
      </c>
      <c r="F1533" s="598">
        <v>2322</v>
      </c>
      <c r="G1533" s="630" t="s">
        <v>390</v>
      </c>
      <c r="H1533" s="2817">
        <v>1446</v>
      </c>
      <c r="I1533" s="2818"/>
      <c r="J1533" s="2819">
        <v>1153.05</v>
      </c>
      <c r="K1533" s="2816"/>
      <c r="L1533" s="2818">
        <v>3000</v>
      </c>
      <c r="M1533" s="2818"/>
      <c r="N1533" s="1030"/>
      <c r="O1533" s="86"/>
      <c r="P1533" s="1817" t="e">
        <f>INDEX(#REF!,MATCH(F1533,#REF!,0),2)</f>
        <v>#REF!</v>
      </c>
      <c r="Q1533" s="11"/>
      <c r="R1533" s="11"/>
      <c r="S1533" s="11"/>
      <c r="T1533" s="11"/>
      <c r="U1533" s="11"/>
      <c r="V1533" s="11"/>
      <c r="W1533" s="4"/>
      <c r="X1533" s="11"/>
      <c r="Y1533" s="11"/>
      <c r="Z1533" s="11"/>
      <c r="AA1533" s="11"/>
      <c r="AB1533" s="11"/>
      <c r="AC1533" s="11"/>
      <c r="AD1533" s="11"/>
      <c r="AE1533" s="11"/>
      <c r="AF1533" s="11"/>
      <c r="AG1533" s="11"/>
      <c r="AH1533" s="11"/>
      <c r="AI1533" s="11"/>
      <c r="AJ1533" s="11"/>
      <c r="AK1533" s="11"/>
      <c r="AL1533" s="11"/>
      <c r="AM1533" s="11"/>
      <c r="AN1533" s="11"/>
      <c r="AO1533" s="11"/>
      <c r="AP1533" s="11"/>
      <c r="AQ1533" s="11"/>
      <c r="AR1533" s="11"/>
      <c r="AS1533" s="11"/>
      <c r="AT1533" s="11"/>
      <c r="AU1533" s="11"/>
      <c r="AV1533" s="11"/>
    </row>
    <row r="1534" spans="1:48">
      <c r="A1534" s="412"/>
      <c r="B1534" s="412" t="s">
        <v>1248</v>
      </c>
      <c r="C1534" s="412" t="s">
        <v>505</v>
      </c>
      <c r="D1534" s="1590"/>
      <c r="E1534" s="2224" t="s">
        <v>1905</v>
      </c>
      <c r="F1534" s="505">
        <v>2322</v>
      </c>
      <c r="G1534" s="1567" t="s">
        <v>2270</v>
      </c>
      <c r="H1534" s="2814"/>
      <c r="I1534" s="2800">
        <v>1446</v>
      </c>
      <c r="J1534" s="2815"/>
      <c r="K1534" s="2821"/>
      <c r="L1534" s="2800"/>
      <c r="M1534" s="2800">
        <v>3000</v>
      </c>
      <c r="N1534" s="1030" t="s">
        <v>3807</v>
      </c>
      <c r="O1534" s="86"/>
      <c r="P1534" s="1817" t="e">
        <f>INDEX(#REF!,MATCH(F1534,#REF!,0),2)</f>
        <v>#REF!</v>
      </c>
      <c r="Q1534" s="11"/>
      <c r="R1534" s="11"/>
      <c r="S1534" s="11"/>
      <c r="T1534" s="11"/>
      <c r="U1534" s="11"/>
      <c r="V1534" s="11"/>
      <c r="W1534" s="4"/>
      <c r="X1534" s="11"/>
      <c r="Y1534" s="11"/>
      <c r="Z1534" s="11"/>
      <c r="AA1534" s="11"/>
      <c r="AB1534" s="11"/>
      <c r="AC1534" s="11"/>
      <c r="AD1534" s="11"/>
      <c r="AE1534" s="11"/>
      <c r="AF1534" s="11"/>
      <c r="AG1534" s="11"/>
      <c r="AH1534" s="11"/>
      <c r="AI1534" s="11"/>
      <c r="AJ1534" s="11"/>
      <c r="AK1534" s="11"/>
      <c r="AL1534" s="11"/>
      <c r="AM1534" s="11"/>
      <c r="AN1534" s="11"/>
      <c r="AO1534" s="11"/>
      <c r="AP1534" s="11"/>
      <c r="AQ1534" s="11"/>
      <c r="AR1534" s="11"/>
      <c r="AS1534" s="11"/>
      <c r="AT1534" s="11"/>
      <c r="AU1534" s="11"/>
      <c r="AV1534" s="11"/>
    </row>
    <row r="1535" spans="1:48">
      <c r="A1535" s="506"/>
      <c r="B1535" s="597" t="s">
        <v>1248</v>
      </c>
      <c r="C1535" s="506" t="s">
        <v>507</v>
      </c>
      <c r="D1535" s="1589">
        <v>960</v>
      </c>
      <c r="E1535" s="2223" t="s">
        <v>1905</v>
      </c>
      <c r="F1535" s="540">
        <v>2341</v>
      </c>
      <c r="G1535" s="411" t="s">
        <v>391</v>
      </c>
      <c r="H1535" s="2817">
        <v>197</v>
      </c>
      <c r="I1535" s="2818"/>
      <c r="J1535" s="2819">
        <v>196.22</v>
      </c>
      <c r="K1535" s="2816"/>
      <c r="L1535" s="2818">
        <v>300</v>
      </c>
      <c r="M1535" s="2802"/>
      <c r="N1535" s="2804"/>
      <c r="O1535" s="86"/>
      <c r="P1535" s="1817" t="e">
        <f>INDEX(#REF!,MATCH(F1535,#REF!,0),2)</f>
        <v>#REF!</v>
      </c>
      <c r="Q1535" s="11"/>
      <c r="R1535" s="11"/>
      <c r="S1535" s="11"/>
      <c r="T1535" s="11"/>
      <c r="U1535" s="11"/>
      <c r="V1535" s="11"/>
      <c r="W1535" s="4"/>
      <c r="X1535" s="11"/>
      <c r="Y1535" s="11"/>
      <c r="Z1535" s="11"/>
      <c r="AA1535" s="11"/>
      <c r="AB1535" s="11"/>
      <c r="AC1535" s="11"/>
      <c r="AD1535" s="11"/>
      <c r="AE1535" s="11"/>
      <c r="AF1535" s="11"/>
      <c r="AG1535" s="11"/>
      <c r="AH1535" s="11"/>
      <c r="AI1535" s="11"/>
      <c r="AJ1535" s="11"/>
      <c r="AK1535" s="11"/>
      <c r="AL1535" s="11"/>
      <c r="AM1535" s="11"/>
      <c r="AN1535" s="11"/>
      <c r="AO1535" s="11"/>
      <c r="AP1535" s="11"/>
      <c r="AQ1535" s="11"/>
      <c r="AR1535" s="11"/>
      <c r="AS1535" s="11"/>
      <c r="AT1535" s="11"/>
      <c r="AU1535" s="11"/>
      <c r="AV1535" s="11"/>
    </row>
    <row r="1536" spans="1:48" ht="22.5">
      <c r="A1536" s="412"/>
      <c r="B1536" s="412" t="s">
        <v>1248</v>
      </c>
      <c r="C1536" s="412" t="s">
        <v>507</v>
      </c>
      <c r="D1536" s="1590"/>
      <c r="E1536" s="2224" t="s">
        <v>1905</v>
      </c>
      <c r="F1536" s="505">
        <v>2341</v>
      </c>
      <c r="G1536" s="410" t="s">
        <v>392</v>
      </c>
      <c r="H1536" s="2814"/>
      <c r="I1536" s="2800">
        <v>150</v>
      </c>
      <c r="J1536" s="2815"/>
      <c r="K1536" s="2821"/>
      <c r="L1536" s="2803"/>
      <c r="M1536" s="2800">
        <v>300</v>
      </c>
      <c r="N1536" s="2807" t="s">
        <v>3808</v>
      </c>
      <c r="O1536" s="86"/>
      <c r="P1536" s="1817" t="e">
        <f>INDEX(#REF!,MATCH(F1536,#REF!,0),2)</f>
        <v>#REF!</v>
      </c>
      <c r="Q1536" s="4"/>
      <c r="T1536" s="310"/>
      <c r="U1536" s="4"/>
    </row>
    <row r="1537" spans="1:48" ht="22.5">
      <c r="A1537" s="1882"/>
      <c r="B1537" s="412" t="s">
        <v>1248</v>
      </c>
      <c r="C1537" s="412" t="s">
        <v>507</v>
      </c>
      <c r="D1537" s="1590"/>
      <c r="E1537" s="2224" t="s">
        <v>1905</v>
      </c>
      <c r="F1537" s="505">
        <v>2341</v>
      </c>
      <c r="G1537" s="1884" t="s">
        <v>3303</v>
      </c>
      <c r="H1537" s="2814"/>
      <c r="I1537" s="2800">
        <v>47</v>
      </c>
      <c r="J1537" s="2815"/>
      <c r="K1537" s="2821"/>
      <c r="L1537" s="2803"/>
      <c r="M1537" s="2803"/>
      <c r="N1537" s="2804"/>
      <c r="O1537" s="86"/>
      <c r="P1537" s="1817" t="e">
        <f>INDEX(#REF!,MATCH(F1537,#REF!,0),2)</f>
        <v>#REF!</v>
      </c>
      <c r="Q1537" s="4"/>
      <c r="T1537" s="310"/>
      <c r="U1537" s="4"/>
    </row>
    <row r="1538" spans="1:48">
      <c r="A1538" s="506"/>
      <c r="B1538" s="597" t="s">
        <v>1248</v>
      </c>
      <c r="C1538" s="506" t="s">
        <v>505</v>
      </c>
      <c r="D1538" s="1589">
        <v>960</v>
      </c>
      <c r="E1538" s="2223" t="s">
        <v>1905</v>
      </c>
      <c r="F1538" s="540">
        <v>2350</v>
      </c>
      <c r="G1538" s="411" t="s">
        <v>251</v>
      </c>
      <c r="H1538" s="2817">
        <v>8453</v>
      </c>
      <c r="I1538" s="2802"/>
      <c r="J1538" s="2819">
        <v>6748.91</v>
      </c>
      <c r="K1538" s="2816"/>
      <c r="L1538" s="2818">
        <v>8000</v>
      </c>
      <c r="M1538" s="2802"/>
      <c r="N1538" s="2804"/>
      <c r="O1538" s="86"/>
      <c r="P1538" s="1817" t="e">
        <f>INDEX(#REF!,MATCH(F1538,#REF!,0),2)</f>
        <v>#REF!</v>
      </c>
      <c r="Q1538" s="4"/>
      <c r="T1538" s="310"/>
      <c r="U1538" s="4"/>
    </row>
    <row r="1539" spans="1:48" ht="22.5">
      <c r="A1539" s="412"/>
      <c r="B1539" s="412" t="s">
        <v>1248</v>
      </c>
      <c r="C1539" s="412" t="s">
        <v>505</v>
      </c>
      <c r="D1539" s="1590"/>
      <c r="E1539" s="2224" t="s">
        <v>1905</v>
      </c>
      <c r="F1539" s="505">
        <v>2350</v>
      </c>
      <c r="G1539" s="410" t="s">
        <v>3810</v>
      </c>
      <c r="H1539" s="2814"/>
      <c r="I1539" s="2800">
        <v>500</v>
      </c>
      <c r="J1539" s="2815"/>
      <c r="K1539" s="2821"/>
      <c r="L1539" s="2803"/>
      <c r="M1539" s="2800">
        <v>1000</v>
      </c>
      <c r="N1539" s="2807" t="s">
        <v>3809</v>
      </c>
      <c r="O1539" s="86"/>
      <c r="P1539" s="1817" t="e">
        <f>INDEX(#REF!,MATCH(F1539,#REF!,0),2)</f>
        <v>#REF!</v>
      </c>
      <c r="Q1539" s="4"/>
      <c r="T1539" s="310"/>
      <c r="U1539" s="4"/>
    </row>
    <row r="1540" spans="1:48" ht="27" customHeight="1">
      <c r="A1540" s="412"/>
      <c r="B1540" s="412" t="s">
        <v>1248</v>
      </c>
      <c r="C1540" s="412" t="s">
        <v>505</v>
      </c>
      <c r="D1540" s="1590"/>
      <c r="E1540" s="2224" t="s">
        <v>1905</v>
      </c>
      <c r="F1540" s="505">
        <v>2350</v>
      </c>
      <c r="G1540" s="410" t="s">
        <v>393</v>
      </c>
      <c r="H1540" s="2814"/>
      <c r="I1540" s="2800">
        <v>2000</v>
      </c>
      <c r="J1540" s="2815"/>
      <c r="K1540" s="2821"/>
      <c r="L1540" s="2803"/>
      <c r="M1540" s="2800">
        <v>2000</v>
      </c>
      <c r="N1540" s="1030"/>
      <c r="O1540" s="86"/>
      <c r="P1540" s="1817" t="e">
        <f>INDEX(#REF!,MATCH(F1540,#REF!,0),2)</f>
        <v>#REF!</v>
      </c>
      <c r="Q1540" s="4"/>
      <c r="T1540" s="310"/>
      <c r="U1540" s="4"/>
    </row>
    <row r="1541" spans="1:48" ht="19.149999999999999" customHeight="1">
      <c r="A1541" s="1882"/>
      <c r="B1541" s="412" t="s">
        <v>1248</v>
      </c>
      <c r="C1541" s="412" t="s">
        <v>505</v>
      </c>
      <c r="D1541" s="1590"/>
      <c r="E1541" s="2224" t="s">
        <v>1905</v>
      </c>
      <c r="F1541" s="505">
        <v>2350</v>
      </c>
      <c r="G1541" s="1884" t="s">
        <v>3303</v>
      </c>
      <c r="H1541" s="2814"/>
      <c r="I1541" s="2800">
        <v>-47</v>
      </c>
      <c r="J1541" s="2815"/>
      <c r="K1541" s="2821"/>
      <c r="L1541" s="2803"/>
      <c r="M1541" s="2803"/>
      <c r="N1541" s="2804"/>
      <c r="O1541" s="86"/>
      <c r="P1541" s="1817" t="e">
        <f>INDEX(#REF!,MATCH(F1541,#REF!,0),2)</f>
        <v>#REF!</v>
      </c>
      <c r="Q1541" s="4"/>
      <c r="T1541" s="310"/>
      <c r="U1541" s="4"/>
    </row>
    <row r="1542" spans="1:48" ht="13.9" customHeight="1">
      <c r="A1542" s="1882"/>
      <c r="B1542" s="412" t="s">
        <v>1248</v>
      </c>
      <c r="C1542" s="412" t="s">
        <v>505</v>
      </c>
      <c r="D1542" s="1590"/>
      <c r="E1542" s="2224" t="s">
        <v>1905</v>
      </c>
      <c r="F1542" s="505">
        <v>2350</v>
      </c>
      <c r="G1542" s="1884" t="s">
        <v>3146</v>
      </c>
      <c r="H1542" s="2814"/>
      <c r="I1542" s="2800">
        <v>7000</v>
      </c>
      <c r="J1542" s="2815"/>
      <c r="K1542" s="2821"/>
      <c r="L1542" s="2803"/>
      <c r="M1542" s="2800">
        <v>5000</v>
      </c>
      <c r="N1542" s="2807" t="s">
        <v>3812</v>
      </c>
      <c r="O1542" s="86"/>
      <c r="P1542" s="1817" t="e">
        <f>INDEX(#REF!,MATCH(F1542,#REF!,0),2)</f>
        <v>#REF!</v>
      </c>
      <c r="T1542" s="310"/>
      <c r="U1542" s="4"/>
    </row>
    <row r="1543" spans="1:48" ht="24.6" customHeight="1">
      <c r="A1543" s="1882"/>
      <c r="B1543" s="412" t="s">
        <v>1248</v>
      </c>
      <c r="C1543" s="412" t="s">
        <v>505</v>
      </c>
      <c r="D1543" s="1590"/>
      <c r="E1543" s="2224" t="s">
        <v>1905</v>
      </c>
      <c r="F1543" s="505">
        <v>2350</v>
      </c>
      <c r="G1543" s="1884" t="s">
        <v>3237</v>
      </c>
      <c r="H1543" s="2814"/>
      <c r="I1543" s="2800">
        <v>-1000</v>
      </c>
      <c r="J1543" s="2815"/>
      <c r="K1543" s="2821"/>
      <c r="L1543" s="2803"/>
      <c r="M1543" s="2803"/>
      <c r="N1543" s="2804"/>
      <c r="O1543" s="86"/>
      <c r="P1543" s="1817" t="e">
        <f>INDEX(#REF!,MATCH(F1543,#REF!,0),2)</f>
        <v>#REF!</v>
      </c>
      <c r="Q1543" s="1779"/>
      <c r="R1543" s="1779"/>
      <c r="S1543" s="1779"/>
      <c r="T1543" s="1779"/>
      <c r="U1543" s="1779"/>
      <c r="V1543" s="1779"/>
      <c r="W1543" s="43"/>
      <c r="X1543" s="1779"/>
      <c r="Y1543" s="1779"/>
      <c r="Z1543" s="1779"/>
      <c r="AA1543" s="1779"/>
      <c r="AB1543" s="1779"/>
      <c r="AC1543" s="1779"/>
      <c r="AD1543" s="1779"/>
      <c r="AE1543" s="1779"/>
      <c r="AF1543" s="1779"/>
      <c r="AG1543" s="1779"/>
      <c r="AH1543" s="1779"/>
      <c r="AI1543" s="1779"/>
      <c r="AJ1543" s="1779"/>
      <c r="AK1543" s="1779"/>
      <c r="AL1543" s="1779"/>
      <c r="AM1543" s="1779"/>
      <c r="AN1543" s="1779"/>
      <c r="AO1543" s="1779"/>
      <c r="AP1543" s="1779"/>
      <c r="AQ1543" s="1779"/>
      <c r="AR1543" s="1779"/>
      <c r="AS1543" s="1779"/>
      <c r="AT1543" s="1779"/>
      <c r="AU1543" s="1779"/>
      <c r="AV1543" s="1779"/>
    </row>
    <row r="1544" spans="1:48" ht="29.45" customHeight="1">
      <c r="A1544" s="506"/>
      <c r="B1544" s="597" t="s">
        <v>1248</v>
      </c>
      <c r="C1544" s="506" t="s">
        <v>507</v>
      </c>
      <c r="D1544" s="1589">
        <v>960</v>
      </c>
      <c r="E1544" s="2223" t="s">
        <v>1905</v>
      </c>
      <c r="F1544" s="540">
        <v>2361</v>
      </c>
      <c r="G1544" s="411" t="s">
        <v>3759</v>
      </c>
      <c r="H1544" s="2817">
        <v>600</v>
      </c>
      <c r="I1544" s="2802"/>
      <c r="J1544" s="2819"/>
      <c r="K1544" s="2816"/>
      <c r="L1544" s="2818">
        <v>2600</v>
      </c>
      <c r="M1544" s="2818"/>
      <c r="N1544" s="2804"/>
      <c r="O1544" s="86"/>
      <c r="P1544" s="1817" t="e">
        <f>INDEX(#REF!,MATCH(F1544,#REF!,0),2)</f>
        <v>#REF!</v>
      </c>
      <c r="Q1544" s="43"/>
      <c r="R1544" s="43"/>
      <c r="S1544" s="43"/>
      <c r="T1544" s="43"/>
      <c r="U1544" s="43"/>
      <c r="V1544" s="43"/>
      <c r="W1544" s="43"/>
      <c r="X1544" s="43"/>
      <c r="Y1544" s="43"/>
      <c r="Z1544" s="43"/>
      <c r="AA1544" s="43"/>
      <c r="AB1544" s="43"/>
      <c r="AC1544" s="43"/>
      <c r="AD1544" s="43"/>
      <c r="AE1544" s="43"/>
      <c r="AF1544" s="43"/>
      <c r="AG1544" s="43"/>
      <c r="AH1544" s="43"/>
      <c r="AI1544" s="43"/>
      <c r="AJ1544" s="43"/>
      <c r="AK1544" s="43"/>
      <c r="AL1544" s="43"/>
      <c r="AM1544" s="43"/>
      <c r="AN1544" s="43"/>
    </row>
    <row r="1545" spans="1:48" ht="13.9" customHeight="1">
      <c r="A1545" s="412"/>
      <c r="B1545" s="412" t="s">
        <v>1248</v>
      </c>
      <c r="C1545" s="412" t="s">
        <v>509</v>
      </c>
      <c r="D1545" s="1590"/>
      <c r="E1545" s="2224" t="s">
        <v>1905</v>
      </c>
      <c r="F1545" s="505">
        <v>2361</v>
      </c>
      <c r="G1545" s="1884" t="s">
        <v>3801</v>
      </c>
      <c r="H1545" s="2814"/>
      <c r="I1545" s="2800"/>
      <c r="J1545" s="2815"/>
      <c r="K1545" s="2821"/>
      <c r="L1545" s="2800"/>
      <c r="M1545" s="2800">
        <v>2000</v>
      </c>
      <c r="N1545" s="2804" t="s">
        <v>3799</v>
      </c>
      <c r="O1545" s="86"/>
      <c r="P1545" s="1817" t="e">
        <f>INDEX(#REF!,MATCH(F1545,#REF!,0),2)</f>
        <v>#REF!</v>
      </c>
      <c r="T1545" s="310"/>
      <c r="U1545" s="4"/>
    </row>
    <row r="1546" spans="1:48" ht="21" customHeight="1">
      <c r="A1546" s="489"/>
      <c r="B1546" s="412" t="s">
        <v>1248</v>
      </c>
      <c r="C1546" s="412" t="s">
        <v>509</v>
      </c>
      <c r="D1546" s="1590"/>
      <c r="E1546" s="2224" t="s">
        <v>1905</v>
      </c>
      <c r="F1546" s="505">
        <v>2361</v>
      </c>
      <c r="G1546" s="490" t="s">
        <v>1497</v>
      </c>
      <c r="H1546" s="2822"/>
      <c r="I1546" s="2779">
        <v>600</v>
      </c>
      <c r="J1546" s="2776"/>
      <c r="K1546" s="2777"/>
      <c r="L1546" s="2778"/>
      <c r="M1546" s="2779">
        <v>600</v>
      </c>
      <c r="N1546" s="2804" t="s">
        <v>3799</v>
      </c>
      <c r="O1546" s="86"/>
      <c r="P1546" s="1817" t="e">
        <f>INDEX(#REF!,MATCH(F1546,#REF!,0),2)</f>
        <v>#REF!</v>
      </c>
      <c r="Q1546" s="1779"/>
      <c r="R1546" s="1779"/>
      <c r="S1546" s="1779"/>
      <c r="T1546" s="1779"/>
      <c r="U1546" s="1779"/>
      <c r="V1546" s="1779"/>
      <c r="W1546" s="43"/>
      <c r="X1546" s="1779"/>
      <c r="Y1546" s="1779"/>
      <c r="Z1546" s="1779"/>
      <c r="AA1546" s="1779"/>
      <c r="AB1546" s="1779"/>
      <c r="AC1546" s="1779"/>
      <c r="AD1546" s="1779"/>
      <c r="AE1546" s="1779"/>
      <c r="AF1546" s="1779"/>
      <c r="AG1546" s="1779"/>
      <c r="AH1546" s="1779"/>
      <c r="AI1546" s="1779"/>
      <c r="AJ1546" s="1779"/>
      <c r="AK1546" s="1779"/>
      <c r="AL1546" s="1779"/>
      <c r="AM1546" s="1779"/>
      <c r="AN1546" s="1779"/>
      <c r="AO1546" s="1779"/>
      <c r="AP1546" s="1779"/>
      <c r="AQ1546" s="1779"/>
      <c r="AR1546" s="1779"/>
      <c r="AS1546" s="1779"/>
      <c r="AT1546" s="1779"/>
      <c r="AU1546" s="1779"/>
      <c r="AV1546" s="1779"/>
    </row>
    <row r="1547" spans="1:48" ht="24" customHeight="1">
      <c r="A1547" s="506"/>
      <c r="B1547" s="597" t="s">
        <v>1248</v>
      </c>
      <c r="C1547" s="506" t="s">
        <v>507</v>
      </c>
      <c r="D1547" s="1589">
        <v>960</v>
      </c>
      <c r="E1547" s="2223" t="s">
        <v>1905</v>
      </c>
      <c r="F1547" s="540">
        <v>2370</v>
      </c>
      <c r="G1547" s="411" t="s">
        <v>365</v>
      </c>
      <c r="H1547" s="2817">
        <v>11150</v>
      </c>
      <c r="I1547" s="2802"/>
      <c r="J1547" s="2819">
        <v>9291.0400000000009</v>
      </c>
      <c r="K1547" s="2816"/>
      <c r="L1547" s="2818">
        <v>14600</v>
      </c>
      <c r="M1547" s="2802"/>
      <c r="N1547" s="2804"/>
      <c r="O1547" s="86"/>
      <c r="P1547" s="1817" t="e">
        <f>INDEX(#REF!,MATCH(F1547,#REF!,0),2)</f>
        <v>#REF!</v>
      </c>
      <c r="T1547" s="310"/>
      <c r="U1547" s="4"/>
    </row>
    <row r="1548" spans="1:48" ht="18.600000000000001" customHeight="1">
      <c r="A1548" s="412"/>
      <c r="B1548" s="412" t="s">
        <v>1248</v>
      </c>
      <c r="C1548" s="412" t="s">
        <v>509</v>
      </c>
      <c r="D1548" s="1590"/>
      <c r="E1548" s="2224" t="s">
        <v>1905</v>
      </c>
      <c r="F1548" s="505">
        <v>2370</v>
      </c>
      <c r="G1548" s="410" t="s">
        <v>974</v>
      </c>
      <c r="H1548" s="2814"/>
      <c r="I1548" s="2800">
        <v>1300</v>
      </c>
      <c r="J1548" s="2815"/>
      <c r="K1548" s="2821"/>
      <c r="L1548" s="2803"/>
      <c r="M1548" s="2800">
        <v>1800</v>
      </c>
      <c r="N1548" s="2804" t="s">
        <v>3799</v>
      </c>
      <c r="O1548" s="86"/>
      <c r="P1548" s="1817" t="e">
        <f>INDEX(#REF!,MATCH(F1548,#REF!,0),2)</f>
        <v>#REF!</v>
      </c>
      <c r="T1548" s="310"/>
      <c r="U1548" s="4"/>
    </row>
    <row r="1549" spans="1:48" ht="13.15" customHeight="1">
      <c r="A1549" s="412"/>
      <c r="B1549" s="412" t="s">
        <v>1248</v>
      </c>
      <c r="C1549" s="412" t="s">
        <v>507</v>
      </c>
      <c r="D1549" s="1590"/>
      <c r="E1549" s="2224" t="s">
        <v>1905</v>
      </c>
      <c r="F1549" s="505">
        <v>2370</v>
      </c>
      <c r="G1549" s="410" t="s">
        <v>639</v>
      </c>
      <c r="H1549" s="2814"/>
      <c r="I1549" s="2800">
        <v>9000</v>
      </c>
      <c r="J1549" s="2815"/>
      <c r="K1549" s="2837"/>
      <c r="L1549" s="2803"/>
      <c r="M1549" s="2800">
        <v>9000</v>
      </c>
      <c r="N1549" s="43" t="s">
        <v>3811</v>
      </c>
      <c r="O1549" s="86"/>
      <c r="P1549" s="1817" t="e">
        <f>INDEX(#REF!,MATCH(F1549,#REF!,0),2)</f>
        <v>#REF!</v>
      </c>
      <c r="Q1549" s="4"/>
      <c r="T1549" s="310"/>
      <c r="U1549" s="4"/>
    </row>
    <row r="1550" spans="1:48" ht="20.45" customHeight="1">
      <c r="A1550" s="412"/>
      <c r="B1550" s="412" t="s">
        <v>1248</v>
      </c>
      <c r="C1550" s="412" t="s">
        <v>507</v>
      </c>
      <c r="D1550" s="1590"/>
      <c r="E1550" s="2224" t="s">
        <v>1905</v>
      </c>
      <c r="F1550" s="505">
        <v>2370</v>
      </c>
      <c r="G1550" s="410" t="s">
        <v>975</v>
      </c>
      <c r="H1550" s="2814"/>
      <c r="I1550" s="2800">
        <v>150</v>
      </c>
      <c r="J1550" s="2815"/>
      <c r="K1550" s="2837"/>
      <c r="L1550" s="2803"/>
      <c r="M1550" s="2800">
        <v>200</v>
      </c>
      <c r="N1550" s="43" t="s">
        <v>3816</v>
      </c>
      <c r="O1550" s="86"/>
      <c r="P1550" s="1817" t="e">
        <f>INDEX(#REF!,MATCH(F1550,#REF!,0),2)</f>
        <v>#REF!</v>
      </c>
      <c r="Q1550" s="11"/>
      <c r="R1550" s="11"/>
      <c r="S1550" s="11"/>
      <c r="T1550" s="11"/>
      <c r="U1550" s="11"/>
      <c r="V1550" s="11"/>
      <c r="W1550" s="4"/>
      <c r="X1550" s="11"/>
      <c r="Y1550" s="11"/>
      <c r="Z1550" s="11"/>
      <c r="AA1550" s="11"/>
      <c r="AB1550" s="11"/>
      <c r="AC1550" s="11"/>
      <c r="AD1550" s="11"/>
      <c r="AE1550" s="11"/>
      <c r="AF1550" s="11"/>
      <c r="AG1550" s="11"/>
      <c r="AH1550" s="11"/>
      <c r="AI1550" s="11"/>
      <c r="AJ1550" s="11"/>
      <c r="AK1550" s="11"/>
      <c r="AL1550" s="11"/>
      <c r="AM1550" s="11"/>
      <c r="AN1550" s="11"/>
      <c r="AO1550" s="11"/>
      <c r="AP1550" s="11"/>
      <c r="AQ1550" s="11"/>
      <c r="AR1550" s="11"/>
      <c r="AS1550" s="11"/>
      <c r="AT1550" s="11"/>
      <c r="AU1550" s="11"/>
      <c r="AV1550" s="11"/>
    </row>
    <row r="1551" spans="1:48" ht="11.45" customHeight="1">
      <c r="A1551" s="412"/>
      <c r="B1551" s="412" t="s">
        <v>1248</v>
      </c>
      <c r="C1551" s="412" t="s">
        <v>507</v>
      </c>
      <c r="D1551" s="1590"/>
      <c r="E1551" s="2224" t="s">
        <v>1905</v>
      </c>
      <c r="F1551" s="505">
        <v>2370</v>
      </c>
      <c r="G1551" s="410" t="s">
        <v>813</v>
      </c>
      <c r="H1551" s="2814"/>
      <c r="I1551" s="2800">
        <v>600</v>
      </c>
      <c r="J1551" s="2815"/>
      <c r="K1551" s="2837"/>
      <c r="L1551" s="2803"/>
      <c r="M1551" s="2800">
        <v>600</v>
      </c>
      <c r="N1551" s="1030" t="s">
        <v>3817</v>
      </c>
      <c r="O1551" s="86"/>
      <c r="P1551" s="1817" t="e">
        <f>INDEX(#REF!,MATCH(F1551,#REF!,0),2)</f>
        <v>#REF!</v>
      </c>
      <c r="Q1551" s="11"/>
      <c r="R1551" s="11"/>
      <c r="S1551" s="11"/>
      <c r="T1551" s="11"/>
      <c r="U1551" s="11"/>
      <c r="V1551" s="11"/>
      <c r="W1551" s="4"/>
      <c r="X1551" s="11"/>
      <c r="Y1551" s="11"/>
      <c r="Z1551" s="11"/>
      <c r="AA1551" s="11"/>
      <c r="AB1551" s="11"/>
      <c r="AC1551" s="11"/>
      <c r="AD1551" s="11"/>
      <c r="AE1551" s="11"/>
      <c r="AF1551" s="11"/>
      <c r="AG1551" s="11"/>
      <c r="AH1551" s="11"/>
      <c r="AI1551" s="11"/>
      <c r="AJ1551" s="11"/>
      <c r="AK1551" s="11"/>
      <c r="AL1551" s="11"/>
      <c r="AM1551" s="11"/>
      <c r="AN1551" s="11"/>
      <c r="AO1551" s="11"/>
      <c r="AP1551" s="11"/>
      <c r="AQ1551" s="11"/>
      <c r="AR1551" s="11"/>
      <c r="AS1551" s="11"/>
      <c r="AT1551" s="11"/>
      <c r="AU1551" s="11"/>
      <c r="AV1551" s="11"/>
    </row>
    <row r="1552" spans="1:48" ht="14.45" customHeight="1">
      <c r="A1552" s="412"/>
      <c r="B1552" s="412" t="s">
        <v>1248</v>
      </c>
      <c r="C1552" s="412" t="s">
        <v>507</v>
      </c>
      <c r="D1552" s="1590"/>
      <c r="E1552" s="2224" t="s">
        <v>1905</v>
      </c>
      <c r="F1552" s="505">
        <v>2370</v>
      </c>
      <c r="G1552" s="410" t="s">
        <v>3818</v>
      </c>
      <c r="H1552" s="2814"/>
      <c r="I1552" s="2800">
        <v>2000</v>
      </c>
      <c r="J1552" s="2815"/>
      <c r="K1552" s="2837"/>
      <c r="L1552" s="2803"/>
      <c r="M1552" s="2800">
        <v>3000</v>
      </c>
      <c r="N1552" s="2561" t="s">
        <v>3809</v>
      </c>
      <c r="O1552" s="86"/>
      <c r="P1552" s="1817" t="e">
        <f>INDEX(#REF!,MATCH(F1552,#REF!,0),2)</f>
        <v>#REF!</v>
      </c>
      <c r="Q1552" s="1779"/>
      <c r="R1552" s="1779"/>
      <c r="S1552" s="1779"/>
      <c r="T1552" s="1779"/>
      <c r="U1552" s="1779"/>
      <c r="V1552" s="1779"/>
      <c r="W1552" s="43"/>
      <c r="X1552" s="1779"/>
      <c r="Y1552" s="1779"/>
      <c r="Z1552" s="1779"/>
      <c r="AA1552" s="1779"/>
      <c r="AB1552" s="1779"/>
      <c r="AC1552" s="1779"/>
      <c r="AD1552" s="1779"/>
      <c r="AE1552" s="1779"/>
      <c r="AF1552" s="1779"/>
      <c r="AG1552" s="1779"/>
      <c r="AH1552" s="1779"/>
      <c r="AI1552" s="1779"/>
      <c r="AJ1552" s="1779"/>
      <c r="AK1552" s="1779"/>
      <c r="AL1552" s="1779"/>
      <c r="AM1552" s="1779"/>
      <c r="AN1552" s="1779"/>
      <c r="AO1552" s="1779"/>
      <c r="AP1552" s="1779"/>
      <c r="AQ1552" s="1779"/>
      <c r="AR1552" s="1779"/>
      <c r="AS1552" s="1779"/>
      <c r="AT1552" s="1779"/>
      <c r="AU1552" s="1779"/>
      <c r="AV1552" s="1779"/>
    </row>
    <row r="1553" spans="1:48">
      <c r="A1553" s="506"/>
      <c r="B1553" s="506" t="s">
        <v>1248</v>
      </c>
      <c r="C1553" s="506" t="s">
        <v>505</v>
      </c>
      <c r="D1553" s="1589">
        <v>960</v>
      </c>
      <c r="E1553" s="2223" t="s">
        <v>1905</v>
      </c>
      <c r="F1553" s="540">
        <v>2390</v>
      </c>
      <c r="G1553" s="411" t="s">
        <v>253</v>
      </c>
      <c r="H1553" s="2817">
        <v>0</v>
      </c>
      <c r="I1553" s="2818"/>
      <c r="J1553" s="2819"/>
      <c r="K1553" s="2816"/>
      <c r="L1553" s="2818">
        <v>0</v>
      </c>
      <c r="M1553" s="2802"/>
      <c r="N1553" s="2804"/>
      <c r="O1553" s="86"/>
      <c r="P1553" s="1817" t="e">
        <f>INDEX(#REF!,MATCH(F1553,#REF!,0),2)</f>
        <v>#REF!</v>
      </c>
    </row>
    <row r="1554" spans="1:48" ht="18" customHeight="1">
      <c r="A1554" s="412"/>
      <c r="B1554" s="412" t="s">
        <v>1248</v>
      </c>
      <c r="C1554" s="412" t="s">
        <v>505</v>
      </c>
      <c r="D1554" s="1590"/>
      <c r="E1554" s="2224" t="s">
        <v>1905</v>
      </c>
      <c r="F1554" s="505">
        <v>2390</v>
      </c>
      <c r="G1554" s="410"/>
      <c r="H1554" s="2822"/>
      <c r="I1554" s="2779"/>
      <c r="J1554" s="2776"/>
      <c r="K1554" s="2777"/>
      <c r="L1554" s="2778"/>
      <c r="M1554" s="2779"/>
      <c r="N1554" s="1030"/>
      <c r="O1554" s="86"/>
      <c r="P1554" s="1817" t="e">
        <f>INDEX(#REF!,MATCH(F1554,#REF!,0),2)</f>
        <v>#REF!</v>
      </c>
    </row>
    <row r="1555" spans="1:48" ht="22.15" customHeight="1">
      <c r="A1555" s="988"/>
      <c r="B1555" s="988" t="s">
        <v>1248</v>
      </c>
      <c r="C1555" s="988" t="s">
        <v>505</v>
      </c>
      <c r="D1555" s="1589">
        <v>960</v>
      </c>
      <c r="E1555" s="2223" t="s">
        <v>1905</v>
      </c>
      <c r="F1555" s="1010">
        <v>2400</v>
      </c>
      <c r="G1555" s="990" t="s">
        <v>1294</v>
      </c>
      <c r="H1555" s="2823">
        <v>0</v>
      </c>
      <c r="I1555" s="2823"/>
      <c r="J1555" s="2824"/>
      <c r="K1555" s="2825"/>
      <c r="L1555" s="2823">
        <v>0</v>
      </c>
      <c r="M1555" s="2832"/>
      <c r="N1555" s="2804"/>
      <c r="O1555" s="86"/>
      <c r="P1555" s="1817" t="e">
        <f>INDEX(#REF!,MATCH(F1555,#REF!,0),2)</f>
        <v>#REF!</v>
      </c>
      <c r="Q1555" s="11"/>
      <c r="R1555" s="11"/>
      <c r="S1555" s="11"/>
      <c r="T1555" s="11"/>
      <c r="U1555" s="11"/>
      <c r="V1555" s="11"/>
      <c r="W1555" s="4"/>
      <c r="X1555" s="11"/>
      <c r="Y1555" s="11"/>
      <c r="Z1555" s="11"/>
      <c r="AA1555" s="11"/>
      <c r="AB1555" s="11"/>
      <c r="AC1555" s="11"/>
      <c r="AD1555" s="11"/>
      <c r="AE1555" s="11"/>
      <c r="AF1555" s="11"/>
      <c r="AG1555" s="11"/>
      <c r="AH1555" s="11"/>
      <c r="AI1555" s="11"/>
      <c r="AJ1555" s="11"/>
      <c r="AK1555" s="11"/>
      <c r="AL1555" s="11"/>
      <c r="AM1555" s="11"/>
      <c r="AN1555" s="11"/>
      <c r="AO1555" s="11"/>
      <c r="AP1555" s="11"/>
      <c r="AQ1555" s="11"/>
      <c r="AR1555" s="11"/>
      <c r="AS1555" s="11"/>
      <c r="AT1555" s="11"/>
      <c r="AU1555" s="11"/>
      <c r="AV1555" s="11"/>
    </row>
    <row r="1556" spans="1:48" ht="12.6" customHeight="1">
      <c r="A1556" s="992"/>
      <c r="B1556" s="992" t="s">
        <v>1248</v>
      </c>
      <c r="C1556" s="992" t="s">
        <v>505</v>
      </c>
      <c r="D1556" s="1590"/>
      <c r="E1556" s="2224" t="s">
        <v>1905</v>
      </c>
      <c r="F1556" s="1011">
        <v>2400</v>
      </c>
      <c r="G1556" s="996"/>
      <c r="H1556" s="2826"/>
      <c r="I1556" s="2826"/>
      <c r="J1556" s="2827"/>
      <c r="K1556" s="2828"/>
      <c r="L1556" s="2826"/>
      <c r="M1556" s="2833"/>
      <c r="N1556" s="2804"/>
      <c r="O1556" s="86"/>
      <c r="P1556" s="1817" t="e">
        <f>INDEX(#REF!,MATCH(F1556,#REF!,0),2)</f>
        <v>#REF!</v>
      </c>
      <c r="Q1556" s="11"/>
      <c r="R1556" s="11"/>
      <c r="S1556" s="11"/>
      <c r="T1556" s="11"/>
      <c r="U1556" s="11"/>
      <c r="V1556" s="11"/>
      <c r="W1556" s="4"/>
      <c r="X1556" s="11"/>
      <c r="Y1556" s="11"/>
      <c r="Z1556" s="11"/>
      <c r="AA1556" s="11"/>
      <c r="AB1556" s="11"/>
      <c r="AC1556" s="11"/>
      <c r="AD1556" s="11"/>
      <c r="AE1556" s="11"/>
      <c r="AF1556" s="11"/>
      <c r="AG1556" s="11"/>
      <c r="AH1556" s="11"/>
      <c r="AI1556" s="11"/>
      <c r="AJ1556" s="11"/>
      <c r="AK1556" s="11"/>
      <c r="AL1556" s="11"/>
      <c r="AM1556" s="11"/>
      <c r="AN1556" s="11"/>
      <c r="AO1556" s="11"/>
      <c r="AP1556" s="11"/>
      <c r="AQ1556" s="11"/>
      <c r="AR1556" s="11"/>
      <c r="AS1556" s="11"/>
      <c r="AT1556" s="11"/>
      <c r="AU1556" s="11"/>
      <c r="AV1556" s="11"/>
    </row>
    <row r="1557" spans="1:48" ht="11.45" customHeight="1">
      <c r="A1557" s="506"/>
      <c r="B1557" s="506" t="s">
        <v>1250</v>
      </c>
      <c r="C1557" s="506" t="s">
        <v>509</v>
      </c>
      <c r="D1557" s="1589">
        <v>960</v>
      </c>
      <c r="E1557" s="2223" t="s">
        <v>1905</v>
      </c>
      <c r="F1557" s="540">
        <v>5120</v>
      </c>
      <c r="G1557" s="411" t="s">
        <v>899</v>
      </c>
      <c r="H1557" s="2817">
        <v>0</v>
      </c>
      <c r="I1557" s="2818"/>
      <c r="J1557" s="2819"/>
      <c r="K1557" s="2816"/>
      <c r="L1557" s="2818">
        <v>0</v>
      </c>
      <c r="M1557" s="2802"/>
      <c r="N1557" s="2808"/>
      <c r="O1557" s="86"/>
      <c r="P1557" s="1817" t="e">
        <f>INDEX(#REF!,MATCH(F1557,#REF!,0),2)</f>
        <v>#REF!</v>
      </c>
      <c r="Q1557" s="11"/>
      <c r="R1557" s="11"/>
      <c r="S1557" s="11"/>
      <c r="T1557" s="11"/>
      <c r="U1557" s="11"/>
      <c r="V1557" s="11"/>
      <c r="W1557" s="4"/>
      <c r="X1557" s="11"/>
      <c r="Y1557" s="11"/>
      <c r="Z1557" s="11"/>
      <c r="AA1557" s="11"/>
      <c r="AB1557" s="11"/>
      <c r="AC1557" s="11"/>
      <c r="AD1557" s="11"/>
      <c r="AE1557" s="11"/>
      <c r="AF1557" s="11"/>
      <c r="AG1557" s="11"/>
      <c r="AH1557" s="11"/>
      <c r="AI1557" s="11"/>
      <c r="AJ1557" s="11"/>
      <c r="AK1557" s="11"/>
      <c r="AL1557" s="11"/>
      <c r="AM1557" s="11"/>
      <c r="AN1557" s="11"/>
      <c r="AO1557" s="11"/>
      <c r="AP1557" s="11"/>
      <c r="AQ1557" s="11"/>
      <c r="AR1557" s="11"/>
      <c r="AS1557" s="11"/>
      <c r="AT1557" s="11"/>
      <c r="AU1557" s="11"/>
      <c r="AV1557" s="11"/>
    </row>
    <row r="1558" spans="1:48" ht="78" customHeight="1">
      <c r="A1558" s="412"/>
      <c r="B1558" s="412" t="s">
        <v>1250</v>
      </c>
      <c r="C1558" s="412" t="s">
        <v>509</v>
      </c>
      <c r="D1558" s="1590"/>
      <c r="E1558" s="2224" t="s">
        <v>1905</v>
      </c>
      <c r="F1558" s="505">
        <v>5120</v>
      </c>
      <c r="G1558" s="410"/>
      <c r="H1558" s="2814"/>
      <c r="I1558" s="2800"/>
      <c r="J1558" s="2815"/>
      <c r="K1558" s="2821"/>
      <c r="L1558" s="2803"/>
      <c r="M1558" s="2803"/>
      <c r="N1558" s="2808"/>
      <c r="O1558" s="86"/>
      <c r="P1558" s="1817" t="e">
        <f>INDEX(#REF!,MATCH(F1558,#REF!,0),2)</f>
        <v>#REF!</v>
      </c>
      <c r="Q1558" s="11"/>
      <c r="R1558" s="11"/>
      <c r="S1558" s="11"/>
      <c r="T1558" s="11"/>
      <c r="U1558" s="11"/>
      <c r="V1558" s="11"/>
      <c r="W1558" s="4"/>
      <c r="X1558" s="11"/>
      <c r="Y1558" s="11"/>
      <c r="Z1558" s="11"/>
      <c r="AA1558" s="11"/>
      <c r="AB1558" s="11"/>
      <c r="AC1558" s="11"/>
      <c r="AD1558" s="11"/>
      <c r="AE1558" s="11"/>
      <c r="AF1558" s="11"/>
      <c r="AG1558" s="11"/>
      <c r="AH1558" s="11"/>
      <c r="AI1558" s="11"/>
      <c r="AJ1558" s="11"/>
      <c r="AK1558" s="11"/>
      <c r="AL1558" s="11"/>
      <c r="AM1558" s="11"/>
      <c r="AN1558" s="11"/>
      <c r="AO1558" s="11"/>
      <c r="AP1558" s="11"/>
      <c r="AQ1558" s="11"/>
      <c r="AR1558" s="11"/>
      <c r="AS1558" s="11"/>
      <c r="AT1558" s="11"/>
      <c r="AU1558" s="11"/>
      <c r="AV1558" s="11"/>
    </row>
    <row r="1559" spans="1:48" ht="20.45" customHeight="1">
      <c r="A1559" s="506"/>
      <c r="B1559" s="506" t="s">
        <v>1250</v>
      </c>
      <c r="C1559" s="506" t="s">
        <v>509</v>
      </c>
      <c r="D1559" s="1589">
        <v>960</v>
      </c>
      <c r="E1559" s="2223" t="s">
        <v>1905</v>
      </c>
      <c r="F1559" s="540">
        <v>5238</v>
      </c>
      <c r="G1559" s="411" t="s">
        <v>257</v>
      </c>
      <c r="H1559" s="2817">
        <v>1000</v>
      </c>
      <c r="I1559" s="2818"/>
      <c r="J1559" s="2819"/>
      <c r="K1559" s="2816"/>
      <c r="L1559" s="2818">
        <v>5000</v>
      </c>
      <c r="M1559" s="2818"/>
      <c r="N1559" s="2808"/>
      <c r="O1559" s="86"/>
      <c r="P1559" s="1817" t="e">
        <f>INDEX(#REF!,MATCH(F1559,#REF!,0),2)</f>
        <v>#REF!</v>
      </c>
      <c r="Q1559" s="1794"/>
      <c r="R1559" s="11"/>
      <c r="S1559" s="11"/>
      <c r="T1559" s="11"/>
      <c r="U1559" s="11"/>
      <c r="V1559" s="11"/>
      <c r="W1559" s="4"/>
      <c r="X1559" s="11"/>
      <c r="Y1559" s="11"/>
      <c r="Z1559" s="11"/>
      <c r="AA1559" s="11"/>
      <c r="AB1559" s="11"/>
      <c r="AC1559" s="11"/>
      <c r="AD1559" s="11"/>
      <c r="AE1559" s="11"/>
      <c r="AF1559" s="11"/>
      <c r="AG1559" s="11"/>
      <c r="AH1559" s="11"/>
      <c r="AI1559" s="11"/>
      <c r="AJ1559" s="11"/>
      <c r="AK1559" s="11"/>
      <c r="AL1559" s="11"/>
      <c r="AM1559" s="11"/>
      <c r="AN1559" s="11"/>
      <c r="AO1559" s="11"/>
      <c r="AP1559" s="11"/>
      <c r="AQ1559" s="11"/>
      <c r="AR1559" s="11"/>
      <c r="AS1559" s="11"/>
      <c r="AT1559" s="11"/>
      <c r="AU1559" s="11"/>
      <c r="AV1559" s="11"/>
    </row>
    <row r="1560" spans="1:48" ht="11.45" customHeight="1">
      <c r="A1560" s="489"/>
      <c r="B1560" s="412" t="s">
        <v>1250</v>
      </c>
      <c r="C1560" s="412" t="s">
        <v>509</v>
      </c>
      <c r="D1560" s="1590"/>
      <c r="E1560" s="2224" t="s">
        <v>1905</v>
      </c>
      <c r="F1560" s="505">
        <v>5238</v>
      </c>
      <c r="G1560" s="490" t="s">
        <v>3824</v>
      </c>
      <c r="H1560" s="2814"/>
      <c r="I1560" s="2800"/>
      <c r="J1560" s="2815"/>
      <c r="K1560" s="2821"/>
      <c r="L1560" s="2800"/>
      <c r="M1560" s="2800">
        <v>5000</v>
      </c>
      <c r="N1560" s="2811" t="s">
        <v>3823</v>
      </c>
      <c r="O1560" s="86"/>
      <c r="P1560" s="1817" t="e">
        <f>INDEX(#REF!,MATCH(F1560,#REF!,0),2)</f>
        <v>#REF!</v>
      </c>
      <c r="Q1560" s="11"/>
      <c r="R1560" s="11"/>
      <c r="S1560" s="11"/>
      <c r="T1560" s="11"/>
      <c r="U1560" s="11"/>
      <c r="V1560" s="11"/>
      <c r="W1560" s="4"/>
      <c r="X1560" s="11"/>
      <c r="Y1560" s="11"/>
      <c r="Z1560" s="11"/>
      <c r="AA1560" s="11"/>
      <c r="AB1560" s="11"/>
      <c r="AC1560" s="11"/>
      <c r="AD1560" s="11"/>
      <c r="AE1560" s="11"/>
      <c r="AF1560" s="11"/>
      <c r="AG1560" s="11"/>
      <c r="AH1560" s="11"/>
      <c r="AI1560" s="11"/>
      <c r="AJ1560" s="11"/>
      <c r="AK1560" s="11"/>
      <c r="AL1560" s="11"/>
      <c r="AM1560" s="11"/>
      <c r="AN1560" s="11"/>
      <c r="AO1560" s="11"/>
      <c r="AP1560" s="11"/>
      <c r="AQ1560" s="11"/>
      <c r="AR1560" s="11"/>
      <c r="AS1560" s="11"/>
      <c r="AT1560" s="11"/>
      <c r="AU1560" s="11"/>
      <c r="AV1560" s="11"/>
    </row>
    <row r="1561" spans="1:48" ht="157.15" customHeight="1">
      <c r="A1561" s="489"/>
      <c r="B1561" s="412" t="s">
        <v>1250</v>
      </c>
      <c r="C1561" s="412" t="s">
        <v>509</v>
      </c>
      <c r="D1561" s="1590"/>
      <c r="E1561" s="2224" t="s">
        <v>1905</v>
      </c>
      <c r="F1561" s="505">
        <v>5238</v>
      </c>
      <c r="G1561" s="2809" t="s">
        <v>1498</v>
      </c>
      <c r="H1561" s="2814"/>
      <c r="I1561" s="2800">
        <v>1000</v>
      </c>
      <c r="J1561" s="2815"/>
      <c r="K1561" s="2821"/>
      <c r="L1561" s="2803"/>
      <c r="M1561" s="2800"/>
      <c r="N1561" s="2812"/>
      <c r="O1561" s="86"/>
      <c r="P1561" s="1817" t="e">
        <f>INDEX(#REF!,MATCH(F1561,#REF!,0),2)</f>
        <v>#REF!</v>
      </c>
      <c r="Q1561" s="11"/>
      <c r="R1561" s="11"/>
      <c r="S1561" s="11"/>
      <c r="T1561" s="11"/>
      <c r="U1561" s="1794"/>
      <c r="V1561" s="11"/>
      <c r="W1561" s="4"/>
      <c r="X1561" s="11"/>
      <c r="Y1561" s="11"/>
      <c r="Z1561" s="11"/>
      <c r="AA1561" s="11"/>
      <c r="AB1561" s="11"/>
      <c r="AC1561" s="11"/>
      <c r="AD1561" s="11"/>
      <c r="AE1561" s="11"/>
      <c r="AF1561" s="11"/>
      <c r="AG1561" s="11"/>
      <c r="AH1561" s="11"/>
      <c r="AI1561" s="11"/>
      <c r="AJ1561" s="11"/>
      <c r="AK1561" s="11"/>
      <c r="AL1561" s="11"/>
      <c r="AM1561" s="11"/>
      <c r="AN1561" s="11"/>
      <c r="AO1561" s="11"/>
      <c r="AP1561" s="11"/>
      <c r="AQ1561" s="11"/>
      <c r="AR1561" s="11"/>
      <c r="AS1561" s="11"/>
      <c r="AT1561" s="11"/>
      <c r="AU1561" s="11"/>
      <c r="AV1561" s="11"/>
    </row>
    <row r="1562" spans="1:48">
      <c r="A1562" s="506"/>
      <c r="B1562" s="506" t="s">
        <v>1249</v>
      </c>
      <c r="C1562" s="506" t="s">
        <v>510</v>
      </c>
      <c r="D1562" s="1589">
        <v>960</v>
      </c>
      <c r="E1562" s="2223" t="s">
        <v>1905</v>
      </c>
      <c r="F1562" s="540">
        <v>5238</v>
      </c>
      <c r="G1562" s="411" t="s">
        <v>257</v>
      </c>
      <c r="H1562" s="2817">
        <v>9000</v>
      </c>
      <c r="I1562" s="2818"/>
      <c r="J1562" s="2819">
        <v>8167.5</v>
      </c>
      <c r="K1562" s="2816"/>
      <c r="L1562" s="2818">
        <v>15000</v>
      </c>
      <c r="M1562" s="2818"/>
      <c r="N1562" s="2813"/>
      <c r="O1562" s="86"/>
      <c r="P1562" s="1817" t="e">
        <f>INDEX(#REF!,MATCH(F1562,#REF!,0),2)</f>
        <v>#REF!</v>
      </c>
      <c r="Q1562" s="11"/>
      <c r="R1562" s="11"/>
      <c r="S1562" s="11"/>
      <c r="T1562" s="11"/>
      <c r="U1562" s="1774"/>
      <c r="V1562" s="11"/>
      <c r="W1562" s="4"/>
      <c r="X1562" s="11"/>
      <c r="Y1562" s="11"/>
      <c r="Z1562" s="11"/>
      <c r="AA1562" s="11"/>
      <c r="AB1562" s="11"/>
      <c r="AC1562" s="11"/>
      <c r="AD1562" s="11"/>
      <c r="AE1562" s="11"/>
      <c r="AF1562" s="11"/>
      <c r="AG1562" s="11"/>
      <c r="AH1562" s="11"/>
      <c r="AI1562" s="11"/>
      <c r="AJ1562" s="11"/>
      <c r="AK1562" s="11"/>
      <c r="AL1562" s="11"/>
      <c r="AM1562" s="11"/>
      <c r="AN1562" s="11"/>
      <c r="AO1562" s="11"/>
      <c r="AP1562" s="11"/>
      <c r="AQ1562" s="11"/>
      <c r="AR1562" s="11"/>
      <c r="AS1562" s="11"/>
      <c r="AT1562" s="11"/>
      <c r="AU1562" s="11"/>
      <c r="AV1562" s="11"/>
    </row>
    <row r="1563" spans="1:48" ht="12.6" customHeight="1">
      <c r="A1563" s="412"/>
      <c r="B1563" s="412" t="s">
        <v>1249</v>
      </c>
      <c r="C1563" s="412" t="s">
        <v>510</v>
      </c>
      <c r="D1563" s="1590"/>
      <c r="E1563" s="2224" t="s">
        <v>1905</v>
      </c>
      <c r="F1563" s="505">
        <v>5238</v>
      </c>
      <c r="G1563" s="410" t="s">
        <v>3826</v>
      </c>
      <c r="H1563" s="2814"/>
      <c r="I1563" s="2800">
        <v>6000</v>
      </c>
      <c r="J1563" s="2815"/>
      <c r="K1563" s="2816"/>
      <c r="L1563" s="2800"/>
      <c r="M1563" s="2800">
        <v>15000</v>
      </c>
      <c r="N1563" s="2811" t="s">
        <v>3825</v>
      </c>
      <c r="O1563" s="86"/>
      <c r="P1563" s="1817" t="e">
        <f>INDEX(#REF!,MATCH(F1563,#REF!,0),2)</f>
        <v>#REF!</v>
      </c>
      <c r="Q1563" s="11"/>
      <c r="R1563" s="11"/>
      <c r="S1563" s="11"/>
      <c r="T1563" s="11"/>
      <c r="U1563" s="11"/>
      <c r="V1563" s="11"/>
      <c r="W1563" s="4"/>
      <c r="X1563" s="11"/>
      <c r="Y1563" s="11"/>
      <c r="Z1563" s="11"/>
      <c r="AA1563" s="11"/>
      <c r="AB1563" s="11"/>
      <c r="AC1563" s="11"/>
      <c r="AD1563" s="11"/>
      <c r="AE1563" s="11"/>
      <c r="AF1563" s="11"/>
      <c r="AG1563" s="11"/>
      <c r="AH1563" s="11"/>
      <c r="AI1563" s="11"/>
      <c r="AJ1563" s="11"/>
      <c r="AK1563" s="11"/>
      <c r="AL1563" s="11"/>
      <c r="AM1563" s="11"/>
      <c r="AN1563" s="11"/>
      <c r="AO1563" s="11"/>
      <c r="AP1563" s="11"/>
      <c r="AQ1563" s="11"/>
      <c r="AR1563" s="11"/>
      <c r="AS1563" s="11"/>
      <c r="AT1563" s="11"/>
      <c r="AU1563" s="11"/>
      <c r="AV1563" s="11"/>
    </row>
    <row r="1564" spans="1:48" ht="30.6" customHeight="1">
      <c r="A1564" s="1882"/>
      <c r="B1564" s="412" t="s">
        <v>1249</v>
      </c>
      <c r="C1564" s="412" t="s">
        <v>510</v>
      </c>
      <c r="D1564" s="1590"/>
      <c r="E1564" s="2224" t="s">
        <v>1905</v>
      </c>
      <c r="F1564" s="505">
        <v>5238</v>
      </c>
      <c r="G1564" s="1884" t="s">
        <v>3148</v>
      </c>
      <c r="H1564" s="2814"/>
      <c r="I1564" s="2800">
        <v>3000</v>
      </c>
      <c r="J1564" s="2815"/>
      <c r="K1564" s="2816"/>
      <c r="L1564" s="2803"/>
      <c r="M1564" s="2803"/>
      <c r="N1564" s="2805"/>
      <c r="O1564" s="86"/>
      <c r="P1564" s="1817" t="e">
        <f>INDEX(#REF!,MATCH(F1564,#REF!,0),2)</f>
        <v>#REF!</v>
      </c>
    </row>
    <row r="1565" spans="1:48" ht="26.45" customHeight="1">
      <c r="A1565" s="506"/>
      <c r="B1565" s="506" t="s">
        <v>566</v>
      </c>
      <c r="C1565" s="506" t="s">
        <v>508</v>
      </c>
      <c r="D1565" s="1589">
        <v>960</v>
      </c>
      <c r="E1565" s="2223" t="s">
        <v>1905</v>
      </c>
      <c r="F1565" s="540">
        <v>5238</v>
      </c>
      <c r="G1565" s="411" t="s">
        <v>257</v>
      </c>
      <c r="H1565" s="2817">
        <v>0</v>
      </c>
      <c r="I1565" s="2802"/>
      <c r="J1565" s="2819"/>
      <c r="K1565" s="2816"/>
      <c r="L1565" s="2802">
        <v>0</v>
      </c>
      <c r="M1565" s="2802"/>
      <c r="N1565" s="2808"/>
      <c r="O1565" s="86"/>
      <c r="P1565" s="1817" t="e">
        <f>INDEX(#REF!,MATCH(F1565,#REF!,0),2)</f>
        <v>#REF!</v>
      </c>
      <c r="Q1565" s="11"/>
      <c r="R1565" s="11"/>
      <c r="S1565" s="11"/>
      <c r="T1565" s="11"/>
      <c r="U1565" s="11"/>
      <c r="V1565" s="11"/>
      <c r="W1565" s="4"/>
      <c r="X1565" s="11"/>
      <c r="Y1565" s="11"/>
      <c r="Z1565" s="11"/>
      <c r="AA1565" s="11"/>
      <c r="AB1565" s="11"/>
      <c r="AC1565" s="11"/>
      <c r="AD1565" s="11"/>
      <c r="AE1565" s="11"/>
      <c r="AF1565" s="11"/>
      <c r="AG1565" s="11"/>
      <c r="AH1565" s="11"/>
      <c r="AI1565" s="11"/>
      <c r="AJ1565" s="11"/>
      <c r="AK1565" s="11"/>
      <c r="AL1565" s="11"/>
      <c r="AM1565" s="11"/>
      <c r="AN1565" s="11"/>
      <c r="AO1565" s="11"/>
      <c r="AP1565" s="11"/>
      <c r="AQ1565" s="11"/>
      <c r="AR1565" s="11"/>
      <c r="AS1565" s="11"/>
      <c r="AT1565" s="11"/>
      <c r="AU1565" s="11"/>
      <c r="AV1565" s="11"/>
    </row>
    <row r="1566" spans="1:48" ht="22.15" customHeight="1">
      <c r="A1566" s="1268"/>
      <c r="B1566" s="1268" t="s">
        <v>566</v>
      </c>
      <c r="C1566" s="1268" t="s">
        <v>508</v>
      </c>
      <c r="D1566" s="1606"/>
      <c r="E1566" s="2255" t="s">
        <v>1905</v>
      </c>
      <c r="F1566" s="1329">
        <v>5238</v>
      </c>
      <c r="G1566" s="1347" t="s">
        <v>1847</v>
      </c>
      <c r="H1566" s="2814"/>
      <c r="I1566" s="2800"/>
      <c r="J1566" s="2815"/>
      <c r="K1566" s="2821"/>
      <c r="L1566" s="2803"/>
      <c r="M1566" s="2803"/>
      <c r="N1566" s="2808"/>
      <c r="O1566" s="86"/>
      <c r="P1566" s="1817" t="e">
        <f>INDEX(#REF!,MATCH(F1566,#REF!,0),2)</f>
        <v>#REF!</v>
      </c>
      <c r="Q1566" s="11"/>
      <c r="R1566" s="11"/>
      <c r="S1566" s="11"/>
      <c r="T1566" s="11"/>
      <c r="U1566" s="11"/>
      <c r="V1566" s="11"/>
      <c r="W1566" s="4"/>
      <c r="X1566" s="11"/>
      <c r="Y1566" s="11"/>
      <c r="Z1566" s="11"/>
      <c r="AA1566" s="11"/>
      <c r="AB1566" s="11"/>
      <c r="AC1566" s="11"/>
      <c r="AD1566" s="11"/>
      <c r="AE1566" s="11"/>
      <c r="AF1566" s="11"/>
      <c r="AG1566" s="11"/>
      <c r="AH1566" s="11"/>
      <c r="AI1566" s="11"/>
      <c r="AJ1566" s="11"/>
      <c r="AK1566" s="11"/>
      <c r="AL1566" s="11"/>
      <c r="AM1566" s="11"/>
      <c r="AN1566" s="11"/>
      <c r="AO1566" s="11"/>
      <c r="AP1566" s="11"/>
      <c r="AQ1566" s="11"/>
      <c r="AR1566" s="11"/>
      <c r="AS1566" s="11"/>
      <c r="AT1566" s="11"/>
      <c r="AU1566" s="11"/>
      <c r="AV1566" s="11"/>
    </row>
    <row r="1567" spans="1:48" ht="30.6" customHeight="1">
      <c r="A1567" s="506"/>
      <c r="B1567" s="506" t="s">
        <v>1250</v>
      </c>
      <c r="C1567" s="506" t="s">
        <v>509</v>
      </c>
      <c r="D1567" s="1589">
        <v>960</v>
      </c>
      <c r="E1567" s="2223" t="s">
        <v>1905</v>
      </c>
      <c r="F1567" s="540">
        <v>5239</v>
      </c>
      <c r="G1567" s="411" t="s">
        <v>2574</v>
      </c>
      <c r="H1567" s="2817">
        <v>9400</v>
      </c>
      <c r="I1567" s="2802"/>
      <c r="J1567" s="2819">
        <v>13307.86</v>
      </c>
      <c r="K1567" s="2816"/>
      <c r="L1567" s="2818">
        <v>15700</v>
      </c>
      <c r="M1567" s="2802"/>
      <c r="N1567" s="2808">
        <f>L1567-H1567</f>
        <v>6300</v>
      </c>
      <c r="O1567" s="86"/>
      <c r="P1567" s="1817" t="e">
        <f>INDEX(#REF!,MATCH(F1567,#REF!,0),2)</f>
        <v>#REF!</v>
      </c>
    </row>
    <row r="1568" spans="1:48" ht="30.6" customHeight="1">
      <c r="A1568" s="412"/>
      <c r="B1568" s="412" t="s">
        <v>1250</v>
      </c>
      <c r="C1568" s="412" t="s">
        <v>509</v>
      </c>
      <c r="D1568" s="1590"/>
      <c r="E1568" s="2224" t="s">
        <v>1905</v>
      </c>
      <c r="F1568" s="505">
        <v>5239</v>
      </c>
      <c r="G1568" s="2810" t="s">
        <v>3827</v>
      </c>
      <c r="H1568" s="2814"/>
      <c r="I1568" s="2800">
        <v>2000</v>
      </c>
      <c r="J1568" s="2815"/>
      <c r="K1568" s="2821"/>
      <c r="L1568" s="2803"/>
      <c r="M1568" s="2800">
        <v>2000</v>
      </c>
      <c r="N1568" s="2807" t="s">
        <v>3829</v>
      </c>
      <c r="O1568" s="86"/>
      <c r="P1568" s="1817" t="e">
        <f>INDEX(#REF!,MATCH(F1568,#REF!,0),2)</f>
        <v>#REF!</v>
      </c>
    </row>
    <row r="1569" spans="1:23">
      <c r="A1569" s="412"/>
      <c r="B1569" s="412" t="s">
        <v>1250</v>
      </c>
      <c r="C1569" s="412" t="s">
        <v>509</v>
      </c>
      <c r="D1569" s="1590"/>
      <c r="E1569" s="2224" t="s">
        <v>1905</v>
      </c>
      <c r="F1569" s="505">
        <v>5239</v>
      </c>
      <c r="G1569" s="2810" t="s">
        <v>3828</v>
      </c>
      <c r="H1569" s="2814"/>
      <c r="I1569" s="2800">
        <v>2000</v>
      </c>
      <c r="J1569" s="2815"/>
      <c r="K1569" s="2821"/>
      <c r="L1569" s="2803"/>
      <c r="M1569" s="2800">
        <v>2000</v>
      </c>
      <c r="N1569" s="2807" t="s">
        <v>3829</v>
      </c>
      <c r="O1569" s="86"/>
      <c r="P1569" s="1817" t="e">
        <f>INDEX(#REF!,MATCH(F1569,#REF!,0),2)</f>
        <v>#REF!</v>
      </c>
    </row>
    <row r="1570" spans="1:23" ht="22.5">
      <c r="A1570" s="1882"/>
      <c r="B1570" s="412" t="s">
        <v>1250</v>
      </c>
      <c r="C1570" s="412" t="s">
        <v>509</v>
      </c>
      <c r="D1570" s="1590"/>
      <c r="E1570" s="2224" t="s">
        <v>1905</v>
      </c>
      <c r="F1570" s="505">
        <v>5239</v>
      </c>
      <c r="G1570" s="2073" t="s">
        <v>3028</v>
      </c>
      <c r="H1570" s="2814"/>
      <c r="I1570" s="2800">
        <v>2000</v>
      </c>
      <c r="J1570" s="2815"/>
      <c r="K1570" s="2821"/>
      <c r="L1570" s="2803"/>
      <c r="M1570" s="2803"/>
      <c r="N1570" s="2807" t="s">
        <v>3830</v>
      </c>
      <c r="O1570" s="86"/>
      <c r="P1570" s="1817" t="e">
        <f>INDEX(#REF!,MATCH(F1570,#REF!,0),2)</f>
        <v>#REF!</v>
      </c>
    </row>
    <row r="1571" spans="1:23" ht="56.25">
      <c r="A1571" s="412" t="s">
        <v>804</v>
      </c>
      <c r="B1571" s="412" t="s">
        <v>1250</v>
      </c>
      <c r="C1571" s="412" t="s">
        <v>509</v>
      </c>
      <c r="D1571" s="1590"/>
      <c r="E1571" s="2224" t="s">
        <v>1905</v>
      </c>
      <c r="F1571" s="505">
        <v>5239</v>
      </c>
      <c r="G1571" s="1567" t="s">
        <v>3832</v>
      </c>
      <c r="H1571" s="2822"/>
      <c r="I1571" s="2779">
        <v>6000</v>
      </c>
      <c r="J1571" s="2776"/>
      <c r="K1571" s="2777"/>
      <c r="L1571" s="2778"/>
      <c r="M1571" s="2800">
        <v>4000</v>
      </c>
      <c r="N1571" s="2807" t="s">
        <v>3831</v>
      </c>
      <c r="O1571" s="86"/>
      <c r="P1571" s="1817" t="e">
        <f>INDEX(#REF!,MATCH(F1571,#REF!,0),2)</f>
        <v>#REF!</v>
      </c>
    </row>
    <row r="1572" spans="1:23">
      <c r="A1572" s="412" t="s">
        <v>804</v>
      </c>
      <c r="B1572" s="412" t="s">
        <v>1250</v>
      </c>
      <c r="C1572" s="412" t="s">
        <v>509</v>
      </c>
      <c r="D1572" s="1590"/>
      <c r="E1572" s="2224" t="s">
        <v>1905</v>
      </c>
      <c r="F1572" s="505">
        <v>5239</v>
      </c>
      <c r="G1572" s="1567" t="s">
        <v>3833</v>
      </c>
      <c r="H1572" s="2822"/>
      <c r="I1572" s="2779"/>
      <c r="J1572" s="2776"/>
      <c r="K1572" s="2777"/>
      <c r="L1572" s="2778"/>
      <c r="M1572" s="2800">
        <v>1300</v>
      </c>
      <c r="N1572" s="2805"/>
      <c r="O1572" s="86"/>
      <c r="P1572" s="1817"/>
    </row>
    <row r="1573" spans="1:23">
      <c r="A1573" s="412" t="s">
        <v>804</v>
      </c>
      <c r="B1573" s="412" t="s">
        <v>1250</v>
      </c>
      <c r="C1573" s="412" t="s">
        <v>509</v>
      </c>
      <c r="D1573" s="1590"/>
      <c r="E1573" s="2224" t="s">
        <v>1905</v>
      </c>
      <c r="F1573" s="505">
        <v>5239</v>
      </c>
      <c r="G1573" s="1567" t="s">
        <v>3834</v>
      </c>
      <c r="H1573" s="2822"/>
      <c r="I1573" s="2779"/>
      <c r="J1573" s="2776"/>
      <c r="K1573" s="2777"/>
      <c r="L1573" s="2778"/>
      <c r="M1573" s="2800">
        <v>1000</v>
      </c>
      <c r="N1573" s="2805"/>
      <c r="O1573" s="86"/>
      <c r="P1573" s="1817"/>
    </row>
    <row r="1574" spans="1:23">
      <c r="A1574" s="412" t="s">
        <v>804</v>
      </c>
      <c r="B1574" s="412" t="s">
        <v>1250</v>
      </c>
      <c r="C1574" s="412" t="s">
        <v>509</v>
      </c>
      <c r="D1574" s="1590"/>
      <c r="E1574" s="2224" t="s">
        <v>1905</v>
      </c>
      <c r="F1574" s="505">
        <v>5239</v>
      </c>
      <c r="G1574" s="1567" t="s">
        <v>3835</v>
      </c>
      <c r="H1574" s="2822"/>
      <c r="I1574" s="2779"/>
      <c r="J1574" s="2776"/>
      <c r="K1574" s="2777"/>
      <c r="L1574" s="2778"/>
      <c r="M1574" s="2800">
        <v>300</v>
      </c>
      <c r="N1574" s="2805" t="s">
        <v>3839</v>
      </c>
      <c r="O1574" s="86"/>
      <c r="P1574" s="1817"/>
    </row>
    <row r="1575" spans="1:23" ht="22.5">
      <c r="A1575" s="412" t="s">
        <v>804</v>
      </c>
      <c r="B1575" s="412" t="s">
        <v>1250</v>
      </c>
      <c r="C1575" s="412" t="s">
        <v>509</v>
      </c>
      <c r="D1575" s="1590"/>
      <c r="E1575" s="2224" t="s">
        <v>1905</v>
      </c>
      <c r="F1575" s="505">
        <v>5239</v>
      </c>
      <c r="G1575" s="1567" t="s">
        <v>3836</v>
      </c>
      <c r="H1575" s="2822"/>
      <c r="I1575" s="2779"/>
      <c r="J1575" s="2776"/>
      <c r="K1575" s="2777"/>
      <c r="L1575" s="2778"/>
      <c r="M1575" s="2800">
        <v>2000</v>
      </c>
      <c r="N1575" s="2805"/>
      <c r="O1575" s="86"/>
      <c r="P1575" s="1817"/>
    </row>
    <row r="1576" spans="1:23">
      <c r="A1576" s="412" t="s">
        <v>804</v>
      </c>
      <c r="B1576" s="412" t="s">
        <v>1250</v>
      </c>
      <c r="C1576" s="412" t="s">
        <v>509</v>
      </c>
      <c r="D1576" s="1590"/>
      <c r="E1576" s="2224" t="s">
        <v>1905</v>
      </c>
      <c r="F1576" s="505">
        <v>5239</v>
      </c>
      <c r="G1576" s="1567" t="s">
        <v>3837</v>
      </c>
      <c r="H1576" s="2822"/>
      <c r="I1576" s="2779"/>
      <c r="J1576" s="2776"/>
      <c r="K1576" s="2777"/>
      <c r="L1576" s="2778"/>
      <c r="M1576" s="2800">
        <v>600</v>
      </c>
      <c r="N1576" s="2805"/>
      <c r="O1576" s="86"/>
      <c r="P1576" s="1817"/>
    </row>
    <row r="1577" spans="1:23">
      <c r="A1577" s="412" t="s">
        <v>804</v>
      </c>
      <c r="B1577" s="412" t="s">
        <v>1250</v>
      </c>
      <c r="C1577" s="412" t="s">
        <v>509</v>
      </c>
      <c r="D1577" s="1590"/>
      <c r="E1577" s="2224" t="s">
        <v>1905</v>
      </c>
      <c r="F1577" s="505">
        <v>5239</v>
      </c>
      <c r="G1577" s="1567" t="s">
        <v>3838</v>
      </c>
      <c r="H1577" s="2822"/>
      <c r="I1577" s="2779"/>
      <c r="J1577" s="2776"/>
      <c r="K1577" s="2777"/>
      <c r="L1577" s="2778"/>
      <c r="M1577" s="2800">
        <v>2500</v>
      </c>
      <c r="N1577" s="2805"/>
      <c r="O1577" s="86"/>
      <c r="P1577" s="1817"/>
    </row>
    <row r="1578" spans="1:23">
      <c r="A1578" s="1563" t="s">
        <v>804</v>
      </c>
      <c r="B1578" s="1563" t="s">
        <v>1250</v>
      </c>
      <c r="C1578" s="1563" t="s">
        <v>509</v>
      </c>
      <c r="D1578" s="1563"/>
      <c r="E1578" s="2224" t="s">
        <v>1905</v>
      </c>
      <c r="F1578" s="1642">
        <v>5239</v>
      </c>
      <c r="G1578" s="1567" t="s">
        <v>2271</v>
      </c>
      <c r="H1578" s="2822"/>
      <c r="I1578" s="2779">
        <v>400</v>
      </c>
      <c r="J1578" s="2776"/>
      <c r="K1578" s="2777"/>
      <c r="L1578" s="2778"/>
      <c r="M1578" s="2803"/>
      <c r="N1578" s="2805"/>
      <c r="O1578" s="86"/>
      <c r="P1578" s="1817" t="e">
        <f>INDEX(#REF!,MATCH(F1578,#REF!,0),2)</f>
        <v>#REF!</v>
      </c>
    </row>
    <row r="1579" spans="1:23">
      <c r="A1579" s="1563" t="s">
        <v>804</v>
      </c>
      <c r="B1579" s="1563" t="s">
        <v>1250</v>
      </c>
      <c r="C1579" s="1563" t="s">
        <v>509</v>
      </c>
      <c r="D1579" s="1563"/>
      <c r="E1579" s="2224" t="s">
        <v>1905</v>
      </c>
      <c r="F1579" s="1642">
        <v>5239</v>
      </c>
      <c r="G1579" s="1567" t="s">
        <v>2272</v>
      </c>
      <c r="H1579" s="2822"/>
      <c r="I1579" s="2779">
        <v>500</v>
      </c>
      <c r="J1579" s="2776"/>
      <c r="K1579" s="2777"/>
      <c r="L1579" s="2778"/>
      <c r="M1579" s="2803"/>
      <c r="N1579" s="2805"/>
      <c r="O1579" s="86"/>
      <c r="P1579" s="1817" t="e">
        <f>INDEX(#REF!,MATCH(F1579,#REF!,0),2)</f>
        <v>#REF!</v>
      </c>
      <c r="V1579" s="81"/>
      <c r="W1579"/>
    </row>
    <row r="1580" spans="1:23">
      <c r="A1580" s="412"/>
      <c r="B1580" s="412" t="s">
        <v>1250</v>
      </c>
      <c r="C1580" s="412" t="s">
        <v>509</v>
      </c>
      <c r="D1580" s="1590"/>
      <c r="E1580" s="2224" t="s">
        <v>1905</v>
      </c>
      <c r="F1580" s="505">
        <v>5239</v>
      </c>
      <c r="G1580" s="410" t="s">
        <v>2273</v>
      </c>
      <c r="H1580" s="2822"/>
      <c r="I1580" s="2779">
        <v>2500</v>
      </c>
      <c r="J1580" s="2776"/>
      <c r="K1580" s="2777"/>
      <c r="L1580" s="2778"/>
      <c r="M1580" s="2803"/>
      <c r="N1580" s="2805"/>
      <c r="O1580" s="86"/>
      <c r="P1580" s="1817" t="e">
        <f>INDEX(#REF!,MATCH(F1580,#REF!,0),2)</f>
        <v>#REF!</v>
      </c>
    </row>
    <row r="1581" spans="1:23">
      <c r="A1581" s="616"/>
      <c r="B1581" s="506" t="s">
        <v>1249</v>
      </c>
      <c r="C1581" s="506" t="s">
        <v>510</v>
      </c>
      <c r="D1581" s="1589">
        <v>960</v>
      </c>
      <c r="E1581" s="2223" t="s">
        <v>1905</v>
      </c>
      <c r="F1581" s="540">
        <v>5239</v>
      </c>
      <c r="G1581" s="411" t="s">
        <v>256</v>
      </c>
      <c r="H1581" s="2838">
        <v>4000</v>
      </c>
      <c r="I1581" s="2839"/>
      <c r="J1581" s="2840"/>
      <c r="K1581" s="2841"/>
      <c r="L1581" s="2842">
        <v>0</v>
      </c>
      <c r="M1581" s="2839"/>
      <c r="N1581" s="2389"/>
      <c r="O1581" s="1817"/>
      <c r="P1581" s="1817" t="e">
        <f>INDEX(#REF!,MATCH(F1581,#REF!,0),2)</f>
        <v>#REF!</v>
      </c>
    </row>
    <row r="1582" spans="1:23" ht="33.75">
      <c r="A1582" s="1882"/>
      <c r="B1582" s="1882" t="s">
        <v>1249</v>
      </c>
      <c r="C1582" s="1882" t="s">
        <v>510</v>
      </c>
      <c r="D1582" s="1935"/>
      <c r="E1582" s="2224" t="s">
        <v>1905</v>
      </c>
      <c r="F1582" s="505">
        <v>5239</v>
      </c>
      <c r="G1582" s="1884" t="s">
        <v>3149</v>
      </c>
      <c r="H1582" s="2822"/>
      <c r="I1582" s="2779">
        <v>24000</v>
      </c>
      <c r="J1582" s="2776"/>
      <c r="K1582" s="2777"/>
      <c r="L1582" s="2778"/>
      <c r="M1582" s="2803"/>
      <c r="N1582" s="2807" t="s">
        <v>3840</v>
      </c>
      <c r="O1582" s="86"/>
      <c r="P1582" s="1817" t="e">
        <f>INDEX(#REF!,MATCH(F1582,#REF!,0),2)</f>
        <v>#REF!</v>
      </c>
    </row>
    <row r="1583" spans="1:23" ht="45">
      <c r="A1583" s="1882"/>
      <c r="B1583" s="1882" t="s">
        <v>1249</v>
      </c>
      <c r="C1583" s="1882" t="s">
        <v>510</v>
      </c>
      <c r="D1583" s="1935"/>
      <c r="E1583" s="2224" t="s">
        <v>1905</v>
      </c>
      <c r="F1583" s="505">
        <v>5239</v>
      </c>
      <c r="G1583" s="490" t="s">
        <v>3248</v>
      </c>
      <c r="H1583" s="2822"/>
      <c r="I1583" s="2779">
        <v>-10000</v>
      </c>
      <c r="J1583" s="2776"/>
      <c r="K1583" s="2777"/>
      <c r="L1583" s="2778"/>
      <c r="M1583" s="2778"/>
      <c r="N1583" s="2805"/>
      <c r="O1583" s="86"/>
      <c r="P1583" s="1817" t="e">
        <f>INDEX(#REF!,MATCH(F1583,#REF!,0),2)</f>
        <v>#REF!</v>
      </c>
      <c r="V1583" s="81"/>
      <c r="W1583"/>
    </row>
    <row r="1584" spans="1:23">
      <c r="A1584" s="1882"/>
      <c r="B1584" s="1882" t="s">
        <v>1249</v>
      </c>
      <c r="C1584" s="1882" t="s">
        <v>510</v>
      </c>
      <c r="D1584" s="1935"/>
      <c r="E1584" s="2224" t="s">
        <v>1905</v>
      </c>
      <c r="F1584" s="505">
        <v>5239</v>
      </c>
      <c r="G1584" s="2385"/>
      <c r="H1584" s="2822"/>
      <c r="I1584" s="2779">
        <v>-10000</v>
      </c>
      <c r="J1584" s="2776"/>
      <c r="K1584" s="2777"/>
      <c r="L1584" s="2778"/>
      <c r="M1584" s="2803"/>
      <c r="N1584" s="2805"/>
      <c r="O1584" s="86"/>
      <c r="P1584" s="1817" t="e">
        <f>INDEX(#REF!,MATCH(F1584,#REF!,0),2)</f>
        <v>#REF!</v>
      </c>
    </row>
    <row r="1585" spans="1:48" ht="36.75" customHeight="1">
      <c r="A1585" s="616"/>
      <c r="B1585" s="506" t="s">
        <v>2649</v>
      </c>
      <c r="C1585" s="506"/>
      <c r="D1585" s="1589" t="s">
        <v>3813</v>
      </c>
      <c r="E1585" s="2223" t="s">
        <v>1905</v>
      </c>
      <c r="F1585" s="540">
        <v>7230</v>
      </c>
      <c r="G1585" s="411" t="s">
        <v>2443</v>
      </c>
      <c r="H1585" s="2838"/>
      <c r="I1585" s="2839"/>
      <c r="J1585" s="2840"/>
      <c r="K1585" s="2841"/>
      <c r="L1585" s="2842">
        <v>0</v>
      </c>
      <c r="M1585" s="2842"/>
      <c r="N1585" s="2389"/>
      <c r="O1585" s="1817"/>
      <c r="P1585" s="1817" t="e">
        <f>INDEX(#REF!,MATCH(F1585,#REF!,0),2)</f>
        <v>#REF!</v>
      </c>
      <c r="Q1585" s="1779"/>
      <c r="R1585" s="1779"/>
      <c r="S1585" s="1779"/>
      <c r="T1585" s="1779"/>
      <c r="U1585" s="1779"/>
      <c r="V1585" s="1779"/>
      <c r="W1585" s="43"/>
      <c r="X1585" s="1779"/>
      <c r="Y1585" s="1779"/>
      <c r="Z1585" s="1779"/>
      <c r="AA1585" s="1779"/>
      <c r="AB1585" s="1779"/>
      <c r="AC1585" s="1779"/>
      <c r="AD1585" s="1779"/>
      <c r="AE1585" s="1779"/>
      <c r="AF1585" s="1779"/>
      <c r="AG1585" s="1779"/>
      <c r="AH1585" s="11"/>
      <c r="AI1585" s="11"/>
      <c r="AJ1585" s="11"/>
      <c r="AK1585" s="11"/>
      <c r="AL1585" s="11"/>
      <c r="AM1585" s="11"/>
      <c r="AN1585" s="11"/>
      <c r="AO1585" s="11"/>
      <c r="AP1585" s="11"/>
      <c r="AQ1585" s="11"/>
      <c r="AR1585" s="11"/>
      <c r="AS1585" s="11"/>
      <c r="AT1585" s="11"/>
      <c r="AU1585" s="11"/>
    </row>
    <row r="1586" spans="1:48" ht="27.6" customHeight="1">
      <c r="A1586" s="412"/>
      <c r="B1586" s="412" t="s">
        <v>2649</v>
      </c>
      <c r="C1586" s="412"/>
      <c r="D1586" s="1590"/>
      <c r="E1586" s="2224" t="s">
        <v>1905</v>
      </c>
      <c r="F1586" s="505">
        <v>7230</v>
      </c>
      <c r="G1586" s="410" t="s">
        <v>3815</v>
      </c>
      <c r="H1586" s="2822"/>
      <c r="I1586" s="2779"/>
      <c r="J1586" s="2776"/>
      <c r="K1586" s="2777"/>
      <c r="L1586" s="2779"/>
      <c r="M1586" s="2800">
        <v>0</v>
      </c>
      <c r="N1586" s="2807" t="s">
        <v>3814</v>
      </c>
      <c r="O1586" s="86"/>
      <c r="P1586" s="1817" t="e">
        <f>INDEX(#REF!,MATCH(F1586,#REF!,0),2)</f>
        <v>#REF!</v>
      </c>
      <c r="Q1586" s="4"/>
      <c r="R1586" s="4"/>
      <c r="S1586" s="4"/>
      <c r="T1586" s="4"/>
      <c r="U1586" s="4"/>
      <c r="V1586" s="4"/>
      <c r="W1586" s="4"/>
      <c r="X1586" s="4"/>
      <c r="Y1586" s="4"/>
      <c r="Z1586" s="4"/>
      <c r="AA1586" s="4"/>
      <c r="AB1586" s="4"/>
      <c r="AC1586" s="4"/>
      <c r="AD1586" s="4"/>
      <c r="AE1586" s="4"/>
      <c r="AF1586" s="4"/>
      <c r="AG1586" s="4"/>
      <c r="AH1586" s="4"/>
      <c r="AI1586" s="4"/>
      <c r="AJ1586" s="4"/>
      <c r="AK1586" s="4"/>
      <c r="AL1586" s="4"/>
      <c r="AM1586" s="4"/>
      <c r="AN1586" s="4"/>
      <c r="AO1586" s="4"/>
      <c r="AP1586" s="4"/>
      <c r="AQ1586" s="4"/>
      <c r="AR1586" s="4"/>
      <c r="AS1586" s="4"/>
      <c r="AT1586" s="4"/>
      <c r="AU1586" s="4"/>
    </row>
    <row r="1587" spans="1:48" ht="22.15" customHeight="1">
      <c r="A1587" s="616" t="s">
        <v>804</v>
      </c>
      <c r="B1587" s="506" t="s">
        <v>512</v>
      </c>
      <c r="C1587" s="506" t="s">
        <v>506</v>
      </c>
      <c r="D1587" s="1589">
        <v>960</v>
      </c>
      <c r="E1587" s="2223" t="s">
        <v>1905</v>
      </c>
      <c r="F1587" s="540">
        <v>7245</v>
      </c>
      <c r="G1587" s="411" t="s">
        <v>786</v>
      </c>
      <c r="H1587" s="2838">
        <v>0</v>
      </c>
      <c r="I1587" s="2839"/>
      <c r="J1587" s="2840"/>
      <c r="K1587" s="2841"/>
      <c r="L1587" s="2839">
        <v>0</v>
      </c>
      <c r="M1587" s="2839"/>
      <c r="N1587" s="2804"/>
      <c r="O1587" s="86"/>
      <c r="P1587" s="1817" t="e">
        <f>INDEX(#REF!,MATCH(F1587,#REF!,0),2)</f>
        <v>#REF!</v>
      </c>
      <c r="Q1587" s="1779"/>
      <c r="R1587" s="1779"/>
      <c r="S1587" s="1779"/>
      <c r="T1587" s="1779"/>
      <c r="U1587" s="1779"/>
      <c r="V1587" s="1779"/>
      <c r="W1587" s="43"/>
      <c r="X1587" s="1779"/>
      <c r="Y1587" s="1779"/>
      <c r="Z1587" s="1779"/>
      <c r="AA1587" s="1779"/>
      <c r="AB1587" s="1779"/>
      <c r="AC1587" s="1779"/>
      <c r="AD1587" s="1779"/>
      <c r="AE1587" s="1779"/>
      <c r="AF1587" s="1779"/>
      <c r="AG1587" s="1779"/>
      <c r="AH1587" s="1779"/>
      <c r="AI1587" s="1779"/>
      <c r="AJ1587" s="1779"/>
      <c r="AK1587" s="1779"/>
      <c r="AL1587" s="1779"/>
      <c r="AM1587" s="1779"/>
      <c r="AN1587" s="1779"/>
      <c r="AO1587" s="1779"/>
      <c r="AP1587" s="1779"/>
      <c r="AQ1587" s="1779"/>
      <c r="AR1587" s="1779"/>
      <c r="AS1587" s="1779"/>
      <c r="AT1587" s="1779"/>
      <c r="AU1587" s="1779"/>
      <c r="AV1587" s="1779"/>
    </row>
    <row r="1588" spans="1:48" ht="39.6" customHeight="1">
      <c r="A1588" s="412"/>
      <c r="B1588" s="412" t="s">
        <v>512</v>
      </c>
      <c r="C1588" s="412" t="s">
        <v>506</v>
      </c>
      <c r="D1588" s="1590"/>
      <c r="E1588" s="2224" t="s">
        <v>1905</v>
      </c>
      <c r="F1588" s="505">
        <v>7245</v>
      </c>
      <c r="G1588" s="516" t="s">
        <v>1179</v>
      </c>
      <c r="H1588" s="2822"/>
      <c r="I1588" s="2779"/>
      <c r="J1588" s="2776"/>
      <c r="K1588" s="2777"/>
      <c r="L1588" s="2778"/>
      <c r="M1588" s="2843"/>
      <c r="N1588" s="2804"/>
      <c r="O1588" s="86"/>
      <c r="P1588" s="1817" t="e">
        <f>INDEX(#REF!,MATCH(F1588,#REF!,0),2)</f>
        <v>#REF!</v>
      </c>
      <c r="Q1588" s="43"/>
      <c r="R1588" s="43"/>
      <c r="S1588" s="43"/>
      <c r="T1588" s="43"/>
      <c r="U1588" s="43"/>
      <c r="V1588" s="43"/>
      <c r="W1588" s="43"/>
      <c r="X1588" s="43"/>
      <c r="Y1588" s="43"/>
      <c r="Z1588" s="43"/>
      <c r="AA1588" s="43"/>
      <c r="AB1588" s="43"/>
      <c r="AC1588" s="43"/>
      <c r="AD1588" s="43"/>
      <c r="AE1588" s="43"/>
      <c r="AF1588" s="43"/>
      <c r="AG1588" s="43"/>
      <c r="AH1588" s="43"/>
      <c r="AI1588" s="43"/>
      <c r="AJ1588" s="43"/>
      <c r="AK1588" s="43"/>
      <c r="AL1588" s="43"/>
      <c r="AM1588" s="43"/>
      <c r="AN1588" s="43"/>
      <c r="AO1588" s="43"/>
      <c r="AP1588" s="43"/>
      <c r="AQ1588" s="43"/>
      <c r="AR1588" s="43"/>
      <c r="AS1588" s="43"/>
      <c r="AT1588" s="43"/>
      <c r="AU1588" s="43"/>
      <c r="AV1588" s="43"/>
    </row>
    <row r="1589" spans="1:48" ht="33" customHeight="1">
      <c r="A1589" s="5"/>
      <c r="B1589" s="5" t="s">
        <v>1248</v>
      </c>
      <c r="C1589" s="5" t="s">
        <v>507</v>
      </c>
      <c r="D1589" s="1592">
        <v>970</v>
      </c>
      <c r="E1589" s="2218" t="s">
        <v>1953</v>
      </c>
      <c r="F1589" s="6">
        <v>2233</v>
      </c>
      <c r="G1589" s="7" t="s">
        <v>373</v>
      </c>
      <c r="H1589" s="35">
        <v>3000</v>
      </c>
      <c r="I1589" s="33"/>
      <c r="J1589" s="267">
        <v>3093</v>
      </c>
      <c r="K1589" s="51"/>
      <c r="L1589" s="35">
        <v>4380</v>
      </c>
      <c r="M1589" s="35"/>
      <c r="N1589" s="73"/>
      <c r="O1589" s="86"/>
      <c r="P1589" s="1817" t="e">
        <f>INDEX(#REF!,MATCH(F1589,#REF!,0),2)</f>
        <v>#REF!</v>
      </c>
      <c r="Q1589" s="43"/>
      <c r="R1589" s="43"/>
      <c r="S1589" s="43"/>
      <c r="T1589" s="43"/>
      <c r="U1589" s="43"/>
      <c r="V1589" s="43"/>
      <c r="W1589" s="43"/>
      <c r="X1589" s="43"/>
      <c r="Y1589" s="43"/>
      <c r="Z1589" s="43"/>
      <c r="AA1589" s="43"/>
      <c r="AB1589" s="43"/>
      <c r="AC1589" s="43"/>
      <c r="AD1589" s="43"/>
      <c r="AE1589" s="43"/>
      <c r="AF1589" s="43"/>
      <c r="AG1589" s="43"/>
      <c r="AH1589" s="43"/>
      <c r="AI1589" s="43"/>
      <c r="AJ1589" s="43"/>
      <c r="AK1589" s="43"/>
      <c r="AL1589" s="43"/>
      <c r="AM1589" s="43"/>
      <c r="AN1589" s="43"/>
      <c r="AO1589" s="43"/>
      <c r="AP1589" s="43"/>
      <c r="AQ1589" s="43"/>
      <c r="AR1589" s="43"/>
      <c r="AS1589" s="43"/>
      <c r="AT1589" s="43"/>
      <c r="AU1589" s="43"/>
      <c r="AV1589" s="43"/>
    </row>
    <row r="1590" spans="1:48" ht="15" customHeight="1">
      <c r="A1590" s="12"/>
      <c r="B1590" s="12" t="s">
        <v>1248</v>
      </c>
      <c r="C1590" s="12" t="s">
        <v>507</v>
      </c>
      <c r="D1590" s="1593"/>
      <c r="E1590" s="2222" t="s">
        <v>1953</v>
      </c>
      <c r="F1590" s="367">
        <v>2233</v>
      </c>
      <c r="G1590" s="2810" t="s">
        <v>4123</v>
      </c>
      <c r="H1590" s="14"/>
      <c r="I1590" s="19">
        <v>3000</v>
      </c>
      <c r="J1590" s="19"/>
      <c r="K1590" s="18"/>
      <c r="L1590" s="15"/>
      <c r="M1590" s="15">
        <v>4380</v>
      </c>
      <c r="N1590" s="154" t="s">
        <v>4120</v>
      </c>
      <c r="O1590" s="86"/>
      <c r="P1590" s="1817" t="e">
        <f>INDEX(#REF!,MATCH(F1590,#REF!,0),2)</f>
        <v>#REF!</v>
      </c>
      <c r="Q1590" s="43"/>
      <c r="R1590" s="43"/>
      <c r="S1590" s="43"/>
      <c r="T1590" s="43"/>
      <c r="U1590" s="43"/>
      <c r="V1590" s="43"/>
      <c r="W1590" s="43"/>
      <c r="X1590" s="43"/>
      <c r="Y1590" s="43"/>
      <c r="Z1590" s="43"/>
      <c r="AA1590" s="43"/>
      <c r="AB1590" s="43"/>
      <c r="AC1590" s="43"/>
      <c r="AD1590" s="43"/>
      <c r="AE1590" s="43"/>
      <c r="AF1590" s="43"/>
      <c r="AG1590" s="43"/>
      <c r="AH1590" s="43"/>
      <c r="AI1590" s="43"/>
      <c r="AJ1590" s="43"/>
      <c r="AK1590" s="43"/>
      <c r="AL1590" s="43"/>
      <c r="AM1590" s="43"/>
      <c r="AN1590" s="43"/>
      <c r="AO1590" s="43"/>
      <c r="AP1590" s="43"/>
      <c r="AQ1590" s="43"/>
      <c r="AR1590" s="43"/>
      <c r="AS1590" s="43"/>
      <c r="AT1590" s="43"/>
      <c r="AU1590" s="43"/>
      <c r="AV1590" s="43"/>
    </row>
    <row r="1591" spans="1:48" ht="30.6" customHeight="1">
      <c r="A1591" s="5"/>
      <c r="B1591" s="5" t="s">
        <v>1248</v>
      </c>
      <c r="C1591" s="5" t="s">
        <v>507</v>
      </c>
      <c r="D1591" s="1592">
        <v>970</v>
      </c>
      <c r="E1591" s="2220" t="s">
        <v>1953</v>
      </c>
      <c r="F1591" s="381">
        <v>2239</v>
      </c>
      <c r="G1591" s="151" t="s">
        <v>394</v>
      </c>
      <c r="H1591" s="35">
        <v>543101</v>
      </c>
      <c r="I1591" s="33"/>
      <c r="J1591" s="406">
        <v>433432</v>
      </c>
      <c r="K1591" s="51"/>
      <c r="L1591" s="35">
        <v>699612</v>
      </c>
      <c r="M1591" s="33"/>
      <c r="N1591" s="73"/>
      <c r="O1591" s="86"/>
      <c r="P1591" s="1817" t="e">
        <f>INDEX(#REF!,MATCH(F1591,#REF!,0),2)</f>
        <v>#REF!</v>
      </c>
      <c r="Q1591" s="43"/>
      <c r="R1591" s="43"/>
      <c r="S1591" s="43"/>
      <c r="T1591" s="43"/>
      <c r="U1591" s="43"/>
      <c r="V1591" s="43"/>
      <c r="W1591" s="43"/>
      <c r="X1591" s="43"/>
      <c r="Y1591" s="43"/>
      <c r="Z1591" s="43"/>
      <c r="AA1591" s="43"/>
      <c r="AB1591" s="43"/>
      <c r="AC1591" s="43"/>
      <c r="AD1591" s="43"/>
      <c r="AE1591" s="43"/>
      <c r="AF1591" s="43"/>
      <c r="AG1591" s="43"/>
      <c r="AH1591" s="43"/>
      <c r="AI1591" s="43"/>
      <c r="AJ1591" s="43"/>
      <c r="AK1591" s="43"/>
      <c r="AL1591" s="43"/>
      <c r="AM1591" s="43"/>
      <c r="AN1591" s="43"/>
      <c r="AO1591" s="43"/>
      <c r="AP1591" s="43"/>
      <c r="AQ1591" s="43"/>
      <c r="AR1591" s="43"/>
      <c r="AS1591" s="43"/>
      <c r="AT1591" s="43"/>
      <c r="AU1591" s="43"/>
      <c r="AV1591" s="43"/>
    </row>
    <row r="1592" spans="1:48" ht="11.45" customHeight="1">
      <c r="A1592" s="12"/>
      <c r="B1592" s="12" t="s">
        <v>1248</v>
      </c>
      <c r="C1592" s="12" t="s">
        <v>507</v>
      </c>
      <c r="D1592" s="1593"/>
      <c r="E1592" s="2222" t="s">
        <v>1953</v>
      </c>
      <c r="F1592" s="23">
        <v>2239</v>
      </c>
      <c r="G1592" s="1955" t="s">
        <v>4122</v>
      </c>
      <c r="H1592" s="14"/>
      <c r="I1592" s="19">
        <v>342360</v>
      </c>
      <c r="J1592" s="14"/>
      <c r="K1592" s="18"/>
      <c r="L1592" s="14"/>
      <c r="M1592" s="15">
        <v>500040</v>
      </c>
      <c r="N1592" s="154" t="s">
        <v>4121</v>
      </c>
      <c r="O1592" s="86"/>
      <c r="P1592" s="1817" t="e">
        <f>INDEX(#REF!,MATCH(F1592,#REF!,0),2)</f>
        <v>#REF!</v>
      </c>
      <c r="Q1592" s="1779"/>
      <c r="R1592" s="1779"/>
      <c r="S1592" s="1779"/>
      <c r="T1592" s="1779"/>
      <c r="U1592" s="1779"/>
      <c r="V1592" s="1779"/>
      <c r="W1592" s="43"/>
      <c r="X1592" s="1779"/>
      <c r="Y1592" s="1779"/>
      <c r="Z1592" s="1779"/>
      <c r="AA1592" s="1779"/>
      <c r="AB1592" s="1779"/>
      <c r="AC1592" s="1779"/>
      <c r="AD1592" s="1779"/>
      <c r="AE1592" s="1779"/>
      <c r="AF1592" s="1779"/>
      <c r="AG1592" s="1779"/>
    </row>
    <row r="1593" spans="1:48" ht="13.5" customHeight="1">
      <c r="A1593" s="12"/>
      <c r="B1593" s="12" t="s">
        <v>1248</v>
      </c>
      <c r="C1593" s="12" t="s">
        <v>507</v>
      </c>
      <c r="D1593" s="1593"/>
      <c r="E1593" s="2222" t="s">
        <v>1953</v>
      </c>
      <c r="F1593" s="367">
        <v>2239</v>
      </c>
      <c r="G1593" s="2810" t="s">
        <v>4124</v>
      </c>
      <c r="H1593" s="14"/>
      <c r="I1593" s="19">
        <v>159108</v>
      </c>
      <c r="J1593" s="14"/>
      <c r="K1593" s="18"/>
      <c r="L1593" s="14"/>
      <c r="M1593" s="2800">
        <v>199572</v>
      </c>
      <c r="N1593" s="154" t="s">
        <v>4125</v>
      </c>
      <c r="O1593" s="86"/>
      <c r="P1593" s="1817" t="e">
        <f>INDEX(#REF!,MATCH(F1593,#REF!,0),2)</f>
        <v>#REF!</v>
      </c>
      <c r="Q1593" s="43"/>
      <c r="R1593" s="43"/>
      <c r="S1593" s="43"/>
      <c r="T1593" s="43"/>
      <c r="U1593" s="43"/>
      <c r="V1593" s="43"/>
      <c r="W1593" s="43"/>
      <c r="X1593" s="43"/>
      <c r="Y1593" s="43"/>
      <c r="Z1593" s="43"/>
      <c r="AA1593" s="43"/>
      <c r="AB1593" s="43"/>
      <c r="AC1593" s="43"/>
      <c r="AD1593" s="43"/>
      <c r="AE1593" s="43"/>
      <c r="AF1593" s="43"/>
      <c r="AG1593" s="43"/>
      <c r="AH1593" s="43"/>
      <c r="AI1593" s="43"/>
      <c r="AJ1593" s="43"/>
      <c r="AK1593" s="43"/>
      <c r="AL1593" s="43"/>
      <c r="AM1593" s="43"/>
      <c r="AN1593" s="43"/>
      <c r="AO1593" s="43"/>
      <c r="AP1593" s="43"/>
      <c r="AQ1593" s="43"/>
      <c r="AR1593" s="43"/>
      <c r="AS1593" s="43"/>
      <c r="AT1593" s="43"/>
      <c r="AU1593" s="43"/>
      <c r="AV1593" s="43"/>
    </row>
    <row r="1594" spans="1:48" ht="27" customHeight="1">
      <c r="A1594" s="5"/>
      <c r="B1594" s="5" t="s">
        <v>512</v>
      </c>
      <c r="C1594" s="5" t="s">
        <v>506</v>
      </c>
      <c r="D1594" s="1592">
        <v>970</v>
      </c>
      <c r="E1594" s="2220" t="s">
        <v>1953</v>
      </c>
      <c r="F1594" s="150">
        <v>2363</v>
      </c>
      <c r="G1594" s="151" t="s">
        <v>395</v>
      </c>
      <c r="H1594" s="267">
        <v>37484.5</v>
      </c>
      <c r="I1594" s="267"/>
      <c r="J1594" s="267">
        <v>29012</v>
      </c>
      <c r="K1594" s="51"/>
      <c r="L1594" s="35">
        <v>51448.5</v>
      </c>
      <c r="M1594" s="33"/>
      <c r="N1594" s="73"/>
      <c r="O1594" s="86"/>
      <c r="P1594" s="1817" t="e">
        <f>INDEX(#REF!,MATCH(F1594,#REF!,0),2)</f>
        <v>#REF!</v>
      </c>
      <c r="Q1594" s="43"/>
      <c r="R1594" s="43"/>
      <c r="S1594" s="43"/>
      <c r="T1594" s="43"/>
      <c r="U1594" s="43"/>
      <c r="V1594" s="43"/>
      <c r="W1594" s="43"/>
      <c r="X1594" s="43"/>
      <c r="Y1594" s="43"/>
      <c r="Z1594" s="43"/>
      <c r="AA1594" s="43"/>
      <c r="AB1594" s="43"/>
      <c r="AC1594" s="43"/>
      <c r="AD1594" s="43"/>
      <c r="AE1594" s="43"/>
      <c r="AF1594" s="43"/>
      <c r="AG1594" s="43"/>
      <c r="AH1594" s="43"/>
      <c r="AI1594" s="43"/>
      <c r="AJ1594" s="43"/>
      <c r="AK1594" s="43"/>
      <c r="AL1594" s="43"/>
      <c r="AM1594" s="43"/>
      <c r="AN1594" s="43"/>
      <c r="AO1594" s="43"/>
      <c r="AP1594" s="43"/>
      <c r="AQ1594" s="43"/>
      <c r="AR1594" s="43"/>
      <c r="AS1594" s="43"/>
      <c r="AT1594" s="43"/>
      <c r="AU1594" s="43"/>
      <c r="AV1594" s="43"/>
    </row>
    <row r="1595" spans="1:48" ht="11.45" customHeight="1">
      <c r="A1595" s="12"/>
      <c r="B1595" s="12" t="s">
        <v>512</v>
      </c>
      <c r="C1595" s="12" t="s">
        <v>506</v>
      </c>
      <c r="D1595" s="1593"/>
      <c r="E1595" s="2222" t="s">
        <v>1953</v>
      </c>
      <c r="F1595" s="367">
        <v>2363</v>
      </c>
      <c r="G1595" s="65" t="s">
        <v>1697</v>
      </c>
      <c r="H1595" s="19"/>
      <c r="I1595" s="19">
        <v>4009</v>
      </c>
      <c r="J1595" s="19"/>
      <c r="K1595" s="18"/>
      <c r="L1595" s="14"/>
      <c r="M1595" s="14"/>
      <c r="N1595" s="73"/>
      <c r="O1595" s="86"/>
      <c r="P1595" s="1817" t="e">
        <f>INDEX(#REF!,MATCH(F1595,#REF!,0),2)</f>
        <v>#REF!</v>
      </c>
      <c r="Q1595" s="1779"/>
      <c r="R1595" s="1779"/>
      <c r="S1595" s="1779"/>
      <c r="T1595" s="1779"/>
      <c r="U1595" s="1779"/>
      <c r="V1595" s="1779"/>
      <c r="W1595" s="43"/>
      <c r="X1595" s="1779"/>
      <c r="Y1595" s="1779"/>
      <c r="Z1595" s="1779"/>
      <c r="AA1595" s="1779"/>
      <c r="AB1595" s="1779"/>
      <c r="AC1595" s="1779"/>
      <c r="AD1595" s="1779"/>
      <c r="AE1595" s="1779"/>
      <c r="AF1595" s="1779"/>
      <c r="AG1595" s="1779"/>
    </row>
    <row r="1596" spans="1:48" ht="31.15" customHeight="1">
      <c r="A1596" s="12"/>
      <c r="B1596" s="12" t="s">
        <v>512</v>
      </c>
      <c r="C1596" s="12" t="s">
        <v>506</v>
      </c>
      <c r="D1596" s="1593"/>
      <c r="E1596" s="2222" t="s">
        <v>1953</v>
      </c>
      <c r="F1596" s="367">
        <v>2363</v>
      </c>
      <c r="G1596" s="2810" t="s">
        <v>4127</v>
      </c>
      <c r="H1596" s="19"/>
      <c r="I1596" s="19">
        <v>33475.5</v>
      </c>
      <c r="J1596" s="19"/>
      <c r="K1596" s="18"/>
      <c r="L1596" s="14"/>
      <c r="M1596" s="2800">
        <v>51448.5</v>
      </c>
      <c r="N1596" s="154" t="s">
        <v>4126</v>
      </c>
      <c r="O1596" s="86"/>
      <c r="P1596" s="1817" t="e">
        <f>INDEX(#REF!,MATCH(F1596,#REF!,0),2)</f>
        <v>#REF!</v>
      </c>
      <c r="Q1596" s="43"/>
      <c r="R1596" s="43"/>
      <c r="S1596" s="43"/>
      <c r="T1596" s="43"/>
      <c r="U1596" s="43"/>
      <c r="V1596" s="43"/>
      <c r="W1596" s="43"/>
      <c r="X1596" s="43"/>
      <c r="Y1596" s="43"/>
      <c r="Z1596" s="43"/>
      <c r="AA1596" s="43"/>
      <c r="AB1596" s="43"/>
      <c r="AC1596" s="43"/>
      <c r="AD1596" s="43"/>
      <c r="AE1596" s="43"/>
      <c r="AF1596" s="43"/>
      <c r="AG1596" s="43"/>
      <c r="AH1596" s="43"/>
      <c r="AI1596" s="43"/>
      <c r="AJ1596" s="43"/>
      <c r="AK1596" s="43"/>
      <c r="AL1596" s="43"/>
      <c r="AM1596" s="43"/>
      <c r="AN1596" s="43"/>
      <c r="AO1596" s="43"/>
      <c r="AP1596" s="43"/>
      <c r="AQ1596" s="43"/>
      <c r="AR1596" s="43"/>
      <c r="AS1596" s="43"/>
      <c r="AT1596" s="43"/>
      <c r="AU1596" s="43"/>
      <c r="AV1596" s="43"/>
    </row>
    <row r="1597" spans="1:48" ht="26.45" customHeight="1">
      <c r="A1597" s="5"/>
      <c r="B1597" s="5" t="s">
        <v>1248</v>
      </c>
      <c r="C1597" s="5" t="s">
        <v>507</v>
      </c>
      <c r="D1597" s="1592">
        <v>970</v>
      </c>
      <c r="E1597" s="2220" t="s">
        <v>1953</v>
      </c>
      <c r="F1597" s="150">
        <v>2363</v>
      </c>
      <c r="G1597" s="151" t="s">
        <v>395</v>
      </c>
      <c r="H1597" s="267">
        <v>38851</v>
      </c>
      <c r="I1597" s="267"/>
      <c r="J1597" s="267"/>
      <c r="K1597" s="51"/>
      <c r="L1597" s="35">
        <v>51448.5</v>
      </c>
      <c r="M1597" s="35"/>
      <c r="N1597" s="73"/>
      <c r="O1597" s="86"/>
      <c r="P1597" s="1817" t="e">
        <f>INDEX(#REF!,MATCH(F1597,#REF!,0),2)</f>
        <v>#REF!</v>
      </c>
      <c r="Q1597" s="1779"/>
      <c r="R1597" s="1779"/>
      <c r="S1597" s="1779"/>
      <c r="T1597" s="1779"/>
      <c r="U1597" s="1779"/>
      <c r="V1597" s="1779"/>
      <c r="W1597" s="43"/>
      <c r="X1597" s="1779"/>
      <c r="Y1597" s="1779"/>
      <c r="Z1597" s="1779"/>
      <c r="AA1597" s="1779"/>
      <c r="AB1597" s="1779"/>
      <c r="AC1597" s="1779"/>
      <c r="AD1597" s="1779"/>
      <c r="AE1597" s="1779"/>
      <c r="AF1597" s="1779"/>
      <c r="AG1597" s="1779"/>
    </row>
    <row r="1598" spans="1:48" ht="31.15" customHeight="1">
      <c r="A1598" s="12"/>
      <c r="B1598" s="12" t="s">
        <v>1248</v>
      </c>
      <c r="C1598" s="12" t="s">
        <v>507</v>
      </c>
      <c r="D1598" s="1593"/>
      <c r="E1598" s="2222" t="s">
        <v>1953</v>
      </c>
      <c r="F1598" s="367">
        <v>2363</v>
      </c>
      <c r="G1598" s="3126" t="s">
        <v>1507</v>
      </c>
      <c r="H1598" s="19"/>
      <c r="I1598" s="19">
        <v>38851</v>
      </c>
      <c r="J1598" s="19"/>
      <c r="K1598" s="18"/>
      <c r="L1598" s="15"/>
      <c r="M1598" s="15">
        <v>51448.5</v>
      </c>
      <c r="N1598" s="3125" t="s">
        <v>4128</v>
      </c>
      <c r="O1598" s="86"/>
      <c r="P1598" s="1817" t="e">
        <f>INDEX(#REF!,MATCH(F1598,#REF!,0),2)</f>
        <v>#REF!</v>
      </c>
      <c r="Q1598" s="43"/>
      <c r="R1598" s="43"/>
      <c r="S1598" s="43"/>
      <c r="T1598" s="43"/>
      <c r="U1598" s="43"/>
      <c r="V1598" s="43"/>
      <c r="W1598" s="43"/>
      <c r="X1598" s="43"/>
      <c r="Y1598" s="43"/>
      <c r="Z1598" s="43"/>
      <c r="AA1598" s="43"/>
      <c r="AB1598" s="43"/>
      <c r="AC1598" s="43"/>
      <c r="AD1598" s="43"/>
      <c r="AE1598" s="43"/>
      <c r="AF1598" s="43"/>
      <c r="AG1598" s="43"/>
      <c r="AH1598" s="43"/>
      <c r="AI1598" s="43"/>
      <c r="AJ1598" s="43"/>
      <c r="AK1598" s="43"/>
      <c r="AL1598" s="43"/>
      <c r="AM1598" s="43"/>
      <c r="AN1598" s="43"/>
      <c r="AO1598" s="43"/>
      <c r="AP1598" s="43"/>
      <c r="AQ1598" s="43"/>
      <c r="AR1598" s="43"/>
      <c r="AS1598" s="43"/>
      <c r="AT1598" s="43"/>
      <c r="AU1598" s="43"/>
      <c r="AV1598" s="43"/>
    </row>
    <row r="1599" spans="1:48" ht="11.45" customHeight="1">
      <c r="A1599" s="5"/>
      <c r="B1599" s="5" t="s">
        <v>512</v>
      </c>
      <c r="C1599" s="5" t="s">
        <v>507</v>
      </c>
      <c r="D1599" s="1592">
        <v>970</v>
      </c>
      <c r="E1599" s="2220" t="s">
        <v>1953</v>
      </c>
      <c r="F1599" s="150">
        <v>3261</v>
      </c>
      <c r="G1599" s="151" t="s">
        <v>3057</v>
      </c>
      <c r="H1599" s="267">
        <v>0</v>
      </c>
      <c r="I1599" s="267"/>
      <c r="J1599" s="267"/>
      <c r="K1599" s="51"/>
      <c r="L1599" s="35">
        <v>0</v>
      </c>
      <c r="M1599" s="35"/>
      <c r="N1599" s="73" t="s">
        <v>5728</v>
      </c>
      <c r="O1599" s="86"/>
      <c r="P1599" s="1817" t="e">
        <f>INDEX(#REF!,MATCH(F1599,#REF!,0),2)</f>
        <v>#REF!</v>
      </c>
      <c r="Q1599" s="43"/>
      <c r="R1599" s="43"/>
      <c r="S1599" s="43"/>
      <c r="T1599" s="43"/>
      <c r="U1599" s="43"/>
      <c r="V1599" s="43"/>
      <c r="W1599" s="43"/>
      <c r="X1599" s="43"/>
      <c r="Y1599" s="43"/>
      <c r="Z1599" s="43"/>
      <c r="AA1599" s="43"/>
      <c r="AB1599" s="43"/>
      <c r="AC1599" s="43"/>
      <c r="AD1599" s="43"/>
      <c r="AE1599" s="43"/>
      <c r="AF1599" s="43"/>
      <c r="AG1599" s="43"/>
      <c r="AH1599" s="43"/>
      <c r="AI1599" s="43"/>
      <c r="AJ1599" s="43"/>
      <c r="AK1599" s="43"/>
      <c r="AL1599" s="43"/>
      <c r="AM1599" s="43"/>
      <c r="AN1599" s="43"/>
      <c r="AO1599" s="43"/>
      <c r="AP1599" s="43"/>
      <c r="AQ1599" s="43"/>
      <c r="AR1599" s="43"/>
      <c r="AS1599" s="43"/>
      <c r="AT1599" s="43"/>
      <c r="AU1599" s="43"/>
      <c r="AV1599" s="43"/>
    </row>
    <row r="1600" spans="1:48" ht="12" customHeight="1">
      <c r="A1600" s="12"/>
      <c r="B1600" s="12" t="s">
        <v>512</v>
      </c>
      <c r="C1600" s="12" t="s">
        <v>507</v>
      </c>
      <c r="D1600" s="1593"/>
      <c r="E1600" s="2222" t="s">
        <v>1953</v>
      </c>
      <c r="F1600" s="367">
        <v>3261</v>
      </c>
      <c r="G1600" s="22" t="s">
        <v>3058</v>
      </c>
      <c r="H1600" s="19"/>
      <c r="I1600" s="19">
        <v>44403</v>
      </c>
      <c r="J1600" s="19"/>
      <c r="K1600" s="18"/>
      <c r="L1600" s="15"/>
      <c r="M1600" s="2800">
        <v>36093</v>
      </c>
      <c r="N1600" s="154" t="s">
        <v>4129</v>
      </c>
      <c r="O1600" s="86"/>
      <c r="P1600" s="1817" t="e">
        <f>INDEX(#REF!,MATCH(F1600,#REF!,0),2)</f>
        <v>#REF!</v>
      </c>
    </row>
    <row r="1601" spans="1:16" ht="24" customHeight="1">
      <c r="A1601" s="3894"/>
      <c r="B1601" s="3894" t="s">
        <v>663</v>
      </c>
      <c r="C1601" s="3894" t="s">
        <v>652</v>
      </c>
      <c r="D1601" s="3895">
        <v>910</v>
      </c>
      <c r="E1601" s="3896" t="s">
        <v>1909</v>
      </c>
      <c r="F1601" s="3886">
        <v>1119</v>
      </c>
      <c r="G1601" s="3887" t="s">
        <v>396</v>
      </c>
      <c r="H1601" s="3888">
        <v>790944.6400000006</v>
      </c>
      <c r="I1601" s="3889"/>
      <c r="J1601" s="3890">
        <v>570075</v>
      </c>
      <c r="K1601" s="3891"/>
      <c r="L1601" s="4070">
        <v>974197.12800000142</v>
      </c>
      <c r="M1601" s="4070"/>
      <c r="N1601" s="633">
        <f>L1601/H1601-1</f>
        <v>0.23168813433011026</v>
      </c>
      <c r="O1601" s="86"/>
      <c r="P1601" s="1817" t="e">
        <f>INDEX(#REF!,MATCH(F1601,#REF!,0),2)</f>
        <v>#REF!</v>
      </c>
    </row>
    <row r="1602" spans="1:16" ht="12" customHeight="1">
      <c r="A1602" s="3872"/>
      <c r="B1602" s="3872" t="s">
        <v>663</v>
      </c>
      <c r="C1602" s="3872" t="s">
        <v>652</v>
      </c>
      <c r="D1602" s="3873"/>
      <c r="E1602" s="3897" t="s">
        <v>1909</v>
      </c>
      <c r="F1602" s="3863">
        <v>1119</v>
      </c>
      <c r="G1602" s="3898" t="s">
        <v>663</v>
      </c>
      <c r="H1602" s="3899"/>
      <c r="I1602" s="3900">
        <v>796988.6400000006</v>
      </c>
      <c r="J1602" s="3901"/>
      <c r="K1602" s="3902"/>
      <c r="L1602" s="4071"/>
      <c r="M1602" s="4071">
        <v>974197.12800000142</v>
      </c>
      <c r="N1602" s="73"/>
      <c r="O1602" s="86"/>
      <c r="P1602" s="1817" t="e">
        <f>INDEX(#REF!,MATCH(F1602,#REF!,0),2)</f>
        <v>#REF!</v>
      </c>
    </row>
    <row r="1603" spans="1:16" ht="11.45" customHeight="1">
      <c r="A1603" s="3872"/>
      <c r="B1603" s="3872" t="s">
        <v>663</v>
      </c>
      <c r="C1603" s="3872" t="s">
        <v>652</v>
      </c>
      <c r="D1603" s="3873"/>
      <c r="E1603" s="3862" t="s">
        <v>1909</v>
      </c>
      <c r="F1603" s="3863">
        <v>1119</v>
      </c>
      <c r="G1603" s="3898" t="s">
        <v>3201</v>
      </c>
      <c r="H1603" s="3899"/>
      <c r="I1603" s="3900">
        <v>-6044</v>
      </c>
      <c r="J1603" s="3901"/>
      <c r="K1603" s="3902"/>
      <c r="L1603" s="4071"/>
      <c r="M1603" s="4071"/>
      <c r="N1603" s="73"/>
      <c r="O1603" s="86"/>
      <c r="P1603" s="1817" t="e">
        <f>INDEX(#REF!,MATCH(F1603,#REF!,0),2)</f>
        <v>#REF!</v>
      </c>
    </row>
    <row r="1604" spans="1:16" ht="11.45" customHeight="1">
      <c r="A1604" s="3894"/>
      <c r="B1604" s="3894" t="s">
        <v>512</v>
      </c>
      <c r="C1604" s="3894" t="s">
        <v>506</v>
      </c>
      <c r="D1604" s="3895">
        <v>910</v>
      </c>
      <c r="E1604" s="3896" t="s">
        <v>1910</v>
      </c>
      <c r="F1604" s="3886">
        <v>1119</v>
      </c>
      <c r="G1604" s="3887" t="s">
        <v>386</v>
      </c>
      <c r="H1604" s="3904">
        <v>235211.36000000004</v>
      </c>
      <c r="I1604" s="3884"/>
      <c r="J1604" s="3890"/>
      <c r="K1604" s="3891"/>
      <c r="L1604" s="3905">
        <v>336745.64000000013</v>
      </c>
      <c r="M1604" s="3884"/>
      <c r="N1604" s="73"/>
      <c r="O1604" s="86"/>
      <c r="P1604" s="1817" t="e">
        <f>INDEX(#REF!,MATCH(F1604,#REF!,0),2)</f>
        <v>#REF!</v>
      </c>
    </row>
    <row r="1605" spans="1:16" ht="26.25" customHeight="1">
      <c r="A1605" s="3872"/>
      <c r="B1605" s="3872" t="s">
        <v>512</v>
      </c>
      <c r="C1605" s="3872" t="s">
        <v>506</v>
      </c>
      <c r="D1605" s="3873"/>
      <c r="E1605" s="3862" t="s">
        <v>1910</v>
      </c>
      <c r="F1605" s="3863">
        <v>1119</v>
      </c>
      <c r="G1605" s="3898" t="s">
        <v>999</v>
      </c>
      <c r="H1605" s="3899"/>
      <c r="I1605" s="3900">
        <v>60</v>
      </c>
      <c r="J1605" s="3901"/>
      <c r="K1605" s="3902"/>
      <c r="L1605" s="3903"/>
      <c r="M1605" s="3903">
        <v>60</v>
      </c>
      <c r="N1605" s="73"/>
      <c r="O1605" s="86"/>
      <c r="P1605" s="1817" t="e">
        <f>INDEX(#REF!,MATCH(F1605,#REF!,0),2)</f>
        <v>#REF!</v>
      </c>
    </row>
    <row r="1606" spans="1:16" ht="11.45" customHeight="1">
      <c r="A1606" s="3872"/>
      <c r="B1606" s="3872" t="s">
        <v>512</v>
      </c>
      <c r="C1606" s="3872" t="s">
        <v>506</v>
      </c>
      <c r="D1606" s="3873"/>
      <c r="E1606" s="3862" t="s">
        <v>1910</v>
      </c>
      <c r="F1606" s="3863">
        <v>1119</v>
      </c>
      <c r="G1606" s="3898" t="s">
        <v>1216</v>
      </c>
      <c r="H1606" s="3899"/>
      <c r="I1606" s="3900">
        <v>210355.36000000004</v>
      </c>
      <c r="J1606" s="3901"/>
      <c r="K1606" s="3902"/>
      <c r="L1606" s="3903"/>
      <c r="M1606" s="3903">
        <v>329142.64000000013</v>
      </c>
      <c r="N1606" s="73"/>
      <c r="O1606" s="86"/>
      <c r="P1606" s="1817" t="e">
        <f>INDEX(#REF!,MATCH(F1606,#REF!,0),2)</f>
        <v>#REF!</v>
      </c>
    </row>
    <row r="1607" spans="1:16" ht="11.45" customHeight="1">
      <c r="A1607" s="3872"/>
      <c r="B1607" s="3872" t="s">
        <v>512</v>
      </c>
      <c r="C1607" s="3872" t="s">
        <v>506</v>
      </c>
      <c r="D1607" s="3873"/>
      <c r="E1607" s="3862" t="s">
        <v>1910</v>
      </c>
      <c r="F1607" s="3863">
        <v>1119</v>
      </c>
      <c r="G1607" s="3898" t="s">
        <v>2050</v>
      </c>
      <c r="H1607" s="3899"/>
      <c r="I1607" s="3900">
        <v>7543</v>
      </c>
      <c r="J1607" s="3901"/>
      <c r="K1607" s="3902"/>
      <c r="L1607" s="3903"/>
      <c r="M1607" s="3903">
        <v>7543</v>
      </c>
      <c r="N1607" s="73"/>
      <c r="O1607" s="86"/>
      <c r="P1607" s="1817" t="e">
        <f>INDEX(#REF!,MATCH(F1607,#REF!,0),2)</f>
        <v>#REF!</v>
      </c>
    </row>
    <row r="1608" spans="1:16" ht="11.45" customHeight="1">
      <c r="A1608" s="3872"/>
      <c r="B1608" s="3872" t="s">
        <v>512</v>
      </c>
      <c r="C1608" s="3872" t="s">
        <v>506</v>
      </c>
      <c r="D1608" s="3873"/>
      <c r="E1608" s="3862" t="s">
        <v>1910</v>
      </c>
      <c r="F1608" s="3863">
        <v>1119</v>
      </c>
      <c r="G1608" s="3898" t="s">
        <v>1177</v>
      </c>
      <c r="H1608" s="3899"/>
      <c r="I1608" s="3900">
        <v>17253</v>
      </c>
      <c r="J1608" s="3901"/>
      <c r="K1608" s="3902"/>
      <c r="L1608" s="3903"/>
      <c r="M1608" s="3903"/>
      <c r="N1608" s="73"/>
      <c r="O1608" s="86"/>
      <c r="P1608" s="1817" t="e">
        <f>INDEX(#REF!,MATCH(F1608,#REF!,0),2)</f>
        <v>#REF!</v>
      </c>
    </row>
    <row r="1609" spans="1:16" ht="12" customHeight="1">
      <c r="A1609" s="3894"/>
      <c r="B1609" s="3894" t="s">
        <v>663</v>
      </c>
      <c r="C1609" s="3894" t="s">
        <v>652</v>
      </c>
      <c r="D1609" s="3895">
        <v>910</v>
      </c>
      <c r="E1609" s="3885" t="s">
        <v>1909</v>
      </c>
      <c r="F1609" s="3886">
        <v>1141</v>
      </c>
      <c r="G1609" s="3887" t="s">
        <v>896</v>
      </c>
      <c r="H1609" s="3888">
        <v>4745</v>
      </c>
      <c r="I1609" s="3889"/>
      <c r="J1609" s="3890">
        <v>4368</v>
      </c>
      <c r="K1609" s="3891"/>
      <c r="L1609" s="4070">
        <v>4500</v>
      </c>
      <c r="M1609" s="4070"/>
      <c r="N1609" s="633">
        <f>L1609/H1609-1</f>
        <v>-5.163329820864071E-2</v>
      </c>
      <c r="O1609" s="86"/>
      <c r="P1609" s="1817" t="e">
        <f>INDEX(#REF!,MATCH(F1609,#REF!,0),2)</f>
        <v>#REF!</v>
      </c>
    </row>
    <row r="1610" spans="1:16" ht="12" customHeight="1">
      <c r="A1610" s="3872"/>
      <c r="B1610" s="3872" t="s">
        <v>663</v>
      </c>
      <c r="C1610" s="3872" t="s">
        <v>652</v>
      </c>
      <c r="D1610" s="3873"/>
      <c r="E1610" s="3862" t="s">
        <v>1909</v>
      </c>
      <c r="F1610" s="3863">
        <v>1141</v>
      </c>
      <c r="G1610" s="3898" t="s">
        <v>663</v>
      </c>
      <c r="H1610" s="3899"/>
      <c r="I1610" s="3900">
        <v>4745</v>
      </c>
      <c r="J1610" s="3901"/>
      <c r="K1610" s="3902"/>
      <c r="L1610" s="4071"/>
      <c r="M1610" s="4071">
        <v>4500</v>
      </c>
      <c r="N1610" s="73"/>
      <c r="O1610" s="86"/>
      <c r="P1610" s="1817" t="e">
        <f>INDEX(#REF!,MATCH(F1610,#REF!,0),2)</f>
        <v>#REF!</v>
      </c>
    </row>
    <row r="1611" spans="1:16" ht="12" customHeight="1">
      <c r="A1611" s="3894"/>
      <c r="B1611" s="3894" t="s">
        <v>663</v>
      </c>
      <c r="C1611" s="3894" t="s">
        <v>652</v>
      </c>
      <c r="D1611" s="3895">
        <v>910</v>
      </c>
      <c r="E1611" s="3885" t="s">
        <v>1909</v>
      </c>
      <c r="F1611" s="3886">
        <v>1142</v>
      </c>
      <c r="G1611" s="3887" t="s">
        <v>225</v>
      </c>
      <c r="H1611" s="3888">
        <v>2500</v>
      </c>
      <c r="I1611" s="3889"/>
      <c r="J1611" s="3890">
        <v>1959</v>
      </c>
      <c r="K1611" s="3891"/>
      <c r="L1611" s="4070">
        <v>2500</v>
      </c>
      <c r="M1611" s="4070"/>
      <c r="N1611" s="633">
        <f>L1611/H1611-1</f>
        <v>0</v>
      </c>
      <c r="O1611" s="86"/>
      <c r="P1611" s="1817" t="e">
        <f>INDEX(#REF!,MATCH(F1611,#REF!,0),2)</f>
        <v>#REF!</v>
      </c>
    </row>
    <row r="1612" spans="1:16" ht="11.45" customHeight="1">
      <c r="A1612" s="3872"/>
      <c r="B1612" s="3872" t="s">
        <v>663</v>
      </c>
      <c r="C1612" s="3872" t="s">
        <v>652</v>
      </c>
      <c r="D1612" s="3873"/>
      <c r="E1612" s="3862" t="s">
        <v>1909</v>
      </c>
      <c r="F1612" s="3863">
        <v>1142</v>
      </c>
      <c r="G1612" s="3898" t="s">
        <v>663</v>
      </c>
      <c r="H1612" s="3899"/>
      <c r="I1612" s="3900">
        <v>2500</v>
      </c>
      <c r="J1612" s="3901"/>
      <c r="K1612" s="3902"/>
      <c r="L1612" s="4071"/>
      <c r="M1612" s="4071">
        <v>2500</v>
      </c>
      <c r="N1612" s="73"/>
      <c r="O1612" s="86"/>
      <c r="P1612" s="1817" t="e">
        <f>INDEX(#REF!,MATCH(F1612,#REF!,0),2)</f>
        <v>#REF!</v>
      </c>
    </row>
    <row r="1613" spans="1:16" ht="12" customHeight="1">
      <c r="A1613" s="3894"/>
      <c r="B1613" s="3894" t="s">
        <v>663</v>
      </c>
      <c r="C1613" s="3894" t="s">
        <v>652</v>
      </c>
      <c r="D1613" s="3895">
        <v>910</v>
      </c>
      <c r="E1613" s="3885" t="s">
        <v>1909</v>
      </c>
      <c r="F1613" s="3886">
        <v>1146</v>
      </c>
      <c r="G1613" s="3887"/>
      <c r="H1613" s="3888">
        <v>2000</v>
      </c>
      <c r="I1613" s="3884"/>
      <c r="J1613" s="3890"/>
      <c r="K1613" s="3902"/>
      <c r="L1613" s="4070">
        <v>2000</v>
      </c>
      <c r="M1613" s="4070"/>
      <c r="N1613" s="633">
        <f>L1613/H1613-1</f>
        <v>0</v>
      </c>
      <c r="O1613" s="86"/>
      <c r="P1613" s="1817" t="e">
        <f>INDEX(#REF!,MATCH(F1613,#REF!,0),2)</f>
        <v>#REF!</v>
      </c>
    </row>
    <row r="1614" spans="1:16" ht="20.45" customHeight="1">
      <c r="A1614" s="3872"/>
      <c r="B1614" s="3872" t="s">
        <v>663</v>
      </c>
      <c r="C1614" s="3872" t="s">
        <v>652</v>
      </c>
      <c r="D1614" s="3873"/>
      <c r="E1614" s="3862" t="s">
        <v>1909</v>
      </c>
      <c r="F1614" s="3863">
        <v>1146</v>
      </c>
      <c r="G1614" s="3898" t="s">
        <v>663</v>
      </c>
      <c r="H1614" s="3899"/>
      <c r="I1614" s="3900">
        <v>2000</v>
      </c>
      <c r="J1614" s="3901"/>
      <c r="K1614" s="3902"/>
      <c r="L1614" s="4071"/>
      <c r="M1614" s="4071">
        <v>2000</v>
      </c>
      <c r="N1614" s="73"/>
      <c r="O1614" s="86"/>
      <c r="P1614" s="1817" t="e">
        <f>INDEX(#REF!,MATCH(F1614,#REF!,0),2)</f>
        <v>#REF!</v>
      </c>
    </row>
    <row r="1615" spans="1:16" ht="20.45" customHeight="1">
      <c r="A1615" s="3894"/>
      <c r="B1615" s="3894" t="s">
        <v>512</v>
      </c>
      <c r="C1615" s="3894" t="s">
        <v>506</v>
      </c>
      <c r="D1615" s="3895">
        <v>910</v>
      </c>
      <c r="E1615" s="3885" t="s">
        <v>1910</v>
      </c>
      <c r="F1615" s="3886">
        <v>1146</v>
      </c>
      <c r="G1615" s="3887"/>
      <c r="H1615" s="3904">
        <v>3000</v>
      </c>
      <c r="I1615" s="3884"/>
      <c r="J1615" s="3890"/>
      <c r="K1615" s="3902"/>
      <c r="L1615" s="3905">
        <v>3000</v>
      </c>
      <c r="M1615" s="3884"/>
      <c r="N1615" s="73"/>
      <c r="O1615" s="86"/>
      <c r="P1615" s="1817" t="e">
        <f>INDEX(#REF!,MATCH(F1615,#REF!,0),2)</f>
        <v>#REF!</v>
      </c>
    </row>
    <row r="1616" spans="1:16" ht="12" customHeight="1">
      <c r="A1616" s="3872"/>
      <c r="B1616" s="3872" t="s">
        <v>512</v>
      </c>
      <c r="C1616" s="3872" t="s">
        <v>506</v>
      </c>
      <c r="D1616" s="3873"/>
      <c r="E1616" s="3862" t="s">
        <v>1910</v>
      </c>
      <c r="F1616" s="3863">
        <v>1146</v>
      </c>
      <c r="G1616" s="3898" t="s">
        <v>1216</v>
      </c>
      <c r="H1616" s="3899"/>
      <c r="I1616" s="3900">
        <v>3000</v>
      </c>
      <c r="J1616" s="3901"/>
      <c r="K1616" s="3902"/>
      <c r="L1616" s="3903"/>
      <c r="M1616" s="3903">
        <v>3000</v>
      </c>
      <c r="N1616" s="73"/>
      <c r="O1616" s="86"/>
      <c r="P1616" s="1817" t="e">
        <f>INDEX(#REF!,MATCH(F1616,#REF!,0),2)</f>
        <v>#REF!</v>
      </c>
    </row>
    <row r="1617" spans="1:38" ht="12" customHeight="1">
      <c r="A1617" s="3872"/>
      <c r="B1617" s="3872" t="s">
        <v>512</v>
      </c>
      <c r="C1617" s="3872" t="s">
        <v>506</v>
      </c>
      <c r="D1617" s="3873"/>
      <c r="E1617" s="3862" t="s">
        <v>1910</v>
      </c>
      <c r="F1617" s="3863">
        <v>1146</v>
      </c>
      <c r="G1617" s="3898" t="s">
        <v>1177</v>
      </c>
      <c r="H1617" s="3899"/>
      <c r="I1617" s="3900"/>
      <c r="J1617" s="3901"/>
      <c r="K1617" s="3902"/>
      <c r="L1617" s="3903"/>
      <c r="M1617" s="3903"/>
      <c r="N1617" s="73"/>
      <c r="O1617" s="86"/>
      <c r="P1617" s="1817" t="e">
        <f>INDEX(#REF!,MATCH(F1617,#REF!,0),2)</f>
        <v>#REF!</v>
      </c>
    </row>
    <row r="1618" spans="1:38" ht="37.9" customHeight="1">
      <c r="A1618" s="3894"/>
      <c r="B1618" s="3894" t="s">
        <v>512</v>
      </c>
      <c r="C1618" s="3894" t="s">
        <v>506</v>
      </c>
      <c r="D1618" s="3895">
        <v>910</v>
      </c>
      <c r="E1618" s="3885" t="s">
        <v>1910</v>
      </c>
      <c r="F1618" s="3886">
        <v>1147</v>
      </c>
      <c r="G1618" s="3887" t="s">
        <v>892</v>
      </c>
      <c r="H1618" s="3904">
        <v>2000</v>
      </c>
      <c r="I1618" s="3889"/>
      <c r="J1618" s="3890"/>
      <c r="K1618" s="3902"/>
      <c r="L1618" s="3905">
        <v>2000</v>
      </c>
      <c r="M1618" s="3884"/>
      <c r="N1618" s="73"/>
      <c r="O1618" s="86"/>
      <c r="P1618" s="1817" t="e">
        <f>INDEX(#REF!,MATCH(F1618,#REF!,0),2)</f>
        <v>#REF!</v>
      </c>
    </row>
    <row r="1619" spans="1:38" ht="18" customHeight="1">
      <c r="A1619" s="3872"/>
      <c r="B1619" s="3872" t="s">
        <v>512</v>
      </c>
      <c r="C1619" s="3872" t="s">
        <v>506</v>
      </c>
      <c r="D1619" s="3873"/>
      <c r="E1619" s="3862" t="s">
        <v>1910</v>
      </c>
      <c r="F1619" s="3863">
        <v>1147</v>
      </c>
      <c r="G1619" s="3898" t="s">
        <v>1216</v>
      </c>
      <c r="H1619" s="3899"/>
      <c r="I1619" s="3900">
        <v>2000</v>
      </c>
      <c r="J1619" s="3901"/>
      <c r="K1619" s="3902"/>
      <c r="L1619" s="3903"/>
      <c r="M1619" s="3903">
        <v>2000</v>
      </c>
      <c r="N1619" s="73"/>
      <c r="O1619" s="86"/>
      <c r="P1619" s="1817" t="e">
        <f>INDEX(#REF!,MATCH(F1619,#REF!,0),2)</f>
        <v>#REF!</v>
      </c>
    </row>
    <row r="1620" spans="1:38" ht="11.45" customHeight="1">
      <c r="A1620" s="3872"/>
      <c r="B1620" s="3872" t="s">
        <v>512</v>
      </c>
      <c r="C1620" s="3872" t="s">
        <v>506</v>
      </c>
      <c r="D1620" s="3873"/>
      <c r="E1620" s="3862" t="s">
        <v>1910</v>
      </c>
      <c r="F1620" s="3863">
        <v>1147</v>
      </c>
      <c r="G1620" s="3898" t="s">
        <v>1123</v>
      </c>
      <c r="H1620" s="3899"/>
      <c r="I1620" s="3900"/>
      <c r="J1620" s="3901"/>
      <c r="K1620" s="3902"/>
      <c r="L1620" s="3903"/>
      <c r="M1620" s="3903"/>
      <c r="N1620" s="73"/>
      <c r="O1620" s="86"/>
      <c r="P1620" s="1817" t="e">
        <f>INDEX(#REF!,MATCH(F1620,#REF!,0),2)</f>
        <v>#REF!</v>
      </c>
    </row>
    <row r="1621" spans="1:38" ht="23.45" customHeight="1">
      <c r="A1621" s="3894"/>
      <c r="B1621" s="3894" t="s">
        <v>663</v>
      </c>
      <c r="C1621" s="3894" t="s">
        <v>652</v>
      </c>
      <c r="D1621" s="3895">
        <v>910</v>
      </c>
      <c r="E1621" s="3885" t="s">
        <v>1909</v>
      </c>
      <c r="F1621" s="3886">
        <v>1147</v>
      </c>
      <c r="G1621" s="3887" t="s">
        <v>568</v>
      </c>
      <c r="H1621" s="3888">
        <v>125557.2573599999</v>
      </c>
      <c r="I1621" s="3889"/>
      <c r="J1621" s="3890">
        <v>57998</v>
      </c>
      <c r="K1621" s="3902"/>
      <c r="L1621" s="4070">
        <v>146357.86695999987</v>
      </c>
      <c r="M1621" s="4070"/>
      <c r="N1621" s="633">
        <f>L1621/H1621-1</f>
        <v>0.16566632656175417</v>
      </c>
      <c r="O1621" s="86"/>
      <c r="P1621" s="1817" t="e">
        <f>INDEX(#REF!,MATCH(F1621,#REF!,0),2)</f>
        <v>#REF!</v>
      </c>
    </row>
    <row r="1622" spans="1:38" ht="11.45" customHeight="1">
      <c r="A1622" s="3872"/>
      <c r="B1622" s="3872" t="s">
        <v>663</v>
      </c>
      <c r="C1622" s="3872" t="s">
        <v>652</v>
      </c>
      <c r="D1622" s="3873"/>
      <c r="E1622" s="3862" t="s">
        <v>1909</v>
      </c>
      <c r="F1622" s="3863">
        <v>1147</v>
      </c>
      <c r="G1622" s="3898" t="s">
        <v>663</v>
      </c>
      <c r="H1622" s="3899"/>
      <c r="I1622" s="3900">
        <v>75116.999999999913</v>
      </c>
      <c r="J1622" s="3901"/>
      <c r="K1622" s="3902"/>
      <c r="L1622" s="4071"/>
      <c r="M1622" s="4071">
        <v>100028.3139999999</v>
      </c>
      <c r="N1622" s="73"/>
      <c r="O1622" s="86"/>
      <c r="P1622" s="1817" t="e">
        <f>INDEX(#REF!,MATCH(F1622,#REF!,0),2)</f>
        <v>#REF!</v>
      </c>
    </row>
    <row r="1623" spans="1:38" ht="11.45" customHeight="1">
      <c r="A1623" s="3872"/>
      <c r="B1623" s="3872" t="s">
        <v>663</v>
      </c>
      <c r="C1623" s="3872" t="s">
        <v>652</v>
      </c>
      <c r="D1623" s="3873"/>
      <c r="E1623" s="3862" t="s">
        <v>1909</v>
      </c>
      <c r="F1623" s="3863">
        <v>1147</v>
      </c>
      <c r="G1623" s="3898" t="s">
        <v>2646</v>
      </c>
      <c r="H1623" s="3899"/>
      <c r="I1623" s="3900">
        <v>50440.257359999981</v>
      </c>
      <c r="J1623" s="3901"/>
      <c r="K1623" s="3902"/>
      <c r="L1623" s="4071"/>
      <c r="M1623" s="4071">
        <v>46329.552959999979</v>
      </c>
      <c r="N1623" s="73"/>
      <c r="O1623" s="86"/>
      <c r="P1623" s="1817" t="e">
        <f>INDEX(#REF!,MATCH(F1623,#REF!,0),2)</f>
        <v>#REF!</v>
      </c>
    </row>
    <row r="1624" spans="1:38" ht="11.45" customHeight="1">
      <c r="A1624" s="3894"/>
      <c r="B1624" s="3894" t="s">
        <v>512</v>
      </c>
      <c r="C1624" s="3894" t="s">
        <v>506</v>
      </c>
      <c r="D1624" s="3895">
        <v>910</v>
      </c>
      <c r="E1624" s="3885" t="s">
        <v>1910</v>
      </c>
      <c r="F1624" s="3886">
        <v>1148</v>
      </c>
      <c r="G1624" s="3887" t="s">
        <v>227</v>
      </c>
      <c r="H1624" s="3904">
        <v>0</v>
      </c>
      <c r="I1624" s="3889"/>
      <c r="J1624" s="3890"/>
      <c r="K1624" s="3902"/>
      <c r="L1624" s="3905">
        <v>0</v>
      </c>
      <c r="M1624" s="3884"/>
      <c r="N1624" s="73"/>
      <c r="O1624" s="86"/>
      <c r="P1624" s="1817" t="e">
        <f>INDEX(#REF!,MATCH(F1624,#REF!,0),2)</f>
        <v>#REF!</v>
      </c>
    </row>
    <row r="1625" spans="1:38" ht="13.15" customHeight="1">
      <c r="A1625" s="3872"/>
      <c r="B1625" s="3872" t="s">
        <v>512</v>
      </c>
      <c r="C1625" s="3872" t="s">
        <v>506</v>
      </c>
      <c r="D1625" s="3873"/>
      <c r="E1625" s="3862" t="s">
        <v>1910</v>
      </c>
      <c r="F1625" s="3863">
        <v>1148</v>
      </c>
      <c r="G1625" s="3881"/>
      <c r="H1625" s="3899"/>
      <c r="I1625" s="3900"/>
      <c r="J1625" s="3906"/>
      <c r="K1625" s="3902"/>
      <c r="L1625" s="3903"/>
      <c r="M1625" s="3903"/>
      <c r="N1625" s="73"/>
      <c r="O1625" s="86"/>
      <c r="P1625" s="1817" t="e">
        <f>INDEX(#REF!,MATCH(F1625,#REF!,0),2)</f>
        <v>#REF!</v>
      </c>
    </row>
    <row r="1626" spans="1:38" ht="13.15" customHeight="1">
      <c r="A1626" s="3894"/>
      <c r="B1626" s="3894" t="s">
        <v>663</v>
      </c>
      <c r="C1626" s="3894" t="s">
        <v>652</v>
      </c>
      <c r="D1626" s="3895">
        <v>910</v>
      </c>
      <c r="E1626" s="3885" t="s">
        <v>1909</v>
      </c>
      <c r="F1626" s="3886">
        <v>1148</v>
      </c>
      <c r="G1626" s="3887" t="s">
        <v>227</v>
      </c>
      <c r="H1626" s="3888">
        <v>4300</v>
      </c>
      <c r="I1626" s="3889"/>
      <c r="J1626" s="3890">
        <v>3411</v>
      </c>
      <c r="K1626" s="3902"/>
      <c r="L1626" s="3889">
        <v>2200</v>
      </c>
      <c r="M1626" s="3889"/>
      <c r="N1626" s="633">
        <f>L1626/H1626-1</f>
        <v>-0.48837209302325579</v>
      </c>
      <c r="O1626" s="86"/>
      <c r="P1626" s="1817" t="e">
        <f>INDEX(#REF!,MATCH(F1626,#REF!,0),2)</f>
        <v>#REF!</v>
      </c>
    </row>
    <row r="1627" spans="1:38" ht="12" customHeight="1">
      <c r="A1627" s="3872"/>
      <c r="B1627" s="3872" t="s">
        <v>663</v>
      </c>
      <c r="C1627" s="3872" t="s">
        <v>652</v>
      </c>
      <c r="D1627" s="3873"/>
      <c r="E1627" s="3862" t="s">
        <v>1909</v>
      </c>
      <c r="F1627" s="3863">
        <v>1148</v>
      </c>
      <c r="G1627" s="3881" t="s">
        <v>5347</v>
      </c>
      <c r="H1627" s="3899"/>
      <c r="I1627" s="3900">
        <v>300</v>
      </c>
      <c r="J1627" s="3906"/>
      <c r="K1627" s="3902"/>
      <c r="L1627" s="3900"/>
      <c r="M1627" s="3900">
        <v>300</v>
      </c>
      <c r="N1627" s="73"/>
      <c r="O1627" s="86"/>
      <c r="P1627" s="1817" t="e">
        <f>INDEX(#REF!,MATCH(F1627,#REF!,0),2)</f>
        <v>#REF!</v>
      </c>
    </row>
    <row r="1628" spans="1:38" ht="12" customHeight="1">
      <c r="A1628" s="3872"/>
      <c r="B1628" s="3872" t="s">
        <v>663</v>
      </c>
      <c r="C1628" s="3872" t="s">
        <v>652</v>
      </c>
      <c r="D1628" s="3873"/>
      <c r="E1628" s="3862" t="s">
        <v>1909</v>
      </c>
      <c r="F1628" s="3863">
        <v>1148</v>
      </c>
      <c r="G1628" s="3881" t="s">
        <v>5348</v>
      </c>
      <c r="H1628" s="3899"/>
      <c r="I1628" s="3900">
        <v>300</v>
      </c>
      <c r="J1628" s="3906"/>
      <c r="K1628" s="3902"/>
      <c r="L1628" s="3900"/>
      <c r="M1628" s="3900">
        <v>300</v>
      </c>
      <c r="N1628" s="73"/>
      <c r="O1628" s="86"/>
      <c r="P1628" s="1817" t="e">
        <f>INDEX(#REF!,MATCH(F1628,#REF!,0),2)</f>
        <v>#REF!</v>
      </c>
    </row>
    <row r="1629" spans="1:38" ht="11.45" customHeight="1">
      <c r="A1629" s="3872"/>
      <c r="B1629" s="3872" t="s">
        <v>663</v>
      </c>
      <c r="C1629" s="3872" t="s">
        <v>652</v>
      </c>
      <c r="D1629" s="3873"/>
      <c r="E1629" s="3862" t="s">
        <v>1909</v>
      </c>
      <c r="F1629" s="3863">
        <v>1148</v>
      </c>
      <c r="G1629" s="3881" t="s">
        <v>5349</v>
      </c>
      <c r="H1629" s="3899"/>
      <c r="I1629" s="3900">
        <v>300</v>
      </c>
      <c r="J1629" s="3906"/>
      <c r="K1629" s="3902"/>
      <c r="L1629" s="3900"/>
      <c r="M1629" s="3900">
        <v>300</v>
      </c>
      <c r="N1629" s="73"/>
      <c r="O1629" s="86"/>
      <c r="P1629" s="1817" t="e">
        <f>INDEX(#REF!,MATCH(F1629,#REF!,0),2)</f>
        <v>#REF!</v>
      </c>
    </row>
    <row r="1630" spans="1:38" ht="11.45" customHeight="1">
      <c r="A1630" s="3872"/>
      <c r="B1630" s="3872" t="s">
        <v>663</v>
      </c>
      <c r="C1630" s="3872" t="s">
        <v>652</v>
      </c>
      <c r="D1630" s="3873"/>
      <c r="E1630" s="3862" t="s">
        <v>1909</v>
      </c>
      <c r="F1630" s="3863">
        <v>1148</v>
      </c>
      <c r="G1630" s="3881" t="s">
        <v>5350</v>
      </c>
      <c r="H1630" s="3899"/>
      <c r="I1630" s="3900">
        <v>300</v>
      </c>
      <c r="J1630" s="3906"/>
      <c r="K1630" s="3902"/>
      <c r="L1630" s="3900"/>
      <c r="M1630" s="3900">
        <v>300</v>
      </c>
      <c r="N1630" s="83"/>
      <c r="O1630" s="86"/>
      <c r="P1630" s="1817" t="e">
        <f>INDEX(#REF!,MATCH(F1630,#REF!,0),2)</f>
        <v>#REF!</v>
      </c>
    </row>
    <row r="1631" spans="1:38" ht="11.45" customHeight="1">
      <c r="A1631" s="3872"/>
      <c r="B1631" s="3872" t="s">
        <v>663</v>
      </c>
      <c r="C1631" s="3872" t="s">
        <v>652</v>
      </c>
      <c r="D1631" s="3873"/>
      <c r="E1631" s="3862" t="s">
        <v>1909</v>
      </c>
      <c r="F1631" s="3863">
        <v>1148</v>
      </c>
      <c r="G1631" s="3898" t="s">
        <v>271</v>
      </c>
      <c r="H1631" s="3899"/>
      <c r="I1631" s="3900">
        <v>1000</v>
      </c>
      <c r="J1631" s="3901"/>
      <c r="K1631" s="3902"/>
      <c r="L1631" s="3900"/>
      <c r="M1631" s="3900">
        <v>1000</v>
      </c>
      <c r="N1631" s="83"/>
      <c r="O1631" s="86"/>
      <c r="P1631" s="1817" t="e">
        <f>INDEX(#REF!,MATCH(F1631,#REF!,0),2)</f>
        <v>#REF!</v>
      </c>
      <c r="Q1631" s="1779"/>
      <c r="R1631" s="1779"/>
      <c r="S1631" s="1779"/>
      <c r="T1631" s="1779"/>
      <c r="U1631" s="1779"/>
      <c r="V1631" s="1779"/>
      <c r="W1631" s="43"/>
      <c r="X1631" s="1779"/>
      <c r="Y1631" s="1779"/>
      <c r="Z1631" s="1779"/>
      <c r="AA1631" s="1779"/>
      <c r="AB1631" s="1779"/>
      <c r="AC1631" s="1779"/>
      <c r="AD1631" s="1779"/>
      <c r="AE1631" s="1779"/>
      <c r="AF1631" s="1779"/>
      <c r="AG1631" s="1779"/>
      <c r="AH1631" s="1779"/>
      <c r="AI1631" s="1779"/>
      <c r="AJ1631" s="1779"/>
      <c r="AK1631" s="1779"/>
      <c r="AL1631" s="1779"/>
    </row>
    <row r="1632" spans="1:38" ht="11.45" customHeight="1">
      <c r="A1632" s="3872"/>
      <c r="B1632" s="3872" t="s">
        <v>663</v>
      </c>
      <c r="C1632" s="3872" t="s">
        <v>652</v>
      </c>
      <c r="D1632" s="3873"/>
      <c r="E1632" s="3862" t="s">
        <v>1909</v>
      </c>
      <c r="F1632" s="3863">
        <v>1148</v>
      </c>
      <c r="G1632" s="3881"/>
      <c r="H1632" s="3899"/>
      <c r="I1632" s="3900">
        <v>300</v>
      </c>
      <c r="J1632" s="3906"/>
      <c r="K1632" s="3902"/>
      <c r="L1632" s="3900"/>
      <c r="M1632" s="3900"/>
      <c r="N1632" s="149"/>
      <c r="O1632" s="86"/>
      <c r="P1632" s="1817" t="e">
        <f>INDEX(#REF!,MATCH(F1632,#REF!,0),2)</f>
        <v>#REF!</v>
      </c>
    </row>
    <row r="1633" spans="1:38" ht="11.45" customHeight="1">
      <c r="A1633" s="3872"/>
      <c r="B1633" s="3872" t="s">
        <v>663</v>
      </c>
      <c r="C1633" s="3872" t="s">
        <v>652</v>
      </c>
      <c r="D1633" s="3873"/>
      <c r="E1633" s="3862" t="s">
        <v>1909</v>
      </c>
      <c r="F1633" s="3863">
        <v>1148</v>
      </c>
      <c r="G1633" s="3881"/>
      <c r="H1633" s="3899"/>
      <c r="I1633" s="3900">
        <v>300</v>
      </c>
      <c r="J1633" s="3906"/>
      <c r="K1633" s="3902"/>
      <c r="L1633" s="3900"/>
      <c r="M1633" s="3900"/>
      <c r="N1633" s="83"/>
      <c r="O1633" s="86"/>
      <c r="P1633" s="1817" t="e">
        <f>INDEX(#REF!,MATCH(F1633,#REF!,0),2)</f>
        <v>#REF!</v>
      </c>
      <c r="Q1633" s="1779"/>
      <c r="R1633" s="1779"/>
      <c r="S1633" s="1779"/>
      <c r="T1633" s="1779"/>
      <c r="U1633" s="1779"/>
      <c r="V1633" s="1779"/>
      <c r="W1633" s="43"/>
      <c r="X1633" s="1779"/>
      <c r="Y1633" s="1779"/>
      <c r="Z1633" s="1779"/>
      <c r="AA1633" s="1779"/>
      <c r="AB1633" s="1779"/>
      <c r="AC1633" s="1779"/>
      <c r="AD1633" s="1779"/>
      <c r="AE1633" s="1779"/>
      <c r="AF1633" s="1779"/>
      <c r="AG1633" s="1779"/>
      <c r="AH1633" s="1779"/>
      <c r="AI1633" s="1779"/>
      <c r="AJ1633" s="1779"/>
      <c r="AK1633" s="1779"/>
      <c r="AL1633" s="1779"/>
    </row>
    <row r="1634" spans="1:38" ht="11.45" customHeight="1">
      <c r="A1634" s="3872"/>
      <c r="B1634" s="3872" t="s">
        <v>663</v>
      </c>
      <c r="C1634" s="3872" t="s">
        <v>652</v>
      </c>
      <c r="D1634" s="3873"/>
      <c r="E1634" s="3862" t="s">
        <v>1909</v>
      </c>
      <c r="F1634" s="3863">
        <v>1148</v>
      </c>
      <c r="G1634" s="3881"/>
      <c r="H1634" s="3899"/>
      <c r="I1634" s="3900">
        <v>300</v>
      </c>
      <c r="J1634" s="3906"/>
      <c r="K1634" s="3902"/>
      <c r="L1634" s="3900"/>
      <c r="M1634" s="3900"/>
      <c r="N1634" s="83"/>
      <c r="O1634" s="86"/>
      <c r="P1634" s="1817" t="e">
        <f>INDEX(#REF!,MATCH(F1634,#REF!,0),2)</f>
        <v>#REF!</v>
      </c>
      <c r="Q1634" s="1779"/>
      <c r="R1634" s="1779"/>
      <c r="S1634" s="1779"/>
      <c r="T1634" s="1779"/>
      <c r="U1634" s="1779"/>
      <c r="V1634" s="1779"/>
      <c r="W1634" s="43"/>
      <c r="X1634" s="1779"/>
      <c r="Y1634" s="1779"/>
      <c r="Z1634" s="1779"/>
      <c r="AA1634" s="1779"/>
      <c r="AB1634" s="1779"/>
      <c r="AC1634" s="1779"/>
      <c r="AD1634" s="1779"/>
      <c r="AE1634" s="1779"/>
      <c r="AF1634" s="1779"/>
      <c r="AG1634" s="1779"/>
      <c r="AH1634" s="1779"/>
      <c r="AI1634" s="1779"/>
      <c r="AJ1634" s="1779"/>
      <c r="AK1634" s="1779"/>
      <c r="AL1634" s="1779"/>
    </row>
    <row r="1635" spans="1:38" ht="11.45" customHeight="1">
      <c r="A1635" s="3872"/>
      <c r="B1635" s="3872" t="s">
        <v>663</v>
      </c>
      <c r="C1635" s="3872" t="s">
        <v>652</v>
      </c>
      <c r="D1635" s="3873"/>
      <c r="E1635" s="3862" t="s">
        <v>1909</v>
      </c>
      <c r="F1635" s="3863">
        <v>1148</v>
      </c>
      <c r="G1635" s="3881"/>
      <c r="H1635" s="3899"/>
      <c r="I1635" s="3900">
        <v>300</v>
      </c>
      <c r="J1635" s="3901"/>
      <c r="K1635" s="3902"/>
      <c r="L1635" s="3900"/>
      <c r="M1635" s="3900"/>
      <c r="N1635" s="83"/>
      <c r="O1635" s="86"/>
      <c r="P1635" s="1817" t="e">
        <f>INDEX(#REF!,MATCH(F1635,#REF!,0),2)</f>
        <v>#REF!</v>
      </c>
    </row>
    <row r="1636" spans="1:38" ht="11.45" customHeight="1">
      <c r="A1636" s="3872"/>
      <c r="B1636" s="3872" t="s">
        <v>663</v>
      </c>
      <c r="C1636" s="3872" t="s">
        <v>652</v>
      </c>
      <c r="D1636" s="3873"/>
      <c r="E1636" s="3862" t="s">
        <v>1909</v>
      </c>
      <c r="F1636" s="3863">
        <v>1148</v>
      </c>
      <c r="G1636" s="3881"/>
      <c r="H1636" s="3899"/>
      <c r="I1636" s="3900">
        <v>300</v>
      </c>
      <c r="J1636" s="3901"/>
      <c r="K1636" s="3902"/>
      <c r="L1636" s="3900"/>
      <c r="M1636" s="3900"/>
      <c r="N1636" s="149"/>
      <c r="O1636" s="86"/>
      <c r="P1636" s="1817" t="e">
        <f>INDEX(#REF!,MATCH(F1636,#REF!,0),2)</f>
        <v>#REF!</v>
      </c>
    </row>
    <row r="1637" spans="1:38" ht="22.5" customHeight="1">
      <c r="A1637" s="3872"/>
      <c r="B1637" s="3872" t="s">
        <v>663</v>
      </c>
      <c r="C1637" s="3872" t="s">
        <v>652</v>
      </c>
      <c r="D1637" s="3873"/>
      <c r="E1637" s="3862" t="s">
        <v>1909</v>
      </c>
      <c r="F1637" s="3863">
        <v>1148</v>
      </c>
      <c r="G1637" s="3881"/>
      <c r="H1637" s="3899"/>
      <c r="I1637" s="3900">
        <v>300</v>
      </c>
      <c r="J1637" s="3901"/>
      <c r="K1637" s="3902"/>
      <c r="L1637" s="3900"/>
      <c r="M1637" s="3900"/>
      <c r="N1637" s="83"/>
      <c r="O1637" s="86"/>
      <c r="P1637" s="1817" t="e">
        <f>INDEX(#REF!,MATCH(F1637,#REF!,0),2)</f>
        <v>#REF!</v>
      </c>
    </row>
    <row r="1638" spans="1:38" ht="20.45" customHeight="1">
      <c r="A1638" s="3872"/>
      <c r="B1638" s="3872" t="s">
        <v>663</v>
      </c>
      <c r="C1638" s="3872" t="s">
        <v>652</v>
      </c>
      <c r="D1638" s="3873"/>
      <c r="E1638" s="3862" t="s">
        <v>1909</v>
      </c>
      <c r="F1638" s="3863">
        <v>1148</v>
      </c>
      <c r="G1638" s="3881"/>
      <c r="H1638" s="3899"/>
      <c r="I1638" s="3900">
        <v>300</v>
      </c>
      <c r="J1638" s="3901"/>
      <c r="K1638" s="3902"/>
      <c r="L1638" s="3900"/>
      <c r="M1638" s="3900"/>
      <c r="N1638" s="83"/>
      <c r="O1638" s="86"/>
      <c r="P1638" s="1817" t="e">
        <f>INDEX(#REF!,MATCH(F1638,#REF!,0),2)</f>
        <v>#REF!</v>
      </c>
    </row>
    <row r="1639" spans="1:38" ht="11.45" customHeight="1">
      <c r="A1639" s="3872"/>
      <c r="B1639" s="3872" t="s">
        <v>663</v>
      </c>
      <c r="C1639" s="3872" t="s">
        <v>652</v>
      </c>
      <c r="D1639" s="3873"/>
      <c r="E1639" s="3862" t="s">
        <v>1909</v>
      </c>
      <c r="F1639" s="3863">
        <v>1148</v>
      </c>
      <c r="G1639" s="3898"/>
      <c r="H1639" s="3899"/>
      <c r="I1639" s="3900"/>
      <c r="J1639" s="3901"/>
      <c r="K1639" s="3902"/>
      <c r="L1639" s="3903"/>
      <c r="M1639" s="3903"/>
      <c r="N1639" s="83"/>
      <c r="O1639" s="86"/>
      <c r="P1639" s="1817" t="e">
        <f>INDEX(#REF!,MATCH(F1639,#REF!,0),2)</f>
        <v>#REF!</v>
      </c>
    </row>
    <row r="1640" spans="1:38" ht="11.45" customHeight="1">
      <c r="A1640" s="3894"/>
      <c r="B1640" s="3894" t="s">
        <v>1248</v>
      </c>
      <c r="C1640" s="3894" t="s">
        <v>507</v>
      </c>
      <c r="D1640" s="3895">
        <v>910</v>
      </c>
      <c r="E1640" s="3885" t="s">
        <v>1909</v>
      </c>
      <c r="F1640" s="3886">
        <v>1150</v>
      </c>
      <c r="G1640" s="3887" t="s">
        <v>1181</v>
      </c>
      <c r="H1640" s="3888">
        <v>0</v>
      </c>
      <c r="I1640" s="3889"/>
      <c r="J1640" s="3890"/>
      <c r="K1640" s="3902"/>
      <c r="L1640" s="3884">
        <v>0</v>
      </c>
      <c r="M1640" s="3884"/>
      <c r="N1640" s="73"/>
      <c r="O1640" s="86"/>
      <c r="P1640" s="1817" t="e">
        <f>INDEX(#REF!,MATCH(F1640,#REF!,0),2)</f>
        <v>#REF!</v>
      </c>
    </row>
    <row r="1641" spans="1:38" ht="11.45" customHeight="1">
      <c r="A1641" s="3872"/>
      <c r="B1641" s="3872" t="s">
        <v>1248</v>
      </c>
      <c r="C1641" s="3872" t="s">
        <v>507</v>
      </c>
      <c r="D1641" s="3873"/>
      <c r="E1641" s="3862" t="s">
        <v>1909</v>
      </c>
      <c r="F1641" s="3863">
        <v>1150</v>
      </c>
      <c r="G1641" s="3881"/>
      <c r="H1641" s="3899"/>
      <c r="I1641" s="3900"/>
      <c r="J1641" s="3906"/>
      <c r="K1641" s="3902"/>
      <c r="L1641" s="3903"/>
      <c r="M1641" s="3903"/>
      <c r="N1641" s="83"/>
      <c r="O1641" s="86"/>
      <c r="P1641" s="1817" t="e">
        <f>INDEX(#REF!,MATCH(F1641,#REF!,0),2)</f>
        <v>#REF!</v>
      </c>
    </row>
    <row r="1642" spans="1:38" ht="21" customHeight="1">
      <c r="A1642" s="3894"/>
      <c r="B1642" s="3894" t="s">
        <v>663</v>
      </c>
      <c r="C1642" s="3894" t="s">
        <v>652</v>
      </c>
      <c r="D1642" s="3895">
        <v>910</v>
      </c>
      <c r="E1642" s="3885" t="s">
        <v>1909</v>
      </c>
      <c r="F1642" s="3886">
        <v>1210</v>
      </c>
      <c r="G1642" s="3887" t="s">
        <v>228</v>
      </c>
      <c r="H1642" s="3888">
        <v>222386.94183708375</v>
      </c>
      <c r="I1642" s="3884"/>
      <c r="J1642" s="3890">
        <v>149570</v>
      </c>
      <c r="K1642" s="3891"/>
      <c r="L1642" s="4070">
        <v>272845.08592582203</v>
      </c>
      <c r="M1642" s="4070"/>
      <c r="N1642" s="633">
        <f>L1642/H1642-1</f>
        <v>0.22689346627961138</v>
      </c>
      <c r="O1642" s="86"/>
      <c r="P1642" s="1817" t="e">
        <f>INDEX(#REF!,MATCH(F1642,#REF!,0),2)</f>
        <v>#REF!</v>
      </c>
    </row>
    <row r="1643" spans="1:38" ht="12" customHeight="1">
      <c r="A1643" s="3872"/>
      <c r="B1643" s="3872" t="s">
        <v>663</v>
      </c>
      <c r="C1643" s="3872" t="s">
        <v>652</v>
      </c>
      <c r="D1643" s="3873"/>
      <c r="E1643" s="3862" t="s">
        <v>1909</v>
      </c>
      <c r="F1643" s="3863">
        <v>1210</v>
      </c>
      <c r="G1643" s="3898" t="s">
        <v>663</v>
      </c>
      <c r="H1643" s="3899"/>
      <c r="I1643" s="3900">
        <v>224252.94183708375</v>
      </c>
      <c r="J1643" s="3901"/>
      <c r="K1643" s="3902"/>
      <c r="L1643" s="4071"/>
      <c r="M1643" s="4071">
        <v>272845.08592582203</v>
      </c>
      <c r="N1643" s="73"/>
      <c r="O1643" s="86"/>
      <c r="P1643" s="1817" t="e">
        <f>INDEX(#REF!,MATCH(F1643,#REF!,0),2)</f>
        <v>#REF!</v>
      </c>
    </row>
    <row r="1644" spans="1:38" ht="11.45" customHeight="1">
      <c r="A1644" s="3872"/>
      <c r="B1644" s="3872" t="s">
        <v>663</v>
      </c>
      <c r="C1644" s="3872" t="s">
        <v>652</v>
      </c>
      <c r="D1644" s="3873"/>
      <c r="E1644" s="3862" t="s">
        <v>1909</v>
      </c>
      <c r="F1644" s="3863">
        <v>1210</v>
      </c>
      <c r="G1644" s="3898" t="s">
        <v>3201</v>
      </c>
      <c r="H1644" s="3899"/>
      <c r="I1644" s="3900">
        <v>-1866</v>
      </c>
      <c r="J1644" s="3901"/>
      <c r="K1644" s="3902"/>
      <c r="L1644" s="3903"/>
      <c r="M1644" s="3903"/>
      <c r="N1644" s="149"/>
      <c r="O1644" s="86"/>
      <c r="P1644" s="1817" t="e">
        <f>INDEX(#REF!,MATCH(F1644,#REF!,0),2)</f>
        <v>#REF!</v>
      </c>
    </row>
    <row r="1645" spans="1:38" ht="11.45" customHeight="1">
      <c r="A1645" s="3894"/>
      <c r="B1645" s="3894" t="s">
        <v>512</v>
      </c>
      <c r="C1645" s="3894" t="s">
        <v>506</v>
      </c>
      <c r="D1645" s="3895">
        <v>910</v>
      </c>
      <c r="E1645" s="3885" t="s">
        <v>1910</v>
      </c>
      <c r="F1645" s="3886">
        <v>1210</v>
      </c>
      <c r="G1645" s="3887" t="s">
        <v>336</v>
      </c>
      <c r="H1645" s="3907">
        <v>52438.32942400001</v>
      </c>
      <c r="I1645" s="3884"/>
      <c r="J1645" s="3890"/>
      <c r="K1645" s="3891"/>
      <c r="L1645" s="3905">
        <v>76824.248776000037</v>
      </c>
      <c r="M1645" s="3884"/>
      <c r="N1645" s="149"/>
      <c r="O1645" s="86"/>
      <c r="P1645" s="1817" t="e">
        <f>INDEX(#REF!,MATCH(F1645,#REF!,0),2)</f>
        <v>#REF!</v>
      </c>
      <c r="Q1645" s="1779"/>
      <c r="R1645" s="1779"/>
      <c r="S1645" s="1779"/>
      <c r="T1645" s="1779"/>
      <c r="U1645" s="1779"/>
      <c r="V1645" s="1779"/>
      <c r="W1645" s="43"/>
      <c r="X1645" s="1779"/>
      <c r="Y1645" s="1779"/>
      <c r="Z1645" s="1779"/>
      <c r="AA1645" s="1779"/>
      <c r="AB1645" s="1779"/>
      <c r="AC1645" s="1779"/>
      <c r="AD1645" s="1779"/>
      <c r="AE1645" s="1779"/>
      <c r="AF1645" s="1779"/>
      <c r="AG1645" s="1779"/>
      <c r="AH1645" s="1779"/>
      <c r="AI1645" s="1779"/>
      <c r="AJ1645" s="1779"/>
      <c r="AK1645" s="1779"/>
      <c r="AL1645" s="1779"/>
    </row>
    <row r="1646" spans="1:38" ht="11.45" customHeight="1">
      <c r="A1646" s="3872"/>
      <c r="B1646" s="3872" t="s">
        <v>512</v>
      </c>
      <c r="C1646" s="3872" t="s">
        <v>506</v>
      </c>
      <c r="D1646" s="3873"/>
      <c r="E1646" s="3862" t="s">
        <v>1910</v>
      </c>
      <c r="F1646" s="3863">
        <v>1210</v>
      </c>
      <c r="G1646" s="3898" t="s">
        <v>999</v>
      </c>
      <c r="H1646" s="3899"/>
      <c r="I1646" s="3901"/>
      <c r="J1646" s="3901"/>
      <c r="K1646" s="3891"/>
      <c r="L1646" s="3903"/>
      <c r="M1646" s="3903"/>
      <c r="N1646" s="149"/>
      <c r="O1646" s="86"/>
      <c r="P1646" s="1817" t="e">
        <f>INDEX(#REF!,MATCH(F1646,#REF!,0),2)</f>
        <v>#REF!</v>
      </c>
    </row>
    <row r="1647" spans="1:38" ht="21.75" customHeight="1">
      <c r="A1647" s="3872"/>
      <c r="B1647" s="3872" t="s">
        <v>512</v>
      </c>
      <c r="C1647" s="3872" t="s">
        <v>506</v>
      </c>
      <c r="D1647" s="3873"/>
      <c r="E1647" s="3862" t="s">
        <v>1910</v>
      </c>
      <c r="F1647" s="3863">
        <v>1210</v>
      </c>
      <c r="G1647" s="3898" t="s">
        <v>1216</v>
      </c>
      <c r="H1647" s="3899"/>
      <c r="I1647" s="3901">
        <v>48802.32942400001</v>
      </c>
      <c r="J1647" s="3901"/>
      <c r="K1647" s="3891"/>
      <c r="L1647" s="3903"/>
      <c r="M1647" s="3903">
        <v>76824.248776000037</v>
      </c>
      <c r="N1647" s="149"/>
      <c r="O1647" s="86"/>
      <c r="P1647" s="1817" t="e">
        <f>INDEX(#REF!,MATCH(F1647,#REF!,0),2)</f>
        <v>#REF!</v>
      </c>
    </row>
    <row r="1648" spans="1:38" ht="12" customHeight="1">
      <c r="A1648" s="3872"/>
      <c r="B1648" s="3872" t="s">
        <v>512</v>
      </c>
      <c r="C1648" s="3872" t="s">
        <v>506</v>
      </c>
      <c r="D1648" s="3873"/>
      <c r="E1648" s="3862" t="s">
        <v>1910</v>
      </c>
      <c r="F1648" s="3863">
        <v>1210</v>
      </c>
      <c r="G1648" s="3898" t="s">
        <v>1123</v>
      </c>
      <c r="H1648" s="3899"/>
      <c r="I1648" s="3901"/>
      <c r="J1648" s="3901"/>
      <c r="K1648" s="3891"/>
      <c r="L1648" s="3903"/>
      <c r="M1648" s="3903"/>
      <c r="N1648" s="83"/>
      <c r="O1648" s="86"/>
      <c r="P1648" s="1817" t="e">
        <f>INDEX(#REF!,MATCH(F1648,#REF!,0),2)</f>
        <v>#REF!</v>
      </c>
    </row>
    <row r="1649" spans="1:16" ht="13.15" customHeight="1">
      <c r="A1649" s="3872"/>
      <c r="B1649" s="3872" t="s">
        <v>512</v>
      </c>
      <c r="C1649" s="3872" t="s">
        <v>506</v>
      </c>
      <c r="D1649" s="3873"/>
      <c r="E1649" s="3862" t="s">
        <v>1910</v>
      </c>
      <c r="F1649" s="3863">
        <v>1210</v>
      </c>
      <c r="G1649" s="3898" t="s">
        <v>2050</v>
      </c>
      <c r="H1649" s="3899"/>
      <c r="I1649" s="3901"/>
      <c r="J1649" s="3901"/>
      <c r="K1649" s="3891"/>
      <c r="L1649" s="3903"/>
      <c r="M1649" s="3903"/>
      <c r="N1649" s="83"/>
      <c r="O1649" s="86"/>
      <c r="P1649" s="1817" t="e">
        <f>INDEX(#REF!,MATCH(F1649,#REF!,0),2)</f>
        <v>#REF!</v>
      </c>
    </row>
    <row r="1650" spans="1:16" ht="12" customHeight="1">
      <c r="A1650" s="3872"/>
      <c r="B1650" s="3872" t="s">
        <v>512</v>
      </c>
      <c r="C1650" s="3872" t="s">
        <v>506</v>
      </c>
      <c r="D1650" s="3873"/>
      <c r="E1650" s="3862" t="s">
        <v>1910</v>
      </c>
      <c r="F1650" s="3863">
        <v>1210</v>
      </c>
      <c r="G1650" s="3898" t="s">
        <v>1177</v>
      </c>
      <c r="H1650" s="3899"/>
      <c r="I1650" s="3901">
        <v>3636</v>
      </c>
      <c r="J1650" s="3901"/>
      <c r="K1650" s="3891"/>
      <c r="L1650" s="3903"/>
      <c r="M1650" s="3903"/>
      <c r="N1650" s="83"/>
      <c r="O1650" s="86"/>
      <c r="P1650" s="1817" t="e">
        <f>INDEX(#REF!,MATCH(F1650,#REF!,0),2)</f>
        <v>#REF!</v>
      </c>
    </row>
    <row r="1651" spans="1:16" ht="12" customHeight="1">
      <c r="A1651" s="3894"/>
      <c r="B1651" s="3894" t="s">
        <v>663</v>
      </c>
      <c r="C1651" s="3894" t="s">
        <v>652</v>
      </c>
      <c r="D1651" s="3895">
        <v>910</v>
      </c>
      <c r="E1651" s="3885" t="s">
        <v>1909</v>
      </c>
      <c r="F1651" s="3886">
        <v>1221</v>
      </c>
      <c r="G1651" s="3887" t="s">
        <v>229</v>
      </c>
      <c r="H1651" s="3888">
        <v>45688.028750140256</v>
      </c>
      <c r="I1651" s="3884"/>
      <c r="J1651" s="3890">
        <v>59516</v>
      </c>
      <c r="K1651" s="3891"/>
      <c r="L1651" s="4070">
        <v>58990.984021541997</v>
      </c>
      <c r="M1651" s="4070"/>
      <c r="N1651" s="633">
        <f>L1651/H1651-1</f>
        <v>0.29116938583963092</v>
      </c>
      <c r="O1651" s="86"/>
      <c r="P1651" s="1817" t="e">
        <f>INDEX(#REF!,MATCH(F1651,#REF!,0),2)</f>
        <v>#REF!</v>
      </c>
    </row>
    <row r="1652" spans="1:16" ht="12" customHeight="1">
      <c r="A1652" s="3872"/>
      <c r="B1652" s="3872" t="s">
        <v>663</v>
      </c>
      <c r="C1652" s="3872" t="s">
        <v>652</v>
      </c>
      <c r="D1652" s="3873"/>
      <c r="E1652" s="3862" t="s">
        <v>1909</v>
      </c>
      <c r="F1652" s="3863">
        <v>1221</v>
      </c>
      <c r="G1652" s="3898" t="s">
        <v>663</v>
      </c>
      <c r="H1652" s="3899"/>
      <c r="I1652" s="3900">
        <v>45688.028750140256</v>
      </c>
      <c r="J1652" s="3901"/>
      <c r="K1652" s="3902"/>
      <c r="L1652" s="4071"/>
      <c r="M1652" s="4071">
        <v>58990.984021541997</v>
      </c>
      <c r="N1652" s="149"/>
      <c r="O1652" s="86"/>
      <c r="P1652" s="1817" t="e">
        <f>INDEX(#REF!,MATCH(F1652,#REF!,0),2)</f>
        <v>#REF!</v>
      </c>
    </row>
    <row r="1653" spans="1:16" ht="11.45" customHeight="1">
      <c r="A1653" s="3872"/>
      <c r="B1653" s="3872" t="s">
        <v>663</v>
      </c>
      <c r="C1653" s="3872" t="s">
        <v>652</v>
      </c>
      <c r="D1653" s="3873"/>
      <c r="E1653" s="3862" t="s">
        <v>1909</v>
      </c>
      <c r="F1653" s="3863">
        <v>1221</v>
      </c>
      <c r="G1653" s="3898" t="s">
        <v>1989</v>
      </c>
      <c r="H1653" s="3899"/>
      <c r="I1653" s="3900"/>
      <c r="J1653" s="3901"/>
      <c r="K1653" s="3902"/>
      <c r="L1653" s="3903"/>
      <c r="M1653" s="3903"/>
      <c r="N1653" s="83"/>
      <c r="O1653" s="86"/>
      <c r="P1653" s="1817" t="e">
        <f>INDEX(#REF!,MATCH(F1653,#REF!,0),2)</f>
        <v>#REF!</v>
      </c>
    </row>
    <row r="1654" spans="1:16" ht="9" customHeight="1">
      <c r="A1654" s="3894"/>
      <c r="B1654" s="3894" t="s">
        <v>512</v>
      </c>
      <c r="C1654" s="3894" t="s">
        <v>506</v>
      </c>
      <c r="D1654" s="3895">
        <v>910</v>
      </c>
      <c r="E1654" s="3885" t="s">
        <v>1910</v>
      </c>
      <c r="F1654" s="3886">
        <v>1221</v>
      </c>
      <c r="G1654" s="3887" t="s">
        <v>229</v>
      </c>
      <c r="H1654" s="3907">
        <v>2000</v>
      </c>
      <c r="I1654" s="3884"/>
      <c r="J1654" s="3890"/>
      <c r="K1654" s="3891"/>
      <c r="L1654" s="3908">
        <v>2000</v>
      </c>
      <c r="M1654" s="3884"/>
      <c r="N1654" s="73"/>
      <c r="O1654" s="86"/>
      <c r="P1654" s="1817" t="e">
        <f>INDEX(#REF!,MATCH(F1654,#REF!,0),2)</f>
        <v>#REF!</v>
      </c>
    </row>
    <row r="1655" spans="1:16">
      <c r="A1655" s="3872"/>
      <c r="B1655" s="3872" t="s">
        <v>512</v>
      </c>
      <c r="C1655" s="3872" t="s">
        <v>506</v>
      </c>
      <c r="D1655" s="3873"/>
      <c r="E1655" s="3862" t="s">
        <v>1910</v>
      </c>
      <c r="F1655" s="3863">
        <v>1221</v>
      </c>
      <c r="G1655" s="3898" t="s">
        <v>1216</v>
      </c>
      <c r="H1655" s="3899"/>
      <c r="I1655" s="3901">
        <v>2000</v>
      </c>
      <c r="J1655" s="3901"/>
      <c r="K1655" s="3891"/>
      <c r="L1655" s="3903"/>
      <c r="M1655" s="3903">
        <v>2000</v>
      </c>
      <c r="N1655" s="73"/>
      <c r="O1655" s="86"/>
      <c r="P1655" s="1817" t="e">
        <f>INDEX(#REF!,MATCH(F1655,#REF!,0),2)</f>
        <v>#REF!</v>
      </c>
    </row>
    <row r="1656" spans="1:16">
      <c r="A1656" s="3872"/>
      <c r="B1656" s="3872" t="s">
        <v>512</v>
      </c>
      <c r="C1656" s="3872" t="s">
        <v>506</v>
      </c>
      <c r="D1656" s="3873"/>
      <c r="E1656" s="3862" t="s">
        <v>1910</v>
      </c>
      <c r="F1656" s="3863">
        <v>1221</v>
      </c>
      <c r="G1656" s="3898" t="s">
        <v>1177</v>
      </c>
      <c r="H1656" s="3899"/>
      <c r="I1656" s="3901"/>
      <c r="J1656" s="3901"/>
      <c r="K1656" s="3891"/>
      <c r="L1656" s="3903"/>
      <c r="M1656" s="3903"/>
      <c r="N1656" s="73"/>
      <c r="O1656" s="86"/>
      <c r="P1656" s="1817" t="e">
        <f>INDEX(#REF!,MATCH(F1656,#REF!,0),2)</f>
        <v>#REF!</v>
      </c>
    </row>
    <row r="1657" spans="1:16" ht="12" customHeight="1">
      <c r="A1657" s="3909"/>
      <c r="B1657" s="3894" t="s">
        <v>663</v>
      </c>
      <c r="C1657" s="3894" t="s">
        <v>652</v>
      </c>
      <c r="D1657" s="3895">
        <v>910</v>
      </c>
      <c r="E1657" s="3885" t="s">
        <v>1909</v>
      </c>
      <c r="F1657" s="3886">
        <v>1227</v>
      </c>
      <c r="G1657" s="3887" t="s">
        <v>1257</v>
      </c>
      <c r="H1657" s="3888">
        <v>0</v>
      </c>
      <c r="I1657" s="3884"/>
      <c r="J1657" s="3890">
        <v>650</v>
      </c>
      <c r="K1657" s="3891"/>
      <c r="L1657" s="3884">
        <v>0</v>
      </c>
      <c r="M1657" s="3884"/>
      <c r="N1657" s="633" t="e">
        <f>L1657/H1657-1</f>
        <v>#DIV/0!</v>
      </c>
      <c r="O1657" s="86"/>
      <c r="P1657" s="1817" t="e">
        <f>INDEX(#REF!,MATCH(F1657,#REF!,0),2)</f>
        <v>#REF!</v>
      </c>
    </row>
    <row r="1658" spans="1:16">
      <c r="A1658" s="3910"/>
      <c r="B1658" s="3872" t="s">
        <v>663</v>
      </c>
      <c r="C1658" s="3872" t="s">
        <v>652</v>
      </c>
      <c r="D1658" s="3861"/>
      <c r="E1658" s="3862" t="s">
        <v>1909</v>
      </c>
      <c r="F1658" s="3863">
        <v>1227</v>
      </c>
      <c r="G1658" s="3881"/>
      <c r="H1658" s="3864"/>
      <c r="I1658" s="3865"/>
      <c r="J1658" s="3866"/>
      <c r="K1658" s="3867"/>
      <c r="L1658" s="3874"/>
      <c r="M1658" s="3874"/>
      <c r="N1658" s="83"/>
      <c r="O1658" s="86"/>
      <c r="P1658" s="1817" t="e">
        <f>INDEX(#REF!,MATCH(F1658,#REF!,0),2)</f>
        <v>#REF!</v>
      </c>
    </row>
    <row r="1659" spans="1:16" ht="19.149999999999999" customHeight="1">
      <c r="A1659" s="3894"/>
      <c r="B1659" s="3894" t="s">
        <v>1248</v>
      </c>
      <c r="C1659" s="3894" t="s">
        <v>652</v>
      </c>
      <c r="D1659" s="3895">
        <v>910</v>
      </c>
      <c r="E1659" s="3885" t="s">
        <v>1909</v>
      </c>
      <c r="F1659" s="3886">
        <v>1228</v>
      </c>
      <c r="G1659" s="3887" t="s">
        <v>942</v>
      </c>
      <c r="H1659" s="3888">
        <v>2000</v>
      </c>
      <c r="I1659" s="3889"/>
      <c r="J1659" s="3911">
        <v>2374</v>
      </c>
      <c r="K1659" s="3891"/>
      <c r="L1659" s="4070">
        <v>2000</v>
      </c>
      <c r="M1659" s="4070"/>
      <c r="N1659" s="73"/>
      <c r="O1659" s="86"/>
      <c r="P1659" s="1817" t="e">
        <f>INDEX(#REF!,MATCH(F1659,#REF!,0),2)</f>
        <v>#REF!</v>
      </c>
    </row>
    <row r="1660" spans="1:16" ht="31.15" customHeight="1">
      <c r="A1660" s="3910"/>
      <c r="B1660" s="3872" t="s">
        <v>1248</v>
      </c>
      <c r="C1660" s="3872" t="s">
        <v>652</v>
      </c>
      <c r="D1660" s="3861">
        <v>910</v>
      </c>
      <c r="E1660" s="3862" t="s">
        <v>1909</v>
      </c>
      <c r="F1660" s="3863">
        <v>1228</v>
      </c>
      <c r="G1660" s="3881"/>
      <c r="H1660" s="3864"/>
      <c r="I1660" s="3865">
        <v>2000</v>
      </c>
      <c r="J1660" s="3866"/>
      <c r="K1660" s="3867"/>
      <c r="L1660" s="4072"/>
      <c r="M1660" s="4072">
        <v>2000</v>
      </c>
      <c r="N1660" s="83"/>
      <c r="O1660" s="86"/>
      <c r="P1660" s="1817"/>
    </row>
    <row r="1661" spans="1:16" ht="31.15" customHeight="1">
      <c r="A1661" s="3909"/>
      <c r="B1661" s="3894" t="s">
        <v>1248</v>
      </c>
      <c r="C1661" s="3894" t="s">
        <v>652</v>
      </c>
      <c r="D1661" s="3895">
        <v>910</v>
      </c>
      <c r="E1661" s="3885" t="s">
        <v>1909</v>
      </c>
      <c r="F1661" s="3886">
        <v>1228</v>
      </c>
      <c r="G1661" s="3887" t="s">
        <v>942</v>
      </c>
      <c r="H1661" s="3888">
        <v>2550</v>
      </c>
      <c r="I1661" s="3884"/>
      <c r="J1661" s="3911"/>
      <c r="K1661" s="3891"/>
      <c r="L1661" s="3889">
        <v>2000</v>
      </c>
      <c r="M1661" s="3889"/>
      <c r="N1661" s="83"/>
      <c r="O1661" s="86"/>
      <c r="P1661" s="1817" t="e">
        <f>INDEX(#REF!,MATCH(F1661,#REF!,0),2)</f>
        <v>#REF!</v>
      </c>
    </row>
    <row r="1662" spans="1:16" ht="12.6" customHeight="1">
      <c r="A1662" s="3910"/>
      <c r="B1662" s="3872" t="s">
        <v>1248</v>
      </c>
      <c r="C1662" s="3872" t="s">
        <v>652</v>
      </c>
      <c r="D1662" s="3861"/>
      <c r="E1662" s="3862" t="s">
        <v>1909</v>
      </c>
      <c r="F1662" s="3863">
        <v>1228</v>
      </c>
      <c r="G1662" s="3881" t="s">
        <v>5351</v>
      </c>
      <c r="H1662" s="3864"/>
      <c r="I1662" s="3865">
        <v>2550</v>
      </c>
      <c r="J1662" s="3866"/>
      <c r="K1662" s="3867"/>
      <c r="L1662" s="3865"/>
      <c r="M1662" s="3865">
        <v>600</v>
      </c>
      <c r="N1662" s="83"/>
      <c r="O1662" s="86"/>
      <c r="P1662" s="1817" t="e">
        <f>INDEX(#REF!,MATCH(F1662,#REF!,0),2)</f>
        <v>#REF!</v>
      </c>
    </row>
    <row r="1663" spans="1:16" ht="12" customHeight="1">
      <c r="A1663" s="3910"/>
      <c r="B1663" s="3872" t="s">
        <v>1248</v>
      </c>
      <c r="C1663" s="3872" t="s">
        <v>652</v>
      </c>
      <c r="D1663" s="3861"/>
      <c r="E1663" s="3862" t="s">
        <v>1909</v>
      </c>
      <c r="F1663" s="3863">
        <v>1228</v>
      </c>
      <c r="G1663" s="3881" t="s">
        <v>5352</v>
      </c>
      <c r="H1663" s="3864"/>
      <c r="I1663" s="3865"/>
      <c r="J1663" s="3866"/>
      <c r="K1663" s="3867"/>
      <c r="L1663" s="3865"/>
      <c r="M1663" s="3865">
        <v>1400</v>
      </c>
      <c r="N1663" s="83"/>
      <c r="O1663" s="86"/>
      <c r="P1663" s="1817"/>
    </row>
    <row r="1664" spans="1:16" ht="13.15" customHeight="1">
      <c r="A1664" s="3894"/>
      <c r="B1664" s="3894" t="s">
        <v>1248</v>
      </c>
      <c r="C1664" s="3894" t="s">
        <v>507</v>
      </c>
      <c r="D1664" s="3895">
        <v>910</v>
      </c>
      <c r="E1664" s="3885" t="s">
        <v>1909</v>
      </c>
      <c r="F1664" s="3886">
        <v>2111</v>
      </c>
      <c r="G1664" s="3887" t="s">
        <v>369</v>
      </c>
      <c r="H1664" s="3888">
        <v>0</v>
      </c>
      <c r="I1664" s="3884"/>
      <c r="J1664" s="3890"/>
      <c r="K1664" s="3891"/>
      <c r="L1664" s="3889">
        <v>0</v>
      </c>
      <c r="M1664" s="3889"/>
      <c r="N1664" s="83"/>
      <c r="O1664" s="86"/>
      <c r="P1664" s="1817" t="e">
        <f>INDEX(#REF!,MATCH(F1664,#REF!,0),2)</f>
        <v>#REF!</v>
      </c>
    </row>
    <row r="1665" spans="1:16" ht="11.45" customHeight="1">
      <c r="A1665" s="3872"/>
      <c r="B1665" s="3872" t="s">
        <v>1248</v>
      </c>
      <c r="C1665" s="3872" t="s">
        <v>507</v>
      </c>
      <c r="D1665" s="3873"/>
      <c r="E1665" s="3862" t="s">
        <v>1909</v>
      </c>
      <c r="F1665" s="3863">
        <v>2111</v>
      </c>
      <c r="G1665" s="3881" t="s">
        <v>370</v>
      </c>
      <c r="H1665" s="3864"/>
      <c r="I1665" s="3874"/>
      <c r="J1665" s="3866"/>
      <c r="K1665" s="3867"/>
      <c r="L1665" s="3865"/>
      <c r="M1665" s="3865"/>
      <c r="N1665" s="73"/>
      <c r="O1665" s="86"/>
      <c r="P1665" s="1817" t="e">
        <f>INDEX(#REF!,MATCH(F1665,#REF!,0),2)</f>
        <v>#REF!</v>
      </c>
    </row>
    <row r="1666" spans="1:16" ht="12" customHeight="1">
      <c r="A1666" s="3894"/>
      <c r="B1666" s="3894" t="s">
        <v>1248</v>
      </c>
      <c r="C1666" s="3894" t="s">
        <v>507</v>
      </c>
      <c r="D1666" s="3895">
        <v>910</v>
      </c>
      <c r="E1666" s="3885" t="s">
        <v>1909</v>
      </c>
      <c r="F1666" s="3886">
        <v>2112</v>
      </c>
      <c r="G1666" s="3887" t="s">
        <v>371</v>
      </c>
      <c r="H1666" s="3888">
        <v>0</v>
      </c>
      <c r="I1666" s="3884"/>
      <c r="J1666" s="3890"/>
      <c r="K1666" s="3891"/>
      <c r="L1666" s="3889">
        <v>0</v>
      </c>
      <c r="M1666" s="3889"/>
      <c r="N1666" s="73"/>
      <c r="O1666" s="86"/>
      <c r="P1666" s="1817" t="e">
        <f>INDEX(#REF!,MATCH(F1666,#REF!,0),2)</f>
        <v>#REF!</v>
      </c>
    </row>
    <row r="1667" spans="1:16" ht="12" customHeight="1">
      <c r="A1667" s="3872"/>
      <c r="B1667" s="3872" t="s">
        <v>1248</v>
      </c>
      <c r="C1667" s="3872" t="s">
        <v>507</v>
      </c>
      <c r="D1667" s="3873"/>
      <c r="E1667" s="3862" t="s">
        <v>1909</v>
      </c>
      <c r="F1667" s="3863">
        <v>2112</v>
      </c>
      <c r="G1667" s="3881" t="s">
        <v>370</v>
      </c>
      <c r="H1667" s="3864"/>
      <c r="I1667" s="3874"/>
      <c r="J1667" s="3866"/>
      <c r="K1667" s="3867"/>
      <c r="L1667" s="3874"/>
      <c r="M1667" s="3874"/>
      <c r="N1667" s="73"/>
      <c r="O1667" s="86"/>
      <c r="P1667" s="1817" t="e">
        <f>INDEX(#REF!,MATCH(F1667,#REF!,0),2)</f>
        <v>#REF!</v>
      </c>
    </row>
    <row r="1668" spans="1:16" ht="19.899999999999999" customHeight="1">
      <c r="A1668" s="3894"/>
      <c r="B1668" s="3894" t="s">
        <v>1248</v>
      </c>
      <c r="C1668" s="3894" t="s">
        <v>505</v>
      </c>
      <c r="D1668" s="3895">
        <v>910</v>
      </c>
      <c r="E1668" s="3885" t="s">
        <v>1909</v>
      </c>
      <c r="F1668" s="3886">
        <v>2210</v>
      </c>
      <c r="G1668" s="3887" t="s">
        <v>879</v>
      </c>
      <c r="H1668" s="3888">
        <v>2077</v>
      </c>
      <c r="I1668" s="3889"/>
      <c r="J1668" s="3890">
        <v>3346</v>
      </c>
      <c r="K1668" s="3891"/>
      <c r="L1668" s="3889">
        <v>1812</v>
      </c>
      <c r="M1668" s="3884"/>
      <c r="N1668" s="73" t="s">
        <v>5717</v>
      </c>
      <c r="O1668" s="86"/>
      <c r="P1668" s="1817" t="e">
        <f>INDEX(#REF!,MATCH(F1668,#REF!,0),2)</f>
        <v>#REF!</v>
      </c>
    </row>
    <row r="1669" spans="1:16" ht="12" customHeight="1">
      <c r="A1669" s="3872"/>
      <c r="B1669" s="3872" t="s">
        <v>1248</v>
      </c>
      <c r="C1669" s="3872" t="s">
        <v>505</v>
      </c>
      <c r="D1669" s="3873"/>
      <c r="E1669" s="3862" t="s">
        <v>1909</v>
      </c>
      <c r="F1669" s="3863">
        <v>2210</v>
      </c>
      <c r="G1669" s="3881" t="s">
        <v>5353</v>
      </c>
      <c r="H1669" s="3864"/>
      <c r="I1669" s="3865">
        <v>325</v>
      </c>
      <c r="J1669" s="3866"/>
      <c r="K1669" s="3867"/>
      <c r="L1669" s="3874"/>
      <c r="M1669" s="3865">
        <v>360</v>
      </c>
      <c r="N1669" s="73"/>
      <c r="O1669" s="86"/>
      <c r="P1669" s="1817" t="e">
        <f>INDEX(#REF!,MATCH(F1669,#REF!,0),2)</f>
        <v>#REF!</v>
      </c>
    </row>
    <row r="1670" spans="1:16" ht="11.45" customHeight="1">
      <c r="A1670" s="3872"/>
      <c r="B1670" s="3872" t="s">
        <v>1248</v>
      </c>
      <c r="C1670" s="3872" t="s">
        <v>505</v>
      </c>
      <c r="D1670" s="3873"/>
      <c r="E1670" s="3862" t="s">
        <v>1909</v>
      </c>
      <c r="F1670" s="3863">
        <v>2210</v>
      </c>
      <c r="G1670" s="3881" t="s">
        <v>1120</v>
      </c>
      <c r="H1670" s="3864"/>
      <c r="I1670" s="3865">
        <v>1452</v>
      </c>
      <c r="J1670" s="3866"/>
      <c r="K1670" s="3867"/>
      <c r="L1670" s="3874"/>
      <c r="M1670" s="3865">
        <v>1452</v>
      </c>
      <c r="N1670" s="149"/>
      <c r="O1670" s="86"/>
      <c r="P1670" s="1817" t="e">
        <f>INDEX(#REF!,MATCH(F1670,#REF!,0),2)</f>
        <v>#REF!</v>
      </c>
    </row>
    <row r="1671" spans="1:16" ht="11.45" customHeight="1">
      <c r="A1671" s="3872"/>
      <c r="B1671" s="3872" t="s">
        <v>1248</v>
      </c>
      <c r="C1671" s="3872" t="s">
        <v>505</v>
      </c>
      <c r="D1671" s="3873"/>
      <c r="E1671" s="3862" t="s">
        <v>1909</v>
      </c>
      <c r="F1671" s="3863">
        <v>2210</v>
      </c>
      <c r="G1671" s="3881" t="s">
        <v>815</v>
      </c>
      <c r="H1671" s="3864"/>
      <c r="I1671" s="3865">
        <v>300</v>
      </c>
      <c r="J1671" s="3866"/>
      <c r="K1671" s="3867"/>
      <c r="L1671" s="3874"/>
      <c r="M1671" s="3874"/>
      <c r="N1671" s="83"/>
      <c r="O1671" s="86"/>
      <c r="P1671" s="1817" t="e">
        <f>INDEX(#REF!,MATCH(F1671,#REF!,0),2)</f>
        <v>#REF!</v>
      </c>
    </row>
    <row r="1672" spans="1:16" ht="11.45" customHeight="1">
      <c r="A1672" s="3894"/>
      <c r="B1672" s="3894" t="s">
        <v>1248</v>
      </c>
      <c r="C1672" s="3894" t="s">
        <v>505</v>
      </c>
      <c r="D1672" s="3895">
        <v>910</v>
      </c>
      <c r="E1672" s="3885" t="s">
        <v>1909</v>
      </c>
      <c r="F1672" s="3886">
        <v>2222</v>
      </c>
      <c r="G1672" s="3887" t="s">
        <v>272</v>
      </c>
      <c r="H1672" s="3888">
        <v>12000</v>
      </c>
      <c r="I1672" s="3889"/>
      <c r="J1672" s="3890">
        <v>9062</v>
      </c>
      <c r="K1672" s="3891"/>
      <c r="L1672" s="3889">
        <v>12000</v>
      </c>
      <c r="M1672" s="3889"/>
      <c r="N1672" s="149"/>
      <c r="O1672" s="86"/>
      <c r="P1672" s="1817" t="e">
        <f>INDEX(#REF!,MATCH(F1672,#REF!,0),2)</f>
        <v>#REF!</v>
      </c>
    </row>
    <row r="1673" spans="1:16" ht="13.15" customHeight="1">
      <c r="A1673" s="3872"/>
      <c r="B1673" s="3872" t="s">
        <v>1248</v>
      </c>
      <c r="C1673" s="3872" t="s">
        <v>505</v>
      </c>
      <c r="D1673" s="3873"/>
      <c r="E1673" s="3862" t="s">
        <v>1909</v>
      </c>
      <c r="F1673" s="3863">
        <v>2222</v>
      </c>
      <c r="G1673" s="3881" t="s">
        <v>211</v>
      </c>
      <c r="H1673" s="3864"/>
      <c r="I1673" s="3865">
        <v>12000</v>
      </c>
      <c r="J1673" s="3866"/>
      <c r="K1673" s="3867"/>
      <c r="L1673" s="3865"/>
      <c r="M1673" s="3865">
        <v>12000</v>
      </c>
      <c r="N1673" s="149"/>
      <c r="O1673" s="86"/>
      <c r="P1673" s="1817" t="e">
        <f>INDEX(#REF!,MATCH(F1673,#REF!,0),2)</f>
        <v>#REF!</v>
      </c>
    </row>
    <row r="1674" spans="1:16" s="81" customFormat="1" ht="11.45" customHeight="1">
      <c r="A1674" s="4200"/>
      <c r="B1674" s="3872" t="s">
        <v>1248</v>
      </c>
      <c r="C1674" s="3872" t="s">
        <v>505</v>
      </c>
      <c r="D1674" s="3873"/>
      <c r="E1674" s="3862" t="s">
        <v>1909</v>
      </c>
      <c r="F1674" s="3863">
        <v>2222</v>
      </c>
      <c r="G1674" s="4178"/>
      <c r="H1674" s="4418"/>
      <c r="I1674" s="4419"/>
      <c r="J1674" s="4420"/>
      <c r="K1674" s="4421"/>
      <c r="L1674" s="4419"/>
      <c r="M1674" s="4419"/>
      <c r="N1674" s="149"/>
      <c r="O1674" s="86"/>
      <c r="P1674" s="1817"/>
    </row>
    <row r="1675" spans="1:16" ht="36.6" customHeight="1">
      <c r="A1675" s="3894"/>
      <c r="B1675" s="3894" t="s">
        <v>1248</v>
      </c>
      <c r="C1675" s="3894" t="s">
        <v>505</v>
      </c>
      <c r="D1675" s="3895">
        <v>910</v>
      </c>
      <c r="E1675" s="3885" t="s">
        <v>1909</v>
      </c>
      <c r="F1675" s="3886">
        <v>2223</v>
      </c>
      <c r="G1675" s="3887" t="s">
        <v>273</v>
      </c>
      <c r="H1675" s="3888">
        <v>32500</v>
      </c>
      <c r="I1675" s="3889"/>
      <c r="J1675" s="3890">
        <v>19504.27</v>
      </c>
      <c r="K1675" s="3891"/>
      <c r="L1675" s="3889">
        <v>27500</v>
      </c>
      <c r="M1675" s="3889"/>
      <c r="N1675" s="2421"/>
      <c r="O1675" s="86"/>
      <c r="P1675" s="1817" t="e">
        <f>INDEX(#REF!,MATCH(F1675,#REF!,0),2)</f>
        <v>#REF!</v>
      </c>
    </row>
    <row r="1676" spans="1:16" ht="33" customHeight="1">
      <c r="A1676" s="3872"/>
      <c r="B1676" s="3872" t="s">
        <v>1248</v>
      </c>
      <c r="C1676" s="3872" t="s">
        <v>505</v>
      </c>
      <c r="D1676" s="3873"/>
      <c r="E1676" s="3862" t="s">
        <v>1909</v>
      </c>
      <c r="F1676" s="3863">
        <v>2223</v>
      </c>
      <c r="G1676" s="3881" t="s">
        <v>1058</v>
      </c>
      <c r="H1676" s="3864"/>
      <c r="I1676" s="3865">
        <v>32500</v>
      </c>
      <c r="J1676" s="3866"/>
      <c r="K1676" s="3867"/>
      <c r="L1676" s="3865"/>
      <c r="M1676" s="3865">
        <v>27500</v>
      </c>
      <c r="N1676" s="2421" t="s">
        <v>5718</v>
      </c>
      <c r="O1676" s="86"/>
      <c r="P1676" s="1817" t="e">
        <f>INDEX(#REF!,MATCH(F1676,#REF!,0),2)</f>
        <v>#REF!</v>
      </c>
    </row>
    <row r="1677" spans="1:16" ht="22.9" customHeight="1">
      <c r="A1677" s="3894"/>
      <c r="B1677" s="3894" t="s">
        <v>1248</v>
      </c>
      <c r="C1677" s="3894" t="s">
        <v>505</v>
      </c>
      <c r="D1677" s="3895">
        <v>910</v>
      </c>
      <c r="E1677" s="3885" t="s">
        <v>1909</v>
      </c>
      <c r="F1677" s="3886">
        <v>2224</v>
      </c>
      <c r="G1677" s="3887" t="s">
        <v>274</v>
      </c>
      <c r="H1677" s="3888">
        <v>7596</v>
      </c>
      <c r="I1677" s="3889"/>
      <c r="J1677" s="3890">
        <v>3755</v>
      </c>
      <c r="K1677" s="3891"/>
      <c r="L1677" s="3889">
        <v>5496</v>
      </c>
      <c r="M1677" s="3889"/>
      <c r="N1677" s="4" t="s">
        <v>5355</v>
      </c>
      <c r="O1677" s="86"/>
      <c r="P1677" s="1817" t="e">
        <f>INDEX(#REF!,MATCH(F1677,#REF!,0),2)</f>
        <v>#REF!</v>
      </c>
    </row>
    <row r="1678" spans="1:16" ht="11.45" customHeight="1">
      <c r="A1678" s="3871"/>
      <c r="B1678" s="3872" t="s">
        <v>1248</v>
      </c>
      <c r="C1678" s="3872" t="s">
        <v>505</v>
      </c>
      <c r="D1678" s="3873"/>
      <c r="E1678" s="3862" t="s">
        <v>1909</v>
      </c>
      <c r="F1678" s="3863">
        <v>2224</v>
      </c>
      <c r="G1678" s="3881" t="s">
        <v>5354</v>
      </c>
      <c r="H1678" s="3864"/>
      <c r="I1678" s="3865">
        <v>6600</v>
      </c>
      <c r="J1678" s="3866"/>
      <c r="K1678" s="3867"/>
      <c r="L1678" s="3865"/>
      <c r="M1678" s="3865">
        <v>4500</v>
      </c>
      <c r="O1678" s="86"/>
      <c r="P1678" s="1817" t="e">
        <f>INDEX(#REF!,MATCH(F1678,#REF!,0),2)</f>
        <v>#REF!</v>
      </c>
    </row>
    <row r="1679" spans="1:16" ht="11.45" customHeight="1">
      <c r="A1679" s="3871"/>
      <c r="B1679" s="3872" t="s">
        <v>1248</v>
      </c>
      <c r="C1679" s="3872" t="s">
        <v>505</v>
      </c>
      <c r="D1679" s="3873"/>
      <c r="E1679" s="3862" t="s">
        <v>1909</v>
      </c>
      <c r="F1679" s="3863">
        <v>2224</v>
      </c>
      <c r="G1679" s="3881" t="s">
        <v>633</v>
      </c>
      <c r="H1679" s="3864"/>
      <c r="I1679" s="3865">
        <v>996</v>
      </c>
      <c r="J1679" s="3866"/>
      <c r="K1679" s="3867"/>
      <c r="L1679" s="3865"/>
      <c r="M1679" s="3865">
        <v>996</v>
      </c>
      <c r="N1679" s="83"/>
      <c r="O1679" s="86"/>
      <c r="P1679" s="1817" t="e">
        <f>INDEX(#REF!,MATCH(F1679,#REF!,0),2)</f>
        <v>#REF!</v>
      </c>
    </row>
    <row r="1680" spans="1:16" ht="21" customHeight="1">
      <c r="A1680" s="3894"/>
      <c r="B1680" s="3894" t="s">
        <v>1248</v>
      </c>
      <c r="C1680" s="3894" t="s">
        <v>507</v>
      </c>
      <c r="D1680" s="3895">
        <v>910</v>
      </c>
      <c r="E1680" s="3885" t="s">
        <v>1909</v>
      </c>
      <c r="F1680" s="3886">
        <v>2233</v>
      </c>
      <c r="G1680" s="3887" t="s">
        <v>397</v>
      </c>
      <c r="H1680" s="3888">
        <v>111</v>
      </c>
      <c r="I1680" s="3884"/>
      <c r="J1680" s="3890">
        <v>64</v>
      </c>
      <c r="K1680" s="3891"/>
      <c r="L1680" s="3889">
        <v>120</v>
      </c>
      <c r="M1680" s="3889"/>
      <c r="N1680" s="83"/>
      <c r="O1680" s="86"/>
      <c r="P1680" s="1817" t="e">
        <f>INDEX(#REF!,MATCH(F1680,#REF!,0),2)</f>
        <v>#REF!</v>
      </c>
    </row>
    <row r="1681" spans="1:16" ht="19.149999999999999" customHeight="1">
      <c r="A1681" s="3872" t="s">
        <v>820</v>
      </c>
      <c r="B1681" s="3872" t="s">
        <v>1248</v>
      </c>
      <c r="C1681" s="3872" t="s">
        <v>507</v>
      </c>
      <c r="D1681" s="3873"/>
      <c r="E1681" s="3862" t="s">
        <v>1909</v>
      </c>
      <c r="F1681" s="3863">
        <v>2233</v>
      </c>
      <c r="G1681" s="3912" t="s">
        <v>1454</v>
      </c>
      <c r="H1681" s="3864"/>
      <c r="I1681" s="3865">
        <v>61</v>
      </c>
      <c r="J1681" s="3866"/>
      <c r="K1681" s="3867"/>
      <c r="L1681" s="3865"/>
      <c r="M1681" s="3865">
        <v>120</v>
      </c>
      <c r="N1681" s="1025"/>
      <c r="O1681" s="86"/>
      <c r="P1681" s="1817" t="e">
        <f>INDEX(#REF!,MATCH(F1681,#REF!,0),2)</f>
        <v>#REF!</v>
      </c>
    </row>
    <row r="1682" spans="1:16" ht="32.450000000000003" customHeight="1">
      <c r="A1682" s="3872"/>
      <c r="B1682" s="3872" t="s">
        <v>1248</v>
      </c>
      <c r="C1682" s="3872" t="s">
        <v>507</v>
      </c>
      <c r="D1682" s="3873"/>
      <c r="E1682" s="3862" t="s">
        <v>1909</v>
      </c>
      <c r="F1682" s="3863">
        <v>2233</v>
      </c>
      <c r="G1682" s="3881" t="s">
        <v>3188</v>
      </c>
      <c r="H1682" s="3864"/>
      <c r="I1682" s="3865">
        <v>50</v>
      </c>
      <c r="J1682" s="3866"/>
      <c r="K1682" s="3867"/>
      <c r="L1682" s="3874"/>
      <c r="M1682" s="3874"/>
      <c r="N1682" s="1025"/>
      <c r="O1682" s="86"/>
      <c r="P1682" s="1817" t="e">
        <f>INDEX(#REF!,MATCH(F1682,#REF!,0),2)</f>
        <v>#REF!</v>
      </c>
    </row>
    <row r="1683" spans="1:16" ht="19.149999999999999" customHeight="1">
      <c r="A1683" s="3909"/>
      <c r="B1683" s="3894" t="s">
        <v>1248</v>
      </c>
      <c r="C1683" s="3894" t="s">
        <v>507</v>
      </c>
      <c r="D1683" s="3895">
        <v>910</v>
      </c>
      <c r="E1683" s="3885" t="s">
        <v>1909</v>
      </c>
      <c r="F1683" s="3886">
        <v>2234</v>
      </c>
      <c r="G1683" s="3887" t="s">
        <v>398</v>
      </c>
      <c r="H1683" s="3888">
        <v>1000</v>
      </c>
      <c r="I1683" s="3884"/>
      <c r="J1683" s="3890">
        <v>560</v>
      </c>
      <c r="K1683" s="3891"/>
      <c r="L1683" s="3889">
        <v>950</v>
      </c>
      <c r="M1683" s="3889"/>
      <c r="N1683" s="4"/>
      <c r="O1683" s="86"/>
      <c r="P1683" s="1817" t="e">
        <f>INDEX(#REF!,MATCH(F1683,#REF!,0),2)</f>
        <v>#REF!</v>
      </c>
    </row>
    <row r="1684" spans="1:16" ht="29.45" customHeight="1">
      <c r="A1684" s="3910"/>
      <c r="B1684" s="3860" t="s">
        <v>1248</v>
      </c>
      <c r="C1684" s="3860" t="s">
        <v>507</v>
      </c>
      <c r="D1684" s="3861"/>
      <c r="E1684" s="3862" t="s">
        <v>1909</v>
      </c>
      <c r="F1684" s="3863">
        <v>2234</v>
      </c>
      <c r="G1684" s="3881" t="s">
        <v>5356</v>
      </c>
      <c r="H1684" s="3864"/>
      <c r="I1684" s="3865">
        <v>1000</v>
      </c>
      <c r="J1684" s="3866"/>
      <c r="K1684" s="3867"/>
      <c r="L1684" s="3865"/>
      <c r="M1684" s="3865">
        <v>950</v>
      </c>
      <c r="N1684" s="4073" t="s">
        <v>5357</v>
      </c>
      <c r="O1684" s="86"/>
      <c r="P1684" s="1817" t="e">
        <f>INDEX(#REF!,MATCH(F1684,#REF!,0),2)</f>
        <v>#REF!</v>
      </c>
    </row>
    <row r="1685" spans="1:16" ht="20.45" customHeight="1">
      <c r="A1685" s="3909"/>
      <c r="B1685" s="3894" t="s">
        <v>1248</v>
      </c>
      <c r="C1685" s="3894" t="s">
        <v>507</v>
      </c>
      <c r="D1685" s="3895">
        <v>910</v>
      </c>
      <c r="E1685" s="3885" t="s">
        <v>1909</v>
      </c>
      <c r="F1685" s="3886">
        <v>2235</v>
      </c>
      <c r="G1685" s="3887" t="s">
        <v>2431</v>
      </c>
      <c r="H1685" s="3888">
        <v>3000</v>
      </c>
      <c r="I1685" s="3884"/>
      <c r="J1685" s="3890"/>
      <c r="K1685" s="3891"/>
      <c r="L1685" s="3889">
        <v>3000</v>
      </c>
      <c r="M1685" s="3889"/>
      <c r="N1685" s="4"/>
      <c r="O1685" s="86"/>
      <c r="P1685" s="1817" t="e">
        <f>INDEX(#REF!,MATCH(F1685,#REF!,0),2)</f>
        <v>#REF!</v>
      </c>
    </row>
    <row r="1686" spans="1:16" ht="32.450000000000003" customHeight="1">
      <c r="A1686" s="3872"/>
      <c r="B1686" s="3872" t="s">
        <v>1248</v>
      </c>
      <c r="C1686" s="3872" t="s">
        <v>507</v>
      </c>
      <c r="D1686" s="3873"/>
      <c r="E1686" s="3862" t="s">
        <v>1909</v>
      </c>
      <c r="F1686" s="3863">
        <v>2235</v>
      </c>
      <c r="G1686" s="3881" t="s">
        <v>2204</v>
      </c>
      <c r="H1686" s="3864"/>
      <c r="I1686" s="3865">
        <v>3000</v>
      </c>
      <c r="J1686" s="3866"/>
      <c r="K1686" s="3867"/>
      <c r="L1686" s="3874"/>
      <c r="M1686" s="3865">
        <v>3000</v>
      </c>
      <c r="N1686" s="83"/>
      <c r="O1686" s="86"/>
      <c r="P1686" s="1817" t="e">
        <f>INDEX(#REF!,MATCH(F1686,#REF!,0),2)</f>
        <v>#REF!</v>
      </c>
    </row>
    <row r="1687" spans="1:16" ht="11.45" customHeight="1">
      <c r="A1687" s="3894"/>
      <c r="B1687" s="3894" t="s">
        <v>1248</v>
      </c>
      <c r="C1687" s="3894" t="s">
        <v>507</v>
      </c>
      <c r="D1687" s="3895">
        <v>910</v>
      </c>
      <c r="E1687" s="3885" t="s">
        <v>1909</v>
      </c>
      <c r="F1687" s="3886">
        <v>2239</v>
      </c>
      <c r="G1687" s="3887" t="s">
        <v>297</v>
      </c>
      <c r="H1687" s="3888">
        <v>11766.73</v>
      </c>
      <c r="I1687" s="3884"/>
      <c r="J1687" s="3890">
        <v>14600</v>
      </c>
      <c r="K1687" s="3891"/>
      <c r="L1687" s="3889">
        <v>12845</v>
      </c>
      <c r="M1687" s="3884"/>
      <c r="N1687" s="4" t="s">
        <v>5358</v>
      </c>
      <c r="O1687" s="86"/>
      <c r="P1687" s="1817" t="e">
        <f>INDEX(#REF!,MATCH(F1687,#REF!,0),2)</f>
        <v>#REF!</v>
      </c>
    </row>
    <row r="1688" spans="1:16" ht="11.45" customHeight="1">
      <c r="A1688" s="3910"/>
      <c r="B1688" s="3860" t="s">
        <v>1248</v>
      </c>
      <c r="C1688" s="3860" t="s">
        <v>507</v>
      </c>
      <c r="D1688" s="3861"/>
      <c r="E1688" s="3862" t="s">
        <v>1909</v>
      </c>
      <c r="F1688" s="3863">
        <v>2239</v>
      </c>
      <c r="G1688" s="3859" t="s">
        <v>5368</v>
      </c>
      <c r="H1688" s="3864"/>
      <c r="I1688" s="3865">
        <v>968</v>
      </c>
      <c r="J1688" s="3866"/>
      <c r="K1688" s="3867"/>
      <c r="L1688" s="3874"/>
      <c r="M1688" s="3875">
        <v>960</v>
      </c>
      <c r="N1688" s="4" t="s">
        <v>5359</v>
      </c>
      <c r="O1688" s="86"/>
      <c r="P1688" s="1817" t="e">
        <f>INDEX(#REF!,MATCH(F1688,#REF!,0),2)</f>
        <v>#REF!</v>
      </c>
    </row>
    <row r="1689" spans="1:16" ht="20.45" customHeight="1">
      <c r="A1689" s="3913"/>
      <c r="B1689" s="3860" t="s">
        <v>1248</v>
      </c>
      <c r="C1689" s="3860" t="s">
        <v>507</v>
      </c>
      <c r="D1689" s="3914"/>
      <c r="E1689" s="3915" t="s">
        <v>1909</v>
      </c>
      <c r="F1689" s="3863">
        <v>2239</v>
      </c>
      <c r="G1689" s="3859" t="s">
        <v>5363</v>
      </c>
      <c r="H1689" s="3916"/>
      <c r="I1689" s="3865">
        <v>605</v>
      </c>
      <c r="J1689" s="3917"/>
      <c r="K1689" s="3918"/>
      <c r="L1689" s="3919"/>
      <c r="M1689" s="3875">
        <v>800</v>
      </c>
      <c r="N1689" s="43" t="s">
        <v>5364</v>
      </c>
      <c r="O1689" s="86"/>
      <c r="P1689" s="1817" t="e">
        <f>INDEX(#REF!,MATCH(F1689,#REF!,0),2)</f>
        <v>#REF!</v>
      </c>
    </row>
    <row r="1690" spans="1:16" ht="20.45" customHeight="1">
      <c r="A1690" s="3913"/>
      <c r="B1690" s="3860" t="s">
        <v>1248</v>
      </c>
      <c r="C1690" s="3860" t="s">
        <v>507</v>
      </c>
      <c r="D1690" s="3914"/>
      <c r="E1690" s="3915" t="s">
        <v>1909</v>
      </c>
      <c r="F1690" s="3863">
        <v>2239</v>
      </c>
      <c r="G1690" s="3859" t="s">
        <v>5365</v>
      </c>
      <c r="H1690" s="3916"/>
      <c r="I1690" s="3865"/>
      <c r="J1690" s="3917"/>
      <c r="K1690" s="3918"/>
      <c r="L1690" s="3919"/>
      <c r="M1690" s="3875">
        <v>3000</v>
      </c>
      <c r="N1690" s="43" t="s">
        <v>5366</v>
      </c>
      <c r="O1690" s="86"/>
      <c r="P1690" s="1817"/>
    </row>
    <row r="1691" spans="1:16" ht="30.6" customHeight="1">
      <c r="A1691" s="3872"/>
      <c r="B1691" s="3872" t="s">
        <v>1248</v>
      </c>
      <c r="C1691" s="3872" t="s">
        <v>505</v>
      </c>
      <c r="D1691" s="3873"/>
      <c r="E1691" s="3862" t="s">
        <v>1909</v>
      </c>
      <c r="F1691" s="3863">
        <v>2239</v>
      </c>
      <c r="G1691" s="3859" t="s">
        <v>5369</v>
      </c>
      <c r="H1691" s="3864"/>
      <c r="I1691" s="3865">
        <v>2023.73</v>
      </c>
      <c r="J1691" s="3866"/>
      <c r="K1691" s="3867"/>
      <c r="L1691" s="3874"/>
      <c r="M1691" s="3875">
        <v>2090</v>
      </c>
      <c r="N1691" s="43" t="s">
        <v>5367</v>
      </c>
      <c r="O1691" s="86"/>
      <c r="P1691" s="1817" t="e">
        <f>INDEX(#REF!,MATCH(F1691,#REF!,0),2)</f>
        <v>#REF!</v>
      </c>
    </row>
    <row r="1692" spans="1:16" ht="30.6" customHeight="1">
      <c r="A1692" s="3872"/>
      <c r="B1692" s="3872" t="s">
        <v>1248</v>
      </c>
      <c r="C1692" s="3872" t="s">
        <v>505</v>
      </c>
      <c r="D1692" s="3873"/>
      <c r="E1692" s="3862" t="s">
        <v>1909</v>
      </c>
      <c r="F1692" s="3863">
        <v>2239</v>
      </c>
      <c r="G1692" s="3859" t="s">
        <v>5370</v>
      </c>
      <c r="H1692" s="3864"/>
      <c r="I1692" s="3865"/>
      <c r="J1692" s="3866"/>
      <c r="K1692" s="3867"/>
      <c r="L1692" s="3874"/>
      <c r="M1692" s="3875">
        <v>600</v>
      </c>
      <c r="N1692" s="43"/>
      <c r="O1692" s="86"/>
      <c r="P1692" s="1817"/>
    </row>
    <row r="1693" spans="1:16" ht="10.9" customHeight="1">
      <c r="A1693" s="3860"/>
      <c r="B1693" s="3860" t="s">
        <v>1248</v>
      </c>
      <c r="C1693" s="3860" t="s">
        <v>507</v>
      </c>
      <c r="D1693" s="3861"/>
      <c r="E1693" s="3862" t="s">
        <v>1909</v>
      </c>
      <c r="F1693" s="3863">
        <v>2239</v>
      </c>
      <c r="G1693" s="3881" t="s">
        <v>5362</v>
      </c>
      <c r="H1693" s="3864"/>
      <c r="I1693" s="3865">
        <v>7800</v>
      </c>
      <c r="J1693" s="3866"/>
      <c r="K1693" s="3867"/>
      <c r="L1693" s="3874"/>
      <c r="M1693" s="3865">
        <v>5000</v>
      </c>
      <c r="N1693" s="4" t="s">
        <v>5360</v>
      </c>
      <c r="O1693" s="86"/>
      <c r="P1693" s="1817" t="e">
        <f>INDEX(#REF!,MATCH(F1693,#REF!,0),2)</f>
        <v>#REF!</v>
      </c>
    </row>
    <row r="1694" spans="1:16" ht="20.45" customHeight="1">
      <c r="A1694" s="3860"/>
      <c r="B1694" s="3860" t="s">
        <v>1248</v>
      </c>
      <c r="C1694" s="3860" t="s">
        <v>507</v>
      </c>
      <c r="D1694" s="3861"/>
      <c r="E1694" s="3862" t="s">
        <v>1909</v>
      </c>
      <c r="F1694" s="3863">
        <v>2239</v>
      </c>
      <c r="G1694" s="3881" t="s">
        <v>1059</v>
      </c>
      <c r="H1694" s="3864"/>
      <c r="I1694" s="3865">
        <v>395</v>
      </c>
      <c r="J1694" s="3866"/>
      <c r="K1694" s="3867"/>
      <c r="L1694" s="3874"/>
      <c r="M1694" s="3865">
        <v>395</v>
      </c>
      <c r="N1694" s="43" t="s">
        <v>5361</v>
      </c>
      <c r="O1694" s="86"/>
      <c r="P1694" s="1817" t="e">
        <f>INDEX(#REF!,MATCH(F1694,#REF!,0),2)</f>
        <v>#REF!</v>
      </c>
    </row>
    <row r="1695" spans="1:16" ht="32.450000000000003" customHeight="1">
      <c r="A1695" s="3872"/>
      <c r="B1695" s="3872" t="s">
        <v>1248</v>
      </c>
      <c r="C1695" s="3872" t="s">
        <v>507</v>
      </c>
      <c r="D1695" s="3873"/>
      <c r="E1695" s="3862" t="s">
        <v>1909</v>
      </c>
      <c r="F1695" s="3863">
        <v>2239</v>
      </c>
      <c r="G1695" s="3881" t="s">
        <v>3222</v>
      </c>
      <c r="H1695" s="3864"/>
      <c r="I1695" s="3865">
        <v>-25</v>
      </c>
      <c r="J1695" s="3866"/>
      <c r="K1695" s="3867"/>
      <c r="L1695" s="3874"/>
      <c r="M1695" s="3874"/>
      <c r="N1695" s="83"/>
      <c r="O1695" s="86"/>
      <c r="P1695" s="1817" t="e">
        <f>INDEX(#REF!,MATCH(F1695,#REF!,0),2)</f>
        <v>#REF!</v>
      </c>
    </row>
    <row r="1696" spans="1:16" ht="22.15" customHeight="1">
      <c r="A1696" s="3894"/>
      <c r="B1696" s="3894" t="s">
        <v>1249</v>
      </c>
      <c r="C1696" s="3894" t="s">
        <v>510</v>
      </c>
      <c r="D1696" s="3895">
        <v>910</v>
      </c>
      <c r="E1696" s="3885" t="s">
        <v>1909</v>
      </c>
      <c r="F1696" s="3886">
        <v>2239</v>
      </c>
      <c r="G1696" s="3887" t="s">
        <v>297</v>
      </c>
      <c r="H1696" s="3888">
        <v>21500</v>
      </c>
      <c r="I1696" s="3884"/>
      <c r="J1696" s="3890"/>
      <c r="K1696" s="3891"/>
      <c r="L1696" s="3889">
        <v>20000</v>
      </c>
      <c r="M1696" s="3889"/>
      <c r="N1696" s="83"/>
      <c r="O1696" s="86"/>
      <c r="P1696" s="1817" t="e">
        <f>INDEX(#REF!,MATCH(F1696,#REF!,0),2)</f>
        <v>#REF!</v>
      </c>
    </row>
    <row r="1697" spans="1:38" ht="23.45" customHeight="1">
      <c r="A1697" s="3910"/>
      <c r="B1697" s="3860" t="s">
        <v>1249</v>
      </c>
      <c r="C1697" s="3860" t="s">
        <v>510</v>
      </c>
      <c r="D1697" s="3861"/>
      <c r="E1697" s="3862" t="s">
        <v>1909</v>
      </c>
      <c r="F1697" s="3863">
        <v>2239</v>
      </c>
      <c r="G1697" s="3881" t="s">
        <v>2645</v>
      </c>
      <c r="H1697" s="3864"/>
      <c r="I1697" s="3865">
        <v>21500</v>
      </c>
      <c r="J1697" s="3866"/>
      <c r="K1697" s="3867"/>
      <c r="L1697" s="3865"/>
      <c r="M1697" s="3865">
        <v>20000</v>
      </c>
      <c r="N1697" s="1025"/>
      <c r="O1697" s="86"/>
      <c r="P1697" s="1817" t="e">
        <f>INDEX(#REF!,MATCH(F1697,#REF!,0),2)</f>
        <v>#REF!</v>
      </c>
    </row>
    <row r="1698" spans="1:38" ht="25.15" customHeight="1">
      <c r="A1698" s="3894"/>
      <c r="B1698" s="3894" t="s">
        <v>1250</v>
      </c>
      <c r="C1698" s="3894" t="s">
        <v>513</v>
      </c>
      <c r="D1698" s="3895">
        <v>910</v>
      </c>
      <c r="E1698" s="3885" t="s">
        <v>1909</v>
      </c>
      <c r="F1698" s="3886">
        <v>2241</v>
      </c>
      <c r="G1698" s="3887" t="s">
        <v>276</v>
      </c>
      <c r="H1698" s="3888">
        <v>27566.044000000002</v>
      </c>
      <c r="I1698" s="3884"/>
      <c r="J1698" s="3890">
        <v>25990</v>
      </c>
      <c r="K1698" s="3891"/>
      <c r="L1698" s="3889">
        <v>11600</v>
      </c>
      <c r="M1698" s="3884"/>
      <c r="N1698" s="83"/>
      <c r="O1698" s="86"/>
      <c r="P1698" s="1817" t="e">
        <f>INDEX(#REF!,MATCH(F1698,#REF!,0),2)</f>
        <v>#REF!</v>
      </c>
    </row>
    <row r="1699" spans="1:38" ht="14.45" customHeight="1">
      <c r="A1699" s="3860"/>
      <c r="B1699" s="3860" t="s">
        <v>1250</v>
      </c>
      <c r="C1699" s="3860" t="s">
        <v>513</v>
      </c>
      <c r="D1699" s="3861"/>
      <c r="E1699" s="3862" t="s">
        <v>1909</v>
      </c>
      <c r="F1699" s="3863">
        <v>2241</v>
      </c>
      <c r="G1699" s="3877" t="s">
        <v>5374</v>
      </c>
      <c r="H1699" s="3864"/>
      <c r="I1699" s="3869">
        <v>4600</v>
      </c>
      <c r="J1699" s="3869"/>
      <c r="K1699" s="3870"/>
      <c r="L1699" s="3874"/>
      <c r="M1699" s="3875">
        <v>4600</v>
      </c>
      <c r="N1699" s="4" t="s">
        <v>5375</v>
      </c>
      <c r="O1699" s="86"/>
      <c r="P1699" s="1817" t="e">
        <f>INDEX(#REF!,MATCH(F1699,#REF!,0),2)</f>
        <v>#REF!</v>
      </c>
    </row>
    <row r="1700" spans="1:38" ht="11.45" customHeight="1">
      <c r="A1700" s="3860"/>
      <c r="B1700" s="3860" t="s">
        <v>1250</v>
      </c>
      <c r="C1700" s="3860" t="s">
        <v>513</v>
      </c>
      <c r="D1700" s="3861"/>
      <c r="E1700" s="3862" t="s">
        <v>1909</v>
      </c>
      <c r="F1700" s="3863">
        <v>2241</v>
      </c>
      <c r="G1700" s="3877" t="s">
        <v>2205</v>
      </c>
      <c r="H1700" s="3864"/>
      <c r="I1700" s="3869">
        <v>8000</v>
      </c>
      <c r="J1700" s="3869"/>
      <c r="K1700" s="3870"/>
      <c r="L1700" s="3874"/>
      <c r="M1700" s="3875"/>
      <c r="N1700" s="4" t="s">
        <v>5376</v>
      </c>
      <c r="O1700" s="86"/>
      <c r="P1700" s="1817" t="e">
        <f>INDEX(#REF!,MATCH(F1700,#REF!,0),2)</f>
        <v>#REF!</v>
      </c>
    </row>
    <row r="1701" spans="1:38" ht="20.45" customHeight="1">
      <c r="A1701" s="3860"/>
      <c r="B1701" s="3860" t="s">
        <v>1250</v>
      </c>
      <c r="C1701" s="3860" t="s">
        <v>513</v>
      </c>
      <c r="D1701" s="3861"/>
      <c r="E1701" s="3862" t="s">
        <v>1909</v>
      </c>
      <c r="F1701" s="3863">
        <v>2241</v>
      </c>
      <c r="G1701" s="3876" t="s">
        <v>5377</v>
      </c>
      <c r="H1701" s="3864"/>
      <c r="I1701" s="3869">
        <v>5000</v>
      </c>
      <c r="J1701" s="3869"/>
      <c r="K1701" s="3870"/>
      <c r="L1701" s="3874"/>
      <c r="M1701" s="3875">
        <v>7000</v>
      </c>
      <c r="N1701" s="4" t="s">
        <v>5378</v>
      </c>
      <c r="O1701" s="86"/>
      <c r="P1701" s="1817" t="e">
        <f>INDEX(#REF!,MATCH(F1701,#REF!,0),2)</f>
        <v>#REF!</v>
      </c>
    </row>
    <row r="1702" spans="1:38" ht="14.45" customHeight="1">
      <c r="A1702" s="3894"/>
      <c r="B1702" s="3894" t="s">
        <v>1249</v>
      </c>
      <c r="C1702" s="3894" t="s">
        <v>557</v>
      </c>
      <c r="D1702" s="3895">
        <v>910</v>
      </c>
      <c r="E1702" s="3885" t="s">
        <v>1909</v>
      </c>
      <c r="F1702" s="3886">
        <v>2241</v>
      </c>
      <c r="G1702" s="3887" t="s">
        <v>276</v>
      </c>
      <c r="H1702" s="3888">
        <v>40300</v>
      </c>
      <c r="I1702" s="3884"/>
      <c r="J1702" s="3890"/>
      <c r="K1702" s="3891"/>
      <c r="L1702" s="3889">
        <v>29000</v>
      </c>
      <c r="M1702" s="3884"/>
      <c r="N1702" s="83"/>
      <c r="O1702" s="86"/>
      <c r="P1702" s="1817" t="e">
        <f>INDEX(#REF!,MATCH(F1702,#REF!,0),2)</f>
        <v>#REF!</v>
      </c>
    </row>
    <row r="1703" spans="1:38" ht="14.45" customHeight="1">
      <c r="A1703" s="3860"/>
      <c r="B1703" s="3860" t="s">
        <v>1249</v>
      </c>
      <c r="C1703" s="3860" t="s">
        <v>513</v>
      </c>
      <c r="D1703" s="3861"/>
      <c r="E1703" s="3862" t="s">
        <v>1909</v>
      </c>
      <c r="F1703" s="3863">
        <v>2241</v>
      </c>
      <c r="G1703" s="3877" t="s">
        <v>5371</v>
      </c>
      <c r="H1703" s="3864"/>
      <c r="I1703" s="3869">
        <v>9966.0439999999999</v>
      </c>
      <c r="J1703" s="3869"/>
      <c r="K1703" s="3870"/>
      <c r="L1703" s="3874"/>
      <c r="M1703" s="4091">
        <v>12000</v>
      </c>
      <c r="N1703" s="4"/>
      <c r="O1703" s="86"/>
      <c r="P1703" s="1817" t="e">
        <f>INDEX(#REF!,MATCH(F1703,#REF!,0),2)</f>
        <v>#REF!</v>
      </c>
    </row>
    <row r="1704" spans="1:38">
      <c r="A1704" s="3860"/>
      <c r="B1704" s="3860" t="s">
        <v>1249</v>
      </c>
      <c r="C1704" s="3860" t="s">
        <v>513</v>
      </c>
      <c r="D1704" s="3861"/>
      <c r="E1704" s="3862" t="s">
        <v>1909</v>
      </c>
      <c r="F1704" s="3863">
        <v>2241</v>
      </c>
      <c r="G1704" s="3877" t="s">
        <v>5372</v>
      </c>
      <c r="H1704" s="3864"/>
      <c r="I1704" s="3869"/>
      <c r="J1704" s="3869"/>
      <c r="K1704" s="3870"/>
      <c r="L1704" s="3874"/>
      <c r="M1704" s="4091">
        <v>5000</v>
      </c>
      <c r="N1704" s="4" t="s">
        <v>5373</v>
      </c>
      <c r="O1704" s="86"/>
      <c r="P1704" s="1817"/>
    </row>
    <row r="1705" spans="1:38" ht="26.45" customHeight="1">
      <c r="A1705" s="3860"/>
      <c r="B1705" s="3860" t="s">
        <v>1249</v>
      </c>
      <c r="C1705" s="3860" t="s">
        <v>513</v>
      </c>
      <c r="D1705" s="3861"/>
      <c r="E1705" s="3862" t="s">
        <v>1909</v>
      </c>
      <c r="F1705" s="3863">
        <v>2241</v>
      </c>
      <c r="G1705" s="3876" t="s">
        <v>5381</v>
      </c>
      <c r="H1705" s="3864"/>
      <c r="I1705" s="3869"/>
      <c r="J1705" s="3869"/>
      <c r="K1705" s="3870"/>
      <c r="L1705" s="3874"/>
      <c r="M1705" s="3875">
        <v>5000</v>
      </c>
      <c r="N1705" s="4"/>
      <c r="O1705" s="86"/>
      <c r="P1705" s="1817"/>
    </row>
    <row r="1706" spans="1:38" ht="22.5">
      <c r="A1706" s="3860"/>
      <c r="B1706" s="3860" t="s">
        <v>1249</v>
      </c>
      <c r="C1706" s="3860" t="s">
        <v>557</v>
      </c>
      <c r="D1706" s="3861"/>
      <c r="E1706" s="3862" t="s">
        <v>1909</v>
      </c>
      <c r="F1706" s="3863">
        <v>2241</v>
      </c>
      <c r="G1706" s="3877" t="s">
        <v>5382</v>
      </c>
      <c r="H1706" s="3864"/>
      <c r="I1706" s="3865"/>
      <c r="J1706" s="3869"/>
      <c r="K1706" s="3870"/>
      <c r="L1706" s="3874"/>
      <c r="M1706" s="3875">
        <v>7000</v>
      </c>
      <c r="N1706" s="83"/>
      <c r="O1706" s="86"/>
      <c r="P1706" s="1817" t="e">
        <f>INDEX(#REF!,MATCH(F1706,#REF!,0),2)</f>
        <v>#REF!</v>
      </c>
    </row>
    <row r="1707" spans="1:38" ht="22.15" customHeight="1">
      <c r="A1707" s="3860"/>
      <c r="B1707" s="3860" t="s">
        <v>1249</v>
      </c>
      <c r="C1707" s="3860" t="s">
        <v>557</v>
      </c>
      <c r="D1707" s="3861"/>
      <c r="E1707" s="3862" t="s">
        <v>1909</v>
      </c>
      <c r="F1707" s="3863">
        <v>2241</v>
      </c>
      <c r="G1707" s="3882" t="s">
        <v>2206</v>
      </c>
      <c r="H1707" s="3864"/>
      <c r="I1707" s="3865">
        <v>22000</v>
      </c>
      <c r="J1707" s="3869"/>
      <c r="K1707" s="3870"/>
      <c r="L1707" s="3874"/>
      <c r="M1707" s="3874"/>
      <c r="N1707" s="4" t="s">
        <v>5379</v>
      </c>
      <c r="O1707" s="86"/>
      <c r="P1707" s="1817" t="e">
        <f>INDEX(#REF!,MATCH(F1707,#REF!,0),2)</f>
        <v>#REF!</v>
      </c>
    </row>
    <row r="1708" spans="1:38" ht="15" customHeight="1">
      <c r="A1708" s="3860"/>
      <c r="B1708" s="3860" t="s">
        <v>1249</v>
      </c>
      <c r="C1708" s="3860" t="s">
        <v>557</v>
      </c>
      <c r="D1708" s="3861"/>
      <c r="E1708" s="3862" t="s">
        <v>1909</v>
      </c>
      <c r="F1708" s="3863">
        <v>2241</v>
      </c>
      <c r="G1708" s="3882" t="s">
        <v>2207</v>
      </c>
      <c r="H1708" s="3864"/>
      <c r="I1708" s="3865">
        <v>18300</v>
      </c>
      <c r="J1708" s="3869"/>
      <c r="K1708" s="3870"/>
      <c r="L1708" s="3874"/>
      <c r="M1708" s="3874"/>
      <c r="N1708" s="4073" t="s">
        <v>5380</v>
      </c>
      <c r="O1708" s="86"/>
      <c r="P1708" s="1817" t="e">
        <f>INDEX(#REF!,MATCH(F1708,#REF!,0),2)</f>
        <v>#REF!</v>
      </c>
    </row>
    <row r="1709" spans="1:38" ht="16.899999999999999" customHeight="1">
      <c r="A1709" s="3894"/>
      <c r="B1709" s="3894" t="s">
        <v>1248</v>
      </c>
      <c r="C1709" s="3894" t="s">
        <v>505</v>
      </c>
      <c r="D1709" s="3895">
        <v>910</v>
      </c>
      <c r="E1709" s="3885" t="s">
        <v>1909</v>
      </c>
      <c r="F1709" s="3886">
        <v>2243</v>
      </c>
      <c r="G1709" s="3887" t="s">
        <v>329</v>
      </c>
      <c r="H1709" s="3888">
        <v>18649.96</v>
      </c>
      <c r="I1709" s="3884"/>
      <c r="J1709" s="3890">
        <v>13666</v>
      </c>
      <c r="K1709" s="3891"/>
      <c r="L1709" s="3889">
        <v>10751</v>
      </c>
      <c r="M1709" s="3889"/>
      <c r="N1709" s="83"/>
      <c r="O1709" s="86"/>
      <c r="P1709" s="1817" t="e">
        <f>INDEX(#REF!,MATCH(F1709,#REF!,0),2)</f>
        <v>#REF!</v>
      </c>
    </row>
    <row r="1710" spans="1:38" ht="16.899999999999999" customHeight="1">
      <c r="A1710" s="3860"/>
      <c r="B1710" s="3860" t="s">
        <v>1248</v>
      </c>
      <c r="C1710" s="3860" t="s">
        <v>505</v>
      </c>
      <c r="D1710" s="3873"/>
      <c r="E1710" s="3862" t="s">
        <v>1909</v>
      </c>
      <c r="F1710" s="3863">
        <v>2243</v>
      </c>
      <c r="G1710" s="3912" t="s">
        <v>634</v>
      </c>
      <c r="H1710" s="3864"/>
      <c r="I1710" s="3865">
        <v>220</v>
      </c>
      <c r="J1710" s="3869"/>
      <c r="K1710" s="3870"/>
      <c r="L1710" s="3865"/>
      <c r="M1710" s="3865">
        <v>220</v>
      </c>
      <c r="N1710" s="83"/>
      <c r="O1710" s="86"/>
      <c r="P1710" s="1817" t="e">
        <f>INDEX(#REF!,MATCH(F1710,#REF!,0),2)</f>
        <v>#REF!</v>
      </c>
    </row>
    <row r="1711" spans="1:38" ht="16.899999999999999" customHeight="1">
      <c r="A1711" s="3910"/>
      <c r="B1711" s="3860" t="s">
        <v>1248</v>
      </c>
      <c r="C1711" s="3860" t="s">
        <v>505</v>
      </c>
      <c r="D1711" s="3861"/>
      <c r="E1711" s="3862" t="s">
        <v>1909</v>
      </c>
      <c r="F1711" s="3863">
        <v>2243</v>
      </c>
      <c r="G1711" s="3881" t="s">
        <v>399</v>
      </c>
      <c r="H1711" s="3864"/>
      <c r="I1711" s="3865">
        <v>100</v>
      </c>
      <c r="J1711" s="3869"/>
      <c r="K1711" s="3870"/>
      <c r="L1711" s="3865"/>
      <c r="M1711" s="3865">
        <v>100</v>
      </c>
      <c r="N1711" s="83"/>
      <c r="O1711" s="86"/>
      <c r="P1711" s="1817" t="e">
        <f>INDEX(#REF!,MATCH(F1711,#REF!,0),2)</f>
        <v>#REF!</v>
      </c>
    </row>
    <row r="1712" spans="1:38" ht="12.6" customHeight="1">
      <c r="A1712" s="3860"/>
      <c r="B1712" s="3860" t="s">
        <v>1248</v>
      </c>
      <c r="C1712" s="3860" t="s">
        <v>505</v>
      </c>
      <c r="D1712" s="3873"/>
      <c r="E1712" s="3862" t="s">
        <v>1909</v>
      </c>
      <c r="F1712" s="3863">
        <v>2243</v>
      </c>
      <c r="G1712" s="3868" t="s">
        <v>816</v>
      </c>
      <c r="H1712" s="3864"/>
      <c r="I1712" s="3865">
        <v>500</v>
      </c>
      <c r="J1712" s="3869"/>
      <c r="K1712" s="3870"/>
      <c r="L1712" s="3865"/>
      <c r="M1712" s="3865">
        <v>800</v>
      </c>
      <c r="N1712" s="4" t="s">
        <v>5383</v>
      </c>
      <c r="O1712" s="86"/>
      <c r="P1712" s="1817" t="e">
        <f>INDEX(#REF!,MATCH(F1712,#REF!,0),2)</f>
        <v>#REF!</v>
      </c>
      <c r="Q1712" s="43"/>
      <c r="R1712" s="43"/>
      <c r="S1712" s="43"/>
      <c r="T1712" s="43"/>
      <c r="U1712" s="43"/>
      <c r="V1712" s="43"/>
      <c r="W1712" s="43"/>
      <c r="X1712" s="43"/>
      <c r="Y1712" s="43"/>
      <c r="Z1712" s="43"/>
      <c r="AA1712" s="43"/>
      <c r="AB1712" s="43"/>
      <c r="AC1712" s="43"/>
      <c r="AD1712" s="43"/>
      <c r="AE1712" s="43"/>
      <c r="AF1712" s="43"/>
      <c r="AG1712" s="43"/>
      <c r="AH1712" s="43"/>
      <c r="AI1712" s="43"/>
      <c r="AJ1712" s="43"/>
      <c r="AK1712" s="43"/>
      <c r="AL1712" s="43"/>
    </row>
    <row r="1713" spans="1:38" ht="33" customHeight="1">
      <c r="A1713" s="3860"/>
      <c r="B1713" s="3860" t="s">
        <v>1248</v>
      </c>
      <c r="C1713" s="3860" t="s">
        <v>505</v>
      </c>
      <c r="D1713" s="3861"/>
      <c r="E1713" s="3862" t="s">
        <v>1909</v>
      </c>
      <c r="F1713" s="3863">
        <v>2243</v>
      </c>
      <c r="G1713" s="3868" t="s">
        <v>5384</v>
      </c>
      <c r="H1713" s="3864"/>
      <c r="I1713" s="3865">
        <v>500</v>
      </c>
      <c r="J1713" s="3869"/>
      <c r="K1713" s="3870"/>
      <c r="L1713" s="3865"/>
      <c r="M1713" s="3865">
        <v>700</v>
      </c>
      <c r="N1713" s="83"/>
      <c r="O1713" s="86"/>
      <c r="P1713" s="1817" t="e">
        <f>INDEX(#REF!,MATCH(F1713,#REF!,0),2)</f>
        <v>#REF!</v>
      </c>
    </row>
    <row r="1714" spans="1:38" ht="37.15" customHeight="1">
      <c r="A1714" s="3860"/>
      <c r="B1714" s="3860" t="s">
        <v>1248</v>
      </c>
      <c r="C1714" s="3860" t="s">
        <v>513</v>
      </c>
      <c r="D1714" s="3861"/>
      <c r="E1714" s="3862" t="s">
        <v>1909</v>
      </c>
      <c r="F1714" s="3863">
        <v>2243</v>
      </c>
      <c r="G1714" s="3881" t="s">
        <v>271</v>
      </c>
      <c r="H1714" s="3864"/>
      <c r="I1714" s="3865">
        <v>500</v>
      </c>
      <c r="J1714" s="3866"/>
      <c r="K1714" s="3867"/>
      <c r="L1714" s="3874"/>
      <c r="M1714" s="3865">
        <v>500</v>
      </c>
      <c r="N1714" s="83"/>
      <c r="O1714" s="86"/>
      <c r="P1714" s="1817" t="e">
        <f>INDEX(#REF!,MATCH(F1714,#REF!,0),2)</f>
        <v>#REF!</v>
      </c>
      <c r="Q1714" s="43"/>
      <c r="R1714" s="43"/>
      <c r="S1714" s="43"/>
      <c r="T1714" s="43"/>
      <c r="U1714" s="43"/>
      <c r="V1714" s="43"/>
      <c r="W1714" s="43"/>
      <c r="X1714" s="43"/>
      <c r="Y1714" s="43"/>
      <c r="Z1714" s="43"/>
      <c r="AA1714" s="43"/>
      <c r="AB1714" s="43"/>
      <c r="AC1714" s="43"/>
      <c r="AD1714" s="43"/>
      <c r="AE1714" s="43"/>
      <c r="AF1714" s="43"/>
      <c r="AG1714" s="43"/>
      <c r="AH1714" s="43"/>
      <c r="AI1714" s="43"/>
      <c r="AJ1714" s="43"/>
      <c r="AK1714" s="43"/>
      <c r="AL1714" s="43"/>
    </row>
    <row r="1715" spans="1:38" ht="33.75">
      <c r="A1715" s="3860"/>
      <c r="B1715" s="3860" t="s">
        <v>1248</v>
      </c>
      <c r="C1715" s="3860" t="s">
        <v>505</v>
      </c>
      <c r="D1715" s="3861"/>
      <c r="E1715" s="3862" t="s">
        <v>1909</v>
      </c>
      <c r="F1715" s="3863">
        <v>2243</v>
      </c>
      <c r="G1715" s="3859" t="s">
        <v>5385</v>
      </c>
      <c r="H1715" s="3864"/>
      <c r="I1715" s="3865">
        <v>4870</v>
      </c>
      <c r="J1715" s="3869"/>
      <c r="K1715" s="3870"/>
      <c r="L1715" s="3865"/>
      <c r="M1715" s="3875">
        <v>5210</v>
      </c>
      <c r="N1715" s="4" t="s">
        <v>5386</v>
      </c>
      <c r="O1715" s="86"/>
      <c r="P1715" s="1817" t="e">
        <f>INDEX(#REF!,MATCH(F1715,#REF!,0),2)</f>
        <v>#REF!</v>
      </c>
    </row>
    <row r="1716" spans="1:38" ht="33.75">
      <c r="A1716" s="3860"/>
      <c r="B1716" s="3860" t="s">
        <v>1248</v>
      </c>
      <c r="C1716" s="3860" t="s">
        <v>505</v>
      </c>
      <c r="D1716" s="3861"/>
      <c r="E1716" s="3862" t="s">
        <v>1909</v>
      </c>
      <c r="F1716" s="3863">
        <v>2243</v>
      </c>
      <c r="G1716" s="3859" t="s">
        <v>5387</v>
      </c>
      <c r="H1716" s="3864"/>
      <c r="I1716" s="3865">
        <v>721</v>
      </c>
      <c r="J1716" s="3869"/>
      <c r="K1716" s="3870"/>
      <c r="L1716" s="3865"/>
      <c r="M1716" s="3875">
        <v>721</v>
      </c>
      <c r="N1716" s="83"/>
      <c r="O1716" s="86"/>
      <c r="P1716" s="1817" t="e">
        <f>INDEX(#REF!,MATCH(F1716,#REF!,0),2)</f>
        <v>#REF!</v>
      </c>
      <c r="Q1716" s="43"/>
      <c r="R1716" s="43"/>
      <c r="S1716" s="43"/>
      <c r="T1716" s="43"/>
      <c r="U1716" s="43"/>
      <c r="V1716" s="43"/>
      <c r="W1716" s="43"/>
      <c r="X1716" s="43"/>
      <c r="Y1716" s="43"/>
      <c r="Z1716" s="43"/>
      <c r="AA1716" s="43"/>
      <c r="AB1716" s="43"/>
      <c r="AC1716" s="43"/>
      <c r="AD1716" s="43"/>
      <c r="AE1716" s="43"/>
      <c r="AF1716" s="43"/>
      <c r="AG1716" s="43"/>
      <c r="AH1716" s="43"/>
      <c r="AI1716" s="43"/>
      <c r="AJ1716" s="43"/>
      <c r="AK1716" s="43"/>
      <c r="AL1716" s="43"/>
    </row>
    <row r="1717" spans="1:38" ht="47.45" customHeight="1">
      <c r="A1717" s="3860"/>
      <c r="B1717" s="3860" t="s">
        <v>1248</v>
      </c>
      <c r="C1717" s="3860" t="s">
        <v>513</v>
      </c>
      <c r="D1717" s="3873"/>
      <c r="E1717" s="3862" t="s">
        <v>1909</v>
      </c>
      <c r="F1717" s="3863">
        <v>2243</v>
      </c>
      <c r="G1717" s="3859" t="s">
        <v>5388</v>
      </c>
      <c r="H1717" s="3864"/>
      <c r="I1717" s="3865">
        <v>285</v>
      </c>
      <c r="J1717" s="3866"/>
      <c r="K1717" s="3867"/>
      <c r="L1717" s="3865"/>
      <c r="M1717" s="3875">
        <v>500</v>
      </c>
      <c r="N1717" s="4" t="s">
        <v>2203</v>
      </c>
      <c r="O1717" s="86"/>
      <c r="P1717" s="1817" t="e">
        <f>INDEX(#REF!,MATCH(F1717,#REF!,0),2)</f>
        <v>#REF!</v>
      </c>
      <c r="Q1717" s="43"/>
      <c r="R1717" s="43"/>
      <c r="S1717" s="43"/>
      <c r="T1717" s="43"/>
      <c r="U1717" s="43"/>
      <c r="V1717" s="43"/>
      <c r="W1717" s="43"/>
      <c r="X1717" s="43"/>
      <c r="Y1717" s="43"/>
      <c r="Z1717" s="43"/>
      <c r="AA1717" s="43"/>
      <c r="AB1717" s="43"/>
      <c r="AC1717" s="43"/>
      <c r="AD1717" s="43"/>
      <c r="AE1717" s="43"/>
      <c r="AF1717" s="43"/>
      <c r="AG1717" s="43"/>
      <c r="AH1717" s="43"/>
      <c r="AI1717" s="43"/>
      <c r="AJ1717" s="43"/>
      <c r="AK1717" s="43"/>
      <c r="AL1717" s="43"/>
    </row>
    <row r="1718" spans="1:38">
      <c r="A1718" s="3860"/>
      <c r="B1718" s="3860" t="s">
        <v>1248</v>
      </c>
      <c r="C1718" s="3860" t="s">
        <v>513</v>
      </c>
      <c r="D1718" s="3873"/>
      <c r="E1718" s="3862" t="s">
        <v>1909</v>
      </c>
      <c r="F1718" s="3863">
        <v>2243</v>
      </c>
      <c r="G1718" s="3859" t="s">
        <v>5389</v>
      </c>
      <c r="H1718" s="3864"/>
      <c r="I1718" s="3865">
        <v>227</v>
      </c>
      <c r="J1718" s="3866"/>
      <c r="K1718" s="3867"/>
      <c r="L1718" s="3865"/>
      <c r="M1718" s="3875">
        <v>140</v>
      </c>
      <c r="N1718" s="4" t="s">
        <v>5390</v>
      </c>
      <c r="O1718" s="86"/>
      <c r="P1718" s="1817" t="e">
        <f>INDEX(#REF!,MATCH(F1718,#REF!,0),2)</f>
        <v>#REF!</v>
      </c>
    </row>
    <row r="1719" spans="1:38" ht="45">
      <c r="A1719" s="3860"/>
      <c r="B1719" s="3860" t="s">
        <v>1248</v>
      </c>
      <c r="C1719" s="3860" t="s">
        <v>513</v>
      </c>
      <c r="D1719" s="3861"/>
      <c r="E1719" s="3862" t="s">
        <v>1909</v>
      </c>
      <c r="F1719" s="3863">
        <v>2243</v>
      </c>
      <c r="G1719" s="3859" t="s">
        <v>5391</v>
      </c>
      <c r="H1719" s="3864"/>
      <c r="I1719" s="3865">
        <v>726.96</v>
      </c>
      <c r="J1719" s="3866"/>
      <c r="K1719" s="3867"/>
      <c r="L1719" s="3865"/>
      <c r="M1719" s="3875">
        <v>1860</v>
      </c>
      <c r="N1719" s="4" t="s">
        <v>5390</v>
      </c>
      <c r="O1719" s="86"/>
      <c r="P1719" s="1817" t="e">
        <f>INDEX(#REF!,MATCH(F1719,#REF!,0),2)</f>
        <v>#REF!</v>
      </c>
    </row>
    <row r="1720" spans="1:38" ht="24" customHeight="1">
      <c r="A1720" s="3860"/>
      <c r="B1720" s="3860" t="s">
        <v>1248</v>
      </c>
      <c r="C1720" s="3860" t="s">
        <v>513</v>
      </c>
      <c r="D1720" s="3873"/>
      <c r="E1720" s="3862" t="s">
        <v>1909</v>
      </c>
      <c r="F1720" s="3863">
        <v>2243</v>
      </c>
      <c r="G1720" s="3920" t="s">
        <v>2208</v>
      </c>
      <c r="H1720" s="3864"/>
      <c r="I1720" s="3865">
        <v>4000</v>
      </c>
      <c r="J1720" s="3866"/>
      <c r="K1720" s="3867"/>
      <c r="L1720" s="3865"/>
      <c r="M1720" s="3865"/>
      <c r="N1720" s="4"/>
      <c r="O1720" s="86"/>
      <c r="P1720" s="1817" t="e">
        <f>INDEX(#REF!,MATCH(F1720,#REF!,0),2)</f>
        <v>#REF!</v>
      </c>
      <c r="Q1720" s="43"/>
      <c r="R1720" s="43"/>
      <c r="S1720" s="43"/>
      <c r="T1720" s="43"/>
      <c r="U1720" s="43"/>
      <c r="V1720" s="43"/>
      <c r="W1720" s="43"/>
      <c r="X1720" s="43"/>
      <c r="Y1720" s="43"/>
      <c r="Z1720" s="43"/>
      <c r="AA1720" s="43"/>
      <c r="AB1720" s="43"/>
      <c r="AC1720" s="43"/>
      <c r="AD1720" s="43"/>
      <c r="AE1720" s="43"/>
      <c r="AF1720" s="43"/>
      <c r="AG1720" s="43"/>
      <c r="AH1720" s="43"/>
      <c r="AI1720" s="43"/>
      <c r="AJ1720" s="43"/>
      <c r="AK1720" s="43"/>
      <c r="AL1720" s="43"/>
    </row>
    <row r="1721" spans="1:38" ht="24" customHeight="1">
      <c r="A1721" s="3860"/>
      <c r="B1721" s="3860" t="s">
        <v>1248</v>
      </c>
      <c r="C1721" s="3860" t="s">
        <v>513</v>
      </c>
      <c r="D1721" s="3873"/>
      <c r="E1721" s="3862" t="s">
        <v>1909</v>
      </c>
      <c r="F1721" s="3863">
        <v>2243</v>
      </c>
      <c r="G1721" s="3920" t="s">
        <v>2209</v>
      </c>
      <c r="H1721" s="3864"/>
      <c r="I1721" s="3865">
        <v>6000</v>
      </c>
      <c r="J1721" s="3866"/>
      <c r="K1721" s="3867"/>
      <c r="L1721" s="3865"/>
      <c r="M1721" s="3865"/>
      <c r="N1721" s="4"/>
      <c r="O1721" s="86"/>
      <c r="P1721" s="1817" t="e">
        <f>INDEX(#REF!,MATCH(F1721,#REF!,0),2)</f>
        <v>#REF!</v>
      </c>
      <c r="Q1721" s="43"/>
      <c r="R1721" s="43"/>
      <c r="S1721" s="43"/>
      <c r="T1721" s="43"/>
      <c r="U1721" s="43"/>
      <c r="V1721" s="43"/>
      <c r="W1721" s="43"/>
      <c r="X1721" s="43"/>
      <c r="Y1721" s="43"/>
      <c r="Z1721" s="43"/>
      <c r="AA1721" s="43"/>
      <c r="AB1721" s="43"/>
      <c r="AC1721" s="43"/>
      <c r="AD1721" s="43"/>
      <c r="AE1721" s="43"/>
      <c r="AF1721" s="43"/>
      <c r="AG1721" s="43"/>
      <c r="AH1721" s="43"/>
      <c r="AI1721" s="43"/>
      <c r="AJ1721" s="43"/>
      <c r="AK1721" s="43"/>
      <c r="AL1721" s="43"/>
    </row>
    <row r="1722" spans="1:38" ht="30" customHeight="1">
      <c r="A1722" s="3894"/>
      <c r="B1722" s="3894" t="s">
        <v>1248</v>
      </c>
      <c r="C1722" s="3894" t="s">
        <v>513</v>
      </c>
      <c r="D1722" s="3895">
        <v>910</v>
      </c>
      <c r="E1722" s="3885" t="s">
        <v>1909</v>
      </c>
      <c r="F1722" s="3886">
        <v>2244</v>
      </c>
      <c r="G1722" s="3887" t="s">
        <v>518</v>
      </c>
      <c r="H1722" s="3888">
        <v>12607.3</v>
      </c>
      <c r="I1722" s="3889"/>
      <c r="J1722" s="3890">
        <v>9085</v>
      </c>
      <c r="K1722" s="3891"/>
      <c r="L1722" s="3889">
        <v>13665</v>
      </c>
      <c r="M1722" s="3884"/>
      <c r="N1722" s="83"/>
      <c r="O1722" s="86"/>
      <c r="P1722" s="1817" t="e">
        <f>INDEX(#REF!,MATCH(F1722,#REF!,0),2)</f>
        <v>#REF!</v>
      </c>
      <c r="Q1722" s="43"/>
      <c r="R1722" s="43"/>
      <c r="S1722" s="43"/>
      <c r="T1722" s="43"/>
      <c r="U1722" s="43"/>
      <c r="V1722" s="43"/>
      <c r="W1722" s="43"/>
      <c r="X1722" s="43"/>
      <c r="Y1722" s="43"/>
      <c r="Z1722" s="43"/>
      <c r="AA1722" s="43"/>
      <c r="AB1722" s="43"/>
      <c r="AC1722" s="43"/>
      <c r="AD1722" s="43"/>
      <c r="AE1722" s="43"/>
      <c r="AF1722" s="43"/>
      <c r="AG1722" s="43"/>
      <c r="AH1722" s="43"/>
      <c r="AI1722" s="43"/>
      <c r="AJ1722" s="43"/>
      <c r="AK1722" s="43"/>
      <c r="AL1722" s="43"/>
    </row>
    <row r="1723" spans="1:38" ht="29.45" customHeight="1">
      <c r="A1723" s="3860"/>
      <c r="B1723" s="3860" t="s">
        <v>1248</v>
      </c>
      <c r="C1723" s="3860" t="s">
        <v>513</v>
      </c>
      <c r="D1723" s="3861"/>
      <c r="E1723" s="3862" t="s">
        <v>1909</v>
      </c>
      <c r="F1723" s="3863">
        <v>2244</v>
      </c>
      <c r="G1723" s="3859" t="s">
        <v>5392</v>
      </c>
      <c r="H1723" s="3864"/>
      <c r="I1723" s="3865">
        <v>1573</v>
      </c>
      <c r="J1723" s="3869"/>
      <c r="K1723" s="3870"/>
      <c r="L1723" s="3874"/>
      <c r="M1723" s="3875">
        <v>1573</v>
      </c>
      <c r="N1723" s="83" t="s">
        <v>5719</v>
      </c>
      <c r="O1723" s="86"/>
      <c r="P1723" s="1817" t="e">
        <f>INDEX(#REF!,MATCH(F1723,#REF!,0),2)</f>
        <v>#REF!</v>
      </c>
    </row>
    <row r="1724" spans="1:38" ht="36" customHeight="1">
      <c r="A1724" s="3860"/>
      <c r="B1724" s="3860" t="s">
        <v>1248</v>
      </c>
      <c r="C1724" s="3860" t="s">
        <v>513</v>
      </c>
      <c r="D1724" s="3861"/>
      <c r="E1724" s="3862" t="s">
        <v>1909</v>
      </c>
      <c r="F1724" s="3863">
        <v>2244</v>
      </c>
      <c r="G1724" s="3859" t="s">
        <v>2638</v>
      </c>
      <c r="H1724" s="3864"/>
      <c r="I1724" s="3865">
        <v>1730.3</v>
      </c>
      <c r="J1724" s="3869"/>
      <c r="K1724" s="3870"/>
      <c r="L1724" s="3874"/>
      <c r="M1724" s="3875">
        <v>2300</v>
      </c>
      <c r="N1724" s="4" t="s">
        <v>5393</v>
      </c>
      <c r="O1724" s="86"/>
      <c r="P1724" s="1817" t="e">
        <f>INDEX(#REF!,MATCH(F1724,#REF!,0),2)</f>
        <v>#REF!</v>
      </c>
    </row>
    <row r="1725" spans="1:38" ht="22.9" customHeight="1">
      <c r="A1725" s="3871"/>
      <c r="B1725" s="3872" t="s">
        <v>1248</v>
      </c>
      <c r="C1725" s="3872" t="s">
        <v>513</v>
      </c>
      <c r="D1725" s="3873"/>
      <c r="E1725" s="3862" t="s">
        <v>1909</v>
      </c>
      <c r="F1725" s="3863">
        <v>2244</v>
      </c>
      <c r="G1725" s="3859" t="s">
        <v>1010</v>
      </c>
      <c r="H1725" s="3864"/>
      <c r="I1725" s="3865">
        <v>1357</v>
      </c>
      <c r="J1725" s="3869"/>
      <c r="K1725" s="3870"/>
      <c r="L1725" s="3874"/>
      <c r="M1725" s="3875">
        <v>1500</v>
      </c>
      <c r="N1725" s="83"/>
      <c r="O1725" s="86"/>
      <c r="P1725" s="1817" t="e">
        <f>INDEX(#REF!,MATCH(F1725,#REF!,0),2)</f>
        <v>#REF!</v>
      </c>
    </row>
    <row r="1726" spans="1:38" ht="36.6" customHeight="1">
      <c r="A1726" s="3871"/>
      <c r="B1726" s="3872" t="s">
        <v>1248</v>
      </c>
      <c r="C1726" s="3872" t="s">
        <v>513</v>
      </c>
      <c r="D1726" s="3873"/>
      <c r="E1726" s="3862" t="s">
        <v>1909</v>
      </c>
      <c r="F1726" s="3863">
        <v>2244</v>
      </c>
      <c r="G1726" s="3859" t="s">
        <v>5395</v>
      </c>
      <c r="H1726" s="3864"/>
      <c r="I1726" s="3865"/>
      <c r="J1726" s="3869"/>
      <c r="K1726" s="3870"/>
      <c r="L1726" s="3874"/>
      <c r="M1726" s="3875">
        <v>828</v>
      </c>
      <c r="N1726" s="4" t="s">
        <v>5396</v>
      </c>
      <c r="O1726" s="86"/>
      <c r="P1726" s="1817"/>
    </row>
    <row r="1727" spans="1:38" ht="36.6" customHeight="1">
      <c r="A1727" s="3871"/>
      <c r="B1727" s="3872" t="s">
        <v>1248</v>
      </c>
      <c r="C1727" s="3872" t="s">
        <v>513</v>
      </c>
      <c r="D1727" s="3873"/>
      <c r="E1727" s="3862" t="s">
        <v>1909</v>
      </c>
      <c r="F1727" s="3863">
        <v>2244</v>
      </c>
      <c r="G1727" s="3859" t="s">
        <v>2639</v>
      </c>
      <c r="H1727" s="3864"/>
      <c r="I1727" s="3865">
        <v>3464</v>
      </c>
      <c r="J1727" s="3869"/>
      <c r="K1727" s="3870"/>
      <c r="L1727" s="3874"/>
      <c r="M1727" s="3875">
        <v>3464</v>
      </c>
      <c r="N1727" s="1538"/>
      <c r="O1727" s="86"/>
      <c r="P1727" s="1817" t="e">
        <f>INDEX(#REF!,MATCH(F1727,#REF!,0),2)</f>
        <v>#REF!</v>
      </c>
    </row>
    <row r="1728" spans="1:38" ht="27" customHeight="1">
      <c r="A1728" s="3871"/>
      <c r="B1728" s="3872" t="s">
        <v>1248</v>
      </c>
      <c r="C1728" s="3872" t="s">
        <v>513</v>
      </c>
      <c r="D1728" s="3873"/>
      <c r="E1728" s="3862" t="s">
        <v>1909</v>
      </c>
      <c r="F1728" s="3863">
        <v>2244</v>
      </c>
      <c r="G1728" s="3877" t="s">
        <v>5397</v>
      </c>
      <c r="H1728" s="3864"/>
      <c r="I1728" s="3865">
        <v>926</v>
      </c>
      <c r="J1728" s="3869"/>
      <c r="K1728" s="3870"/>
      <c r="L1728" s="3874"/>
      <c r="M1728" s="3875">
        <v>1900</v>
      </c>
      <c r="N1728" s="4" t="s">
        <v>5398</v>
      </c>
      <c r="O1728" s="86"/>
      <c r="P1728" s="1817" t="e">
        <f>INDEX(#REF!,MATCH(F1728,#REF!,0),2)</f>
        <v>#REF!</v>
      </c>
      <c r="Q1728" s="43"/>
      <c r="R1728" s="43"/>
      <c r="S1728" s="43"/>
      <c r="T1728" s="43"/>
      <c r="U1728" s="43"/>
      <c r="V1728" s="43"/>
      <c r="W1728" s="43"/>
      <c r="X1728" s="43"/>
      <c r="Y1728" s="43"/>
      <c r="Z1728" s="43"/>
      <c r="AA1728" s="43"/>
      <c r="AB1728" s="43"/>
      <c r="AC1728" s="43"/>
      <c r="AD1728" s="43"/>
      <c r="AE1728" s="43"/>
      <c r="AF1728" s="43"/>
      <c r="AG1728" s="43"/>
      <c r="AH1728" s="43"/>
      <c r="AI1728" s="43"/>
      <c r="AJ1728" s="43"/>
      <c r="AK1728" s="43"/>
      <c r="AL1728" s="43"/>
    </row>
    <row r="1729" spans="1:16" ht="11.45" customHeight="1">
      <c r="A1729" s="3871"/>
      <c r="B1729" s="3872" t="s">
        <v>1248</v>
      </c>
      <c r="C1729" s="3872" t="s">
        <v>513</v>
      </c>
      <c r="D1729" s="3873"/>
      <c r="E1729" s="3862" t="s">
        <v>1909</v>
      </c>
      <c r="F1729" s="3863">
        <v>2244</v>
      </c>
      <c r="G1729" s="3877" t="s">
        <v>5399</v>
      </c>
      <c r="H1729" s="3864"/>
      <c r="I1729" s="3865"/>
      <c r="J1729" s="3869"/>
      <c r="K1729" s="3870"/>
      <c r="L1729" s="3874"/>
      <c r="M1729" s="3875">
        <v>2100</v>
      </c>
      <c r="N1729" s="4" t="s">
        <v>5400</v>
      </c>
      <c r="O1729" s="86"/>
      <c r="P1729" s="1817"/>
    </row>
    <row r="1730" spans="1:16" ht="25.9" customHeight="1">
      <c r="A1730" s="3860" t="s">
        <v>1455</v>
      </c>
      <c r="B1730" s="3860" t="s">
        <v>1248</v>
      </c>
      <c r="C1730" s="3860" t="s">
        <v>513</v>
      </c>
      <c r="D1730" s="3861"/>
      <c r="E1730" s="3862" t="s">
        <v>1909</v>
      </c>
      <c r="F1730" s="3863">
        <v>2244</v>
      </c>
      <c r="G1730" s="3881" t="s">
        <v>2977</v>
      </c>
      <c r="H1730" s="3864"/>
      <c r="I1730" s="3865">
        <v>3557</v>
      </c>
      <c r="J1730" s="3869"/>
      <c r="K1730" s="3870"/>
      <c r="L1730" s="3874"/>
      <c r="M1730" s="3874"/>
      <c r="N1730" s="4" t="s">
        <v>5394</v>
      </c>
      <c r="O1730" s="86"/>
      <c r="P1730" s="1817" t="e">
        <f>INDEX(#REF!,MATCH(F1730,#REF!,0),2)</f>
        <v>#REF!</v>
      </c>
    </row>
    <row r="1731" spans="1:16" ht="23.45" customHeight="1">
      <c r="A1731" s="3894"/>
      <c r="B1731" s="3894" t="s">
        <v>1248</v>
      </c>
      <c r="C1731" s="3894" t="s">
        <v>513</v>
      </c>
      <c r="D1731" s="3895">
        <v>910</v>
      </c>
      <c r="E1731" s="3885" t="s">
        <v>1909</v>
      </c>
      <c r="F1731" s="3886">
        <v>2247</v>
      </c>
      <c r="G1731" s="3887" t="s">
        <v>309</v>
      </c>
      <c r="H1731" s="3888">
        <v>10616</v>
      </c>
      <c r="I1731" s="3884"/>
      <c r="J1731" s="3890">
        <v>789</v>
      </c>
      <c r="K1731" s="3891"/>
      <c r="L1731" s="3889">
        <v>14600</v>
      </c>
      <c r="M1731" s="3884"/>
      <c r="N1731" s="83"/>
      <c r="O1731" s="86"/>
      <c r="P1731" s="1817" t="e">
        <f>INDEX(#REF!,MATCH(F1731,#REF!,0),2)</f>
        <v>#REF!</v>
      </c>
    </row>
    <row r="1732" spans="1:16" ht="16.149999999999999" customHeight="1">
      <c r="A1732" s="3860"/>
      <c r="B1732" s="3860" t="s">
        <v>1248</v>
      </c>
      <c r="C1732" s="3860" t="s">
        <v>513</v>
      </c>
      <c r="D1732" s="3861"/>
      <c r="E1732" s="3862" t="s">
        <v>1909</v>
      </c>
      <c r="F1732" s="3863">
        <v>2247</v>
      </c>
      <c r="G1732" s="3859" t="s">
        <v>5401</v>
      </c>
      <c r="H1732" s="3864"/>
      <c r="I1732" s="3865">
        <v>716</v>
      </c>
      <c r="J1732" s="3866"/>
      <c r="K1732" s="3867"/>
      <c r="L1732" s="3874"/>
      <c r="M1732" s="3875"/>
      <c r="N1732" s="83"/>
      <c r="O1732" s="86"/>
      <c r="P1732" s="1817" t="e">
        <f>INDEX(#REF!,MATCH(F1732,#REF!,0),2)</f>
        <v>#REF!</v>
      </c>
    </row>
    <row r="1733" spans="1:16">
      <c r="A1733" s="3860"/>
      <c r="B1733" s="3860" t="s">
        <v>1248</v>
      </c>
      <c r="C1733" s="3860" t="s">
        <v>513</v>
      </c>
      <c r="D1733" s="3861"/>
      <c r="E1733" s="3862" t="s">
        <v>1909</v>
      </c>
      <c r="F1733" s="3863">
        <v>2247</v>
      </c>
      <c r="G1733" s="3881" t="s">
        <v>5402</v>
      </c>
      <c r="H1733" s="3864"/>
      <c r="I1733" s="3865">
        <v>9900</v>
      </c>
      <c r="J1733" s="3866"/>
      <c r="K1733" s="3867"/>
      <c r="L1733" s="3874"/>
      <c r="M1733" s="3865">
        <v>14600</v>
      </c>
      <c r="N1733" s="83"/>
      <c r="O1733" s="86"/>
      <c r="P1733" s="1817" t="e">
        <f>INDEX(#REF!,MATCH(F1733,#REF!,0),2)</f>
        <v>#REF!</v>
      </c>
    </row>
    <row r="1734" spans="1:16">
      <c r="A1734" s="3894"/>
      <c r="B1734" s="3894" t="s">
        <v>1248</v>
      </c>
      <c r="C1734" s="3894" t="s">
        <v>513</v>
      </c>
      <c r="D1734" s="3895">
        <v>910</v>
      </c>
      <c r="E1734" s="3885" t="s">
        <v>1909</v>
      </c>
      <c r="F1734" s="3886">
        <v>2249</v>
      </c>
      <c r="G1734" s="3887" t="s">
        <v>283</v>
      </c>
      <c r="H1734" s="3888">
        <v>17145</v>
      </c>
      <c r="I1734" s="3884"/>
      <c r="J1734" s="3890">
        <v>5382</v>
      </c>
      <c r="K1734" s="3891"/>
      <c r="L1734" s="3889">
        <v>13923</v>
      </c>
      <c r="M1734" s="3884"/>
      <c r="N1734" s="83"/>
      <c r="O1734" s="86"/>
      <c r="P1734" s="1817" t="e">
        <f>INDEX(#REF!,MATCH(F1734,#REF!,0),2)</f>
        <v>#REF!</v>
      </c>
    </row>
    <row r="1735" spans="1:16" ht="22.5">
      <c r="A1735" s="3860"/>
      <c r="B1735" s="3860" t="s">
        <v>1248</v>
      </c>
      <c r="C1735" s="3860" t="s">
        <v>513</v>
      </c>
      <c r="D1735" s="3861"/>
      <c r="E1735" s="3862" t="s">
        <v>1909</v>
      </c>
      <c r="F1735" s="3863">
        <v>2249</v>
      </c>
      <c r="G1735" s="3877" t="s">
        <v>2210</v>
      </c>
      <c r="H1735" s="3864"/>
      <c r="I1735" s="3865">
        <v>4600</v>
      </c>
      <c r="J1735" s="3866"/>
      <c r="K1735" s="3867"/>
      <c r="L1735" s="3874"/>
      <c r="M1735" s="3878"/>
      <c r="N1735" s="4" t="s">
        <v>5404</v>
      </c>
      <c r="O1735" s="86"/>
      <c r="P1735" s="1817" t="e">
        <f>INDEX(#REF!,MATCH(F1735,#REF!,0),2)</f>
        <v>#REF!</v>
      </c>
    </row>
    <row r="1736" spans="1:16">
      <c r="A1736" s="3860"/>
      <c r="B1736" s="3860" t="s">
        <v>1248</v>
      </c>
      <c r="C1736" s="3860" t="s">
        <v>513</v>
      </c>
      <c r="D1736" s="3861"/>
      <c r="E1736" s="3862" t="s">
        <v>1909</v>
      </c>
      <c r="F1736" s="3863">
        <v>2249</v>
      </c>
      <c r="G1736" s="3877" t="s">
        <v>5405</v>
      </c>
      <c r="H1736" s="3864"/>
      <c r="I1736" s="3865"/>
      <c r="J1736" s="3866"/>
      <c r="K1736" s="3867"/>
      <c r="L1736" s="3874"/>
      <c r="M1736" s="3875">
        <v>2500</v>
      </c>
      <c r="N1736" s="4"/>
      <c r="O1736" s="86"/>
      <c r="P1736" s="1817"/>
    </row>
    <row r="1737" spans="1:16" ht="33.75">
      <c r="A1737" s="3860"/>
      <c r="B1737" s="3860" t="s">
        <v>1248</v>
      </c>
      <c r="C1737" s="3860" t="s">
        <v>513</v>
      </c>
      <c r="D1737" s="3861"/>
      <c r="E1737" s="3862" t="s">
        <v>1909</v>
      </c>
      <c r="F1737" s="3863">
        <v>2249</v>
      </c>
      <c r="G1737" s="3879" t="s">
        <v>2640</v>
      </c>
      <c r="H1737" s="3864"/>
      <c r="I1737" s="3865">
        <v>4000</v>
      </c>
      <c r="J1737" s="3866"/>
      <c r="K1737" s="3867"/>
      <c r="L1737" s="3874"/>
      <c r="M1737" s="3875">
        <v>6500</v>
      </c>
      <c r="N1737" s="4073" t="s">
        <v>5407</v>
      </c>
      <c r="O1737" s="86"/>
      <c r="P1737" s="1817" t="e">
        <f>INDEX(#REF!,MATCH(F1737,#REF!,0),2)</f>
        <v>#REF!</v>
      </c>
    </row>
    <row r="1738" spans="1:16" ht="33.75">
      <c r="A1738" s="3860"/>
      <c r="B1738" s="3860" t="s">
        <v>1248</v>
      </c>
      <c r="C1738" s="3860" t="s">
        <v>513</v>
      </c>
      <c r="D1738" s="3861"/>
      <c r="E1738" s="3862" t="s">
        <v>1909</v>
      </c>
      <c r="F1738" s="3863">
        <v>2249</v>
      </c>
      <c r="G1738" s="3880" t="s">
        <v>5408</v>
      </c>
      <c r="H1738" s="3864"/>
      <c r="I1738" s="3865">
        <v>500</v>
      </c>
      <c r="J1738" s="3866"/>
      <c r="K1738" s="3867"/>
      <c r="L1738" s="3874"/>
      <c r="M1738" s="3875">
        <v>500</v>
      </c>
      <c r="N1738" s="4"/>
      <c r="O1738" s="86"/>
      <c r="P1738" s="1817" t="e">
        <f>INDEX(#REF!,MATCH(F1738,#REF!,0),2)</f>
        <v>#REF!</v>
      </c>
    </row>
    <row r="1739" spans="1:16" ht="21" customHeight="1">
      <c r="A1739" s="3860"/>
      <c r="B1739" s="3860" t="s">
        <v>1248</v>
      </c>
      <c r="C1739" s="3860" t="s">
        <v>513</v>
      </c>
      <c r="D1739" s="3861"/>
      <c r="E1739" s="3862" t="s">
        <v>1909</v>
      </c>
      <c r="F1739" s="3863">
        <v>2249</v>
      </c>
      <c r="G1739" s="3880" t="s">
        <v>2212</v>
      </c>
      <c r="H1739" s="3864"/>
      <c r="I1739" s="3865">
        <v>1850</v>
      </c>
      <c r="J1739" s="3866"/>
      <c r="K1739" s="3867"/>
      <c r="L1739" s="3874"/>
      <c r="M1739" s="3875">
        <v>3000</v>
      </c>
      <c r="N1739" s="4" t="s">
        <v>5409</v>
      </c>
      <c r="O1739" s="86"/>
      <c r="P1739" s="1817" t="e">
        <f>INDEX(#REF!,MATCH(F1739,#REF!,0),2)</f>
        <v>#REF!</v>
      </c>
    </row>
    <row r="1740" spans="1:16" ht="22.5">
      <c r="A1740" s="3860"/>
      <c r="B1740" s="3860" t="s">
        <v>1248</v>
      </c>
      <c r="C1740" s="3860" t="s">
        <v>513</v>
      </c>
      <c r="D1740" s="3861"/>
      <c r="E1740" s="3862" t="s">
        <v>1909</v>
      </c>
      <c r="F1740" s="3863">
        <v>2249</v>
      </c>
      <c r="G1740" s="3859" t="s">
        <v>817</v>
      </c>
      <c r="H1740" s="3864"/>
      <c r="I1740" s="3865">
        <v>1423</v>
      </c>
      <c r="J1740" s="3866"/>
      <c r="K1740" s="3867"/>
      <c r="L1740" s="3874"/>
      <c r="M1740" s="3875">
        <v>1423</v>
      </c>
      <c r="N1740" s="83"/>
      <c r="O1740" s="86"/>
      <c r="P1740" s="1817" t="e">
        <f>INDEX(#REF!,MATCH(F1740,#REF!,0),2)</f>
        <v>#REF!</v>
      </c>
    </row>
    <row r="1741" spans="1:16" ht="22.5">
      <c r="A1741" s="3860"/>
      <c r="B1741" s="3860" t="s">
        <v>1248</v>
      </c>
      <c r="C1741" s="3860" t="s">
        <v>513</v>
      </c>
      <c r="D1741" s="3861"/>
      <c r="E1741" s="3862" t="s">
        <v>1909</v>
      </c>
      <c r="F1741" s="3863">
        <v>2249</v>
      </c>
      <c r="G1741" s="3881" t="s">
        <v>818</v>
      </c>
      <c r="H1741" s="3864"/>
      <c r="I1741" s="3865">
        <v>42</v>
      </c>
      <c r="J1741" s="3866"/>
      <c r="K1741" s="3867"/>
      <c r="L1741" s="3874"/>
      <c r="M1741" s="3874"/>
      <c r="N1741" s="4" t="s">
        <v>5403</v>
      </c>
      <c r="O1741" s="86"/>
      <c r="P1741" s="1817" t="e">
        <f>INDEX(#REF!,MATCH(F1741,#REF!,0),2)</f>
        <v>#REF!</v>
      </c>
    </row>
    <row r="1742" spans="1:16" ht="16.149999999999999" customHeight="1">
      <c r="A1742" s="3860"/>
      <c r="B1742" s="3860" t="s">
        <v>1248</v>
      </c>
      <c r="C1742" s="3860" t="s">
        <v>513</v>
      </c>
      <c r="D1742" s="3861"/>
      <c r="E1742" s="3862" t="s">
        <v>1909</v>
      </c>
      <c r="F1742" s="3863">
        <v>2249</v>
      </c>
      <c r="G1742" s="3882" t="s">
        <v>2211</v>
      </c>
      <c r="H1742" s="3864"/>
      <c r="I1742" s="3865">
        <v>2230</v>
      </c>
      <c r="J1742" s="3866"/>
      <c r="K1742" s="3867"/>
      <c r="L1742" s="3874"/>
      <c r="M1742" s="3874"/>
      <c r="N1742" s="4" t="s">
        <v>5406</v>
      </c>
      <c r="O1742" s="86"/>
      <c r="P1742" s="1817" t="e">
        <f>INDEX(#REF!,MATCH(F1742,#REF!,0),2)</f>
        <v>#REF!</v>
      </c>
    </row>
    <row r="1743" spans="1:16" ht="22.5">
      <c r="A1743" s="3860"/>
      <c r="B1743" s="3860" t="s">
        <v>1248</v>
      </c>
      <c r="C1743" s="3860" t="s">
        <v>513</v>
      </c>
      <c r="D1743" s="3861"/>
      <c r="E1743" s="3862" t="s">
        <v>1909</v>
      </c>
      <c r="F1743" s="3863">
        <v>2249</v>
      </c>
      <c r="G1743" s="3882" t="s">
        <v>2213</v>
      </c>
      <c r="H1743" s="3864"/>
      <c r="I1743" s="3865">
        <v>2500</v>
      </c>
      <c r="J1743" s="3866"/>
      <c r="K1743" s="3867"/>
      <c r="L1743" s="3874"/>
      <c r="M1743" s="3874"/>
      <c r="N1743" s="4" t="s">
        <v>5410</v>
      </c>
      <c r="O1743" s="86"/>
      <c r="P1743" s="1817" t="e">
        <f>INDEX(#REF!,MATCH(F1743,#REF!,0),2)</f>
        <v>#REF!</v>
      </c>
    </row>
    <row r="1744" spans="1:16" ht="16.149999999999999" customHeight="1">
      <c r="A1744" s="3894"/>
      <c r="B1744" s="3894" t="s">
        <v>1249</v>
      </c>
      <c r="C1744" s="3894" t="s">
        <v>513</v>
      </c>
      <c r="D1744" s="3895">
        <v>910</v>
      </c>
      <c r="E1744" s="3885" t="s">
        <v>1909</v>
      </c>
      <c r="F1744" s="3886">
        <v>2249</v>
      </c>
      <c r="G1744" s="3887" t="s">
        <v>283</v>
      </c>
      <c r="H1744" s="3888">
        <v>11222</v>
      </c>
      <c r="I1744" s="3884"/>
      <c r="J1744" s="3890"/>
      <c r="K1744" s="3891"/>
      <c r="L1744" s="3889">
        <v>11222</v>
      </c>
      <c r="M1744" s="3884"/>
      <c r="N1744" s="83"/>
      <c r="O1744" s="86"/>
      <c r="P1744" s="1817" t="e">
        <f>INDEX(#REF!,MATCH(F1744,#REF!,0),2)</f>
        <v>#REF!</v>
      </c>
    </row>
    <row r="1745" spans="1:16" ht="14.45" customHeight="1">
      <c r="A1745" s="3860"/>
      <c r="B1745" s="3860" t="s">
        <v>1249</v>
      </c>
      <c r="C1745" s="3860" t="s">
        <v>513</v>
      </c>
      <c r="D1745" s="3861"/>
      <c r="E1745" s="3862" t="s">
        <v>1909</v>
      </c>
      <c r="F1745" s="3863">
        <v>2249</v>
      </c>
      <c r="G1745" s="3882" t="s">
        <v>2641</v>
      </c>
      <c r="H1745" s="3864"/>
      <c r="I1745" s="3865">
        <v>11222</v>
      </c>
      <c r="J1745" s="3866"/>
      <c r="K1745" s="3867"/>
      <c r="L1745" s="3874"/>
      <c r="M1745" s="4091">
        <v>11222</v>
      </c>
      <c r="N1745" s="2561" t="s">
        <v>5411</v>
      </c>
      <c r="O1745" s="86"/>
      <c r="P1745" s="1817" t="e">
        <f>INDEX(#REF!,MATCH(F1745,#REF!,0),2)</f>
        <v>#REF!</v>
      </c>
    </row>
    <row r="1746" spans="1:16" ht="46.9" customHeight="1">
      <c r="A1746" s="3894"/>
      <c r="B1746" s="3894" t="s">
        <v>1248</v>
      </c>
      <c r="C1746" s="3894" t="s">
        <v>505</v>
      </c>
      <c r="D1746" s="3895">
        <v>910</v>
      </c>
      <c r="E1746" s="3885" t="s">
        <v>1909</v>
      </c>
      <c r="F1746" s="3886">
        <v>2250</v>
      </c>
      <c r="G1746" s="3887" t="s">
        <v>2435</v>
      </c>
      <c r="H1746" s="3888">
        <v>1914.45</v>
      </c>
      <c r="I1746" s="3889"/>
      <c r="J1746" s="3890"/>
      <c r="K1746" s="3891"/>
      <c r="L1746" s="3888">
        <v>1954</v>
      </c>
      <c r="M1746" s="3884"/>
      <c r="N1746" s="83"/>
      <c r="O1746" s="86"/>
      <c r="P1746" s="1817" t="e">
        <f>INDEX(#REF!,MATCH(F1746,#REF!,0),2)</f>
        <v>#REF!</v>
      </c>
    </row>
    <row r="1747" spans="1:16" ht="12" customHeight="1">
      <c r="A1747" s="3872"/>
      <c r="B1747" s="3872" t="s">
        <v>1248</v>
      </c>
      <c r="C1747" s="3872" t="s">
        <v>505</v>
      </c>
      <c r="D1747" s="3873"/>
      <c r="E1747" s="3862" t="s">
        <v>1909</v>
      </c>
      <c r="F1747" s="3863">
        <v>2250</v>
      </c>
      <c r="G1747" s="3881" t="s">
        <v>1459</v>
      </c>
      <c r="H1747" s="3864"/>
      <c r="I1747" s="3865">
        <v>485.45</v>
      </c>
      <c r="J1747" s="3866"/>
      <c r="K1747" s="3867"/>
      <c r="L1747" s="3874"/>
      <c r="M1747" s="3865">
        <v>525</v>
      </c>
      <c r="N1747" s="1558" t="s">
        <v>5231</v>
      </c>
      <c r="O1747" s="86"/>
      <c r="P1747" s="1817" t="e">
        <f>INDEX(#REF!,MATCH(F1747,#REF!,0),2)</f>
        <v>#REF!</v>
      </c>
    </row>
    <row r="1748" spans="1:16" ht="16.149999999999999" customHeight="1">
      <c r="A1748" s="3913"/>
      <c r="B1748" s="3860" t="s">
        <v>1248</v>
      </c>
      <c r="C1748" s="3860" t="s">
        <v>507</v>
      </c>
      <c r="D1748" s="3914"/>
      <c r="E1748" s="3915" t="s">
        <v>1909</v>
      </c>
      <c r="F1748" s="3863">
        <v>2250</v>
      </c>
      <c r="G1748" s="3881" t="s">
        <v>2202</v>
      </c>
      <c r="H1748" s="3916"/>
      <c r="I1748" s="3865">
        <v>1379</v>
      </c>
      <c r="J1748" s="3917"/>
      <c r="K1748" s="3918"/>
      <c r="L1748" s="3919"/>
      <c r="M1748" s="3865">
        <v>1379</v>
      </c>
      <c r="N1748" s="149"/>
      <c r="O1748" s="86"/>
      <c r="P1748" s="1817" t="e">
        <f>INDEX(#REF!,MATCH(F1748,#REF!,0),2)</f>
        <v>#REF!</v>
      </c>
    </row>
    <row r="1749" spans="1:16" ht="33.6" customHeight="1">
      <c r="A1749" s="3860"/>
      <c r="B1749" s="3860" t="s">
        <v>1248</v>
      </c>
      <c r="C1749" s="3860" t="s">
        <v>507</v>
      </c>
      <c r="D1749" s="3861"/>
      <c r="E1749" s="3862" t="s">
        <v>1909</v>
      </c>
      <c r="F1749" s="3863">
        <v>2250</v>
      </c>
      <c r="G1749" s="3881" t="s">
        <v>814</v>
      </c>
      <c r="H1749" s="3864"/>
      <c r="I1749" s="3865">
        <v>50</v>
      </c>
      <c r="J1749" s="3866"/>
      <c r="K1749" s="3867"/>
      <c r="L1749" s="3874"/>
      <c r="M1749" s="3865">
        <v>50</v>
      </c>
      <c r="N1749" s="1025"/>
      <c r="O1749" s="86"/>
      <c r="P1749" s="1817" t="e">
        <f>INDEX(#REF!,MATCH(F1749,#REF!,0),2)</f>
        <v>#REF!</v>
      </c>
    </row>
    <row r="1750" spans="1:16" ht="12" customHeight="1">
      <c r="A1750" s="3894"/>
      <c r="B1750" s="3894" t="s">
        <v>1248</v>
      </c>
      <c r="C1750" s="3894" t="s">
        <v>505</v>
      </c>
      <c r="D1750" s="3895">
        <v>910</v>
      </c>
      <c r="E1750" s="3885" t="s">
        <v>1909</v>
      </c>
      <c r="F1750" s="3886">
        <v>2263</v>
      </c>
      <c r="G1750" s="3887" t="s">
        <v>400</v>
      </c>
      <c r="H1750" s="3888">
        <v>5520</v>
      </c>
      <c r="I1750" s="3889"/>
      <c r="J1750" s="3890">
        <v>5058</v>
      </c>
      <c r="K1750" s="3891"/>
      <c r="L1750" s="3889">
        <v>5520</v>
      </c>
      <c r="M1750" s="3889"/>
      <c r="N1750" s="83"/>
      <c r="O1750" s="86"/>
      <c r="P1750" s="1817" t="e">
        <f>INDEX(#REF!,MATCH(F1750,#REF!,0),2)</f>
        <v>#REF!</v>
      </c>
    </row>
    <row r="1751" spans="1:16" ht="20.45" customHeight="1">
      <c r="A1751" s="3872"/>
      <c r="B1751" s="3872" t="s">
        <v>1248</v>
      </c>
      <c r="C1751" s="3872" t="s">
        <v>505</v>
      </c>
      <c r="D1751" s="3873"/>
      <c r="E1751" s="3862" t="s">
        <v>1909</v>
      </c>
      <c r="F1751" s="3863">
        <v>2263</v>
      </c>
      <c r="G1751" s="3859" t="s">
        <v>5412</v>
      </c>
      <c r="H1751" s="3864"/>
      <c r="I1751" s="3865">
        <v>5520</v>
      </c>
      <c r="J1751" s="3866"/>
      <c r="K1751" s="3867"/>
      <c r="L1751" s="3865"/>
      <c r="M1751" s="3883">
        <v>5520</v>
      </c>
      <c r="N1751" s="43" t="s">
        <v>1133</v>
      </c>
      <c r="O1751" s="86"/>
      <c r="P1751" s="1817" t="e">
        <f>INDEX(#REF!,MATCH(F1751,#REF!,0),2)</f>
        <v>#REF!</v>
      </c>
    </row>
    <row r="1752" spans="1:16" ht="11.45" customHeight="1">
      <c r="A1752" s="3894"/>
      <c r="B1752" s="3894" t="s">
        <v>1248</v>
      </c>
      <c r="C1752" s="3894" t="s">
        <v>513</v>
      </c>
      <c r="D1752" s="3895">
        <v>910</v>
      </c>
      <c r="E1752" s="3885" t="s">
        <v>1909</v>
      </c>
      <c r="F1752" s="3886">
        <v>2264</v>
      </c>
      <c r="G1752" s="3887" t="s">
        <v>240</v>
      </c>
      <c r="H1752" s="3888">
        <v>500</v>
      </c>
      <c r="I1752" s="3889"/>
      <c r="J1752" s="3890">
        <v>328</v>
      </c>
      <c r="K1752" s="3891"/>
      <c r="L1752" s="3889">
        <v>1200</v>
      </c>
      <c r="M1752" s="3884"/>
      <c r="N1752" s="83"/>
      <c r="O1752" s="86"/>
      <c r="P1752" s="1817" t="e">
        <f>INDEX(#REF!,MATCH(F1752,#REF!,0),2)</f>
        <v>#REF!</v>
      </c>
    </row>
    <row r="1753" spans="1:16" ht="13.9" customHeight="1">
      <c r="A1753" s="3872"/>
      <c r="B1753" s="3872" t="s">
        <v>1248</v>
      </c>
      <c r="C1753" s="3872" t="s">
        <v>513</v>
      </c>
      <c r="D1753" s="3873"/>
      <c r="E1753" s="3862" t="s">
        <v>1909</v>
      </c>
      <c r="F1753" s="3863">
        <v>2264</v>
      </c>
      <c r="G1753" s="3859" t="s">
        <v>5413</v>
      </c>
      <c r="H1753" s="3864"/>
      <c r="I1753" s="3865">
        <v>500</v>
      </c>
      <c r="J1753" s="3866"/>
      <c r="K1753" s="3867"/>
      <c r="L1753" s="3874"/>
      <c r="M1753" s="3875">
        <v>1200</v>
      </c>
      <c r="N1753" s="43" t="s">
        <v>5414</v>
      </c>
      <c r="O1753" s="86"/>
      <c r="P1753" s="1817" t="e">
        <f>INDEX(#REF!,MATCH(F1753,#REF!,0),2)</f>
        <v>#REF!</v>
      </c>
    </row>
    <row r="1754" spans="1:16" ht="13.9" customHeight="1">
      <c r="A1754" s="3894"/>
      <c r="B1754" s="3894" t="s">
        <v>1248</v>
      </c>
      <c r="C1754" s="3894" t="s">
        <v>507</v>
      </c>
      <c r="D1754" s="3895">
        <v>910</v>
      </c>
      <c r="E1754" s="3885" t="s">
        <v>1909</v>
      </c>
      <c r="F1754" s="3886">
        <v>2311</v>
      </c>
      <c r="G1754" s="3887" t="s">
        <v>245</v>
      </c>
      <c r="H1754" s="3888">
        <v>855</v>
      </c>
      <c r="I1754" s="3889"/>
      <c r="J1754" s="3890">
        <v>1654</v>
      </c>
      <c r="K1754" s="3891"/>
      <c r="L1754" s="3889">
        <v>1590</v>
      </c>
      <c r="M1754" s="3889"/>
      <c r="N1754" s="83"/>
      <c r="O1754" s="86"/>
      <c r="P1754" s="1817" t="e">
        <f>INDEX(#REF!,MATCH(F1754,#REF!,0),2)</f>
        <v>#REF!</v>
      </c>
    </row>
    <row r="1755" spans="1:16" ht="13.9" customHeight="1">
      <c r="A1755" s="3872"/>
      <c r="B1755" s="3872" t="s">
        <v>1248</v>
      </c>
      <c r="C1755" s="3872" t="s">
        <v>507</v>
      </c>
      <c r="D1755" s="3873"/>
      <c r="E1755" s="3862" t="s">
        <v>1909</v>
      </c>
      <c r="F1755" s="3863">
        <v>2311</v>
      </c>
      <c r="G1755" s="3921" t="s">
        <v>401</v>
      </c>
      <c r="H1755" s="3864"/>
      <c r="I1755" s="3865">
        <v>380</v>
      </c>
      <c r="J1755" s="3866"/>
      <c r="K1755" s="3867"/>
      <c r="L1755" s="3865"/>
      <c r="M1755" s="3865">
        <v>700</v>
      </c>
      <c r="N1755" s="4" t="s">
        <v>5414</v>
      </c>
      <c r="O1755" s="86"/>
      <c r="P1755" s="1817" t="e">
        <f>INDEX(#REF!,MATCH(F1755,#REF!,0),2)</f>
        <v>#REF!</v>
      </c>
    </row>
    <row r="1756" spans="1:16" ht="13.9" customHeight="1">
      <c r="A1756" s="3872"/>
      <c r="B1756" s="3872" t="s">
        <v>1248</v>
      </c>
      <c r="C1756" s="3872" t="s">
        <v>507</v>
      </c>
      <c r="D1756" s="3873"/>
      <c r="E1756" s="3862" t="s">
        <v>1909</v>
      </c>
      <c r="F1756" s="3863">
        <v>2311</v>
      </c>
      <c r="G1756" s="3881" t="s">
        <v>819</v>
      </c>
      <c r="H1756" s="3864"/>
      <c r="I1756" s="3865">
        <v>190</v>
      </c>
      <c r="J1756" s="3866"/>
      <c r="K1756" s="3867"/>
      <c r="L1756" s="3865"/>
      <c r="M1756" s="3865">
        <v>190</v>
      </c>
      <c r="N1756" s="4"/>
      <c r="O1756" s="86"/>
      <c r="P1756" s="1817" t="e">
        <f>INDEX(#REF!,MATCH(F1756,#REF!,0),2)</f>
        <v>#REF!</v>
      </c>
    </row>
    <row r="1757" spans="1:16" ht="20.45" customHeight="1">
      <c r="A1757" s="3872"/>
      <c r="B1757" s="3872" t="s">
        <v>1248</v>
      </c>
      <c r="C1757" s="3872" t="s">
        <v>507</v>
      </c>
      <c r="D1757" s="3873"/>
      <c r="E1757" s="3862" t="s">
        <v>1909</v>
      </c>
      <c r="F1757" s="3863">
        <v>2311</v>
      </c>
      <c r="G1757" s="3921" t="s">
        <v>603</v>
      </c>
      <c r="H1757" s="3864"/>
      <c r="I1757" s="3865">
        <v>285</v>
      </c>
      <c r="J1757" s="3866"/>
      <c r="K1757" s="3867"/>
      <c r="L1757" s="3865"/>
      <c r="M1757" s="3865">
        <v>700</v>
      </c>
      <c r="N1757" s="4" t="s">
        <v>5414</v>
      </c>
      <c r="O1757" s="86"/>
      <c r="P1757" s="1817" t="e">
        <f>INDEX(#REF!,MATCH(F1757,#REF!,0),2)</f>
        <v>#REF!</v>
      </c>
    </row>
    <row r="1758" spans="1:16" ht="20.45" customHeight="1">
      <c r="A1758" s="3894"/>
      <c r="B1758" s="3894" t="s">
        <v>1248</v>
      </c>
      <c r="C1758" s="3894" t="s">
        <v>507</v>
      </c>
      <c r="D1758" s="3895">
        <v>910</v>
      </c>
      <c r="E1758" s="3885" t="s">
        <v>1909</v>
      </c>
      <c r="F1758" s="3886">
        <v>2312</v>
      </c>
      <c r="G1758" s="3887" t="s">
        <v>249</v>
      </c>
      <c r="H1758" s="3888">
        <v>18169</v>
      </c>
      <c r="I1758" s="3889"/>
      <c r="J1758" s="3890">
        <v>7361</v>
      </c>
      <c r="K1758" s="3891"/>
      <c r="L1758" s="3889">
        <v>22937.5</v>
      </c>
      <c r="M1758" s="3884"/>
      <c r="N1758" s="83"/>
      <c r="O1758" s="86"/>
      <c r="P1758" s="1817" t="e">
        <f>INDEX(#REF!,MATCH(F1758,#REF!,0),2)</f>
        <v>#REF!</v>
      </c>
    </row>
    <row r="1759" spans="1:16" ht="20.45" customHeight="1">
      <c r="A1759" s="3872"/>
      <c r="B1759" s="3872" t="s">
        <v>1248</v>
      </c>
      <c r="C1759" s="3872" t="s">
        <v>507</v>
      </c>
      <c r="D1759" s="3873"/>
      <c r="E1759" s="3862" t="s">
        <v>1909</v>
      </c>
      <c r="F1759" s="3863">
        <v>2312</v>
      </c>
      <c r="G1759" s="3881" t="s">
        <v>5415</v>
      </c>
      <c r="H1759" s="3864"/>
      <c r="I1759" s="3865">
        <v>5950</v>
      </c>
      <c r="J1759" s="3866"/>
      <c r="K1759" s="3867"/>
      <c r="L1759" s="3874"/>
      <c r="M1759" s="3865">
        <v>6247.5</v>
      </c>
      <c r="N1759" s="83"/>
      <c r="O1759" s="86"/>
      <c r="P1759" s="1817" t="e">
        <f>INDEX(#REF!,MATCH(F1759,#REF!,0),2)</f>
        <v>#REF!</v>
      </c>
    </row>
    <row r="1760" spans="1:16" ht="20.45" customHeight="1">
      <c r="A1760" s="3872"/>
      <c r="B1760" s="3872" t="s">
        <v>1248</v>
      </c>
      <c r="C1760" s="3872" t="s">
        <v>507</v>
      </c>
      <c r="D1760" s="3873"/>
      <c r="E1760" s="3862" t="s">
        <v>1909</v>
      </c>
      <c r="F1760" s="3863">
        <v>2312</v>
      </c>
      <c r="G1760" s="3881" t="s">
        <v>1456</v>
      </c>
      <c r="H1760" s="3864"/>
      <c r="I1760" s="3865">
        <v>3400</v>
      </c>
      <c r="J1760" s="3866"/>
      <c r="K1760" s="3867"/>
      <c r="L1760" s="3874"/>
      <c r="M1760" s="3865">
        <v>3570</v>
      </c>
      <c r="N1760" s="83"/>
      <c r="O1760" s="86"/>
      <c r="P1760" s="1817" t="e">
        <f>INDEX(#REF!,MATCH(F1760,#REF!,0),2)</f>
        <v>#REF!</v>
      </c>
    </row>
    <row r="1761" spans="1:16" ht="20.45" customHeight="1">
      <c r="A1761" s="3872"/>
      <c r="B1761" s="3872" t="s">
        <v>1248</v>
      </c>
      <c r="C1761" s="3872" t="s">
        <v>507</v>
      </c>
      <c r="D1761" s="3873"/>
      <c r="E1761" s="3862" t="s">
        <v>1909</v>
      </c>
      <c r="F1761" s="3863">
        <v>2312</v>
      </c>
      <c r="G1761" s="3881" t="s">
        <v>5416</v>
      </c>
      <c r="H1761" s="3864"/>
      <c r="I1761" s="3865">
        <v>1800</v>
      </c>
      <c r="J1761" s="3866"/>
      <c r="K1761" s="3867"/>
      <c r="L1761" s="3874"/>
      <c r="M1761" s="3865">
        <v>1000</v>
      </c>
      <c r="N1761" s="83"/>
      <c r="O1761" s="86"/>
      <c r="P1761" s="1817" t="e">
        <f>INDEX(#REF!,MATCH(F1761,#REF!,0),2)</f>
        <v>#REF!</v>
      </c>
    </row>
    <row r="1762" spans="1:16" ht="20.45" customHeight="1">
      <c r="A1762" s="3872"/>
      <c r="B1762" s="3872" t="s">
        <v>1248</v>
      </c>
      <c r="C1762" s="3872" t="s">
        <v>507</v>
      </c>
      <c r="D1762" s="3873"/>
      <c r="E1762" s="3862" t="s">
        <v>1909</v>
      </c>
      <c r="F1762" s="3863">
        <v>2312</v>
      </c>
      <c r="G1762" s="3881" t="s">
        <v>5417</v>
      </c>
      <c r="H1762" s="3864"/>
      <c r="I1762" s="3865"/>
      <c r="J1762" s="3866"/>
      <c r="K1762" s="3867"/>
      <c r="L1762" s="3874"/>
      <c r="M1762" s="3865">
        <v>800</v>
      </c>
      <c r="N1762" s="83"/>
      <c r="O1762" s="86"/>
      <c r="P1762" s="1817"/>
    </row>
    <row r="1763" spans="1:16" ht="20.45" customHeight="1">
      <c r="A1763" s="3872"/>
      <c r="B1763" s="3872" t="s">
        <v>1248</v>
      </c>
      <c r="C1763" s="3872" t="s">
        <v>507</v>
      </c>
      <c r="D1763" s="3873"/>
      <c r="E1763" s="3862" t="s">
        <v>1909</v>
      </c>
      <c r="F1763" s="3863">
        <v>2312</v>
      </c>
      <c r="G1763" s="3881" t="s">
        <v>5418</v>
      </c>
      <c r="H1763" s="3864"/>
      <c r="I1763" s="3865">
        <v>2800</v>
      </c>
      <c r="J1763" s="3866"/>
      <c r="K1763" s="3867"/>
      <c r="L1763" s="3874"/>
      <c r="M1763" s="3865">
        <v>2800</v>
      </c>
      <c r="N1763" s="4" t="s">
        <v>5419</v>
      </c>
      <c r="O1763" s="86"/>
      <c r="P1763" s="1817" t="e">
        <f>INDEX(#REF!,MATCH(F1763,#REF!,0),2)</f>
        <v>#REF!</v>
      </c>
    </row>
    <row r="1764" spans="1:16" ht="15.6" customHeight="1">
      <c r="A1764" s="3872"/>
      <c r="B1764" s="3872" t="s">
        <v>1248</v>
      </c>
      <c r="C1764" s="3872" t="s">
        <v>507</v>
      </c>
      <c r="D1764" s="3873"/>
      <c r="E1764" s="3862" t="s">
        <v>1909</v>
      </c>
      <c r="F1764" s="3863">
        <v>2312</v>
      </c>
      <c r="G1764" s="3881" t="s">
        <v>2214</v>
      </c>
      <c r="H1764" s="3864"/>
      <c r="I1764" s="3865">
        <v>2880</v>
      </c>
      <c r="J1764" s="3866"/>
      <c r="K1764" s="3867"/>
      <c r="L1764" s="3874"/>
      <c r="M1764" s="3865">
        <v>2880</v>
      </c>
      <c r="N1764" s="83"/>
      <c r="O1764" s="86"/>
      <c r="P1764" s="1817" t="e">
        <f>INDEX(#REF!,MATCH(F1764,#REF!,0),2)</f>
        <v>#REF!</v>
      </c>
    </row>
    <row r="1765" spans="1:16" ht="15.6" customHeight="1">
      <c r="A1765" s="3872"/>
      <c r="B1765" s="3872" t="s">
        <v>1248</v>
      </c>
      <c r="C1765" s="3872" t="s">
        <v>507</v>
      </c>
      <c r="D1765" s="3873"/>
      <c r="E1765" s="3862" t="s">
        <v>1909</v>
      </c>
      <c r="F1765" s="3863">
        <v>2312</v>
      </c>
      <c r="G1765" s="3881" t="s">
        <v>5420</v>
      </c>
      <c r="H1765" s="3864"/>
      <c r="I1765" s="3865"/>
      <c r="J1765" s="3866"/>
      <c r="K1765" s="3867"/>
      <c r="L1765" s="3874"/>
      <c r="M1765" s="3865">
        <v>1200</v>
      </c>
      <c r="N1765" s="83"/>
      <c r="O1765" s="86"/>
      <c r="P1765" s="1817"/>
    </row>
    <row r="1766" spans="1:16" ht="23.45" customHeight="1">
      <c r="A1766" s="3872"/>
      <c r="B1766" s="3872" t="s">
        <v>1248</v>
      </c>
      <c r="C1766" s="3872" t="s">
        <v>509</v>
      </c>
      <c r="D1766" s="3873"/>
      <c r="E1766" s="3862" t="s">
        <v>1909</v>
      </c>
      <c r="F1766" s="3863">
        <v>2312</v>
      </c>
      <c r="G1766" s="3881" t="s">
        <v>5421</v>
      </c>
      <c r="H1766" s="3864"/>
      <c r="I1766" s="3865">
        <v>1600</v>
      </c>
      <c r="J1766" s="3866"/>
      <c r="K1766" s="3867"/>
      <c r="L1766" s="3874"/>
      <c r="M1766" s="3865">
        <v>4440</v>
      </c>
      <c r="N1766" s="83" t="s">
        <v>5422</v>
      </c>
      <c r="O1766" s="86"/>
      <c r="P1766" s="1817" t="e">
        <f>INDEX(#REF!,MATCH(F1766,#REF!,0),2)</f>
        <v>#REF!</v>
      </c>
    </row>
    <row r="1767" spans="1:16" ht="12" customHeight="1">
      <c r="A1767" s="3872"/>
      <c r="B1767" s="3872" t="s">
        <v>1248</v>
      </c>
      <c r="C1767" s="3872" t="s">
        <v>509</v>
      </c>
      <c r="D1767" s="3873"/>
      <c r="E1767" s="3862" t="s">
        <v>1909</v>
      </c>
      <c r="F1767" s="3863">
        <v>2312</v>
      </c>
      <c r="G1767" s="3881" t="s">
        <v>3150</v>
      </c>
      <c r="H1767" s="3864"/>
      <c r="I1767" s="3865">
        <v>-316</v>
      </c>
      <c r="J1767" s="3866"/>
      <c r="K1767" s="3867"/>
      <c r="L1767" s="3874"/>
      <c r="M1767" s="3874"/>
      <c r="N1767" s="83"/>
      <c r="O1767" s="86"/>
      <c r="P1767" s="1817" t="e">
        <f>INDEX(#REF!,MATCH(F1767,#REF!,0),2)</f>
        <v>#REF!</v>
      </c>
    </row>
    <row r="1768" spans="1:16" ht="11.45" customHeight="1">
      <c r="A1768" s="3872"/>
      <c r="B1768" s="3872" t="s">
        <v>1248</v>
      </c>
      <c r="C1768" s="3872" t="s">
        <v>509</v>
      </c>
      <c r="D1768" s="3873"/>
      <c r="E1768" s="3862" t="s">
        <v>1909</v>
      </c>
      <c r="F1768" s="3863">
        <v>2312</v>
      </c>
      <c r="G1768" s="3881" t="s">
        <v>3188</v>
      </c>
      <c r="H1768" s="3864"/>
      <c r="I1768" s="3865">
        <v>-50</v>
      </c>
      <c r="J1768" s="3866"/>
      <c r="K1768" s="3867"/>
      <c r="L1768" s="3874"/>
      <c r="M1768" s="3874"/>
      <c r="N1768" s="83"/>
      <c r="O1768" s="86"/>
      <c r="P1768" s="1817" t="e">
        <f>INDEX(#REF!,MATCH(F1768,#REF!,0),2)</f>
        <v>#REF!</v>
      </c>
    </row>
    <row r="1769" spans="1:16" ht="19.899999999999999" customHeight="1">
      <c r="A1769" s="3872"/>
      <c r="B1769" s="3872" t="s">
        <v>1248</v>
      </c>
      <c r="C1769" s="3872" t="s">
        <v>509</v>
      </c>
      <c r="D1769" s="3873"/>
      <c r="E1769" s="3862" t="s">
        <v>1909</v>
      </c>
      <c r="F1769" s="3863">
        <v>2312</v>
      </c>
      <c r="G1769" s="3881" t="s">
        <v>3221</v>
      </c>
      <c r="H1769" s="3864"/>
      <c r="I1769" s="3865">
        <v>105</v>
      </c>
      <c r="J1769" s="3866"/>
      <c r="K1769" s="3867"/>
      <c r="L1769" s="3874"/>
      <c r="M1769" s="3874"/>
      <c r="N1769" s="83"/>
      <c r="O1769" s="86"/>
      <c r="P1769" s="1817" t="e">
        <f>INDEX(#REF!,MATCH(F1769,#REF!,0),2)</f>
        <v>#REF!</v>
      </c>
    </row>
    <row r="1770" spans="1:16" ht="24" customHeight="1">
      <c r="A1770" s="3894"/>
      <c r="B1770" s="3894" t="s">
        <v>1249</v>
      </c>
      <c r="C1770" s="3894" t="s">
        <v>534</v>
      </c>
      <c r="D1770" s="3895">
        <v>910</v>
      </c>
      <c r="E1770" s="3885" t="s">
        <v>1909</v>
      </c>
      <c r="F1770" s="3886">
        <v>2312</v>
      </c>
      <c r="G1770" s="3887" t="s">
        <v>249</v>
      </c>
      <c r="H1770" s="3888">
        <v>0</v>
      </c>
      <c r="I1770" s="3884"/>
      <c r="J1770" s="3890"/>
      <c r="K1770" s="3891"/>
      <c r="L1770" s="3889">
        <v>0</v>
      </c>
      <c r="M1770" s="3889"/>
      <c r="N1770" s="83"/>
      <c r="O1770" s="86"/>
      <c r="P1770" s="1817" t="e">
        <f>INDEX(#REF!,MATCH(F1770,#REF!,0),2)</f>
        <v>#REF!</v>
      </c>
    </row>
    <row r="1771" spans="1:16" ht="20.45" customHeight="1">
      <c r="A1771" s="3872"/>
      <c r="B1771" s="3872" t="s">
        <v>1249</v>
      </c>
      <c r="C1771" s="3872" t="s">
        <v>534</v>
      </c>
      <c r="D1771" s="3873"/>
      <c r="E1771" s="3862" t="s">
        <v>1909</v>
      </c>
      <c r="F1771" s="3863">
        <v>2312</v>
      </c>
      <c r="G1771" s="3893"/>
      <c r="H1771" s="3864"/>
      <c r="I1771" s="3865"/>
      <c r="J1771" s="3866"/>
      <c r="K1771" s="3867"/>
      <c r="L1771" s="3865"/>
      <c r="M1771" s="3865"/>
      <c r="N1771" s="83"/>
      <c r="O1771" s="86"/>
      <c r="P1771" s="1817" t="e">
        <f>INDEX(#REF!,MATCH(F1771,#REF!,0),2)</f>
        <v>#REF!</v>
      </c>
    </row>
    <row r="1772" spans="1:16" ht="20.45" customHeight="1">
      <c r="A1772" s="3894"/>
      <c r="B1772" s="3894" t="s">
        <v>1248</v>
      </c>
      <c r="C1772" s="3894" t="s">
        <v>505</v>
      </c>
      <c r="D1772" s="3895">
        <v>910</v>
      </c>
      <c r="E1772" s="3885" t="s">
        <v>1909</v>
      </c>
      <c r="F1772" s="3886">
        <v>2314</v>
      </c>
      <c r="G1772" s="3887" t="s">
        <v>2436</v>
      </c>
      <c r="H1772" s="3888">
        <v>5950</v>
      </c>
      <c r="I1772" s="3884"/>
      <c r="J1772" s="3890"/>
      <c r="K1772" s="3891"/>
      <c r="L1772" s="3889">
        <v>3700</v>
      </c>
      <c r="M1772" s="3889"/>
      <c r="N1772" s="83"/>
      <c r="O1772" s="86"/>
      <c r="P1772" s="1817" t="e">
        <f>INDEX(#REF!,MATCH(F1772,#REF!,0),2)</f>
        <v>#REF!</v>
      </c>
    </row>
    <row r="1773" spans="1:16" ht="27.6" customHeight="1">
      <c r="A1773" s="3872"/>
      <c r="B1773" s="3872" t="s">
        <v>1248</v>
      </c>
      <c r="C1773" s="3872" t="s">
        <v>505</v>
      </c>
      <c r="D1773" s="3873"/>
      <c r="E1773" s="3862" t="s">
        <v>1909</v>
      </c>
      <c r="F1773" s="3863">
        <v>2314</v>
      </c>
      <c r="G1773" s="3881" t="s">
        <v>2653</v>
      </c>
      <c r="H1773" s="3864"/>
      <c r="I1773" s="3865">
        <v>400</v>
      </c>
      <c r="J1773" s="3866"/>
      <c r="K1773" s="3867"/>
      <c r="L1773" s="3874"/>
      <c r="M1773" s="3865">
        <v>600</v>
      </c>
      <c r="N1773" s="4" t="s">
        <v>5438</v>
      </c>
      <c r="O1773" s="86"/>
      <c r="P1773" s="1817" t="e">
        <f>INDEX(#REF!,MATCH(F1773,#REF!,0),2)</f>
        <v>#REF!</v>
      </c>
    </row>
    <row r="1774" spans="1:16" ht="15" customHeight="1">
      <c r="A1774" s="3872"/>
      <c r="B1774" s="3872" t="s">
        <v>1248</v>
      </c>
      <c r="C1774" s="3872" t="s">
        <v>505</v>
      </c>
      <c r="D1774" s="3873"/>
      <c r="E1774" s="3862" t="s">
        <v>1909</v>
      </c>
      <c r="F1774" s="3863">
        <v>2314</v>
      </c>
      <c r="G1774" s="3881" t="s">
        <v>2215</v>
      </c>
      <c r="H1774" s="3864"/>
      <c r="I1774" s="3865">
        <v>5000</v>
      </c>
      <c r="J1774" s="3866"/>
      <c r="K1774" s="3867"/>
      <c r="L1774" s="3874"/>
      <c r="M1774" s="3922">
        <v>2000</v>
      </c>
      <c r="N1774" s="4" t="s">
        <v>5439</v>
      </c>
      <c r="O1774" s="86"/>
      <c r="P1774" s="1817" t="e">
        <f>INDEX(#REF!,MATCH(F1774,#REF!,0),2)</f>
        <v>#REF!</v>
      </c>
    </row>
    <row r="1775" spans="1:16" ht="12.6" customHeight="1">
      <c r="A1775" s="3872"/>
      <c r="B1775" s="3872" t="s">
        <v>1248</v>
      </c>
      <c r="C1775" s="3872" t="s">
        <v>505</v>
      </c>
      <c r="D1775" s="3873"/>
      <c r="E1775" s="3862" t="s">
        <v>1909</v>
      </c>
      <c r="F1775" s="3863">
        <v>2314</v>
      </c>
      <c r="G1775" s="3881" t="s">
        <v>5440</v>
      </c>
      <c r="H1775" s="3864"/>
      <c r="I1775" s="3865">
        <v>400</v>
      </c>
      <c r="J1775" s="3866"/>
      <c r="K1775" s="3867"/>
      <c r="L1775" s="3874"/>
      <c r="M1775" s="3922">
        <v>800</v>
      </c>
      <c r="N1775" s="4" t="s">
        <v>5441</v>
      </c>
      <c r="O1775" s="86"/>
      <c r="P1775" s="1817" t="e">
        <f>INDEX(#REF!,MATCH(F1775,#REF!,0),2)</f>
        <v>#REF!</v>
      </c>
    </row>
    <row r="1776" spans="1:16" ht="12.6" customHeight="1">
      <c r="A1776" s="3872"/>
      <c r="B1776" s="3872" t="s">
        <v>1248</v>
      </c>
      <c r="C1776" s="3872" t="s">
        <v>505</v>
      </c>
      <c r="D1776" s="3873"/>
      <c r="E1776" s="3862" t="s">
        <v>1909</v>
      </c>
      <c r="F1776" s="3863">
        <v>2314</v>
      </c>
      <c r="G1776" s="3881" t="s">
        <v>1062</v>
      </c>
      <c r="H1776" s="3864"/>
      <c r="I1776" s="3865">
        <v>150</v>
      </c>
      <c r="J1776" s="3866"/>
      <c r="K1776" s="3867"/>
      <c r="L1776" s="3874"/>
      <c r="M1776" s="3922">
        <v>300</v>
      </c>
      <c r="N1776" s="4" t="s">
        <v>5383</v>
      </c>
      <c r="O1776" s="86"/>
      <c r="P1776" s="1817" t="e">
        <f>INDEX(#REF!,MATCH(F1776,#REF!,0),2)</f>
        <v>#REF!</v>
      </c>
    </row>
    <row r="1777" spans="1:16" ht="12.6" customHeight="1">
      <c r="A1777" s="3894"/>
      <c r="B1777" s="3894" t="s">
        <v>1248</v>
      </c>
      <c r="C1777" s="3894" t="s">
        <v>505</v>
      </c>
      <c r="D1777" s="3895">
        <v>910</v>
      </c>
      <c r="E1777" s="3885" t="s">
        <v>1909</v>
      </c>
      <c r="F1777" s="3886">
        <v>2321</v>
      </c>
      <c r="G1777" s="3887" t="s">
        <v>317</v>
      </c>
      <c r="H1777" s="3888">
        <v>170000</v>
      </c>
      <c r="I1777" s="3884"/>
      <c r="J1777" s="3890">
        <v>100517</v>
      </c>
      <c r="K1777" s="3891"/>
      <c r="L1777" s="3889">
        <v>130000</v>
      </c>
      <c r="M1777" s="3889"/>
      <c r="N1777" s="83"/>
      <c r="O1777" s="86"/>
      <c r="P1777" s="1817" t="e">
        <f>INDEX(#REF!,MATCH(F1777,#REF!,0),2)</f>
        <v>#REF!</v>
      </c>
    </row>
    <row r="1778" spans="1:16" ht="18" customHeight="1">
      <c r="A1778" s="3872"/>
      <c r="B1778" s="3872" t="s">
        <v>1248</v>
      </c>
      <c r="C1778" s="3872" t="s">
        <v>505</v>
      </c>
      <c r="D1778" s="3873"/>
      <c r="E1778" s="3862" t="s">
        <v>1909</v>
      </c>
      <c r="F1778" s="3863">
        <v>2321</v>
      </c>
      <c r="G1778" s="3881" t="s">
        <v>2642</v>
      </c>
      <c r="H1778" s="3864"/>
      <c r="I1778" s="3865">
        <v>170000</v>
      </c>
      <c r="J1778" s="3866"/>
      <c r="K1778" s="3867"/>
      <c r="L1778" s="3865"/>
      <c r="M1778" s="3875">
        <v>130000</v>
      </c>
      <c r="N1778" s="83" t="s">
        <v>6109</v>
      </c>
      <c r="O1778" s="86"/>
      <c r="P1778" s="1817" t="e">
        <f>INDEX(#REF!,MATCH(F1778,#REF!,0),2)</f>
        <v>#REF!</v>
      </c>
    </row>
    <row r="1779" spans="1:16" ht="22.9" customHeight="1">
      <c r="A1779" s="3894"/>
      <c r="B1779" s="3894" t="s">
        <v>1248</v>
      </c>
      <c r="C1779" s="3894" t="s">
        <v>505</v>
      </c>
      <c r="D1779" s="3895">
        <v>910</v>
      </c>
      <c r="E1779" s="3885" t="s">
        <v>1909</v>
      </c>
      <c r="F1779" s="3886">
        <v>2322</v>
      </c>
      <c r="G1779" s="3887" t="s">
        <v>390</v>
      </c>
      <c r="H1779" s="3888">
        <v>1210</v>
      </c>
      <c r="I1779" s="3889"/>
      <c r="J1779" s="3890"/>
      <c r="K1779" s="3891"/>
      <c r="L1779" s="3889">
        <v>1510</v>
      </c>
      <c r="M1779" s="3889"/>
      <c r="N1779" s="83"/>
      <c r="O1779" s="86"/>
      <c r="P1779" s="1817" t="e">
        <f>INDEX(#REF!,MATCH(F1779,#REF!,0),2)</f>
        <v>#REF!</v>
      </c>
    </row>
    <row r="1780" spans="1:16" ht="11.45" customHeight="1">
      <c r="A1780" s="3872"/>
      <c r="B1780" s="3872" t="s">
        <v>1248</v>
      </c>
      <c r="C1780" s="3872" t="s">
        <v>505</v>
      </c>
      <c r="D1780" s="3873"/>
      <c r="E1780" s="3862" t="s">
        <v>1909</v>
      </c>
      <c r="F1780" s="3863">
        <v>2322</v>
      </c>
      <c r="G1780" s="3881" t="s">
        <v>1457</v>
      </c>
      <c r="H1780" s="3864"/>
      <c r="I1780" s="3865">
        <v>336</v>
      </c>
      <c r="J1780" s="3866"/>
      <c r="K1780" s="3867"/>
      <c r="L1780" s="3865"/>
      <c r="M1780" s="3865">
        <v>336</v>
      </c>
      <c r="N1780" s="83"/>
      <c r="O1780" s="86"/>
      <c r="P1780" s="1817" t="e">
        <f>INDEX(#REF!,MATCH(F1780,#REF!,0),2)</f>
        <v>#REF!</v>
      </c>
    </row>
    <row r="1781" spans="1:16" ht="13.15" customHeight="1">
      <c r="A1781" s="3872"/>
      <c r="B1781" s="3872" t="s">
        <v>1248</v>
      </c>
      <c r="C1781" s="3872" t="s">
        <v>505</v>
      </c>
      <c r="D1781" s="3873"/>
      <c r="E1781" s="3862" t="s">
        <v>1909</v>
      </c>
      <c r="F1781" s="3863">
        <v>2322</v>
      </c>
      <c r="G1781" s="3881" t="s">
        <v>1458</v>
      </c>
      <c r="H1781" s="3864"/>
      <c r="I1781" s="3865">
        <v>374</v>
      </c>
      <c r="J1781" s="3866"/>
      <c r="K1781" s="3867"/>
      <c r="L1781" s="3865"/>
      <c r="M1781" s="3865">
        <v>374</v>
      </c>
      <c r="N1781" s="83"/>
      <c r="O1781" s="86"/>
      <c r="P1781" s="1817" t="e">
        <f>INDEX(#REF!,MATCH(F1781,#REF!,0),2)</f>
        <v>#REF!</v>
      </c>
    </row>
    <row r="1782" spans="1:16" s="250" customFormat="1" ht="21.6" customHeight="1">
      <c r="A1782" s="3872"/>
      <c r="B1782" s="3872" t="s">
        <v>1248</v>
      </c>
      <c r="C1782" s="3872" t="s">
        <v>505</v>
      </c>
      <c r="D1782" s="3873"/>
      <c r="E1782" s="3862" t="s">
        <v>1909</v>
      </c>
      <c r="F1782" s="3863">
        <v>2322</v>
      </c>
      <c r="G1782" s="3881" t="s">
        <v>1060</v>
      </c>
      <c r="H1782" s="3864"/>
      <c r="I1782" s="3865">
        <v>500</v>
      </c>
      <c r="J1782" s="3866"/>
      <c r="K1782" s="3867"/>
      <c r="L1782" s="3865"/>
      <c r="M1782" s="3865">
        <v>800</v>
      </c>
      <c r="N1782" s="1025"/>
      <c r="O1782" s="86"/>
      <c r="P1782" s="1817" t="e">
        <f>INDEX(#REF!,MATCH(F1782,#REF!,0),2)</f>
        <v>#REF!</v>
      </c>
    </row>
    <row r="1783" spans="1:16" s="250" customFormat="1" ht="10.15" customHeight="1">
      <c r="A1783" s="3894"/>
      <c r="B1783" s="3894" t="s">
        <v>1248</v>
      </c>
      <c r="C1783" s="3894" t="s">
        <v>507</v>
      </c>
      <c r="D1783" s="3895">
        <v>910</v>
      </c>
      <c r="E1783" s="3885" t="s">
        <v>1909</v>
      </c>
      <c r="F1783" s="3886">
        <v>2341</v>
      </c>
      <c r="G1783" s="3887" t="s">
        <v>364</v>
      </c>
      <c r="H1783" s="3888">
        <v>325</v>
      </c>
      <c r="I1783" s="3889"/>
      <c r="J1783" s="3890">
        <v>325</v>
      </c>
      <c r="K1783" s="3891"/>
      <c r="L1783" s="3889">
        <v>400</v>
      </c>
      <c r="M1783" s="3884"/>
      <c r="N1783" s="83"/>
      <c r="O1783" s="86"/>
      <c r="P1783" s="1817" t="e">
        <f>INDEX(#REF!,MATCH(F1783,#REF!,0),2)</f>
        <v>#REF!</v>
      </c>
    </row>
    <row r="1784" spans="1:16" ht="19.899999999999999" customHeight="1">
      <c r="A1784" s="3872"/>
      <c r="B1784" s="3872" t="s">
        <v>1248</v>
      </c>
      <c r="C1784" s="3872" t="s">
        <v>507</v>
      </c>
      <c r="D1784" s="3873"/>
      <c r="E1784" s="3862" t="s">
        <v>1909</v>
      </c>
      <c r="F1784" s="3863">
        <v>2341</v>
      </c>
      <c r="G1784" s="3881" t="s">
        <v>706</v>
      </c>
      <c r="H1784" s="3864"/>
      <c r="I1784" s="3865">
        <v>300</v>
      </c>
      <c r="J1784" s="3866"/>
      <c r="K1784" s="3867"/>
      <c r="L1784" s="3874"/>
      <c r="M1784" s="3865">
        <v>400</v>
      </c>
      <c r="N1784" s="4" t="s">
        <v>5414</v>
      </c>
      <c r="O1784" s="86"/>
      <c r="P1784" s="1817" t="e">
        <f>INDEX(#REF!,MATCH(F1784,#REF!,0),2)</f>
        <v>#REF!</v>
      </c>
    </row>
    <row r="1785" spans="1:16" ht="28.9" customHeight="1">
      <c r="A1785" s="3872"/>
      <c r="B1785" s="3872" t="s">
        <v>1248</v>
      </c>
      <c r="C1785" s="3872" t="s">
        <v>507</v>
      </c>
      <c r="D1785" s="3873"/>
      <c r="E1785" s="3862" t="s">
        <v>1909</v>
      </c>
      <c r="F1785" s="3863">
        <v>2341</v>
      </c>
      <c r="G1785" s="3881" t="s">
        <v>3222</v>
      </c>
      <c r="H1785" s="3864"/>
      <c r="I1785" s="3865">
        <v>25</v>
      </c>
      <c r="J1785" s="3866"/>
      <c r="K1785" s="3867"/>
      <c r="L1785" s="3874"/>
      <c r="M1785" s="3874"/>
      <c r="N1785" s="83"/>
      <c r="O1785" s="86"/>
      <c r="P1785" s="1817" t="e">
        <f>INDEX(#REF!,MATCH(F1785,#REF!,0),2)</f>
        <v>#REF!</v>
      </c>
    </row>
    <row r="1786" spans="1:16" ht="24" customHeight="1">
      <c r="A1786" s="3894"/>
      <c r="B1786" s="3894" t="s">
        <v>1248</v>
      </c>
      <c r="C1786" s="3894" t="s">
        <v>505</v>
      </c>
      <c r="D1786" s="3895">
        <v>910</v>
      </c>
      <c r="E1786" s="3885" t="s">
        <v>1909</v>
      </c>
      <c r="F1786" s="3886">
        <v>2350</v>
      </c>
      <c r="G1786" s="3887" t="s">
        <v>290</v>
      </c>
      <c r="H1786" s="3888">
        <v>13287</v>
      </c>
      <c r="I1786" s="3889"/>
      <c r="J1786" s="3890"/>
      <c r="K1786" s="3891"/>
      <c r="L1786" s="3889">
        <v>13939</v>
      </c>
      <c r="M1786" s="3884"/>
      <c r="N1786" s="83"/>
      <c r="O1786" s="86"/>
      <c r="P1786" s="1817" t="e">
        <f>INDEX(#REF!,MATCH(F1786,#REF!,0),2)</f>
        <v>#REF!</v>
      </c>
    </row>
    <row r="1787" spans="1:16" ht="22.15" customHeight="1">
      <c r="A1787" s="3872"/>
      <c r="B1787" s="3872" t="s">
        <v>1248</v>
      </c>
      <c r="C1787" s="3872" t="s">
        <v>505</v>
      </c>
      <c r="D1787" s="3873"/>
      <c r="E1787" s="3862" t="s">
        <v>1909</v>
      </c>
      <c r="F1787" s="3863">
        <v>2350</v>
      </c>
      <c r="G1787" s="3881" t="s">
        <v>5425</v>
      </c>
      <c r="H1787" s="3864"/>
      <c r="I1787" s="3865">
        <v>5685</v>
      </c>
      <c r="J1787" s="3866"/>
      <c r="K1787" s="3867"/>
      <c r="L1787" s="3874"/>
      <c r="M1787" s="3865">
        <v>2000</v>
      </c>
      <c r="N1787" s="4" t="s">
        <v>5426</v>
      </c>
      <c r="O1787" s="86"/>
      <c r="P1787" s="1817" t="e">
        <f>INDEX(#REF!,MATCH(F1787,#REF!,0),2)</f>
        <v>#REF!</v>
      </c>
    </row>
    <row r="1788" spans="1:16" ht="27.6" customHeight="1">
      <c r="A1788" s="3872"/>
      <c r="B1788" s="3872" t="s">
        <v>1248</v>
      </c>
      <c r="C1788" s="3872" t="s">
        <v>505</v>
      </c>
      <c r="D1788" s="3873"/>
      <c r="E1788" s="3862" t="s">
        <v>1909</v>
      </c>
      <c r="F1788" s="3863">
        <v>2350</v>
      </c>
      <c r="G1788" s="3881" t="s">
        <v>5427</v>
      </c>
      <c r="H1788" s="3864"/>
      <c r="I1788" s="3865">
        <v>5472</v>
      </c>
      <c r="J1788" s="3866"/>
      <c r="K1788" s="3867"/>
      <c r="L1788" s="3874"/>
      <c r="M1788" s="3865">
        <v>7469</v>
      </c>
      <c r="N1788" s="4" t="s">
        <v>5428</v>
      </c>
      <c r="O1788" s="86"/>
      <c r="P1788" s="1817" t="e">
        <f>INDEX(#REF!,MATCH(F1788,#REF!,0),2)</f>
        <v>#REF!</v>
      </c>
    </row>
    <row r="1789" spans="1:16" ht="27.6" customHeight="1">
      <c r="A1789" s="3872"/>
      <c r="B1789" s="3872" t="s">
        <v>1248</v>
      </c>
      <c r="C1789" s="3872" t="s">
        <v>505</v>
      </c>
      <c r="D1789" s="3873"/>
      <c r="E1789" s="3862" t="s">
        <v>1909</v>
      </c>
      <c r="F1789" s="3863">
        <v>2350</v>
      </c>
      <c r="G1789" s="3859" t="s">
        <v>5429</v>
      </c>
      <c r="H1789" s="3864"/>
      <c r="I1789" s="3865">
        <v>630</v>
      </c>
      <c r="J1789" s="3866"/>
      <c r="K1789" s="3867"/>
      <c r="L1789" s="3874"/>
      <c r="M1789" s="3865">
        <v>630</v>
      </c>
      <c r="N1789" s="4"/>
      <c r="O1789" s="86"/>
      <c r="P1789" s="1817" t="e">
        <f>INDEX(#REF!,MATCH(F1789,#REF!,0),2)</f>
        <v>#REF!</v>
      </c>
    </row>
    <row r="1790" spans="1:16" ht="22.9" customHeight="1">
      <c r="A1790" s="3872"/>
      <c r="B1790" s="3872" t="s">
        <v>1248</v>
      </c>
      <c r="C1790" s="3872" t="s">
        <v>513</v>
      </c>
      <c r="D1790" s="3873"/>
      <c r="E1790" s="3862" t="s">
        <v>1909</v>
      </c>
      <c r="F1790" s="3863">
        <v>2350</v>
      </c>
      <c r="G1790" s="3859" t="s">
        <v>522</v>
      </c>
      <c r="H1790" s="3864"/>
      <c r="I1790" s="3865">
        <v>1500</v>
      </c>
      <c r="J1790" s="3866"/>
      <c r="K1790" s="3867"/>
      <c r="L1790" s="3874"/>
      <c r="M1790" s="3875">
        <v>2040</v>
      </c>
      <c r="N1790" s="4" t="s">
        <v>5430</v>
      </c>
      <c r="O1790" s="86"/>
      <c r="P1790" s="1817" t="e">
        <f>INDEX(#REF!,MATCH(F1790,#REF!,0),2)</f>
        <v>#REF!</v>
      </c>
    </row>
    <row r="1791" spans="1:16" ht="142.9" customHeight="1">
      <c r="A1791" s="3872"/>
      <c r="B1791" s="3872" t="s">
        <v>1248</v>
      </c>
      <c r="C1791" s="3872" t="s">
        <v>513</v>
      </c>
      <c r="D1791" s="3873"/>
      <c r="E1791" s="3862" t="s">
        <v>1909</v>
      </c>
      <c r="F1791" s="3863">
        <v>2350</v>
      </c>
      <c r="G1791" s="3859" t="s">
        <v>5431</v>
      </c>
      <c r="H1791" s="3864"/>
      <c r="I1791" s="3865"/>
      <c r="J1791" s="3866"/>
      <c r="K1791" s="3867"/>
      <c r="L1791" s="3874"/>
      <c r="M1791" s="3875">
        <v>1800</v>
      </c>
      <c r="N1791" s="4" t="s">
        <v>5432</v>
      </c>
      <c r="O1791" s="86"/>
      <c r="P1791" s="1817"/>
    </row>
    <row r="1792" spans="1:16" ht="98.45" customHeight="1">
      <c r="A1792" s="3894"/>
      <c r="B1792" s="3894" t="s">
        <v>1248</v>
      </c>
      <c r="C1792" s="3894" t="s">
        <v>507</v>
      </c>
      <c r="D1792" s="3895">
        <v>910</v>
      </c>
      <c r="E1792" s="3885" t="s">
        <v>1909</v>
      </c>
      <c r="F1792" s="3886">
        <v>2370</v>
      </c>
      <c r="G1792" s="3887" t="s">
        <v>365</v>
      </c>
      <c r="H1792" s="3888">
        <v>6993</v>
      </c>
      <c r="I1792" s="3889"/>
      <c r="J1792" s="3890">
        <v>8475</v>
      </c>
      <c r="K1792" s="3891"/>
      <c r="L1792" s="3889">
        <v>14280</v>
      </c>
      <c r="M1792" s="3884"/>
      <c r="N1792" s="4073" t="s">
        <v>5433</v>
      </c>
      <c r="O1792" s="86"/>
      <c r="P1792" s="1817" t="e">
        <f>INDEX(#REF!,MATCH(F1792,#REF!,0),2)</f>
        <v>#REF!</v>
      </c>
    </row>
    <row r="1793" spans="1:16" ht="45.6" customHeight="1">
      <c r="A1793" s="3872"/>
      <c r="B1793" s="3872" t="s">
        <v>1248</v>
      </c>
      <c r="C1793" s="3872" t="s">
        <v>507</v>
      </c>
      <c r="D1793" s="3873"/>
      <c r="E1793" s="3862" t="s">
        <v>1909</v>
      </c>
      <c r="F1793" s="3863">
        <v>2370</v>
      </c>
      <c r="G1793" s="3881" t="s">
        <v>5435</v>
      </c>
      <c r="H1793" s="3864"/>
      <c r="I1793" s="3865">
        <v>3230</v>
      </c>
      <c r="J1793" s="3866"/>
      <c r="K1793" s="3867"/>
      <c r="L1793" s="3874"/>
      <c r="M1793" s="3865">
        <v>7150</v>
      </c>
      <c r="N1793" s="83" t="s">
        <v>5436</v>
      </c>
      <c r="O1793" s="86"/>
      <c r="P1793" s="1817" t="e">
        <f>INDEX(#REF!,MATCH(F1793,#REF!,0),2)</f>
        <v>#REF!</v>
      </c>
    </row>
    <row r="1794" spans="1:16" ht="95.45" customHeight="1">
      <c r="A1794" s="3872"/>
      <c r="B1794" s="3872" t="s">
        <v>1248</v>
      </c>
      <c r="C1794" s="3872" t="s">
        <v>507</v>
      </c>
      <c r="D1794" s="3873"/>
      <c r="E1794" s="3862" t="s">
        <v>1909</v>
      </c>
      <c r="F1794" s="3863">
        <v>2370</v>
      </c>
      <c r="G1794" s="3892" t="s">
        <v>5437</v>
      </c>
      <c r="H1794" s="3864"/>
      <c r="I1794" s="3865"/>
      <c r="J1794" s="3866"/>
      <c r="K1794" s="3867"/>
      <c r="L1794" s="3874"/>
      <c r="M1794" s="3865">
        <v>5100</v>
      </c>
      <c r="O1794" s="86"/>
      <c r="P1794" s="1817"/>
    </row>
    <row r="1795" spans="1:16" ht="25.15" customHeight="1">
      <c r="A1795" s="3872"/>
      <c r="B1795" s="3872" t="s">
        <v>1248</v>
      </c>
      <c r="C1795" s="3872" t="s">
        <v>507</v>
      </c>
      <c r="D1795" s="3873"/>
      <c r="E1795" s="3862" t="s">
        <v>1909</v>
      </c>
      <c r="F1795" s="3863">
        <v>2370</v>
      </c>
      <c r="G1795" s="3892" t="s">
        <v>3685</v>
      </c>
      <c r="H1795" s="3864"/>
      <c r="I1795" s="3865"/>
      <c r="J1795" s="3866"/>
      <c r="K1795" s="3867"/>
      <c r="L1795" s="3874"/>
      <c r="M1795" s="3865">
        <v>630</v>
      </c>
      <c r="N1795" s="83"/>
      <c r="O1795" s="86"/>
      <c r="P1795" s="1817"/>
    </row>
    <row r="1796" spans="1:16" ht="11.45" customHeight="1">
      <c r="A1796" s="3872"/>
      <c r="B1796" s="3872" t="s">
        <v>1248</v>
      </c>
      <c r="C1796" s="3872" t="s">
        <v>507</v>
      </c>
      <c r="D1796" s="3873"/>
      <c r="E1796" s="3862" t="s">
        <v>1909</v>
      </c>
      <c r="F1796" s="3863">
        <v>2370</v>
      </c>
      <c r="G1796" s="3892" t="s">
        <v>3688</v>
      </c>
      <c r="H1796" s="3864"/>
      <c r="I1796" s="3865"/>
      <c r="J1796" s="3866"/>
      <c r="K1796" s="3867"/>
      <c r="L1796" s="3874"/>
      <c r="M1796" s="3865">
        <v>1400</v>
      </c>
      <c r="N1796" s="83"/>
      <c r="O1796" s="86"/>
      <c r="P1796" s="1817"/>
    </row>
    <row r="1797" spans="1:16" ht="25.15" customHeight="1">
      <c r="A1797" s="3872"/>
      <c r="B1797" s="3872" t="s">
        <v>1248</v>
      </c>
      <c r="C1797" s="3872" t="s">
        <v>507</v>
      </c>
      <c r="D1797" s="3873"/>
      <c r="E1797" s="3862" t="s">
        <v>1909</v>
      </c>
      <c r="F1797" s="3863">
        <v>2370</v>
      </c>
      <c r="G1797" s="3881" t="s">
        <v>5434</v>
      </c>
      <c r="H1797" s="3864"/>
      <c r="I1797" s="3865">
        <v>1081</v>
      </c>
      <c r="J1797" s="3866"/>
      <c r="K1797" s="3867"/>
      <c r="L1797" s="3874"/>
      <c r="M1797" s="3874"/>
      <c r="N1797" s="83"/>
      <c r="O1797" s="86"/>
      <c r="P1797" s="1817" t="e">
        <f>INDEX(#REF!,MATCH(F1797,#REF!,0),2)</f>
        <v>#REF!</v>
      </c>
    </row>
    <row r="1798" spans="1:16" ht="22.9" customHeight="1">
      <c r="A1798" s="3872"/>
      <c r="B1798" s="3872" t="s">
        <v>1248</v>
      </c>
      <c r="C1798" s="3872" t="s">
        <v>507</v>
      </c>
      <c r="D1798" s="3873"/>
      <c r="E1798" s="3862" t="s">
        <v>1909</v>
      </c>
      <c r="F1798" s="3863">
        <v>2370</v>
      </c>
      <c r="G1798" s="3881" t="s">
        <v>402</v>
      </c>
      <c r="H1798" s="3864"/>
      <c r="I1798" s="3865">
        <v>120</v>
      </c>
      <c r="J1798" s="3866"/>
      <c r="K1798" s="3867"/>
      <c r="L1798" s="3874"/>
      <c r="M1798" s="3874"/>
      <c r="N1798" s="83"/>
      <c r="O1798" s="86"/>
      <c r="P1798" s="1817" t="e">
        <f>INDEX(#REF!,MATCH(F1798,#REF!,0),2)</f>
        <v>#REF!</v>
      </c>
    </row>
    <row r="1799" spans="1:16" ht="11.45" customHeight="1">
      <c r="A1799" s="3872"/>
      <c r="B1799" s="3872" t="s">
        <v>1248</v>
      </c>
      <c r="C1799" s="3872" t="s">
        <v>507</v>
      </c>
      <c r="D1799" s="3873"/>
      <c r="E1799" s="3862" t="s">
        <v>1909</v>
      </c>
      <c r="F1799" s="3863">
        <v>2370</v>
      </c>
      <c r="G1799" s="3881" t="s">
        <v>3221</v>
      </c>
      <c r="H1799" s="3864"/>
      <c r="I1799" s="3865">
        <v>-105</v>
      </c>
      <c r="J1799" s="3866"/>
      <c r="K1799" s="3867"/>
      <c r="L1799" s="3874"/>
      <c r="M1799" s="3874"/>
      <c r="N1799" s="83"/>
      <c r="O1799" s="86"/>
      <c r="P1799" s="1817" t="e">
        <f>INDEX(#REF!,MATCH(F1799,#REF!,0),2)</f>
        <v>#REF!</v>
      </c>
    </row>
    <row r="1800" spans="1:16" ht="11.45" customHeight="1">
      <c r="A1800" s="3872"/>
      <c r="B1800" s="3872" t="s">
        <v>1248</v>
      </c>
      <c r="C1800" s="3872" t="s">
        <v>507</v>
      </c>
      <c r="D1800" s="3873"/>
      <c r="E1800" s="3862" t="s">
        <v>1909</v>
      </c>
      <c r="F1800" s="3863">
        <v>2370</v>
      </c>
      <c r="G1800" s="3881" t="s">
        <v>1061</v>
      </c>
      <c r="H1800" s="3864"/>
      <c r="I1800" s="3865">
        <v>2667</v>
      </c>
      <c r="J1800" s="3866"/>
      <c r="K1800" s="3867"/>
      <c r="L1800" s="3874"/>
      <c r="M1800" s="3874"/>
      <c r="N1800" s="83"/>
      <c r="O1800" s="86"/>
      <c r="P1800" s="1817" t="e">
        <f>INDEX(#REF!,MATCH(F1800,#REF!,0),2)</f>
        <v>#REF!</v>
      </c>
    </row>
    <row r="1801" spans="1:16" ht="12.6" customHeight="1">
      <c r="A1801" s="3894"/>
      <c r="B1801" s="3894" t="s">
        <v>512</v>
      </c>
      <c r="C1801" s="3894" t="s">
        <v>506</v>
      </c>
      <c r="D1801" s="3895">
        <v>910</v>
      </c>
      <c r="E1801" s="3885" t="s">
        <v>1910</v>
      </c>
      <c r="F1801" s="3886">
        <v>2370</v>
      </c>
      <c r="G1801" s="3887" t="s">
        <v>365</v>
      </c>
      <c r="H1801" s="3907">
        <v>4493</v>
      </c>
      <c r="I1801" s="3884"/>
      <c r="J1801" s="3890"/>
      <c r="K1801" s="3867"/>
      <c r="L1801" s="3908">
        <v>4493</v>
      </c>
      <c r="M1801" s="3884"/>
      <c r="N1801" s="83"/>
      <c r="O1801" s="86"/>
      <c r="P1801" s="1817" t="e">
        <f>INDEX(#REF!,MATCH(F1801,#REF!,0),2)</f>
        <v>#REF!</v>
      </c>
    </row>
    <row r="1802" spans="1:16" ht="12.6" customHeight="1">
      <c r="A1802" s="3872"/>
      <c r="B1802" s="3872" t="s">
        <v>512</v>
      </c>
      <c r="C1802" s="3872" t="s">
        <v>506</v>
      </c>
      <c r="D1802" s="3873"/>
      <c r="E1802" s="3862" t="s">
        <v>1910</v>
      </c>
      <c r="F1802" s="3863">
        <v>2370</v>
      </c>
      <c r="G1802" s="3881" t="s">
        <v>1681</v>
      </c>
      <c r="H1802" s="3864"/>
      <c r="I1802" s="3866"/>
      <c r="J1802" s="3866"/>
      <c r="K1802" s="3867"/>
      <c r="L1802" s="3874"/>
      <c r="M1802" s="3874"/>
      <c r="N1802" s="83"/>
      <c r="O1802" s="86"/>
      <c r="P1802" s="1817" t="e">
        <f>INDEX(#REF!,MATCH(F1802,#REF!,0),2)</f>
        <v>#REF!</v>
      </c>
    </row>
    <row r="1803" spans="1:16" ht="11.45" customHeight="1">
      <c r="A1803" s="3872"/>
      <c r="B1803" s="3872" t="s">
        <v>512</v>
      </c>
      <c r="C1803" s="3872" t="s">
        <v>506</v>
      </c>
      <c r="D1803" s="3873"/>
      <c r="E1803" s="3862" t="s">
        <v>1910</v>
      </c>
      <c r="F1803" s="3863">
        <v>2370</v>
      </c>
      <c r="G1803" s="3881" t="s">
        <v>3242</v>
      </c>
      <c r="H1803" s="3864"/>
      <c r="I1803" s="3865">
        <v>4493</v>
      </c>
      <c r="J1803" s="3866"/>
      <c r="K1803" s="3867"/>
      <c r="L1803" s="3874"/>
      <c r="M1803" s="3874">
        <v>4493</v>
      </c>
      <c r="N1803" s="83"/>
      <c r="O1803" s="86"/>
      <c r="P1803" s="1817" t="e">
        <f>INDEX(#REF!,MATCH(F1803,#REF!,0),2)</f>
        <v>#REF!</v>
      </c>
    </row>
    <row r="1804" spans="1:16" ht="20.45" customHeight="1">
      <c r="A1804" s="3872"/>
      <c r="B1804" s="3872" t="s">
        <v>512</v>
      </c>
      <c r="C1804" s="3872" t="s">
        <v>506</v>
      </c>
      <c r="D1804" s="3873"/>
      <c r="E1804" s="3862" t="s">
        <v>1910</v>
      </c>
      <c r="F1804" s="3863">
        <v>2370</v>
      </c>
      <c r="G1804" s="3881" t="s">
        <v>1097</v>
      </c>
      <c r="H1804" s="3864"/>
      <c r="I1804" s="3865"/>
      <c r="J1804" s="3866"/>
      <c r="K1804" s="3867"/>
      <c r="L1804" s="3874"/>
      <c r="M1804" s="3874"/>
      <c r="N1804" s="83"/>
      <c r="O1804" s="86"/>
      <c r="P1804" s="1817" t="e">
        <f>INDEX(#REF!,MATCH(F1804,#REF!,0),2)</f>
        <v>#REF!</v>
      </c>
    </row>
    <row r="1805" spans="1:16" ht="11.45" customHeight="1">
      <c r="A1805" s="3894"/>
      <c r="B1805" s="3894" t="s">
        <v>1248</v>
      </c>
      <c r="C1805" s="3894" t="s">
        <v>505</v>
      </c>
      <c r="D1805" s="3895">
        <v>910</v>
      </c>
      <c r="E1805" s="3885" t="s">
        <v>1909</v>
      </c>
      <c r="F1805" s="3886">
        <v>2390</v>
      </c>
      <c r="G1805" s="3887" t="s">
        <v>253</v>
      </c>
      <c r="H1805" s="3888">
        <v>150</v>
      </c>
      <c r="I1805" s="3889"/>
      <c r="J1805" s="3890"/>
      <c r="K1805" s="3891"/>
      <c r="L1805" s="3884">
        <v>0</v>
      </c>
      <c r="M1805" s="3884"/>
      <c r="N1805" s="83"/>
      <c r="O1805" s="86"/>
      <c r="P1805" s="1817" t="e">
        <f>INDEX(#REF!,MATCH(F1805,#REF!,0),2)</f>
        <v>#REF!</v>
      </c>
    </row>
    <row r="1806" spans="1:16" ht="15" customHeight="1">
      <c r="A1806" s="3872"/>
      <c r="B1806" s="3872" t="s">
        <v>1248</v>
      </c>
      <c r="C1806" s="3872" t="s">
        <v>505</v>
      </c>
      <c r="D1806" s="3873"/>
      <c r="E1806" s="3862" t="s">
        <v>1909</v>
      </c>
      <c r="F1806" s="3863">
        <v>2390</v>
      </c>
      <c r="G1806" s="3881" t="s">
        <v>327</v>
      </c>
      <c r="H1806" s="3864"/>
      <c r="I1806" s="3865">
        <v>150</v>
      </c>
      <c r="J1806" s="3866"/>
      <c r="K1806" s="3867"/>
      <c r="L1806" s="3874"/>
      <c r="M1806" s="3874"/>
      <c r="N1806" s="4"/>
      <c r="O1806" s="86"/>
      <c r="P1806" s="1817" t="e">
        <f>INDEX(#REF!,MATCH(F1806,#REF!,0),2)</f>
        <v>#REF!</v>
      </c>
    </row>
    <row r="1807" spans="1:16" ht="24" customHeight="1">
      <c r="A1807" s="3894"/>
      <c r="B1807" s="3894" t="s">
        <v>1250</v>
      </c>
      <c r="C1807" s="3894" t="s">
        <v>534</v>
      </c>
      <c r="D1807" s="3895">
        <v>910</v>
      </c>
      <c r="E1807" s="3885" t="s">
        <v>1909</v>
      </c>
      <c r="F1807" s="3886">
        <v>5238</v>
      </c>
      <c r="G1807" s="3887" t="s">
        <v>257</v>
      </c>
      <c r="H1807" s="3888">
        <v>3600</v>
      </c>
      <c r="I1807" s="3889"/>
      <c r="J1807" s="3890"/>
      <c r="K1807" s="3891"/>
      <c r="L1807" s="3889">
        <v>11900</v>
      </c>
      <c r="M1807" s="3889"/>
      <c r="N1807" s="83"/>
      <c r="O1807" s="86"/>
      <c r="P1807" s="1817" t="e">
        <f>INDEX(#REF!,MATCH(F1807,#REF!,0),2)</f>
        <v>#REF!</v>
      </c>
    </row>
    <row r="1808" spans="1:16" ht="15.6" customHeight="1">
      <c r="A1808" s="3872"/>
      <c r="B1808" s="3872" t="s">
        <v>1250</v>
      </c>
      <c r="C1808" s="3872" t="s">
        <v>534</v>
      </c>
      <c r="D1808" s="3873"/>
      <c r="E1808" s="3862" t="s">
        <v>1909</v>
      </c>
      <c r="F1808" s="3863">
        <v>5238</v>
      </c>
      <c r="G1808" s="3881" t="s">
        <v>5443</v>
      </c>
      <c r="H1808" s="3864"/>
      <c r="I1808" s="3865">
        <v>3600</v>
      </c>
      <c r="J1808" s="3866"/>
      <c r="K1808" s="3867"/>
      <c r="L1808" s="3865"/>
      <c r="M1808" s="3923">
        <v>2900</v>
      </c>
      <c r="N1808" s="83"/>
      <c r="O1808" s="86"/>
      <c r="P1808" s="1817" t="e">
        <f>INDEX(#REF!,MATCH(F1808,#REF!,0),2)</f>
        <v>#REF!</v>
      </c>
    </row>
    <row r="1809" spans="1:16" ht="15" customHeight="1">
      <c r="A1809" s="3872"/>
      <c r="B1809" s="3872" t="s">
        <v>1250</v>
      </c>
      <c r="C1809" s="3872" t="s">
        <v>534</v>
      </c>
      <c r="D1809" s="3873"/>
      <c r="E1809" s="3862" t="s">
        <v>1909</v>
      </c>
      <c r="F1809" s="3863">
        <v>5238</v>
      </c>
      <c r="G1809" s="3881" t="s">
        <v>5442</v>
      </c>
      <c r="H1809" s="3864"/>
      <c r="I1809" s="3865"/>
      <c r="J1809" s="3866"/>
      <c r="K1809" s="3867"/>
      <c r="L1809" s="3865"/>
      <c r="M1809" s="3923">
        <v>4000</v>
      </c>
      <c r="N1809" s="83"/>
      <c r="O1809" s="86"/>
      <c r="P1809" s="1817" t="e">
        <f>INDEX(#REF!,MATCH(F1809,#REF!,0),2)</f>
        <v>#REF!</v>
      </c>
    </row>
    <row r="1810" spans="1:16" ht="16.899999999999999" customHeight="1">
      <c r="A1810" s="3872"/>
      <c r="B1810" s="3872" t="s">
        <v>1250</v>
      </c>
      <c r="C1810" s="3872" t="s">
        <v>534</v>
      </c>
      <c r="D1810" s="3873"/>
      <c r="E1810" s="3862" t="s">
        <v>1909</v>
      </c>
      <c r="F1810" s="3863">
        <v>5238</v>
      </c>
      <c r="G1810" s="3881" t="s">
        <v>5423</v>
      </c>
      <c r="H1810" s="3864"/>
      <c r="I1810" s="3865"/>
      <c r="J1810" s="3866"/>
      <c r="K1810" s="3867"/>
      <c r="L1810" s="3865"/>
      <c r="M1810" s="3865">
        <v>5000</v>
      </c>
      <c r="N1810" s="4" t="s">
        <v>5424</v>
      </c>
      <c r="O1810" s="86"/>
      <c r="P1810" s="1817"/>
    </row>
    <row r="1811" spans="1:16" ht="22.15" customHeight="1">
      <c r="A1811" s="3894"/>
      <c r="B1811" s="3894" t="s">
        <v>1250</v>
      </c>
      <c r="C1811" s="3894" t="s">
        <v>509</v>
      </c>
      <c r="D1811" s="3895">
        <v>910</v>
      </c>
      <c r="E1811" s="3885" t="s">
        <v>1909</v>
      </c>
      <c r="F1811" s="3886">
        <v>5239</v>
      </c>
      <c r="G1811" s="3887" t="s">
        <v>256</v>
      </c>
      <c r="H1811" s="3888">
        <v>1446</v>
      </c>
      <c r="I1811" s="3889"/>
      <c r="J1811" s="3890"/>
      <c r="K1811" s="3891"/>
      <c r="L1811" s="3889">
        <v>0</v>
      </c>
      <c r="M1811" s="3884"/>
      <c r="N1811" s="83"/>
      <c r="O1811" s="86"/>
      <c r="P1811" s="1817" t="e">
        <f>INDEX(#REF!,MATCH(F1811,#REF!,0),2)</f>
        <v>#REF!</v>
      </c>
    </row>
    <row r="1812" spans="1:16" ht="15" customHeight="1">
      <c r="A1812" s="3872"/>
      <c r="B1812" s="3872" t="s">
        <v>1250</v>
      </c>
      <c r="C1812" s="3872" t="s">
        <v>509</v>
      </c>
      <c r="D1812" s="3873"/>
      <c r="E1812" s="3862" t="s">
        <v>1909</v>
      </c>
      <c r="F1812" s="3863">
        <v>5239</v>
      </c>
      <c r="G1812" s="3881" t="s">
        <v>2216</v>
      </c>
      <c r="H1812" s="3864"/>
      <c r="I1812" s="3865">
        <v>1130</v>
      </c>
      <c r="J1812" s="3866"/>
      <c r="K1812" s="3867"/>
      <c r="L1812" s="3874"/>
      <c r="M1812" s="3874"/>
      <c r="N1812" s="83"/>
      <c r="O1812" s="86"/>
      <c r="P1812" s="1817" t="e">
        <f>INDEX(#REF!,MATCH(F1812,#REF!,0),2)</f>
        <v>#REF!</v>
      </c>
    </row>
    <row r="1813" spans="1:16" ht="23.45" customHeight="1">
      <c r="A1813" s="3872"/>
      <c r="B1813" s="3872" t="s">
        <v>1250</v>
      </c>
      <c r="C1813" s="3872" t="s">
        <v>509</v>
      </c>
      <c r="D1813" s="3873"/>
      <c r="E1813" s="3862" t="s">
        <v>1909</v>
      </c>
      <c r="F1813" s="3863">
        <v>5239</v>
      </c>
      <c r="G1813" s="3881" t="s">
        <v>3150</v>
      </c>
      <c r="H1813" s="3864"/>
      <c r="I1813" s="3865">
        <v>316</v>
      </c>
      <c r="J1813" s="3866"/>
      <c r="K1813" s="3867"/>
      <c r="L1813" s="3874"/>
      <c r="M1813" s="3874"/>
      <c r="N1813" s="83"/>
      <c r="O1813" s="86"/>
      <c r="P1813" s="1817" t="e">
        <f>INDEX(#REF!,MATCH(F1813,#REF!,0),2)</f>
        <v>#REF!</v>
      </c>
    </row>
    <row r="1814" spans="1:16" ht="28.9" customHeight="1">
      <c r="A1814" s="3894"/>
      <c r="B1814" s="3894" t="s">
        <v>1249</v>
      </c>
      <c r="C1814" s="3894" t="s">
        <v>509</v>
      </c>
      <c r="D1814" s="3895">
        <v>910</v>
      </c>
      <c r="E1814" s="3885" t="s">
        <v>1909</v>
      </c>
      <c r="F1814" s="3886">
        <v>5239</v>
      </c>
      <c r="G1814" s="3887" t="s">
        <v>256</v>
      </c>
      <c r="H1814" s="3888">
        <v>0</v>
      </c>
      <c r="I1814" s="3889"/>
      <c r="J1814" s="3890"/>
      <c r="K1814" s="3891"/>
      <c r="L1814" s="3889">
        <v>12000</v>
      </c>
      <c r="M1814" s="3884"/>
      <c r="N1814" s="83" t="s">
        <v>2654</v>
      </c>
      <c r="O1814" s="86"/>
      <c r="P1814" s="1817" t="e">
        <f>INDEX(#REF!,MATCH(F1814,#REF!,0),2)</f>
        <v>#REF!</v>
      </c>
    </row>
    <row r="1815" spans="1:16" ht="32.450000000000003" customHeight="1">
      <c r="A1815" s="3872"/>
      <c r="B1815" s="3872" t="s">
        <v>1249</v>
      </c>
      <c r="C1815" s="3872" t="s">
        <v>509</v>
      </c>
      <c r="D1815" s="3873"/>
      <c r="E1815" s="3862" t="s">
        <v>1909</v>
      </c>
      <c r="F1815" s="3863">
        <v>5239</v>
      </c>
      <c r="G1815" s="3877" t="s">
        <v>5444</v>
      </c>
      <c r="H1815" s="3864"/>
      <c r="I1815" s="3865"/>
      <c r="J1815" s="3866"/>
      <c r="K1815" s="3867"/>
      <c r="L1815" s="3874"/>
      <c r="M1815" s="3875">
        <v>2000</v>
      </c>
      <c r="N1815" s="4" t="s">
        <v>5446</v>
      </c>
      <c r="O1815" s="86"/>
      <c r="P1815" s="1817" t="e">
        <f>INDEX(#REF!,MATCH(F1815,#REF!,0),2)</f>
        <v>#REF!</v>
      </c>
    </row>
    <row r="1816" spans="1:16" ht="13.9" customHeight="1">
      <c r="A1816" s="3872"/>
      <c r="B1816" s="3872" t="s">
        <v>1249</v>
      </c>
      <c r="C1816" s="3872" t="s">
        <v>509</v>
      </c>
      <c r="D1816" s="3873"/>
      <c r="E1816" s="3862" t="s">
        <v>1909</v>
      </c>
      <c r="F1816" s="3863">
        <v>5239</v>
      </c>
      <c r="G1816" s="3877" t="s">
        <v>5445</v>
      </c>
      <c r="H1816" s="3864"/>
      <c r="I1816" s="3865"/>
      <c r="J1816" s="3866"/>
      <c r="K1816" s="3867"/>
      <c r="L1816" s="3874"/>
      <c r="M1816" s="3875">
        <v>10000</v>
      </c>
      <c r="N1816" s="4" t="s">
        <v>5447</v>
      </c>
      <c r="O1816" s="86"/>
      <c r="P1816" s="1817"/>
    </row>
    <row r="1817" spans="1:16" ht="20.45" customHeight="1">
      <c r="A1817" s="3872"/>
      <c r="B1817" s="3872" t="s">
        <v>1249</v>
      </c>
      <c r="C1817" s="3872" t="s">
        <v>509</v>
      </c>
      <c r="D1817" s="3873"/>
      <c r="E1817" s="3862" t="s">
        <v>1909</v>
      </c>
      <c r="F1817" s="3863">
        <v>5239</v>
      </c>
      <c r="G1817" s="3882" t="s">
        <v>2643</v>
      </c>
      <c r="H1817" s="3864"/>
      <c r="I1817" s="3874">
        <v>0</v>
      </c>
      <c r="J1817" s="3866"/>
      <c r="K1817" s="3867"/>
      <c r="L1817" s="3874"/>
      <c r="M1817" s="3874">
        <v>0</v>
      </c>
      <c r="N1817" s="1025"/>
      <c r="O1817" s="86"/>
      <c r="P1817" s="1817" t="e">
        <f>INDEX(#REF!,MATCH(F1817,#REF!,0),2)</f>
        <v>#REF!</v>
      </c>
    </row>
    <row r="1818" spans="1:16" ht="20.45" customHeight="1">
      <c r="A1818" s="3894"/>
      <c r="B1818" s="3894" t="s">
        <v>1249</v>
      </c>
      <c r="C1818" s="3894" t="s">
        <v>534</v>
      </c>
      <c r="D1818" s="3895">
        <v>910</v>
      </c>
      <c r="E1818" s="3885" t="s">
        <v>1909</v>
      </c>
      <c r="F1818" s="3886">
        <v>5240</v>
      </c>
      <c r="G1818" s="3887" t="s">
        <v>693</v>
      </c>
      <c r="H1818" s="3888">
        <v>20000</v>
      </c>
      <c r="I1818" s="3889"/>
      <c r="J1818" s="3890"/>
      <c r="K1818" s="3891"/>
      <c r="L1818" s="3889">
        <v>25000</v>
      </c>
      <c r="M1818" s="3889"/>
      <c r="N1818" s="83"/>
      <c r="O1818" s="86"/>
      <c r="P1818" s="1817" t="e">
        <f>INDEX(#REF!,MATCH(F1818,#REF!,0),2)</f>
        <v>#REF!</v>
      </c>
    </row>
    <row r="1819" spans="1:16" ht="20.45" customHeight="1">
      <c r="A1819" s="3872"/>
      <c r="B1819" s="3872" t="s">
        <v>1249</v>
      </c>
      <c r="C1819" s="3872" t="s">
        <v>534</v>
      </c>
      <c r="D1819" s="3873"/>
      <c r="E1819" s="3862" t="s">
        <v>1909</v>
      </c>
      <c r="F1819" s="3863">
        <v>5240</v>
      </c>
      <c r="G1819" s="3924" t="s">
        <v>2644</v>
      </c>
      <c r="H1819" s="3925"/>
      <c r="I1819" s="3926">
        <v>20000</v>
      </c>
      <c r="J1819" s="3926"/>
      <c r="K1819" s="3927"/>
      <c r="L1819" s="3928"/>
      <c r="M1819" s="3865">
        <v>25000</v>
      </c>
      <c r="N1819" s="1025"/>
      <c r="O1819" s="86"/>
      <c r="P1819" s="1817" t="e">
        <f>INDEX(#REF!,MATCH(F1819,#REF!,0),2)</f>
        <v>#REF!</v>
      </c>
    </row>
    <row r="1820" spans="1:16" ht="20.45" customHeight="1">
      <c r="A1820" s="3894"/>
      <c r="B1820" s="3929" t="s">
        <v>2649</v>
      </c>
      <c r="C1820" s="3894" t="s">
        <v>534</v>
      </c>
      <c r="D1820" s="3895">
        <v>910</v>
      </c>
      <c r="E1820" s="3885" t="s">
        <v>1909</v>
      </c>
      <c r="F1820" s="3886">
        <v>7230</v>
      </c>
      <c r="G1820" s="3887" t="s">
        <v>2002</v>
      </c>
      <c r="H1820" s="3888">
        <v>0</v>
      </c>
      <c r="I1820" s="3889"/>
      <c r="J1820" s="3890"/>
      <c r="K1820" s="3891"/>
      <c r="L1820" s="3884">
        <v>0</v>
      </c>
      <c r="M1820" s="3884"/>
      <c r="N1820" s="83" t="s">
        <v>5448</v>
      </c>
      <c r="O1820" s="86"/>
      <c r="P1820" s="1817" t="e">
        <f>INDEX(#REF!,MATCH(F1820,#REF!,0),2)</f>
        <v>#REF!</v>
      </c>
    </row>
    <row r="1821" spans="1:16" ht="11.45" customHeight="1">
      <c r="A1821" s="3872"/>
      <c r="B1821" s="3872" t="s">
        <v>2649</v>
      </c>
      <c r="C1821" s="3872" t="s">
        <v>534</v>
      </c>
      <c r="D1821" s="3873"/>
      <c r="E1821" s="3862" t="s">
        <v>1909</v>
      </c>
      <c r="F1821" s="3863">
        <v>7230</v>
      </c>
      <c r="G1821" s="3924" t="s">
        <v>1133</v>
      </c>
      <c r="H1821" s="3925"/>
      <c r="I1821" s="3926">
        <v>0</v>
      </c>
      <c r="J1821" s="3926"/>
      <c r="K1821" s="3927"/>
      <c r="L1821" s="3930"/>
      <c r="M1821" s="3874"/>
      <c r="N1821" s="1538"/>
      <c r="O1821" s="86"/>
      <c r="P1821" s="1817" t="e">
        <f>INDEX(#REF!,MATCH(F1821,#REF!,0),2)</f>
        <v>#REF!</v>
      </c>
    </row>
    <row r="1822" spans="1:16" ht="11.45" customHeight="1">
      <c r="A1822" s="3872"/>
      <c r="B1822" s="3872" t="s">
        <v>2649</v>
      </c>
      <c r="C1822" s="3872" t="s">
        <v>534</v>
      </c>
      <c r="D1822" s="3873"/>
      <c r="E1822" s="3862" t="s">
        <v>1909</v>
      </c>
      <c r="F1822" s="3863">
        <v>7230</v>
      </c>
      <c r="G1822" s="3924"/>
      <c r="H1822" s="3925"/>
      <c r="I1822" s="3926"/>
      <c r="J1822" s="3926"/>
      <c r="K1822" s="3927"/>
      <c r="L1822" s="3930"/>
      <c r="M1822" s="3874"/>
      <c r="N1822" s="83"/>
      <c r="O1822" s="86"/>
      <c r="P1822" s="1817" t="e">
        <f>INDEX(#REF!,MATCH(F1822,#REF!,0),2)</f>
        <v>#REF!</v>
      </c>
    </row>
    <row r="1823" spans="1:16" ht="11.45" customHeight="1">
      <c r="A1823" s="170"/>
      <c r="B1823" s="170" t="s">
        <v>1248</v>
      </c>
      <c r="C1823" s="170" t="s">
        <v>505</v>
      </c>
      <c r="D1823" s="1603" t="s">
        <v>620</v>
      </c>
      <c r="E1823" s="2250" t="s">
        <v>1911</v>
      </c>
      <c r="F1823" s="171">
        <v>2222</v>
      </c>
      <c r="G1823" s="308" t="s">
        <v>272</v>
      </c>
      <c r="H1823" s="947">
        <v>2000</v>
      </c>
      <c r="I1823" s="311"/>
      <c r="J1823" s="311"/>
      <c r="K1823" s="315"/>
      <c r="L1823" s="2423">
        <v>2000</v>
      </c>
      <c r="M1823" s="2423"/>
      <c r="N1823" s="73"/>
      <c r="O1823" s="86"/>
      <c r="P1823" s="1817" t="e">
        <f>INDEX(#REF!,MATCH(F1823,#REF!,0),2)</f>
        <v>#REF!</v>
      </c>
    </row>
    <row r="1824" spans="1:16" ht="11.45" customHeight="1">
      <c r="A1824" s="173"/>
      <c r="B1824" s="173" t="s">
        <v>1248</v>
      </c>
      <c r="C1824" s="173" t="s">
        <v>505</v>
      </c>
      <c r="D1824" s="1604"/>
      <c r="E1824" s="2251" t="s">
        <v>1911</v>
      </c>
      <c r="F1824" s="370">
        <v>2222</v>
      </c>
      <c r="G1824" s="298" t="s">
        <v>632</v>
      </c>
      <c r="H1824" s="948"/>
      <c r="I1824" s="283">
        <v>2000</v>
      </c>
      <c r="J1824" s="283"/>
      <c r="K1824" s="313"/>
      <c r="L1824" s="2424"/>
      <c r="M1824" s="2424">
        <v>2000</v>
      </c>
      <c r="N1824" s="73"/>
      <c r="O1824" s="86"/>
      <c r="P1824" s="1817" t="e">
        <f>INDEX(#REF!,MATCH(F1824,#REF!,0),2)</f>
        <v>#REF!</v>
      </c>
    </row>
    <row r="1825" spans="1:48" ht="11.45" customHeight="1">
      <c r="A1825" s="170"/>
      <c r="B1825" s="170" t="s">
        <v>1248</v>
      </c>
      <c r="C1825" s="170" t="s">
        <v>505</v>
      </c>
      <c r="D1825" s="1603" t="s">
        <v>620</v>
      </c>
      <c r="E1825" s="2252" t="s">
        <v>1911</v>
      </c>
      <c r="F1825" s="171">
        <v>2223</v>
      </c>
      <c r="G1825" s="308" t="s">
        <v>273</v>
      </c>
      <c r="H1825" s="947">
        <v>5900</v>
      </c>
      <c r="I1825" s="311"/>
      <c r="J1825" s="311"/>
      <c r="K1825" s="315"/>
      <c r="L1825" s="2423">
        <v>5900</v>
      </c>
      <c r="M1825" s="2423"/>
      <c r="N1825" s="73"/>
      <c r="O1825" s="86"/>
      <c r="P1825" s="1817" t="e">
        <f>INDEX(#REF!,MATCH(F1825,#REF!,0),2)</f>
        <v>#REF!</v>
      </c>
    </row>
    <row r="1826" spans="1:48" ht="20.45" customHeight="1">
      <c r="A1826" s="173"/>
      <c r="B1826" s="173" t="s">
        <v>1248</v>
      </c>
      <c r="C1826" s="173" t="s">
        <v>505</v>
      </c>
      <c r="D1826" s="1604"/>
      <c r="E1826" s="2251" t="s">
        <v>1911</v>
      </c>
      <c r="F1826" s="370">
        <v>2223</v>
      </c>
      <c r="G1826" s="298" t="s">
        <v>822</v>
      </c>
      <c r="H1826" s="948"/>
      <c r="I1826" s="283">
        <v>5900</v>
      </c>
      <c r="J1826" s="283"/>
      <c r="K1826" s="313"/>
      <c r="L1826" s="2424"/>
      <c r="M1826" s="2424">
        <v>5900</v>
      </c>
      <c r="N1826" s="73"/>
      <c r="O1826" s="86"/>
      <c r="P1826" s="1817" t="e">
        <f>INDEX(#REF!,MATCH(F1826,#REF!,0),2)</f>
        <v>#REF!</v>
      </c>
    </row>
    <row r="1827" spans="1:48" ht="11.45" customHeight="1">
      <c r="A1827" s="170"/>
      <c r="B1827" s="170" t="s">
        <v>1248</v>
      </c>
      <c r="C1827" s="170" t="s">
        <v>507</v>
      </c>
      <c r="D1827" s="1603" t="s">
        <v>620</v>
      </c>
      <c r="E1827" s="2252" t="s">
        <v>1911</v>
      </c>
      <c r="F1827" s="171">
        <v>2239</v>
      </c>
      <c r="G1827" s="308" t="s">
        <v>297</v>
      </c>
      <c r="H1827" s="947">
        <v>274.1739</v>
      </c>
      <c r="I1827" s="311"/>
      <c r="J1827" s="311"/>
      <c r="K1827" s="315"/>
      <c r="L1827" s="2423">
        <v>274.1739</v>
      </c>
      <c r="M1827" s="2423"/>
      <c r="N1827" s="73"/>
      <c r="O1827" s="86"/>
      <c r="P1827" s="1817" t="e">
        <f>INDEX(#REF!,MATCH(F1827,#REF!,0),2)</f>
        <v>#REF!</v>
      </c>
    </row>
    <row r="1828" spans="1:48" ht="11.45" customHeight="1">
      <c r="A1828" s="177"/>
      <c r="B1828" s="178" t="s">
        <v>1248</v>
      </c>
      <c r="C1828" s="178" t="s">
        <v>507</v>
      </c>
      <c r="D1828" s="1616"/>
      <c r="E1828" s="2251" t="s">
        <v>1911</v>
      </c>
      <c r="F1828" s="370">
        <v>2239</v>
      </c>
      <c r="G1828" s="298" t="s">
        <v>994</v>
      </c>
      <c r="H1828" s="949"/>
      <c r="I1828" s="312">
        <v>274.1739</v>
      </c>
      <c r="J1828" s="312"/>
      <c r="K1828" s="314"/>
      <c r="L1828" s="2425"/>
      <c r="M1828" s="2425">
        <v>274.1739</v>
      </c>
      <c r="N1828" s="73"/>
      <c r="O1828" s="86"/>
      <c r="P1828" s="1817" t="e">
        <f>INDEX(#REF!,MATCH(F1828,#REF!,0),2)</f>
        <v>#REF!</v>
      </c>
    </row>
    <row r="1829" spans="1:48" ht="11.45" customHeight="1">
      <c r="A1829" s="170"/>
      <c r="B1829" s="170" t="s">
        <v>1248</v>
      </c>
      <c r="C1829" s="170" t="s">
        <v>507</v>
      </c>
      <c r="D1829" s="1603" t="s">
        <v>620</v>
      </c>
      <c r="E1829" s="2252" t="s">
        <v>1911</v>
      </c>
      <c r="F1829" s="171">
        <v>2247</v>
      </c>
      <c r="G1829" s="308" t="s">
        <v>685</v>
      </c>
      <c r="H1829" s="947">
        <v>38</v>
      </c>
      <c r="I1829" s="311"/>
      <c r="J1829" s="283"/>
      <c r="K1829" s="313"/>
      <c r="L1829" s="2423">
        <v>38</v>
      </c>
      <c r="M1829" s="2423"/>
      <c r="N1829" s="73"/>
      <c r="O1829" s="86"/>
      <c r="P1829" s="1817" t="e">
        <f>INDEX(#REF!,MATCH(F1829,#REF!,0),2)</f>
        <v>#REF!</v>
      </c>
    </row>
    <row r="1830" spans="1:48" ht="11.45" customHeight="1">
      <c r="A1830" s="236"/>
      <c r="B1830" s="230" t="s">
        <v>1248</v>
      </c>
      <c r="C1830" s="230" t="s">
        <v>507</v>
      </c>
      <c r="D1830" s="1617"/>
      <c r="E1830" s="2280" t="s">
        <v>1911</v>
      </c>
      <c r="F1830" s="375">
        <v>2247</v>
      </c>
      <c r="G1830" s="298" t="s">
        <v>685</v>
      </c>
      <c r="H1830" s="948"/>
      <c r="I1830" s="283">
        <v>38</v>
      </c>
      <c r="J1830" s="283"/>
      <c r="K1830" s="313"/>
      <c r="L1830" s="2424"/>
      <c r="M1830" s="2424">
        <v>38</v>
      </c>
      <c r="O1830" s="86"/>
      <c r="P1830" s="1817" t="e">
        <f>INDEX(#REF!,MATCH(F1830,#REF!,0),2)</f>
        <v>#REF!</v>
      </c>
    </row>
    <row r="1831" spans="1:48" ht="11.45" customHeight="1">
      <c r="A1831" s="170"/>
      <c r="B1831" s="170" t="s">
        <v>1248</v>
      </c>
      <c r="C1831" s="170" t="s">
        <v>509</v>
      </c>
      <c r="D1831" s="1603" t="s">
        <v>620</v>
      </c>
      <c r="E1831" s="2252" t="s">
        <v>1911</v>
      </c>
      <c r="F1831" s="171">
        <v>2312</v>
      </c>
      <c r="G1831" s="308" t="s">
        <v>249</v>
      </c>
      <c r="H1831" s="947">
        <v>480</v>
      </c>
      <c r="I1831" s="311"/>
      <c r="J1831" s="311"/>
      <c r="K1831" s="315"/>
      <c r="L1831" s="2423">
        <v>480</v>
      </c>
      <c r="M1831" s="2423"/>
      <c r="N1831" s="2426"/>
      <c r="O1831" s="86"/>
      <c r="P1831" s="1817" t="e">
        <f>INDEX(#REF!,MATCH(F1831,#REF!,0),2)</f>
        <v>#REF!</v>
      </c>
    </row>
    <row r="1832" spans="1:48" ht="14.25" customHeight="1">
      <c r="A1832" s="202"/>
      <c r="B1832" s="173" t="s">
        <v>1248</v>
      </c>
      <c r="C1832" s="173" t="s">
        <v>509</v>
      </c>
      <c r="D1832" s="1604"/>
      <c r="E1832" s="2251" t="s">
        <v>1911</v>
      </c>
      <c r="F1832" s="370">
        <v>2312</v>
      </c>
      <c r="G1832" s="316" t="s">
        <v>821</v>
      </c>
      <c r="H1832" s="948"/>
      <c r="I1832" s="283">
        <v>480</v>
      </c>
      <c r="J1832" s="283"/>
      <c r="K1832" s="313"/>
      <c r="L1832" s="2424"/>
      <c r="M1832" s="2424">
        <v>480</v>
      </c>
      <c r="N1832" s="83"/>
      <c r="O1832" s="86"/>
      <c r="P1832" s="1817" t="e">
        <f>INDEX(#REF!,MATCH(F1832,#REF!,0),2)</f>
        <v>#REF!</v>
      </c>
    </row>
    <row r="1833" spans="1:48" ht="20.45" customHeight="1">
      <c r="A1833" s="170"/>
      <c r="B1833" s="170" t="s">
        <v>1248</v>
      </c>
      <c r="C1833" s="170" t="s">
        <v>505</v>
      </c>
      <c r="D1833" s="1603" t="s">
        <v>620</v>
      </c>
      <c r="E1833" s="2252" t="s">
        <v>1911</v>
      </c>
      <c r="F1833" s="171">
        <v>2321</v>
      </c>
      <c r="G1833" s="308" t="s">
        <v>317</v>
      </c>
      <c r="H1833" s="947">
        <v>10000</v>
      </c>
      <c r="I1833" s="311"/>
      <c r="J1833" s="311"/>
      <c r="K1833" s="315"/>
      <c r="L1833" s="2423">
        <v>10000</v>
      </c>
      <c r="M1833" s="2423"/>
      <c r="N1833" s="149"/>
      <c r="O1833" s="86"/>
      <c r="P1833" s="1817" t="e">
        <f>INDEX(#REF!,MATCH(F1833,#REF!,0),2)</f>
        <v>#REF!</v>
      </c>
    </row>
    <row r="1834" spans="1:48" ht="11.45" customHeight="1">
      <c r="A1834" s="173"/>
      <c r="B1834" s="173" t="s">
        <v>1248</v>
      </c>
      <c r="C1834" s="173" t="s">
        <v>505</v>
      </c>
      <c r="D1834" s="1604"/>
      <c r="E1834" s="2251" t="s">
        <v>1911</v>
      </c>
      <c r="F1834" s="370">
        <v>2321</v>
      </c>
      <c r="G1834" s="298" t="s">
        <v>379</v>
      </c>
      <c r="H1834" s="949"/>
      <c r="I1834" s="312">
        <v>10000</v>
      </c>
      <c r="J1834" s="312"/>
      <c r="K1834" s="314"/>
      <c r="L1834" s="2425"/>
      <c r="M1834" s="2425">
        <v>10000</v>
      </c>
      <c r="N1834" s="83"/>
      <c r="O1834" s="86"/>
      <c r="P1834" s="1817" t="e">
        <f>INDEX(#REF!,MATCH(F1834,#REF!,0),2)</f>
        <v>#REF!</v>
      </c>
    </row>
    <row r="1835" spans="1:48" ht="11.45" customHeight="1">
      <c r="A1835" s="170"/>
      <c r="B1835" s="170" t="s">
        <v>1248</v>
      </c>
      <c r="C1835" s="170" t="s">
        <v>505</v>
      </c>
      <c r="D1835" s="1603" t="s">
        <v>620</v>
      </c>
      <c r="E1835" s="2252" t="s">
        <v>1911</v>
      </c>
      <c r="F1835" s="171">
        <v>2350</v>
      </c>
      <c r="G1835" s="308" t="s">
        <v>290</v>
      </c>
      <c r="H1835" s="947">
        <v>536</v>
      </c>
      <c r="I1835" s="311"/>
      <c r="J1835" s="311"/>
      <c r="K1835" s="315"/>
      <c r="L1835" s="2423">
        <v>536</v>
      </c>
      <c r="M1835" s="2423"/>
      <c r="N1835" s="149"/>
      <c r="O1835" s="86"/>
      <c r="P1835" s="1817" t="e">
        <f>INDEX(#REF!,MATCH(F1835,#REF!,0),2)</f>
        <v>#REF!</v>
      </c>
    </row>
    <row r="1836" spans="1:48" ht="11.45" customHeight="1">
      <c r="A1836" s="173"/>
      <c r="B1836" s="173" t="s">
        <v>1248</v>
      </c>
      <c r="C1836" s="173" t="s">
        <v>505</v>
      </c>
      <c r="D1836" s="1604"/>
      <c r="E1836" s="2251" t="s">
        <v>1911</v>
      </c>
      <c r="F1836" s="370">
        <v>2350</v>
      </c>
      <c r="G1836" s="298" t="s">
        <v>635</v>
      </c>
      <c r="H1836" s="948"/>
      <c r="I1836" s="283">
        <v>300</v>
      </c>
      <c r="J1836" s="283"/>
      <c r="K1836" s="313"/>
      <c r="L1836" s="2424"/>
      <c r="M1836" s="2424">
        <v>300</v>
      </c>
      <c r="N1836" s="149"/>
      <c r="O1836" s="86"/>
      <c r="P1836" s="1817" t="e">
        <f>INDEX(#REF!,MATCH(F1836,#REF!,0),2)</f>
        <v>#REF!</v>
      </c>
    </row>
    <row r="1837" spans="1:48" ht="11.45" customHeight="1">
      <c r="A1837" s="246"/>
      <c r="B1837" s="202" t="s">
        <v>1248</v>
      </c>
      <c r="C1837" s="202" t="s">
        <v>505</v>
      </c>
      <c r="D1837" s="1618"/>
      <c r="E1837" s="2280" t="s">
        <v>1911</v>
      </c>
      <c r="F1837" s="375">
        <v>2350</v>
      </c>
      <c r="G1837" s="316" t="s">
        <v>271</v>
      </c>
      <c r="H1837" s="948"/>
      <c r="I1837" s="283">
        <v>236</v>
      </c>
      <c r="J1837" s="283"/>
      <c r="K1837" s="313"/>
      <c r="L1837" s="2424"/>
      <c r="M1837" s="2424">
        <v>236</v>
      </c>
      <c r="N1837" s="442"/>
      <c r="O1837" s="86"/>
      <c r="P1837" s="1817" t="e">
        <f>INDEX(#REF!,MATCH(F1837,#REF!,0),2)</f>
        <v>#REF!</v>
      </c>
      <c r="Q1837" s="43"/>
      <c r="R1837" s="43"/>
      <c r="S1837" s="43"/>
      <c r="T1837" s="43"/>
      <c r="U1837" s="43"/>
      <c r="V1837" s="43"/>
      <c r="W1837" s="43"/>
      <c r="X1837" s="43"/>
      <c r="Y1837" s="43"/>
      <c r="Z1837" s="43"/>
      <c r="AA1837" s="43"/>
      <c r="AB1837" s="43"/>
      <c r="AC1837" s="43"/>
      <c r="AD1837" s="43"/>
      <c r="AE1837" s="43"/>
      <c r="AF1837" s="43"/>
      <c r="AG1837" s="43"/>
      <c r="AH1837" s="43"/>
      <c r="AI1837" s="43"/>
      <c r="AJ1837" s="43"/>
      <c r="AK1837" s="43"/>
      <c r="AL1837" s="43"/>
      <c r="AM1837" s="43"/>
      <c r="AN1837" s="43"/>
      <c r="AO1837" s="43"/>
      <c r="AP1837" s="43"/>
      <c r="AQ1837" s="43"/>
      <c r="AR1837" s="43"/>
      <c r="AS1837" s="43"/>
      <c r="AT1837" s="43"/>
      <c r="AU1837" s="43"/>
      <c r="AV1837" s="43"/>
    </row>
    <row r="1838" spans="1:48" ht="11.45" customHeight="1">
      <c r="A1838" s="506"/>
      <c r="B1838" s="506" t="s">
        <v>663</v>
      </c>
      <c r="C1838" s="506" t="s">
        <v>652</v>
      </c>
      <c r="D1838" s="1589">
        <v>930</v>
      </c>
      <c r="E1838" s="2232" t="s">
        <v>1900</v>
      </c>
      <c r="F1838" s="607">
        <v>1119</v>
      </c>
      <c r="G1838" s="411" t="s">
        <v>224</v>
      </c>
      <c r="H1838" s="631">
        <v>139379</v>
      </c>
      <c r="I1838" s="631"/>
      <c r="J1838" s="632">
        <v>115616.29</v>
      </c>
      <c r="K1838" s="526"/>
      <c r="L1838" s="631">
        <v>203032.57800000001</v>
      </c>
      <c r="M1838" s="631"/>
      <c r="N1838" s="83"/>
      <c r="O1838" s="86"/>
      <c r="P1838" s="1817" t="e">
        <f>INDEX(#REF!,MATCH(F1838,#REF!,0),2)</f>
        <v>#REF!</v>
      </c>
      <c r="Q1838" s="43"/>
      <c r="R1838" s="43"/>
      <c r="S1838" s="43"/>
      <c r="T1838" s="43"/>
      <c r="U1838" s="43"/>
      <c r="V1838" s="43"/>
      <c r="W1838" s="43"/>
      <c r="X1838" s="43"/>
      <c r="Y1838" s="43"/>
      <c r="Z1838" s="43"/>
      <c r="AA1838" s="43"/>
      <c r="AB1838" s="43"/>
      <c r="AC1838" s="43"/>
      <c r="AD1838" s="43"/>
      <c r="AE1838" s="43"/>
      <c r="AF1838" s="43"/>
      <c r="AG1838" s="43"/>
      <c r="AH1838" s="43"/>
      <c r="AI1838" s="43"/>
      <c r="AJ1838" s="43"/>
      <c r="AK1838" s="43"/>
      <c r="AL1838" s="43"/>
      <c r="AM1838" s="43"/>
      <c r="AN1838" s="43"/>
      <c r="AO1838" s="43"/>
      <c r="AP1838" s="43"/>
      <c r="AQ1838" s="43"/>
      <c r="AR1838" s="43"/>
      <c r="AS1838" s="43"/>
      <c r="AT1838" s="43"/>
      <c r="AU1838" s="43"/>
      <c r="AV1838" s="43"/>
    </row>
    <row r="1839" spans="1:48" ht="26.45" customHeight="1">
      <c r="A1839" s="412"/>
      <c r="B1839" s="412" t="s">
        <v>663</v>
      </c>
      <c r="C1839" s="412" t="s">
        <v>652</v>
      </c>
      <c r="D1839" s="1590"/>
      <c r="E1839" s="2224" t="s">
        <v>1900</v>
      </c>
      <c r="F1839" s="587">
        <v>1119</v>
      </c>
      <c r="G1839" s="516" t="s">
        <v>663</v>
      </c>
      <c r="H1839" s="495"/>
      <c r="I1839" s="495">
        <v>123739.87999999999</v>
      </c>
      <c r="J1839" s="528"/>
      <c r="K1839" s="494"/>
      <c r="L1839" s="495"/>
      <c r="M1839" s="495">
        <v>178729.728</v>
      </c>
      <c r="N1839" s="83"/>
      <c r="O1839" s="86"/>
      <c r="P1839" s="1817" t="e">
        <f>INDEX(#REF!,MATCH(F1839,#REF!,0),2)</f>
        <v>#REF!</v>
      </c>
    </row>
    <row r="1840" spans="1:48" ht="28.9" customHeight="1">
      <c r="A1840" s="412"/>
      <c r="B1840" s="412" t="s">
        <v>663</v>
      </c>
      <c r="C1840" s="412" t="s">
        <v>652</v>
      </c>
      <c r="D1840" s="1590"/>
      <c r="E1840" s="2224" t="s">
        <v>1900</v>
      </c>
      <c r="F1840" s="587">
        <v>1119</v>
      </c>
      <c r="G1840" s="516" t="s">
        <v>1177</v>
      </c>
      <c r="H1840" s="495"/>
      <c r="I1840" s="495"/>
      <c r="J1840" s="528"/>
      <c r="K1840" s="494"/>
      <c r="L1840" s="495"/>
      <c r="M1840" s="495"/>
      <c r="N1840" s="1025"/>
      <c r="O1840" s="86"/>
      <c r="P1840" s="1817" t="e">
        <f>INDEX(#REF!,MATCH(F1840,#REF!,0),2)</f>
        <v>#REF!</v>
      </c>
    </row>
    <row r="1841" spans="1:48" ht="28.9" customHeight="1">
      <c r="A1841" s="762"/>
      <c r="B1841" s="412" t="s">
        <v>663</v>
      </c>
      <c r="C1841" s="412" t="s">
        <v>652</v>
      </c>
      <c r="D1841" s="1590"/>
      <c r="E1841" s="2224" t="s">
        <v>1900</v>
      </c>
      <c r="F1841" s="587">
        <v>1119</v>
      </c>
      <c r="G1841" s="2820" t="s">
        <v>4131</v>
      </c>
      <c r="H1841" s="1005"/>
      <c r="I1841" s="1005">
        <v>12359</v>
      </c>
      <c r="J1841" s="1006"/>
      <c r="K1841" s="1069"/>
      <c r="L1841" s="1004"/>
      <c r="M1841" s="3128">
        <v>1853.85</v>
      </c>
      <c r="N1841" s="2561" t="s">
        <v>4130</v>
      </c>
      <c r="O1841" s="86"/>
      <c r="P1841" s="1817" t="e">
        <f>INDEX(#REF!,MATCH(F1841,#REF!,0),2)</f>
        <v>#REF!</v>
      </c>
    </row>
    <row r="1842" spans="1:48" ht="28.9" customHeight="1">
      <c r="A1842" s="762"/>
      <c r="B1842" s="412" t="s">
        <v>663</v>
      </c>
      <c r="C1842" s="412" t="s">
        <v>652</v>
      </c>
      <c r="D1842" s="1590"/>
      <c r="E1842" s="2224" t="s">
        <v>1900</v>
      </c>
      <c r="F1842" s="587">
        <v>1119</v>
      </c>
      <c r="G1842" s="2820" t="s">
        <v>4132</v>
      </c>
      <c r="H1842" s="1005"/>
      <c r="I1842" s="1005">
        <v>470</v>
      </c>
      <c r="J1842" s="1006"/>
      <c r="K1842" s="1069"/>
      <c r="L1842" s="1004"/>
      <c r="M1842" s="3128">
        <v>1409</v>
      </c>
      <c r="N1842" s="3373" t="s">
        <v>4657</v>
      </c>
      <c r="O1842" s="86"/>
      <c r="P1842" s="1817" t="e">
        <f>INDEX(#REF!,MATCH(F1842,#REF!,0),2)</f>
        <v>#REF!</v>
      </c>
    </row>
    <row r="1843" spans="1:48" ht="17.45" customHeight="1">
      <c r="A1843" s="2790"/>
      <c r="B1843" s="412" t="s">
        <v>663</v>
      </c>
      <c r="C1843" s="412" t="s">
        <v>652</v>
      </c>
      <c r="D1843" s="1590"/>
      <c r="E1843" s="2224" t="s">
        <v>1900</v>
      </c>
      <c r="F1843" s="587">
        <v>1119</v>
      </c>
      <c r="G1843" s="3376" t="s">
        <v>4658</v>
      </c>
      <c r="H1843" s="3128"/>
      <c r="I1843" s="3128"/>
      <c r="J1843" s="3374"/>
      <c r="K1843" s="3375"/>
      <c r="L1843" s="3127"/>
      <c r="M1843" s="3128">
        <v>376</v>
      </c>
      <c r="N1843" s="3373" t="s">
        <v>4659</v>
      </c>
      <c r="O1843" s="86"/>
      <c r="P1843" s="1817"/>
    </row>
    <row r="1844" spans="1:48" ht="28.9" customHeight="1">
      <c r="A1844" s="2790"/>
      <c r="B1844" s="412" t="s">
        <v>663</v>
      </c>
      <c r="C1844" s="412" t="s">
        <v>652</v>
      </c>
      <c r="D1844" s="1590"/>
      <c r="E1844" s="2224" t="s">
        <v>1900</v>
      </c>
      <c r="F1844" s="587">
        <v>1119</v>
      </c>
      <c r="G1844" s="3376" t="s">
        <v>6200</v>
      </c>
      <c r="H1844" s="3128"/>
      <c r="I1844" s="3128">
        <v>2935.2624999999998</v>
      </c>
      <c r="J1844" s="3374"/>
      <c r="K1844" s="3375"/>
      <c r="L1844" s="3127"/>
      <c r="M1844" s="3128">
        <v>20664</v>
      </c>
      <c r="N1844" s="3373" t="s">
        <v>4660</v>
      </c>
      <c r="O1844" s="86"/>
      <c r="P1844" s="1817"/>
    </row>
    <row r="1845" spans="1:48" ht="12.6" customHeight="1">
      <c r="A1845" s="1882"/>
      <c r="B1845" s="412" t="s">
        <v>663</v>
      </c>
      <c r="C1845" s="412" t="s">
        <v>652</v>
      </c>
      <c r="D1845" s="1590"/>
      <c r="E1845" s="2224" t="s">
        <v>1900</v>
      </c>
      <c r="F1845" s="587">
        <v>1119</v>
      </c>
      <c r="G1845" s="1915" t="s">
        <v>3132</v>
      </c>
      <c r="H1845" s="2311"/>
      <c r="I1845" s="2311">
        <v>-500</v>
      </c>
      <c r="J1845" s="2312"/>
      <c r="K1845" s="2313"/>
      <c r="L1845" s="2376"/>
      <c r="M1845" s="2376"/>
      <c r="N1845" s="3373"/>
      <c r="O1845" s="86"/>
      <c r="P1845" s="1817" t="e">
        <f>INDEX(#REF!,MATCH(F1845,#REF!,0),2)</f>
        <v>#REF!</v>
      </c>
    </row>
    <row r="1846" spans="1:48" ht="11.45" customHeight="1">
      <c r="A1846" s="1882"/>
      <c r="B1846" s="412" t="s">
        <v>663</v>
      </c>
      <c r="C1846" s="412" t="s">
        <v>652</v>
      </c>
      <c r="D1846" s="1590"/>
      <c r="E1846" s="2224" t="s">
        <v>1900</v>
      </c>
      <c r="F1846" s="587">
        <v>1119</v>
      </c>
      <c r="G1846" s="1915" t="s">
        <v>3266</v>
      </c>
      <c r="H1846" s="2311"/>
      <c r="I1846" s="2311">
        <v>9820</v>
      </c>
      <c r="J1846" s="2312"/>
      <c r="K1846" s="2313"/>
      <c r="L1846" s="2376"/>
      <c r="M1846" s="2376"/>
      <c r="N1846" s="3373"/>
      <c r="O1846" s="86"/>
      <c r="P1846" s="1817" t="e">
        <f>INDEX(#REF!,MATCH(F1846,#REF!,0),2)</f>
        <v>#REF!</v>
      </c>
    </row>
    <row r="1847" spans="1:48" ht="21" customHeight="1">
      <c r="A1847" s="1882"/>
      <c r="B1847" s="412" t="s">
        <v>663</v>
      </c>
      <c r="C1847" s="412" t="s">
        <v>652</v>
      </c>
      <c r="D1847" s="1590"/>
      <c r="E1847" s="2224" t="s">
        <v>1900</v>
      </c>
      <c r="F1847" s="587">
        <v>1119</v>
      </c>
      <c r="G1847" s="1915" t="s">
        <v>2001</v>
      </c>
      <c r="H1847" s="2311"/>
      <c r="I1847" s="2311">
        <v>-5000</v>
      </c>
      <c r="J1847" s="2312"/>
      <c r="K1847" s="2313"/>
      <c r="L1847" s="2376"/>
      <c r="M1847" s="2376"/>
      <c r="N1847" s="3373"/>
      <c r="O1847" s="86"/>
      <c r="P1847" s="1817" t="e">
        <f>INDEX(#REF!,MATCH(F1847,#REF!,0),2)</f>
        <v>#REF!</v>
      </c>
    </row>
    <row r="1848" spans="1:48" ht="12.6" customHeight="1">
      <c r="A1848" s="1882"/>
      <c r="B1848" s="412" t="s">
        <v>663</v>
      </c>
      <c r="C1848" s="412" t="s">
        <v>652</v>
      </c>
      <c r="D1848" s="1590"/>
      <c r="E1848" s="2224" t="s">
        <v>1900</v>
      </c>
      <c r="F1848" s="587">
        <v>1119</v>
      </c>
      <c r="G1848" s="1915" t="s">
        <v>3301</v>
      </c>
      <c r="H1848" s="2311"/>
      <c r="I1848" s="2311">
        <v>-200</v>
      </c>
      <c r="J1848" s="2312"/>
      <c r="K1848" s="2313"/>
      <c r="L1848" s="2376"/>
      <c r="M1848" s="2376"/>
      <c r="N1848" s="3373"/>
      <c r="O1848" s="86"/>
      <c r="P1848" s="1817" t="e">
        <f>INDEX(#REF!,MATCH(F1848,#REF!,0),2)</f>
        <v>#REF!</v>
      </c>
      <c r="Q1848" s="43"/>
      <c r="R1848" s="43"/>
      <c r="S1848" s="43"/>
      <c r="T1848" s="43"/>
      <c r="U1848" s="43"/>
      <c r="V1848" s="43"/>
      <c r="W1848" s="43"/>
      <c r="X1848" s="43"/>
      <c r="Y1848" s="43"/>
      <c r="Z1848" s="43"/>
      <c r="AA1848" s="43"/>
      <c r="AB1848" s="43"/>
      <c r="AC1848" s="43"/>
      <c r="AD1848" s="43"/>
      <c r="AE1848" s="43"/>
      <c r="AF1848" s="43"/>
      <c r="AG1848" s="43"/>
      <c r="AH1848" s="43"/>
      <c r="AI1848" s="43"/>
      <c r="AJ1848" s="43"/>
      <c r="AK1848" s="43"/>
      <c r="AL1848" s="43"/>
      <c r="AM1848" s="43"/>
      <c r="AN1848" s="43"/>
      <c r="AO1848" s="43"/>
      <c r="AP1848" s="43"/>
      <c r="AQ1848" s="43"/>
      <c r="AR1848" s="43"/>
      <c r="AS1848" s="43"/>
    </row>
    <row r="1849" spans="1:48" ht="11.45" customHeight="1">
      <c r="A1849" s="1882"/>
      <c r="B1849" s="412" t="s">
        <v>663</v>
      </c>
      <c r="C1849" s="412" t="s">
        <v>652</v>
      </c>
      <c r="D1849" s="1590"/>
      <c r="E1849" s="2224" t="s">
        <v>1900</v>
      </c>
      <c r="F1849" s="587">
        <v>1119</v>
      </c>
      <c r="G1849" s="1915" t="s">
        <v>3302</v>
      </c>
      <c r="H1849" s="2311"/>
      <c r="I1849" s="2311">
        <v>-195</v>
      </c>
      <c r="J1849" s="2312"/>
      <c r="K1849" s="2313"/>
      <c r="L1849" s="2376"/>
      <c r="M1849" s="2376"/>
      <c r="N1849" s="3373"/>
      <c r="O1849" s="86"/>
      <c r="P1849" s="1817" t="e">
        <f>INDEX(#REF!,MATCH(F1849,#REF!,0),2)</f>
        <v>#REF!</v>
      </c>
      <c r="Q1849" s="4"/>
      <c r="R1849" s="4"/>
      <c r="S1849" s="4"/>
      <c r="T1849" s="4"/>
      <c r="U1849" s="4"/>
      <c r="V1849" s="4"/>
      <c r="W1849" s="4"/>
      <c r="X1849" s="4"/>
      <c r="Y1849" s="4"/>
      <c r="Z1849" s="4"/>
      <c r="AA1849" s="4"/>
      <c r="AB1849" s="4"/>
      <c r="AC1849" s="4"/>
      <c r="AD1849" s="4"/>
      <c r="AE1849" s="4"/>
      <c r="AF1849" s="4"/>
      <c r="AG1849" s="4"/>
      <c r="AH1849" s="4"/>
      <c r="AI1849" s="4"/>
      <c r="AJ1849" s="4"/>
      <c r="AK1849" s="4"/>
      <c r="AL1849" s="4"/>
      <c r="AM1849" s="4"/>
      <c r="AN1849" s="4"/>
      <c r="AO1849" s="4"/>
      <c r="AP1849" s="4"/>
      <c r="AQ1849" s="4"/>
      <c r="AR1849" s="4"/>
      <c r="AS1849" s="4"/>
    </row>
    <row r="1850" spans="1:48" ht="11.45" customHeight="1">
      <c r="A1850" s="506"/>
      <c r="B1850" s="506" t="s">
        <v>663</v>
      </c>
      <c r="C1850" s="506" t="s">
        <v>652</v>
      </c>
      <c r="D1850" s="1589">
        <v>930</v>
      </c>
      <c r="E1850" s="2223" t="s">
        <v>1900</v>
      </c>
      <c r="F1850" s="607">
        <v>1147</v>
      </c>
      <c r="G1850" s="411" t="s">
        <v>653</v>
      </c>
      <c r="H1850" s="631">
        <v>16274.450000000003</v>
      </c>
      <c r="I1850" s="639"/>
      <c r="J1850" s="632">
        <v>16164.68</v>
      </c>
      <c r="K1850" s="690"/>
      <c r="L1850" s="631">
        <v>14894.144</v>
      </c>
      <c r="M1850" s="631"/>
      <c r="N1850" s="3373"/>
      <c r="O1850" s="86"/>
      <c r="P1850" s="1817" t="e">
        <f>INDEX(#REF!,MATCH(F1850,#REF!,0),2)</f>
        <v>#REF!</v>
      </c>
      <c r="Q1850" s="4"/>
      <c r="R1850" s="4"/>
      <c r="S1850" s="4"/>
      <c r="T1850" s="4"/>
      <c r="U1850" s="4"/>
      <c r="V1850" s="4"/>
      <c r="W1850" s="4"/>
      <c r="X1850" s="4"/>
      <c r="Y1850" s="4"/>
      <c r="Z1850" s="4"/>
      <c r="AA1850" s="4"/>
      <c r="AB1850" s="4"/>
      <c r="AC1850" s="4"/>
      <c r="AD1850" s="4"/>
      <c r="AE1850" s="4"/>
      <c r="AF1850" s="4"/>
      <c r="AG1850" s="4"/>
      <c r="AH1850" s="4"/>
      <c r="AI1850" s="4"/>
      <c r="AJ1850" s="4"/>
      <c r="AK1850" s="4"/>
      <c r="AL1850" s="4"/>
      <c r="AM1850" s="4"/>
      <c r="AN1850" s="4"/>
      <c r="AO1850" s="4"/>
      <c r="AP1850" s="4"/>
      <c r="AQ1850" s="4"/>
      <c r="AR1850" s="4"/>
      <c r="AS1850" s="4"/>
    </row>
    <row r="1851" spans="1:48" ht="11.45" customHeight="1">
      <c r="A1851" s="412"/>
      <c r="B1851" s="412" t="s">
        <v>663</v>
      </c>
      <c r="C1851" s="412" t="s">
        <v>652</v>
      </c>
      <c r="D1851" s="1590"/>
      <c r="E1851" s="2224" t="s">
        <v>1900</v>
      </c>
      <c r="F1851" s="587">
        <v>1147</v>
      </c>
      <c r="G1851" s="516" t="s">
        <v>663</v>
      </c>
      <c r="H1851" s="689"/>
      <c r="I1851" s="518">
        <v>11274.450000000003</v>
      </c>
      <c r="J1851" s="528"/>
      <c r="K1851" s="690"/>
      <c r="L1851" s="495"/>
      <c r="M1851" s="495">
        <v>14894.144</v>
      </c>
      <c r="N1851" s="3373"/>
      <c r="O1851" s="86"/>
      <c r="P1851" s="1817" t="e">
        <f>INDEX(#REF!,MATCH(F1851,#REF!,0),2)</f>
        <v>#REF!</v>
      </c>
      <c r="Q1851" s="43"/>
      <c r="R1851" s="43"/>
      <c r="S1851" s="43"/>
      <c r="T1851" s="43"/>
      <c r="U1851" s="43"/>
      <c r="V1851" s="43"/>
      <c r="W1851" s="43"/>
      <c r="X1851" s="43"/>
      <c r="Y1851" s="43"/>
      <c r="Z1851" s="43"/>
      <c r="AA1851" s="43"/>
      <c r="AB1851" s="43"/>
      <c r="AC1851" s="43"/>
      <c r="AD1851" s="43"/>
      <c r="AE1851" s="43"/>
      <c r="AF1851" s="43"/>
      <c r="AG1851" s="43"/>
      <c r="AH1851" s="43"/>
      <c r="AI1851" s="43"/>
      <c r="AJ1851" s="43"/>
      <c r="AK1851" s="43"/>
      <c r="AL1851" s="43"/>
      <c r="AM1851" s="43"/>
      <c r="AN1851" s="43"/>
      <c r="AO1851" s="43"/>
      <c r="AP1851" s="43"/>
      <c r="AQ1851" s="43"/>
      <c r="AR1851" s="43"/>
      <c r="AS1851" s="43"/>
    </row>
    <row r="1852" spans="1:48" ht="68.45" customHeight="1">
      <c r="A1852" s="1370"/>
      <c r="B1852" s="412" t="s">
        <v>663</v>
      </c>
      <c r="C1852" s="412" t="s">
        <v>652</v>
      </c>
      <c r="D1852" s="1590"/>
      <c r="E1852" s="2224" t="s">
        <v>1900</v>
      </c>
      <c r="F1852" s="587">
        <v>1147</v>
      </c>
      <c r="G1852" s="1915" t="s">
        <v>2001</v>
      </c>
      <c r="H1852" s="1245"/>
      <c r="I1852" s="1450">
        <v>5000</v>
      </c>
      <c r="J1852" s="1246"/>
      <c r="K1852" s="1247"/>
      <c r="L1852" s="1245"/>
      <c r="M1852" s="1245"/>
      <c r="N1852" s="3373"/>
      <c r="O1852" s="86"/>
      <c r="P1852" s="1817" t="e">
        <f>INDEX(#REF!,MATCH(F1852,#REF!,0),2)</f>
        <v>#REF!</v>
      </c>
      <c r="Q1852" s="4"/>
      <c r="R1852" s="4"/>
      <c r="S1852" s="4"/>
      <c r="T1852" s="4"/>
      <c r="U1852" s="4"/>
      <c r="V1852" s="4"/>
      <c r="W1852" s="4"/>
      <c r="X1852" s="4"/>
      <c r="Y1852" s="4"/>
      <c r="Z1852" s="4"/>
      <c r="AA1852" s="4"/>
      <c r="AB1852" s="4"/>
      <c r="AC1852" s="4"/>
      <c r="AD1852" s="4"/>
      <c r="AE1852" s="4"/>
      <c r="AF1852" s="4"/>
      <c r="AG1852" s="4"/>
      <c r="AH1852" s="4"/>
      <c r="AI1852" s="4"/>
      <c r="AJ1852" s="4"/>
      <c r="AK1852" s="4"/>
      <c r="AL1852" s="4"/>
      <c r="AM1852" s="4"/>
      <c r="AN1852" s="4"/>
      <c r="AO1852" s="4"/>
      <c r="AP1852" s="4"/>
      <c r="AQ1852" s="4"/>
      <c r="AR1852" s="4"/>
      <c r="AS1852" s="4"/>
    </row>
    <row r="1853" spans="1:48" ht="11.45" customHeight="1">
      <c r="A1853" s="506"/>
      <c r="B1853" s="506" t="s">
        <v>663</v>
      </c>
      <c r="C1853" s="506" t="s">
        <v>652</v>
      </c>
      <c r="D1853" s="1589">
        <v>930</v>
      </c>
      <c r="E1853" s="2223" t="s">
        <v>1900</v>
      </c>
      <c r="F1853" s="607">
        <v>1148</v>
      </c>
      <c r="G1853" s="411" t="s">
        <v>911</v>
      </c>
      <c r="H1853" s="631">
        <v>0</v>
      </c>
      <c r="I1853" s="631"/>
      <c r="J1853" s="632"/>
      <c r="K1853" s="494"/>
      <c r="L1853" s="631">
        <v>8282.8164149999993</v>
      </c>
      <c r="M1853" s="631"/>
      <c r="N1853" s="1025"/>
      <c r="O1853" s="86"/>
      <c r="P1853" s="1817" t="e">
        <f>INDEX(#REF!,MATCH(F1853,#REF!,0),2)</f>
        <v>#REF!</v>
      </c>
      <c r="Q1853" s="43"/>
      <c r="R1853" s="43"/>
      <c r="S1853" s="43"/>
      <c r="T1853" s="43"/>
      <c r="U1853" s="43"/>
      <c r="V1853" s="43"/>
      <c r="W1853" s="43"/>
      <c r="X1853" s="43"/>
      <c r="Y1853" s="43"/>
      <c r="Z1853" s="43"/>
      <c r="AA1853" s="43"/>
      <c r="AB1853" s="43"/>
      <c r="AC1853" s="43"/>
      <c r="AD1853" s="43"/>
      <c r="AE1853" s="43"/>
      <c r="AF1853" s="43"/>
      <c r="AG1853" s="43"/>
      <c r="AH1853" s="43"/>
      <c r="AI1853" s="43"/>
      <c r="AJ1853" s="43"/>
      <c r="AK1853" s="43"/>
      <c r="AL1853" s="43"/>
      <c r="AM1853" s="43"/>
      <c r="AN1853" s="43"/>
      <c r="AO1853" s="43"/>
      <c r="AP1853" s="43"/>
      <c r="AQ1853" s="43"/>
      <c r="AR1853" s="43"/>
      <c r="AS1853" s="43"/>
      <c r="AT1853" s="43"/>
      <c r="AU1853" s="43"/>
      <c r="AV1853" s="43"/>
    </row>
    <row r="1854" spans="1:48" ht="12" customHeight="1">
      <c r="A1854" s="412"/>
      <c r="B1854" s="412" t="s">
        <v>663</v>
      </c>
      <c r="C1854" s="412" t="s">
        <v>652</v>
      </c>
      <c r="D1854" s="1590"/>
      <c r="E1854" s="2224" t="s">
        <v>1900</v>
      </c>
      <c r="F1854" s="587">
        <v>1148</v>
      </c>
      <c r="G1854" s="3377" t="s">
        <v>4661</v>
      </c>
      <c r="H1854" s="495"/>
      <c r="I1854" s="495"/>
      <c r="J1854" s="528"/>
      <c r="K1854" s="494"/>
      <c r="L1854" s="495"/>
      <c r="M1854" s="495">
        <v>8282.8164149999993</v>
      </c>
      <c r="N1854" s="3373" t="s">
        <v>4662</v>
      </c>
      <c r="O1854" s="86"/>
      <c r="P1854" s="1817" t="e">
        <f>INDEX(#REF!,MATCH(F1854,#REF!,0),2)</f>
        <v>#REF!</v>
      </c>
      <c r="Q1854" s="43"/>
      <c r="R1854" s="43"/>
      <c r="S1854" s="43"/>
      <c r="T1854" s="43"/>
      <c r="U1854" s="43"/>
      <c r="V1854" s="43"/>
      <c r="W1854" s="43"/>
      <c r="X1854" s="43"/>
      <c r="Y1854" s="43"/>
      <c r="Z1854" s="43"/>
      <c r="AA1854" s="43"/>
      <c r="AB1854" s="43"/>
      <c r="AC1854" s="43"/>
      <c r="AD1854" s="43"/>
      <c r="AE1854" s="43"/>
      <c r="AF1854" s="43"/>
      <c r="AG1854" s="43"/>
      <c r="AH1854" s="43"/>
      <c r="AI1854" s="43"/>
      <c r="AJ1854" s="43"/>
      <c r="AK1854" s="43"/>
      <c r="AL1854" s="43"/>
      <c r="AM1854" s="43"/>
      <c r="AN1854" s="43"/>
      <c r="AO1854" s="43"/>
      <c r="AP1854" s="43"/>
      <c r="AQ1854" s="43"/>
      <c r="AR1854" s="43"/>
      <c r="AS1854" s="43"/>
      <c r="AT1854" s="43"/>
      <c r="AU1854" s="43"/>
      <c r="AV1854" s="43"/>
    </row>
    <row r="1855" spans="1:48" ht="52.9" customHeight="1">
      <c r="A1855" s="412"/>
      <c r="B1855" s="412" t="s">
        <v>663</v>
      </c>
      <c r="C1855" s="412" t="s">
        <v>652</v>
      </c>
      <c r="D1855" s="1590"/>
      <c r="E1855" s="2224" t="s">
        <v>1900</v>
      </c>
      <c r="F1855" s="587">
        <v>1148</v>
      </c>
      <c r="G1855" s="562"/>
      <c r="H1855" s="693"/>
      <c r="I1855" s="693"/>
      <c r="J1855" s="528"/>
      <c r="K1855" s="494"/>
      <c r="L1855" s="637"/>
      <c r="M1855" s="637"/>
      <c r="N1855" s="1025"/>
      <c r="O1855" s="86"/>
      <c r="P1855" s="1817" t="e">
        <f>INDEX(#REF!,MATCH(F1855,#REF!,0),2)</f>
        <v>#REF!</v>
      </c>
      <c r="Q1855" s="4"/>
      <c r="R1855" s="4"/>
      <c r="S1855" s="4"/>
      <c r="T1855" s="4"/>
      <c r="U1855" s="4"/>
      <c r="V1855" s="4"/>
      <c r="W1855" s="4"/>
      <c r="X1855" s="4"/>
      <c r="Y1855" s="4"/>
      <c r="Z1855" s="4"/>
      <c r="AA1855" s="4"/>
      <c r="AB1855" s="4"/>
      <c r="AC1855" s="4"/>
      <c r="AD1855" s="4"/>
      <c r="AE1855" s="4"/>
      <c r="AF1855" s="4"/>
      <c r="AG1855" s="4"/>
      <c r="AH1855" s="4"/>
      <c r="AI1855" s="4"/>
      <c r="AJ1855" s="4"/>
      <c r="AK1855" s="4"/>
      <c r="AL1855" s="4"/>
      <c r="AM1855" s="4"/>
      <c r="AN1855" s="4"/>
      <c r="AO1855" s="4"/>
      <c r="AP1855" s="4"/>
      <c r="AQ1855" s="4"/>
      <c r="AR1855" s="4"/>
      <c r="AS1855" s="4"/>
      <c r="AT1855" s="4"/>
      <c r="AU1855" s="4"/>
      <c r="AV1855" s="4"/>
    </row>
    <row r="1856" spans="1:48" ht="15" customHeight="1">
      <c r="A1856" s="506" t="s">
        <v>1085</v>
      </c>
      <c r="B1856" s="775" t="s">
        <v>1249</v>
      </c>
      <c r="C1856" s="506" t="s">
        <v>505</v>
      </c>
      <c r="D1856" s="1589">
        <v>930</v>
      </c>
      <c r="E1856" s="2223" t="s">
        <v>1900</v>
      </c>
      <c r="F1856" s="540">
        <v>1150</v>
      </c>
      <c r="G1856" s="411" t="s">
        <v>408</v>
      </c>
      <c r="H1856" s="691">
        <v>1300</v>
      </c>
      <c r="I1856" s="631"/>
      <c r="J1856" s="632">
        <v>635.27</v>
      </c>
      <c r="K1856" s="494"/>
      <c r="L1856" s="691">
        <v>7841</v>
      </c>
      <c r="M1856" s="631"/>
      <c r="N1856" s="4"/>
      <c r="O1856" s="86"/>
      <c r="P1856" s="1817" t="e">
        <f>INDEX(#REF!,MATCH(F1856,#REF!,0),2)</f>
        <v>#REF!</v>
      </c>
      <c r="Q1856" s="4"/>
      <c r="R1856" s="4"/>
      <c r="S1856" s="4"/>
      <c r="T1856" s="4"/>
      <c r="U1856" s="4"/>
      <c r="V1856" s="4"/>
      <c r="W1856" s="4"/>
      <c r="X1856" s="4"/>
      <c r="Y1856" s="4"/>
      <c r="Z1856" s="4"/>
      <c r="AA1856" s="4"/>
      <c r="AB1856" s="4"/>
      <c r="AC1856" s="4"/>
      <c r="AD1856" s="4"/>
      <c r="AE1856" s="4"/>
      <c r="AF1856" s="4"/>
      <c r="AG1856" s="4"/>
      <c r="AH1856" s="4"/>
      <c r="AI1856" s="4"/>
      <c r="AJ1856" s="4"/>
      <c r="AK1856" s="4"/>
      <c r="AL1856" s="4"/>
      <c r="AM1856" s="4"/>
      <c r="AN1856" s="4"/>
      <c r="AO1856" s="4"/>
      <c r="AP1856" s="4"/>
      <c r="AQ1856" s="4"/>
      <c r="AR1856" s="4"/>
      <c r="AS1856" s="4"/>
      <c r="AT1856" s="4"/>
      <c r="AU1856" s="4"/>
      <c r="AV1856" s="4"/>
    </row>
    <row r="1857" spans="1:48" ht="18" customHeight="1">
      <c r="A1857" s="412" t="s">
        <v>709</v>
      </c>
      <c r="B1857" s="489" t="s">
        <v>1249</v>
      </c>
      <c r="C1857" s="412" t="s">
        <v>505</v>
      </c>
      <c r="D1857" s="1590"/>
      <c r="E1857" s="2224" t="s">
        <v>1900</v>
      </c>
      <c r="F1857" s="505">
        <v>1150</v>
      </c>
      <c r="G1857" s="3378" t="s">
        <v>4663</v>
      </c>
      <c r="H1857" s="495"/>
      <c r="I1857" s="386">
        <v>200</v>
      </c>
      <c r="J1857" s="528"/>
      <c r="K1857" s="494"/>
      <c r="L1857" s="495"/>
      <c r="M1857" s="689">
        <v>7841</v>
      </c>
      <c r="N1857" s="3373" t="s">
        <v>4664</v>
      </c>
      <c r="O1857" s="86"/>
      <c r="P1857" s="1817" t="e">
        <f>INDEX(#REF!,MATCH(F1857,#REF!,0),2)</f>
        <v>#REF!</v>
      </c>
      <c r="Q1857" s="4"/>
      <c r="R1857" s="4"/>
      <c r="S1857" s="4"/>
      <c r="T1857" s="4"/>
      <c r="U1857" s="4"/>
      <c r="V1857" s="4"/>
      <c r="W1857" s="4"/>
      <c r="X1857" s="4"/>
      <c r="Y1857" s="4"/>
      <c r="Z1857" s="4"/>
      <c r="AA1857" s="4"/>
      <c r="AB1857" s="4"/>
      <c r="AC1857" s="4"/>
      <c r="AD1857" s="4"/>
      <c r="AE1857" s="4"/>
      <c r="AF1857" s="4"/>
      <c r="AG1857" s="4"/>
      <c r="AH1857" s="4"/>
      <c r="AI1857" s="4"/>
      <c r="AJ1857" s="4"/>
      <c r="AK1857" s="4"/>
      <c r="AL1857" s="4"/>
      <c r="AM1857" s="4"/>
      <c r="AN1857" s="4"/>
      <c r="AO1857" s="4"/>
      <c r="AP1857" s="4"/>
      <c r="AQ1857" s="4"/>
      <c r="AR1857" s="4"/>
      <c r="AS1857" s="4"/>
      <c r="AT1857" s="4"/>
      <c r="AU1857" s="4"/>
      <c r="AV1857" s="4"/>
    </row>
    <row r="1858" spans="1:48" ht="13.15" customHeight="1">
      <c r="A1858" s="506"/>
      <c r="B1858" s="506" t="s">
        <v>663</v>
      </c>
      <c r="C1858" s="506" t="s">
        <v>652</v>
      </c>
      <c r="D1858" s="1589">
        <v>930</v>
      </c>
      <c r="E1858" s="2223" t="s">
        <v>1900</v>
      </c>
      <c r="F1858" s="540">
        <v>1170</v>
      </c>
      <c r="G1858" s="411" t="s">
        <v>724</v>
      </c>
      <c r="H1858" s="631">
        <v>90</v>
      </c>
      <c r="I1858" s="2823"/>
      <c r="J1858" s="632">
        <v>90</v>
      </c>
      <c r="K1858" s="526"/>
      <c r="L1858" s="508">
        <v>150</v>
      </c>
      <c r="M1858" s="631"/>
      <c r="N1858" s="1025"/>
      <c r="O1858" s="86"/>
      <c r="P1858" s="1817" t="e">
        <f>INDEX(#REF!,MATCH(F1858,#REF!,0),2)</f>
        <v>#REF!</v>
      </c>
      <c r="Q1858" s="4"/>
      <c r="R1858" s="4"/>
      <c r="S1858" s="4"/>
      <c r="T1858" s="4"/>
      <c r="U1858" s="4"/>
      <c r="V1858" s="4"/>
      <c r="W1858" s="4"/>
      <c r="X1858" s="4"/>
      <c r="Y1858" s="4"/>
      <c r="Z1858" s="4"/>
      <c r="AA1858" s="4"/>
      <c r="AB1858" s="4"/>
      <c r="AC1858" s="4"/>
      <c r="AD1858" s="4"/>
      <c r="AE1858" s="4"/>
      <c r="AF1858" s="4"/>
      <c r="AG1858" s="4"/>
      <c r="AH1858" s="4"/>
      <c r="AI1858" s="4"/>
      <c r="AJ1858" s="4"/>
      <c r="AK1858" s="4"/>
      <c r="AL1858" s="4"/>
      <c r="AM1858" s="4"/>
      <c r="AN1858" s="4"/>
      <c r="AO1858" s="4"/>
      <c r="AP1858" s="4"/>
      <c r="AQ1858" s="4"/>
      <c r="AR1858" s="4"/>
      <c r="AS1858" s="4"/>
      <c r="AT1858" s="4"/>
      <c r="AU1858" s="4"/>
      <c r="AV1858" s="4"/>
    </row>
    <row r="1859" spans="1:48" ht="15" customHeight="1">
      <c r="A1859" s="412"/>
      <c r="B1859" s="412" t="s">
        <v>663</v>
      </c>
      <c r="C1859" s="412" t="s">
        <v>652</v>
      </c>
      <c r="D1859" s="1590"/>
      <c r="E1859" s="2224" t="s">
        <v>1900</v>
      </c>
      <c r="F1859" s="505">
        <v>1170</v>
      </c>
      <c r="G1859" s="2820" t="s">
        <v>4665</v>
      </c>
      <c r="H1859" s="495"/>
      <c r="I1859" s="495">
        <v>75</v>
      </c>
      <c r="J1859" s="528"/>
      <c r="K1859" s="526"/>
      <c r="L1859" s="495"/>
      <c r="M1859" s="495">
        <v>150</v>
      </c>
      <c r="N1859" s="1025"/>
      <c r="O1859" s="86"/>
      <c r="P1859" s="1817" t="e">
        <f>INDEX(#REF!,MATCH(F1859,#REF!,0),2)</f>
        <v>#REF!</v>
      </c>
      <c r="Q1859" s="43"/>
      <c r="R1859" s="43"/>
      <c r="S1859" s="43"/>
      <c r="T1859" s="43"/>
      <c r="U1859" s="43"/>
      <c r="V1859" s="43"/>
      <c r="W1859" s="43"/>
      <c r="X1859" s="43"/>
      <c r="Y1859" s="43"/>
      <c r="Z1859" s="43"/>
      <c r="AA1859" s="43"/>
      <c r="AB1859" s="43"/>
      <c r="AC1859" s="43"/>
      <c r="AD1859" s="43"/>
      <c r="AE1859" s="43"/>
      <c r="AF1859" s="43"/>
      <c r="AG1859" s="43"/>
      <c r="AH1859" s="4"/>
      <c r="AI1859" s="4"/>
      <c r="AJ1859" s="4"/>
      <c r="AK1859" s="4"/>
      <c r="AL1859" s="4"/>
      <c r="AM1859" s="4"/>
      <c r="AN1859" s="4"/>
      <c r="AO1859" s="4"/>
      <c r="AP1859" s="4"/>
      <c r="AQ1859" s="4"/>
      <c r="AR1859" s="4"/>
      <c r="AS1859" s="4"/>
      <c r="AT1859" s="4"/>
      <c r="AU1859" s="4"/>
      <c r="AV1859" s="4"/>
    </row>
    <row r="1860" spans="1:48" ht="21" customHeight="1">
      <c r="A1860" s="506"/>
      <c r="B1860" s="506" t="s">
        <v>663</v>
      </c>
      <c r="C1860" s="506" t="s">
        <v>652</v>
      </c>
      <c r="D1860" s="1589">
        <v>930</v>
      </c>
      <c r="E1860" s="2223" t="s">
        <v>1900</v>
      </c>
      <c r="F1860" s="607">
        <v>1210</v>
      </c>
      <c r="G1860" s="411" t="s">
        <v>228</v>
      </c>
      <c r="H1860" s="631">
        <v>31522</v>
      </c>
      <c r="I1860" s="631"/>
      <c r="J1860" s="632">
        <v>28439.8</v>
      </c>
      <c r="K1860" s="526"/>
      <c r="L1860" s="631">
        <v>45061.00390512</v>
      </c>
      <c r="M1860" s="631"/>
      <c r="N1860" s="1025"/>
      <c r="O1860" s="86"/>
      <c r="P1860" s="1817" t="e">
        <f>INDEX(#REF!,MATCH(F1860,#REF!,0),2)</f>
        <v>#REF!</v>
      </c>
      <c r="Q1860" s="43"/>
      <c r="R1860" s="43"/>
      <c r="S1860" s="43"/>
      <c r="T1860" s="43"/>
      <c r="U1860" s="43"/>
      <c r="V1860" s="43"/>
      <c r="W1860" s="43"/>
      <c r="X1860" s="43"/>
      <c r="Y1860" s="43"/>
      <c r="Z1860" s="43"/>
      <c r="AA1860" s="43"/>
      <c r="AB1860" s="43"/>
      <c r="AC1860" s="43"/>
      <c r="AD1860" s="43"/>
      <c r="AE1860" s="43"/>
      <c r="AF1860" s="43"/>
      <c r="AG1860" s="43"/>
      <c r="AH1860" s="43"/>
      <c r="AI1860" s="43"/>
      <c r="AJ1860" s="43"/>
      <c r="AK1860" s="43"/>
      <c r="AL1860" s="43"/>
      <c r="AM1860" s="43"/>
      <c r="AN1860" s="43"/>
      <c r="AO1860" s="43"/>
      <c r="AP1860" s="43"/>
      <c r="AQ1860" s="43"/>
      <c r="AR1860" s="43"/>
      <c r="AS1860" s="43"/>
      <c r="AT1860" s="43"/>
      <c r="AU1860" s="43"/>
      <c r="AV1860" s="43"/>
    </row>
    <row r="1861" spans="1:48" ht="18.600000000000001" customHeight="1">
      <c r="A1861" s="412"/>
      <c r="B1861" s="412" t="s">
        <v>663</v>
      </c>
      <c r="C1861" s="412" t="s">
        <v>652</v>
      </c>
      <c r="D1861" s="1590"/>
      <c r="E1861" s="2224" t="s">
        <v>1900</v>
      </c>
      <c r="F1861" s="587">
        <v>1210</v>
      </c>
      <c r="G1861" s="516" t="s">
        <v>663</v>
      </c>
      <c r="H1861" s="495"/>
      <c r="I1861" s="495">
        <v>31520.716733275</v>
      </c>
      <c r="J1861" s="528"/>
      <c r="K1861" s="526"/>
      <c r="L1861" s="495"/>
      <c r="M1861" s="495">
        <v>45061.00390512</v>
      </c>
      <c r="N1861" s="1025"/>
      <c r="O1861" s="86"/>
      <c r="P1861" s="1817" t="e">
        <f>INDEX(#REF!,MATCH(F1861,#REF!,0),2)</f>
        <v>#REF!</v>
      </c>
      <c r="Q1861" s="43"/>
      <c r="R1861" s="43"/>
      <c r="S1861" s="43"/>
      <c r="T1861" s="43"/>
      <c r="U1861" s="43"/>
      <c r="V1861" s="43"/>
      <c r="W1861" s="43"/>
      <c r="X1861" s="43"/>
      <c r="Y1861" s="43"/>
      <c r="Z1861" s="43"/>
      <c r="AA1861" s="43"/>
      <c r="AB1861" s="43"/>
      <c r="AC1861" s="43"/>
      <c r="AD1861" s="43"/>
      <c r="AE1861" s="43"/>
      <c r="AF1861" s="43"/>
      <c r="AG1861" s="43"/>
      <c r="AH1861" s="43"/>
      <c r="AI1861" s="43"/>
      <c r="AJ1861" s="43"/>
      <c r="AK1861" s="43"/>
      <c r="AL1861" s="43"/>
      <c r="AM1861" s="43"/>
      <c r="AN1861" s="43"/>
      <c r="AO1861" s="43"/>
      <c r="AP1861" s="43"/>
      <c r="AQ1861" s="43"/>
      <c r="AR1861" s="43"/>
      <c r="AS1861" s="43"/>
      <c r="AT1861" s="43"/>
      <c r="AU1861" s="43"/>
      <c r="AV1861" s="43"/>
    </row>
    <row r="1862" spans="1:48" ht="11.45" customHeight="1">
      <c r="A1862" s="412"/>
      <c r="B1862" s="412" t="s">
        <v>663</v>
      </c>
      <c r="C1862" s="412" t="s">
        <v>652</v>
      </c>
      <c r="D1862" s="1590"/>
      <c r="E1862" s="2224" t="s">
        <v>1900</v>
      </c>
      <c r="F1862" s="587">
        <v>1210</v>
      </c>
      <c r="G1862" s="562" t="s">
        <v>1177</v>
      </c>
      <c r="H1862" s="693"/>
      <c r="I1862" s="693"/>
      <c r="J1862" s="528"/>
      <c r="K1862" s="494"/>
      <c r="L1862" s="495"/>
      <c r="M1862" s="495"/>
      <c r="N1862" s="1025"/>
      <c r="O1862" s="86"/>
      <c r="P1862" s="1817" t="e">
        <f>INDEX(#REF!,MATCH(F1862,#REF!,0),2)</f>
        <v>#REF!</v>
      </c>
      <c r="Q1862" s="43"/>
      <c r="R1862" s="43"/>
      <c r="S1862" s="43"/>
      <c r="T1862" s="43"/>
      <c r="U1862" s="43"/>
      <c r="V1862" s="43"/>
      <c r="W1862" s="43"/>
      <c r="X1862" s="43"/>
      <c r="Y1862" s="43"/>
      <c r="Z1862" s="43"/>
      <c r="AA1862" s="43"/>
      <c r="AB1862" s="43"/>
      <c r="AC1862" s="43"/>
      <c r="AD1862" s="43"/>
      <c r="AE1862" s="43"/>
      <c r="AF1862" s="43"/>
      <c r="AG1862" s="43"/>
      <c r="AH1862" s="43"/>
      <c r="AI1862" s="43"/>
      <c r="AJ1862" s="43"/>
      <c r="AK1862" s="43"/>
      <c r="AL1862" s="43"/>
      <c r="AM1862" s="43"/>
      <c r="AN1862" s="43"/>
      <c r="AO1862" s="43"/>
      <c r="AP1862" s="43"/>
      <c r="AQ1862" s="43"/>
      <c r="AR1862" s="43"/>
      <c r="AS1862" s="43"/>
      <c r="AT1862" s="43"/>
      <c r="AU1862" s="43"/>
      <c r="AV1862" s="43"/>
    </row>
    <row r="1863" spans="1:48" ht="20.45" customHeight="1">
      <c r="A1863" s="506"/>
      <c r="B1863" s="506" t="s">
        <v>663</v>
      </c>
      <c r="C1863" s="506" t="s">
        <v>652</v>
      </c>
      <c r="D1863" s="1589">
        <v>930</v>
      </c>
      <c r="E1863" s="2223" t="s">
        <v>1900</v>
      </c>
      <c r="F1863" s="607">
        <v>1221</v>
      </c>
      <c r="G1863" s="411" t="s">
        <v>409</v>
      </c>
      <c r="H1863" s="631">
        <v>7296.2100912250016</v>
      </c>
      <c r="I1863" s="631"/>
      <c r="J1863" s="632">
        <v>5891.68</v>
      </c>
      <c r="K1863" s="526"/>
      <c r="L1863" s="631">
        <v>9818.7037844799997</v>
      </c>
      <c r="M1863" s="631"/>
      <c r="N1863" s="1025"/>
      <c r="O1863" s="86"/>
      <c r="P1863" s="1817" t="e">
        <f>INDEX(#REF!,MATCH(F1863,#REF!,0),2)</f>
        <v>#REF!</v>
      </c>
      <c r="Q1863" s="43"/>
      <c r="R1863" s="43"/>
      <c r="S1863" s="43"/>
      <c r="T1863" s="43"/>
      <c r="U1863" s="43"/>
      <c r="V1863" s="43"/>
      <c r="W1863" s="43"/>
      <c r="X1863" s="43"/>
      <c r="Y1863" s="43"/>
      <c r="Z1863" s="43"/>
      <c r="AA1863" s="43"/>
      <c r="AB1863" s="43"/>
      <c r="AC1863" s="43"/>
      <c r="AD1863" s="43"/>
      <c r="AE1863" s="43"/>
      <c r="AF1863" s="43"/>
      <c r="AG1863" s="43"/>
      <c r="AH1863" s="43"/>
      <c r="AI1863" s="43"/>
      <c r="AJ1863" s="43"/>
      <c r="AK1863" s="43"/>
      <c r="AL1863" s="43"/>
      <c r="AM1863" s="43"/>
      <c r="AN1863" s="43"/>
      <c r="AO1863" s="43"/>
      <c r="AP1863" s="43"/>
      <c r="AQ1863" s="43"/>
      <c r="AR1863" s="43"/>
      <c r="AS1863" s="43"/>
      <c r="AT1863" s="43"/>
      <c r="AU1863" s="43"/>
      <c r="AV1863" s="43"/>
    </row>
    <row r="1864" spans="1:48">
      <c r="A1864" s="412"/>
      <c r="B1864" s="412" t="s">
        <v>663</v>
      </c>
      <c r="C1864" s="412" t="s">
        <v>652</v>
      </c>
      <c r="D1864" s="1590"/>
      <c r="E1864" s="2224" t="s">
        <v>1900</v>
      </c>
      <c r="F1864" s="505">
        <v>1221</v>
      </c>
      <c r="G1864" s="562"/>
      <c r="H1864" s="693"/>
      <c r="I1864" s="693">
        <v>7296.2100912250016</v>
      </c>
      <c r="J1864" s="528"/>
      <c r="K1864" s="494"/>
      <c r="L1864" s="495"/>
      <c r="M1864" s="495">
        <v>9818.7037844799997</v>
      </c>
      <c r="N1864" s="1025"/>
      <c r="O1864" s="86"/>
      <c r="P1864" s="1817" t="e">
        <f>INDEX(#REF!,MATCH(F1864,#REF!,0),2)</f>
        <v>#REF!</v>
      </c>
      <c r="Q1864" s="43"/>
      <c r="R1864" s="43"/>
      <c r="S1864" s="43"/>
      <c r="T1864" s="43"/>
      <c r="U1864" s="43"/>
      <c r="V1864" s="43"/>
      <c r="W1864" s="43"/>
      <c r="X1864" s="43"/>
      <c r="Y1864" s="43"/>
      <c r="Z1864" s="43"/>
      <c r="AA1864" s="43"/>
      <c r="AB1864" s="43"/>
      <c r="AC1864" s="43"/>
      <c r="AD1864" s="43"/>
      <c r="AE1864" s="43"/>
      <c r="AF1864" s="43"/>
      <c r="AG1864" s="43"/>
      <c r="AH1864" s="43"/>
      <c r="AI1864" s="43"/>
      <c r="AJ1864" s="43"/>
      <c r="AK1864" s="43"/>
      <c r="AL1864" s="43"/>
      <c r="AM1864" s="43"/>
      <c r="AN1864" s="43"/>
      <c r="AO1864" s="43"/>
      <c r="AP1864" s="43"/>
      <c r="AQ1864" s="43"/>
      <c r="AR1864" s="43"/>
      <c r="AS1864" s="43"/>
      <c r="AT1864" s="43"/>
      <c r="AU1864" s="43"/>
      <c r="AV1864" s="43"/>
    </row>
    <row r="1865" spans="1:48">
      <c r="A1865" s="412"/>
      <c r="B1865" s="412" t="s">
        <v>663</v>
      </c>
      <c r="C1865" s="412" t="s">
        <v>652</v>
      </c>
      <c r="D1865" s="1590"/>
      <c r="E1865" s="2224" t="s">
        <v>1900</v>
      </c>
      <c r="F1865" s="505">
        <v>1221</v>
      </c>
      <c r="G1865" s="562" t="s">
        <v>1177</v>
      </c>
      <c r="H1865" s="693"/>
      <c r="I1865" s="693"/>
      <c r="J1865" s="528"/>
      <c r="K1865" s="494"/>
      <c r="L1865" s="495"/>
      <c r="M1865" s="495"/>
      <c r="N1865" s="83"/>
      <c r="O1865" s="86"/>
      <c r="P1865" s="1817" t="e">
        <f>INDEX(#REF!,MATCH(F1865,#REF!,0),2)</f>
        <v>#REF!</v>
      </c>
      <c r="Q1865" s="43"/>
      <c r="R1865" s="43"/>
      <c r="S1865" s="43"/>
      <c r="T1865" s="43"/>
      <c r="U1865" s="43"/>
      <c r="V1865" s="43"/>
      <c r="W1865" s="43"/>
      <c r="X1865" s="43"/>
      <c r="Y1865" s="43"/>
      <c r="Z1865" s="43"/>
      <c r="AA1865" s="43"/>
      <c r="AB1865" s="43"/>
      <c r="AC1865" s="43"/>
      <c r="AD1865" s="43"/>
      <c r="AE1865" s="43"/>
      <c r="AF1865" s="43"/>
      <c r="AG1865" s="43"/>
      <c r="AH1865" s="43"/>
      <c r="AI1865" s="43"/>
      <c r="AJ1865" s="43"/>
      <c r="AK1865" s="43"/>
      <c r="AL1865" s="43"/>
      <c r="AM1865" s="43"/>
      <c r="AN1865" s="43"/>
      <c r="AO1865" s="43"/>
      <c r="AP1865" s="43"/>
      <c r="AQ1865" s="43"/>
      <c r="AR1865" s="43"/>
      <c r="AS1865" s="43"/>
      <c r="AT1865" s="43"/>
      <c r="AU1865" s="43"/>
      <c r="AV1865" s="43"/>
    </row>
    <row r="1866" spans="1:48" ht="22.5">
      <c r="A1866" s="506"/>
      <c r="B1866" s="506" t="s">
        <v>663</v>
      </c>
      <c r="C1866" s="506" t="s">
        <v>652</v>
      </c>
      <c r="D1866" s="1589">
        <v>930</v>
      </c>
      <c r="E1866" s="2223" t="s">
        <v>1900</v>
      </c>
      <c r="F1866" s="540">
        <v>1227</v>
      </c>
      <c r="G1866" s="1335" t="s">
        <v>2005</v>
      </c>
      <c r="H1866" s="508">
        <v>0</v>
      </c>
      <c r="I1866" s="508"/>
      <c r="J1866" s="509"/>
      <c r="K1866" s="510"/>
      <c r="L1866" s="508">
        <v>0</v>
      </c>
      <c r="M1866" s="608"/>
      <c r="N1866" s="2399"/>
      <c r="O1866" s="86"/>
      <c r="P1866" s="1817" t="e">
        <f>INDEX(#REF!,MATCH(F1866,#REF!,0),2)</f>
        <v>#REF!</v>
      </c>
      <c r="Q1866" s="43"/>
      <c r="R1866" s="43"/>
      <c r="S1866" s="43"/>
      <c r="T1866" s="43"/>
      <c r="U1866" s="43"/>
      <c r="V1866" s="43"/>
      <c r="W1866" s="43"/>
      <c r="X1866" s="43"/>
      <c r="Y1866" s="43"/>
      <c r="Z1866" s="43"/>
      <c r="AA1866" s="43"/>
      <c r="AB1866" s="43"/>
      <c r="AC1866" s="43"/>
      <c r="AD1866" s="43"/>
      <c r="AE1866" s="43"/>
      <c r="AF1866" s="43"/>
      <c r="AG1866" s="43"/>
      <c r="AH1866" s="43"/>
      <c r="AI1866" s="43"/>
      <c r="AJ1866" s="43"/>
      <c r="AK1866" s="43"/>
      <c r="AL1866" s="43"/>
      <c r="AM1866" s="43"/>
      <c r="AN1866" s="43"/>
      <c r="AO1866" s="43"/>
      <c r="AP1866" s="43"/>
      <c r="AQ1866" s="43"/>
      <c r="AR1866" s="43"/>
      <c r="AS1866" s="43"/>
      <c r="AT1866" s="43"/>
      <c r="AU1866" s="43"/>
      <c r="AV1866" s="43"/>
    </row>
    <row r="1867" spans="1:48" ht="24.6" customHeight="1">
      <c r="A1867" s="412"/>
      <c r="B1867" s="412" t="s">
        <v>663</v>
      </c>
      <c r="C1867" s="412" t="s">
        <v>652</v>
      </c>
      <c r="D1867" s="1590"/>
      <c r="E1867" s="2224" t="s">
        <v>1900</v>
      </c>
      <c r="F1867" s="505">
        <v>1227</v>
      </c>
      <c r="G1867" s="410" t="s">
        <v>2006</v>
      </c>
      <c r="H1867" s="535"/>
      <c r="I1867" s="536">
        <v>500</v>
      </c>
      <c r="J1867" s="537"/>
      <c r="K1867" s="538"/>
      <c r="L1867" s="535"/>
      <c r="M1867" s="535"/>
      <c r="N1867" s="1025"/>
      <c r="O1867" s="86"/>
      <c r="P1867" s="1817" t="e">
        <f>INDEX(#REF!,MATCH(F1867,#REF!,0),2)</f>
        <v>#REF!</v>
      </c>
      <c r="Q1867" s="43"/>
      <c r="R1867" s="43"/>
      <c r="S1867" s="43"/>
      <c r="T1867" s="43"/>
      <c r="U1867" s="43"/>
      <c r="V1867" s="43"/>
      <c r="W1867" s="43"/>
      <c r="X1867" s="43"/>
      <c r="Y1867" s="43"/>
      <c r="Z1867" s="43"/>
      <c r="AA1867" s="43"/>
      <c r="AB1867" s="43"/>
      <c r="AC1867" s="43"/>
      <c r="AD1867" s="43"/>
      <c r="AE1867" s="43"/>
      <c r="AF1867" s="43"/>
      <c r="AG1867" s="43"/>
      <c r="AH1867" s="43"/>
      <c r="AI1867" s="43"/>
      <c r="AJ1867" s="43"/>
      <c r="AK1867" s="43"/>
      <c r="AL1867" s="43"/>
      <c r="AM1867" s="43"/>
      <c r="AN1867" s="43"/>
      <c r="AO1867" s="43"/>
      <c r="AP1867" s="43"/>
      <c r="AQ1867" s="43"/>
      <c r="AR1867" s="43"/>
      <c r="AS1867" s="43"/>
      <c r="AT1867" s="43"/>
      <c r="AU1867" s="43"/>
      <c r="AV1867" s="43"/>
    </row>
    <row r="1868" spans="1:48" ht="14.45" customHeight="1">
      <c r="A1868" s="1882"/>
      <c r="B1868" s="412" t="s">
        <v>663</v>
      </c>
      <c r="C1868" s="412" t="s">
        <v>652</v>
      </c>
      <c r="D1868" s="1590"/>
      <c r="E1868" s="2224" t="s">
        <v>1900</v>
      </c>
      <c r="F1868" s="505">
        <v>1227</v>
      </c>
      <c r="G1868" s="1993" t="s">
        <v>3286</v>
      </c>
      <c r="H1868" s="1989"/>
      <c r="I1868" s="1932">
        <v>-500</v>
      </c>
      <c r="J1868" s="1933"/>
      <c r="K1868" s="1934"/>
      <c r="L1868" s="1989"/>
      <c r="M1868" s="1989"/>
      <c r="N1868" s="1025"/>
      <c r="O1868" s="86"/>
      <c r="P1868" s="1817" t="e">
        <f>INDEX(#REF!,MATCH(F1868,#REF!,0),2)</f>
        <v>#REF!</v>
      </c>
      <c r="Q1868" s="43"/>
      <c r="R1868" s="43"/>
      <c r="S1868" s="43"/>
      <c r="T1868" s="43"/>
      <c r="U1868" s="43"/>
      <c r="V1868" s="43"/>
      <c r="W1868" s="43"/>
      <c r="X1868" s="43"/>
      <c r="Y1868" s="43"/>
      <c r="Z1868" s="43"/>
      <c r="AA1868" s="43"/>
      <c r="AB1868" s="43"/>
      <c r="AC1868" s="43"/>
      <c r="AD1868" s="43"/>
      <c r="AE1868" s="43"/>
      <c r="AF1868" s="43"/>
      <c r="AG1868" s="43"/>
      <c r="AH1868" s="43"/>
      <c r="AI1868" s="43"/>
      <c r="AJ1868" s="43"/>
      <c r="AK1868" s="43"/>
      <c r="AL1868" s="43"/>
      <c r="AM1868" s="43"/>
      <c r="AN1868" s="43"/>
      <c r="AO1868" s="43"/>
      <c r="AP1868" s="43"/>
      <c r="AQ1868" s="43"/>
      <c r="AR1868" s="43"/>
      <c r="AS1868" s="43"/>
      <c r="AT1868" s="43"/>
      <c r="AU1868" s="43"/>
      <c r="AV1868" s="43"/>
    </row>
    <row r="1869" spans="1:48" ht="11.45" customHeight="1">
      <c r="A1869" s="506"/>
      <c r="B1869" s="634" t="s">
        <v>1248</v>
      </c>
      <c r="C1869" s="634" t="s">
        <v>652</v>
      </c>
      <c r="D1869" s="1589">
        <v>930</v>
      </c>
      <c r="E1869" s="2223" t="s">
        <v>1900</v>
      </c>
      <c r="F1869" s="540">
        <v>1228</v>
      </c>
      <c r="G1869" s="1335" t="s">
        <v>942</v>
      </c>
      <c r="H1869" s="508">
        <v>250</v>
      </c>
      <c r="I1869" s="508"/>
      <c r="J1869" s="509">
        <v>213.69</v>
      </c>
      <c r="K1869" s="510"/>
      <c r="L1869" s="508">
        <v>0</v>
      </c>
      <c r="M1869" s="508"/>
      <c r="N1869" s="2399"/>
      <c r="O1869" s="86"/>
      <c r="P1869" s="1817" t="e">
        <f>INDEX(#REF!,MATCH(F1869,#REF!,0),2)</f>
        <v>#REF!</v>
      </c>
      <c r="Q1869" s="43"/>
      <c r="R1869" s="43"/>
      <c r="S1869" s="43"/>
      <c r="T1869" s="43"/>
      <c r="U1869" s="43"/>
      <c r="V1869" s="43"/>
      <c r="W1869" s="43"/>
      <c r="X1869" s="43"/>
      <c r="Y1869" s="43"/>
      <c r="Z1869" s="43"/>
      <c r="AA1869" s="43"/>
      <c r="AB1869" s="43"/>
      <c r="AC1869" s="43"/>
      <c r="AD1869" s="43"/>
      <c r="AE1869" s="43"/>
      <c r="AF1869" s="43"/>
      <c r="AG1869" s="43"/>
      <c r="AH1869" s="43"/>
      <c r="AI1869" s="43"/>
      <c r="AJ1869" s="43"/>
      <c r="AK1869" s="43"/>
      <c r="AL1869" s="43"/>
      <c r="AM1869" s="43"/>
      <c r="AN1869" s="43"/>
      <c r="AO1869" s="43"/>
      <c r="AP1869" s="43"/>
      <c r="AQ1869" s="43"/>
      <c r="AR1869" s="43"/>
      <c r="AS1869" s="43"/>
      <c r="AT1869" s="43"/>
      <c r="AU1869" s="43"/>
      <c r="AV1869" s="43"/>
    </row>
    <row r="1870" spans="1:48" ht="46.15" customHeight="1">
      <c r="A1870" s="412"/>
      <c r="B1870" s="412" t="s">
        <v>1248</v>
      </c>
      <c r="C1870" s="412" t="s">
        <v>652</v>
      </c>
      <c r="D1870" s="1590"/>
      <c r="E1870" s="2224" t="s">
        <v>1900</v>
      </c>
      <c r="F1870" s="505">
        <v>1228</v>
      </c>
      <c r="G1870" s="410" t="s">
        <v>2007</v>
      </c>
      <c r="H1870" s="535"/>
      <c r="I1870" s="536">
        <v>250</v>
      </c>
      <c r="J1870" s="537"/>
      <c r="K1870" s="538"/>
      <c r="L1870" s="535"/>
      <c r="M1870" s="535"/>
      <c r="N1870" s="3373" t="s">
        <v>4667</v>
      </c>
      <c r="O1870" s="86"/>
      <c r="P1870" s="1817" t="e">
        <f>INDEX(#REF!,MATCH(F1870,#REF!,0),2)</f>
        <v>#REF!</v>
      </c>
      <c r="Q1870" s="43"/>
      <c r="R1870" s="43"/>
      <c r="S1870" s="43"/>
      <c r="T1870" s="43"/>
      <c r="U1870" s="43"/>
      <c r="V1870" s="43"/>
      <c r="W1870" s="43"/>
      <c r="X1870" s="43"/>
      <c r="Y1870" s="43"/>
      <c r="Z1870" s="43"/>
      <c r="AA1870" s="43"/>
      <c r="AB1870" s="43"/>
      <c r="AC1870" s="43"/>
      <c r="AD1870" s="43"/>
      <c r="AE1870" s="43"/>
      <c r="AF1870" s="43"/>
      <c r="AG1870" s="43"/>
      <c r="AH1870" s="4"/>
      <c r="AI1870" s="4"/>
      <c r="AJ1870" s="4"/>
      <c r="AK1870" s="4"/>
      <c r="AL1870" s="4"/>
      <c r="AM1870" s="4"/>
      <c r="AN1870" s="4"/>
      <c r="AO1870" s="4"/>
      <c r="AP1870" s="4"/>
      <c r="AQ1870" s="4"/>
      <c r="AR1870" s="4"/>
      <c r="AS1870" s="4"/>
      <c r="AT1870" s="4"/>
      <c r="AU1870" s="4"/>
      <c r="AV1870" s="4"/>
    </row>
    <row r="1871" spans="1:48" ht="11.45" customHeight="1">
      <c r="A1871" s="506"/>
      <c r="B1871" s="506" t="s">
        <v>1248</v>
      </c>
      <c r="C1871" s="506" t="s">
        <v>505</v>
      </c>
      <c r="D1871" s="1589">
        <v>930</v>
      </c>
      <c r="E1871" s="2223" t="s">
        <v>1900</v>
      </c>
      <c r="F1871" s="540">
        <v>2111</v>
      </c>
      <c r="G1871" s="411" t="s">
        <v>411</v>
      </c>
      <c r="H1871" s="694">
        <v>500</v>
      </c>
      <c r="I1871" s="631"/>
      <c r="J1871" s="632">
        <v>32</v>
      </c>
      <c r="K1871" s="526"/>
      <c r="L1871" s="508">
        <v>650</v>
      </c>
      <c r="M1871" s="631"/>
      <c r="N1871" s="43"/>
      <c r="O1871" s="86"/>
      <c r="P1871" s="1817" t="e">
        <f>INDEX(#REF!,MATCH(F1871,#REF!,0),2)</f>
        <v>#REF!</v>
      </c>
      <c r="Q1871" s="43"/>
      <c r="R1871" s="43"/>
      <c r="S1871" s="43"/>
      <c r="T1871" s="43"/>
      <c r="U1871" s="43"/>
      <c r="V1871" s="43"/>
      <c r="W1871" s="43"/>
      <c r="X1871" s="43"/>
      <c r="Y1871" s="43"/>
      <c r="Z1871" s="43"/>
      <c r="AA1871" s="43"/>
      <c r="AB1871" s="43"/>
      <c r="AC1871" s="43"/>
      <c r="AD1871" s="43"/>
      <c r="AE1871" s="43"/>
      <c r="AF1871" s="43"/>
      <c r="AG1871" s="43"/>
      <c r="AH1871" s="43"/>
      <c r="AI1871" s="43"/>
      <c r="AJ1871" s="43"/>
      <c r="AK1871" s="43"/>
      <c r="AL1871" s="43"/>
      <c r="AM1871" s="43"/>
      <c r="AN1871" s="43"/>
      <c r="AO1871" s="43"/>
      <c r="AP1871" s="43"/>
      <c r="AQ1871" s="43"/>
      <c r="AR1871" s="43"/>
      <c r="AS1871" s="43"/>
      <c r="AT1871" s="43"/>
      <c r="AU1871" s="43"/>
      <c r="AV1871" s="43"/>
    </row>
    <row r="1872" spans="1:48" ht="19.899999999999999" customHeight="1">
      <c r="A1872" s="412"/>
      <c r="B1872" s="412" t="s">
        <v>1248</v>
      </c>
      <c r="C1872" s="412" t="s">
        <v>505</v>
      </c>
      <c r="D1872" s="1590"/>
      <c r="E1872" s="2224" t="s">
        <v>1900</v>
      </c>
      <c r="F1872" s="505">
        <v>2111</v>
      </c>
      <c r="G1872" s="3377" t="s">
        <v>4668</v>
      </c>
      <c r="H1872" s="495"/>
      <c r="I1872" s="693">
        <v>500</v>
      </c>
      <c r="J1872" s="528"/>
      <c r="K1872" s="526"/>
      <c r="L1872" s="495"/>
      <c r="M1872" s="536">
        <v>650</v>
      </c>
      <c r="N1872" s="4" t="s">
        <v>4669</v>
      </c>
      <c r="O1872" s="86"/>
      <c r="P1872" s="1817" t="e">
        <f>INDEX(#REF!,MATCH(F1872,#REF!,0),2)</f>
        <v>#REF!</v>
      </c>
      <c r="Q1872" s="43"/>
      <c r="R1872" s="43"/>
      <c r="S1872" s="43"/>
      <c r="T1872" s="43"/>
      <c r="U1872" s="43"/>
      <c r="V1872" s="43"/>
      <c r="W1872" s="43"/>
      <c r="X1872" s="43"/>
      <c r="Y1872" s="43"/>
      <c r="Z1872" s="43"/>
      <c r="AA1872" s="43"/>
      <c r="AB1872" s="43"/>
      <c r="AC1872" s="43"/>
      <c r="AD1872" s="43"/>
      <c r="AE1872" s="43"/>
      <c r="AF1872" s="43"/>
      <c r="AG1872" s="43"/>
      <c r="AH1872" s="4"/>
      <c r="AI1872" s="4"/>
      <c r="AJ1872" s="4"/>
      <c r="AK1872" s="4"/>
      <c r="AL1872" s="4"/>
      <c r="AM1872" s="4"/>
      <c r="AN1872" s="4"/>
      <c r="AO1872" s="4"/>
      <c r="AP1872" s="4"/>
      <c r="AQ1872" s="4"/>
      <c r="AR1872" s="4"/>
      <c r="AS1872" s="4"/>
      <c r="AT1872" s="4"/>
      <c r="AU1872" s="4"/>
      <c r="AV1872" s="4"/>
    </row>
    <row r="1873" spans="1:48" ht="18.600000000000001" customHeight="1">
      <c r="A1873" s="506"/>
      <c r="B1873" s="506" t="s">
        <v>1248</v>
      </c>
      <c r="C1873" s="506" t="s">
        <v>505</v>
      </c>
      <c r="D1873" s="1589">
        <v>930</v>
      </c>
      <c r="E1873" s="2223" t="s">
        <v>1900</v>
      </c>
      <c r="F1873" s="540">
        <v>2121</v>
      </c>
      <c r="G1873" s="411" t="s">
        <v>1918</v>
      </c>
      <c r="H1873" s="694">
        <v>195</v>
      </c>
      <c r="I1873" s="631"/>
      <c r="J1873" s="632">
        <v>195</v>
      </c>
      <c r="K1873" s="526"/>
      <c r="L1873" s="508">
        <v>195</v>
      </c>
      <c r="M1873" s="631"/>
      <c r="N1873" s="43"/>
      <c r="O1873" s="86"/>
      <c r="P1873" s="1817" t="e">
        <f>INDEX(#REF!,MATCH(F1873,#REF!,0),2)</f>
        <v>#REF!</v>
      </c>
      <c r="Q1873" s="43"/>
      <c r="R1873" s="43"/>
      <c r="S1873" s="43"/>
      <c r="T1873" s="43"/>
      <c r="U1873" s="43"/>
      <c r="V1873" s="43"/>
      <c r="W1873" s="43"/>
      <c r="X1873" s="43"/>
      <c r="Y1873" s="43"/>
      <c r="Z1873" s="43"/>
      <c r="AA1873" s="43"/>
      <c r="AB1873" s="43"/>
      <c r="AC1873" s="43"/>
      <c r="AD1873" s="43"/>
      <c r="AE1873" s="43"/>
      <c r="AF1873" s="43"/>
      <c r="AG1873" s="43"/>
      <c r="AH1873" s="4"/>
      <c r="AI1873" s="4"/>
      <c r="AJ1873" s="4"/>
      <c r="AK1873" s="4"/>
      <c r="AL1873" s="4"/>
      <c r="AM1873" s="4"/>
      <c r="AN1873" s="4"/>
      <c r="AO1873" s="4"/>
      <c r="AP1873" s="4"/>
      <c r="AQ1873" s="4"/>
      <c r="AR1873" s="4"/>
      <c r="AS1873" s="4"/>
      <c r="AT1873" s="4"/>
      <c r="AU1873" s="4"/>
      <c r="AV1873" s="4"/>
    </row>
    <row r="1874" spans="1:48" ht="11.45" customHeight="1">
      <c r="A1874" s="412"/>
      <c r="B1874" s="412" t="s">
        <v>1248</v>
      </c>
      <c r="C1874" s="412" t="s">
        <v>505</v>
      </c>
      <c r="D1874" s="1590"/>
      <c r="E1874" s="2224" t="s">
        <v>1900</v>
      </c>
      <c r="F1874" s="505">
        <v>2121</v>
      </c>
      <c r="G1874" s="3377" t="s">
        <v>4670</v>
      </c>
      <c r="H1874" s="495"/>
      <c r="I1874" s="693">
        <v>195</v>
      </c>
      <c r="J1874" s="528"/>
      <c r="K1874" s="526"/>
      <c r="L1874" s="495"/>
      <c r="M1874" s="3380">
        <v>195</v>
      </c>
      <c r="N1874" s="43" t="s">
        <v>4671</v>
      </c>
      <c r="O1874" s="86"/>
      <c r="P1874" s="1817" t="e">
        <f>INDEX(#REF!,MATCH(F1874,#REF!,0),2)</f>
        <v>#REF!</v>
      </c>
      <c r="Q1874" s="43"/>
      <c r="R1874" s="43"/>
      <c r="S1874" s="43"/>
      <c r="T1874" s="43"/>
      <c r="U1874" s="43"/>
      <c r="V1874" s="43"/>
      <c r="W1874" s="43"/>
      <c r="X1874" s="43"/>
      <c r="Y1874" s="43"/>
      <c r="Z1874" s="43"/>
      <c r="AA1874" s="43"/>
      <c r="AB1874" s="43"/>
      <c r="AC1874" s="43"/>
      <c r="AD1874" s="43"/>
      <c r="AE1874" s="43"/>
      <c r="AF1874" s="43"/>
      <c r="AG1874" s="43"/>
      <c r="AH1874" s="43"/>
      <c r="AI1874" s="43"/>
      <c r="AJ1874" s="43"/>
      <c r="AK1874" s="43"/>
      <c r="AL1874" s="43"/>
      <c r="AM1874" s="43"/>
      <c r="AN1874" s="43"/>
      <c r="AO1874" s="43"/>
      <c r="AP1874" s="43"/>
      <c r="AQ1874" s="43"/>
      <c r="AR1874" s="43"/>
      <c r="AS1874" s="43"/>
      <c r="AT1874" s="43"/>
      <c r="AU1874" s="43"/>
      <c r="AV1874" s="43"/>
    </row>
    <row r="1875" spans="1:48" ht="22.9" customHeight="1">
      <c r="A1875" s="506"/>
      <c r="B1875" s="506" t="s">
        <v>1248</v>
      </c>
      <c r="C1875" s="506" t="s">
        <v>507</v>
      </c>
      <c r="D1875" s="1589">
        <v>930</v>
      </c>
      <c r="E1875" s="2223" t="s">
        <v>1900</v>
      </c>
      <c r="F1875" s="540">
        <v>2210</v>
      </c>
      <c r="G1875" s="411" t="s">
        <v>879</v>
      </c>
      <c r="H1875" s="508">
        <v>900</v>
      </c>
      <c r="I1875" s="508"/>
      <c r="J1875" s="509">
        <v>526</v>
      </c>
      <c r="K1875" s="510"/>
      <c r="L1875" s="508">
        <v>1200</v>
      </c>
      <c r="M1875" s="508"/>
      <c r="N1875" s="43"/>
      <c r="O1875" s="86"/>
      <c r="P1875" s="1817" t="e">
        <f>INDEX(#REF!,MATCH(F1875,#REF!,0),2)</f>
        <v>#REF!</v>
      </c>
      <c r="Q1875" s="43"/>
      <c r="R1875" s="43"/>
      <c r="S1875" s="43"/>
      <c r="T1875" s="43"/>
      <c r="U1875" s="43"/>
      <c r="V1875" s="43"/>
      <c r="W1875" s="43"/>
      <c r="X1875" s="43"/>
      <c r="Y1875" s="43"/>
      <c r="Z1875" s="43"/>
      <c r="AA1875" s="43"/>
      <c r="AB1875" s="43"/>
      <c r="AC1875" s="43"/>
      <c r="AD1875" s="43"/>
      <c r="AE1875" s="43"/>
      <c r="AF1875" s="43"/>
      <c r="AG1875" s="43"/>
      <c r="AH1875" s="4"/>
      <c r="AI1875" s="4"/>
      <c r="AJ1875" s="4"/>
      <c r="AK1875" s="4"/>
      <c r="AL1875" s="4"/>
      <c r="AM1875" s="4"/>
      <c r="AN1875" s="4"/>
      <c r="AO1875" s="4"/>
      <c r="AP1875" s="4"/>
      <c r="AQ1875" s="4"/>
      <c r="AR1875" s="4"/>
      <c r="AS1875" s="4"/>
      <c r="AT1875" s="4"/>
      <c r="AU1875" s="4"/>
      <c r="AV1875" s="4"/>
    </row>
    <row r="1876" spans="1:48" ht="18.600000000000001" customHeight="1">
      <c r="A1876" s="412"/>
      <c r="B1876" s="412" t="s">
        <v>1248</v>
      </c>
      <c r="C1876" s="412" t="s">
        <v>507</v>
      </c>
      <c r="D1876" s="1590"/>
      <c r="E1876" s="2224" t="s">
        <v>1900</v>
      </c>
      <c r="F1876" s="505">
        <v>2210</v>
      </c>
      <c r="G1876" s="2774" t="s">
        <v>4672</v>
      </c>
      <c r="H1876" s="419"/>
      <c r="I1876" s="419">
        <v>900</v>
      </c>
      <c r="J1876" s="511"/>
      <c r="K1876" s="589"/>
      <c r="L1876" s="419"/>
      <c r="M1876" s="419">
        <v>1200</v>
      </c>
      <c r="N1876" s="43"/>
      <c r="O1876" s="86"/>
      <c r="P1876" s="1817" t="e">
        <f>INDEX(#REF!,MATCH(F1876,#REF!,0),2)</f>
        <v>#REF!</v>
      </c>
      <c r="Q1876" s="43"/>
      <c r="R1876" s="43"/>
      <c r="S1876" s="43"/>
      <c r="T1876" s="43"/>
      <c r="U1876" s="43"/>
      <c r="V1876" s="43"/>
      <c r="W1876" s="43"/>
      <c r="X1876" s="43"/>
      <c r="Y1876" s="43"/>
      <c r="Z1876" s="43"/>
      <c r="AA1876" s="43"/>
      <c r="AB1876" s="43"/>
      <c r="AC1876" s="43"/>
      <c r="AD1876" s="43"/>
      <c r="AE1876" s="43"/>
      <c r="AF1876" s="43"/>
      <c r="AG1876" s="43"/>
      <c r="AH1876" s="43"/>
      <c r="AI1876" s="43"/>
      <c r="AJ1876" s="43"/>
      <c r="AK1876" s="43"/>
      <c r="AL1876" s="43"/>
      <c r="AM1876" s="43"/>
      <c r="AN1876" s="43"/>
      <c r="AO1876" s="43"/>
      <c r="AP1876" s="43"/>
      <c r="AQ1876" s="43"/>
      <c r="AR1876" s="43"/>
      <c r="AS1876" s="43"/>
      <c r="AT1876" s="43"/>
      <c r="AU1876" s="43"/>
      <c r="AV1876" s="43"/>
    </row>
    <row r="1877" spans="1:48" ht="11.45" customHeight="1">
      <c r="A1877" s="506" t="s">
        <v>1085</v>
      </c>
      <c r="B1877" s="506" t="s">
        <v>1248</v>
      </c>
      <c r="C1877" s="506" t="s">
        <v>505</v>
      </c>
      <c r="D1877" s="1589">
        <v>930</v>
      </c>
      <c r="E1877" s="2223" t="s">
        <v>1900</v>
      </c>
      <c r="F1877" s="540">
        <v>2233</v>
      </c>
      <c r="G1877" s="411" t="s">
        <v>263</v>
      </c>
      <c r="H1877" s="508">
        <v>550</v>
      </c>
      <c r="I1877" s="508"/>
      <c r="J1877" s="509"/>
      <c r="K1877" s="510"/>
      <c r="L1877" s="508">
        <v>0</v>
      </c>
      <c r="M1877" s="608"/>
      <c r="N1877" s="1538"/>
      <c r="O1877" s="86"/>
      <c r="P1877" s="1817" t="e">
        <f>INDEX(#REF!,MATCH(F1877,#REF!,0),2)</f>
        <v>#REF!</v>
      </c>
      <c r="Q1877" s="43"/>
      <c r="R1877" s="43"/>
      <c r="S1877" s="43"/>
      <c r="T1877" s="43"/>
      <c r="U1877" s="43"/>
      <c r="V1877" s="43"/>
      <c r="W1877" s="43"/>
      <c r="X1877" s="43"/>
      <c r="Y1877" s="43"/>
      <c r="Z1877" s="43"/>
      <c r="AA1877" s="43"/>
      <c r="AB1877" s="43"/>
      <c r="AC1877" s="43"/>
      <c r="AD1877" s="43"/>
      <c r="AE1877" s="43"/>
      <c r="AF1877" s="43"/>
      <c r="AG1877" s="43"/>
      <c r="AH1877" s="4"/>
      <c r="AI1877" s="4"/>
      <c r="AJ1877" s="4"/>
      <c r="AK1877" s="4"/>
      <c r="AL1877" s="4"/>
      <c r="AM1877" s="4"/>
      <c r="AN1877" s="4"/>
      <c r="AO1877" s="4"/>
      <c r="AP1877" s="4"/>
      <c r="AQ1877" s="4"/>
      <c r="AR1877" s="4"/>
      <c r="AS1877" s="4"/>
      <c r="AT1877" s="4"/>
      <c r="AU1877" s="4"/>
      <c r="AV1877" s="4"/>
    </row>
    <row r="1878" spans="1:48" ht="34.15" customHeight="1">
      <c r="A1878" s="762"/>
      <c r="B1878" s="412" t="s">
        <v>1248</v>
      </c>
      <c r="C1878" s="412" t="s">
        <v>505</v>
      </c>
      <c r="D1878" s="1590"/>
      <c r="E1878" s="2224" t="s">
        <v>1900</v>
      </c>
      <c r="F1878" s="505">
        <v>2233</v>
      </c>
      <c r="G1878" s="3381" t="s">
        <v>4674</v>
      </c>
      <c r="H1878" s="1031"/>
      <c r="I1878" s="1031">
        <v>550</v>
      </c>
      <c r="J1878" s="1065"/>
      <c r="K1878" s="1067"/>
      <c r="L1878" s="1068"/>
      <c r="M1878" s="1068"/>
      <c r="N1878" s="43" t="s">
        <v>4673</v>
      </c>
      <c r="O1878" s="86"/>
      <c r="P1878" s="1817" t="e">
        <f>INDEX(#REF!,MATCH(F1878,#REF!,0),2)</f>
        <v>#REF!</v>
      </c>
      <c r="Q1878" s="43"/>
      <c r="R1878" s="43"/>
      <c r="S1878" s="43"/>
      <c r="T1878" s="43"/>
      <c r="U1878" s="43"/>
      <c r="V1878" s="43"/>
      <c r="W1878" s="43"/>
      <c r="X1878" s="43"/>
      <c r="Y1878" s="43"/>
      <c r="Z1878" s="43"/>
      <c r="AA1878" s="43"/>
      <c r="AB1878" s="43"/>
      <c r="AC1878" s="43"/>
      <c r="AD1878" s="43"/>
      <c r="AE1878" s="43"/>
      <c r="AF1878" s="43"/>
      <c r="AG1878" s="43"/>
      <c r="AH1878" s="43"/>
      <c r="AI1878" s="43"/>
      <c r="AJ1878" s="43"/>
      <c r="AK1878" s="43"/>
      <c r="AL1878" s="43"/>
      <c r="AM1878" s="43"/>
      <c r="AN1878" s="43"/>
      <c r="AO1878" s="43"/>
      <c r="AP1878" s="43"/>
      <c r="AQ1878" s="43"/>
      <c r="AR1878" s="43"/>
      <c r="AS1878" s="43"/>
      <c r="AT1878" s="43"/>
      <c r="AU1878" s="43"/>
      <c r="AV1878" s="43"/>
    </row>
    <row r="1879" spans="1:48" ht="22.15" customHeight="1">
      <c r="A1879" s="506"/>
      <c r="B1879" s="506" t="s">
        <v>1248</v>
      </c>
      <c r="C1879" s="506" t="s">
        <v>570</v>
      </c>
      <c r="D1879" s="1589">
        <v>930</v>
      </c>
      <c r="E1879" s="2223" t="s">
        <v>1900</v>
      </c>
      <c r="F1879" s="540">
        <v>2233</v>
      </c>
      <c r="G1879" s="411" t="s">
        <v>263</v>
      </c>
      <c r="H1879" s="508">
        <v>12000</v>
      </c>
      <c r="I1879" s="508"/>
      <c r="J1879" s="509">
        <v>11138.16</v>
      </c>
      <c r="K1879" s="510"/>
      <c r="L1879" s="508">
        <v>18000</v>
      </c>
      <c r="M1879" s="508"/>
      <c r="N1879" s="2805">
        <f>L1879-H1879</f>
        <v>6000</v>
      </c>
      <c r="O1879" s="86"/>
      <c r="P1879" s="1817" t="e">
        <f>INDEX(#REF!,MATCH(F1879,#REF!,0),2)</f>
        <v>#REF!</v>
      </c>
      <c r="Q1879" s="43"/>
      <c r="R1879" s="43"/>
      <c r="S1879" s="43"/>
      <c r="T1879" s="43"/>
      <c r="U1879" s="43"/>
      <c r="V1879" s="43"/>
      <c r="W1879" s="43"/>
      <c r="X1879" s="43"/>
      <c r="Y1879" s="43"/>
      <c r="Z1879" s="43"/>
      <c r="AA1879" s="43"/>
      <c r="AB1879" s="43"/>
      <c r="AC1879" s="43"/>
      <c r="AD1879" s="43"/>
      <c r="AE1879" s="43"/>
      <c r="AF1879" s="43"/>
      <c r="AG1879" s="43"/>
      <c r="AH1879" s="4"/>
      <c r="AI1879" s="4"/>
      <c r="AJ1879" s="4"/>
      <c r="AK1879" s="4"/>
      <c r="AL1879" s="4"/>
      <c r="AM1879" s="4"/>
      <c r="AN1879" s="4"/>
      <c r="AO1879" s="4"/>
      <c r="AP1879" s="4"/>
      <c r="AQ1879" s="4"/>
      <c r="AR1879" s="4"/>
      <c r="AS1879" s="4"/>
      <c r="AT1879" s="4"/>
      <c r="AU1879" s="4"/>
      <c r="AV1879" s="4"/>
    </row>
    <row r="1880" spans="1:48" ht="15" customHeight="1">
      <c r="A1880" s="412"/>
      <c r="B1880" s="412" t="s">
        <v>1248</v>
      </c>
      <c r="C1880" s="412" t="s">
        <v>570</v>
      </c>
      <c r="D1880" s="1590"/>
      <c r="E1880" s="2224" t="s">
        <v>1900</v>
      </c>
      <c r="F1880" s="505">
        <v>2233</v>
      </c>
      <c r="G1880" s="2774" t="s">
        <v>4675</v>
      </c>
      <c r="H1880" s="419"/>
      <c r="I1880" s="419">
        <v>12000</v>
      </c>
      <c r="J1880" s="511"/>
      <c r="K1880" s="589"/>
      <c r="L1880" s="419"/>
      <c r="M1880" s="3380">
        <v>18000</v>
      </c>
      <c r="N1880" s="1025"/>
      <c r="O1880" s="86"/>
      <c r="P1880" s="1817" t="e">
        <f>INDEX(#REF!,MATCH(F1880,#REF!,0),2)</f>
        <v>#REF!</v>
      </c>
      <c r="Q1880" s="43"/>
      <c r="R1880" s="43"/>
      <c r="S1880" s="43"/>
      <c r="T1880" s="43"/>
      <c r="U1880" s="43"/>
      <c r="V1880" s="43"/>
      <c r="W1880" s="43"/>
      <c r="X1880" s="43"/>
      <c r="Y1880" s="43"/>
      <c r="Z1880" s="43"/>
      <c r="AA1880" s="43"/>
      <c r="AB1880" s="43"/>
      <c r="AC1880" s="43"/>
      <c r="AD1880" s="43"/>
      <c r="AE1880" s="43"/>
      <c r="AF1880" s="43"/>
      <c r="AG1880" s="43"/>
      <c r="AH1880" s="43"/>
      <c r="AI1880" s="43"/>
      <c r="AJ1880" s="43"/>
      <c r="AK1880" s="43"/>
      <c r="AL1880" s="43"/>
      <c r="AM1880" s="43"/>
      <c r="AN1880" s="43"/>
      <c r="AO1880" s="43"/>
      <c r="AP1880" s="43"/>
      <c r="AQ1880" s="43"/>
      <c r="AR1880" s="43"/>
      <c r="AS1880" s="43"/>
      <c r="AT1880" s="43"/>
      <c r="AU1880" s="43"/>
      <c r="AV1880" s="43"/>
    </row>
    <row r="1881" spans="1:48" ht="22.15" customHeight="1">
      <c r="A1881" s="506"/>
      <c r="B1881" s="506" t="s">
        <v>1248</v>
      </c>
      <c r="C1881" s="506" t="s">
        <v>570</v>
      </c>
      <c r="D1881" s="1589">
        <v>930</v>
      </c>
      <c r="E1881" s="2223" t="s">
        <v>1900</v>
      </c>
      <c r="F1881" s="540">
        <v>2234</v>
      </c>
      <c r="G1881" s="411" t="s">
        <v>3492</v>
      </c>
      <c r="H1881" s="508"/>
      <c r="I1881" s="508"/>
      <c r="J1881" s="509"/>
      <c r="K1881" s="510"/>
      <c r="L1881" s="508">
        <v>180</v>
      </c>
      <c r="M1881" s="508"/>
      <c r="N1881" s="1538" t="s">
        <v>6003</v>
      </c>
      <c r="O1881" s="86"/>
      <c r="P1881" s="1817" t="e">
        <f>INDEX(#REF!,MATCH(F1881,#REF!,0),2)</f>
        <v>#REF!</v>
      </c>
      <c r="Q1881" s="43"/>
      <c r="R1881" s="43"/>
      <c r="S1881" s="43"/>
      <c r="T1881" s="43"/>
      <c r="U1881" s="43"/>
      <c r="V1881" s="43"/>
      <c r="W1881" s="43"/>
      <c r="X1881" s="43"/>
      <c r="Y1881" s="43"/>
      <c r="Z1881" s="43"/>
      <c r="AA1881" s="43"/>
      <c r="AB1881" s="43"/>
      <c r="AC1881" s="43"/>
      <c r="AD1881" s="43"/>
      <c r="AE1881" s="43"/>
      <c r="AF1881" s="43"/>
      <c r="AG1881" s="43"/>
      <c r="AH1881" s="4"/>
      <c r="AI1881" s="4"/>
      <c r="AJ1881" s="4"/>
      <c r="AK1881" s="4"/>
      <c r="AL1881" s="4"/>
      <c r="AM1881" s="4"/>
      <c r="AN1881" s="4"/>
      <c r="AO1881" s="4"/>
      <c r="AP1881" s="4"/>
      <c r="AQ1881" s="4"/>
      <c r="AR1881" s="4"/>
      <c r="AS1881" s="4"/>
      <c r="AT1881" s="4"/>
      <c r="AU1881" s="4"/>
      <c r="AV1881" s="4"/>
    </row>
    <row r="1882" spans="1:48" ht="34.15" customHeight="1">
      <c r="A1882" s="412"/>
      <c r="B1882" s="412" t="s">
        <v>1248</v>
      </c>
      <c r="C1882" s="412" t="s">
        <v>570</v>
      </c>
      <c r="D1882" s="1590"/>
      <c r="E1882" s="2224" t="s">
        <v>1900</v>
      </c>
      <c r="F1882" s="505">
        <v>2234</v>
      </c>
      <c r="G1882" s="2774" t="s">
        <v>4676</v>
      </c>
      <c r="H1882" s="419"/>
      <c r="I1882" s="419"/>
      <c r="J1882" s="511"/>
      <c r="K1882" s="589"/>
      <c r="L1882" s="419"/>
      <c r="M1882" s="4285">
        <v>180</v>
      </c>
      <c r="N1882" s="43" t="s">
        <v>4677</v>
      </c>
      <c r="O1882" s="86"/>
      <c r="P1882" s="1817" t="e">
        <f>INDEX(#REF!,MATCH(F1882,#REF!,0),2)</f>
        <v>#REF!</v>
      </c>
      <c r="Q1882" s="43"/>
      <c r="R1882" s="43"/>
      <c r="S1882" s="43"/>
      <c r="T1882" s="43"/>
      <c r="U1882" s="43"/>
      <c r="V1882" s="43"/>
      <c r="W1882" s="43"/>
      <c r="X1882" s="43"/>
      <c r="Y1882" s="43"/>
      <c r="Z1882" s="43"/>
      <c r="AA1882" s="43"/>
      <c r="AB1882" s="43"/>
      <c r="AC1882" s="43"/>
      <c r="AD1882" s="43"/>
      <c r="AE1882" s="43"/>
      <c r="AF1882" s="43"/>
      <c r="AG1882" s="43"/>
      <c r="AH1882" s="43"/>
      <c r="AI1882" s="43"/>
      <c r="AJ1882" s="43"/>
      <c r="AK1882" s="43"/>
      <c r="AL1882" s="43"/>
      <c r="AM1882" s="43"/>
      <c r="AN1882" s="43"/>
      <c r="AO1882" s="43"/>
      <c r="AP1882" s="43"/>
      <c r="AQ1882" s="43"/>
      <c r="AR1882" s="43"/>
      <c r="AS1882" s="43"/>
      <c r="AT1882" s="43"/>
      <c r="AU1882" s="43"/>
      <c r="AV1882" s="43"/>
    </row>
    <row r="1883" spans="1:48" ht="13.15" customHeight="1">
      <c r="A1883" s="506"/>
      <c r="B1883" s="506" t="s">
        <v>1248</v>
      </c>
      <c r="C1883" s="506" t="s">
        <v>570</v>
      </c>
      <c r="D1883" s="1589">
        <v>930</v>
      </c>
      <c r="E1883" s="2223" t="s">
        <v>1900</v>
      </c>
      <c r="F1883" s="540">
        <v>2235</v>
      </c>
      <c r="G1883" s="411" t="s">
        <v>2431</v>
      </c>
      <c r="H1883" s="508">
        <v>425</v>
      </c>
      <c r="I1883" s="508"/>
      <c r="J1883" s="509">
        <v>0</v>
      </c>
      <c r="K1883" s="510"/>
      <c r="L1883" s="508">
        <v>500</v>
      </c>
      <c r="M1883" s="508"/>
      <c r="N1883" s="1538"/>
      <c r="O1883" s="86"/>
      <c r="P1883" s="1817" t="e">
        <f>INDEX(#REF!,MATCH(F1883,#REF!,0),2)</f>
        <v>#REF!</v>
      </c>
      <c r="Q1883" s="43"/>
      <c r="R1883" s="43"/>
      <c r="S1883" s="43"/>
      <c r="T1883" s="43"/>
      <c r="U1883" s="43"/>
      <c r="V1883" s="43"/>
      <c r="W1883" s="43"/>
      <c r="X1883" s="43"/>
      <c r="Y1883" s="43"/>
      <c r="Z1883" s="43"/>
      <c r="AA1883" s="43"/>
      <c r="AB1883" s="43"/>
      <c r="AC1883" s="43"/>
      <c r="AD1883" s="43"/>
      <c r="AE1883" s="43"/>
      <c r="AF1883" s="43"/>
      <c r="AG1883" s="43"/>
      <c r="AH1883" s="43"/>
      <c r="AI1883" s="43"/>
      <c r="AJ1883" s="43"/>
      <c r="AK1883" s="43"/>
      <c r="AL1883" s="43"/>
      <c r="AM1883" s="43"/>
      <c r="AN1883" s="43"/>
      <c r="AO1883" s="43"/>
      <c r="AP1883" s="43"/>
      <c r="AQ1883" s="43"/>
      <c r="AR1883" s="43"/>
      <c r="AS1883" s="43"/>
      <c r="AT1883" s="43"/>
      <c r="AU1883" s="43"/>
      <c r="AV1883" s="43"/>
    </row>
    <row r="1884" spans="1:48" ht="21" customHeight="1">
      <c r="A1884" s="412"/>
      <c r="B1884" s="412" t="s">
        <v>1248</v>
      </c>
      <c r="C1884" s="412" t="s">
        <v>570</v>
      </c>
      <c r="D1884" s="1590"/>
      <c r="E1884" s="2224" t="s">
        <v>1900</v>
      </c>
      <c r="F1884" s="505">
        <v>2235</v>
      </c>
      <c r="G1884" s="2774" t="s">
        <v>4679</v>
      </c>
      <c r="H1884" s="1068"/>
      <c r="I1884" s="1065">
        <v>425</v>
      </c>
      <c r="J1884" s="1065"/>
      <c r="K1884" s="1066"/>
      <c r="L1884" s="1068"/>
      <c r="M1884" s="3380">
        <v>500</v>
      </c>
      <c r="N1884" s="2561" t="s">
        <v>4680</v>
      </c>
      <c r="O1884" s="86"/>
      <c r="P1884" s="1817" t="e">
        <f>INDEX(#REF!,MATCH(F1884,#REF!,0),2)</f>
        <v>#REF!</v>
      </c>
      <c r="Q1884" s="43"/>
      <c r="R1884" s="43"/>
      <c r="S1884" s="43"/>
      <c r="T1884" s="43"/>
      <c r="U1884" s="43"/>
      <c r="V1884" s="43"/>
      <c r="W1884" s="43"/>
      <c r="X1884" s="43"/>
      <c r="Y1884" s="43"/>
      <c r="Z1884" s="43"/>
      <c r="AA1884" s="43"/>
      <c r="AB1884" s="43"/>
      <c r="AC1884" s="43"/>
      <c r="AD1884" s="43"/>
      <c r="AE1884" s="43"/>
      <c r="AF1884" s="43"/>
      <c r="AG1884" s="43"/>
      <c r="AH1884" s="43"/>
      <c r="AI1884" s="43"/>
      <c r="AJ1884" s="43"/>
      <c r="AK1884" s="43"/>
      <c r="AL1884" s="43"/>
      <c r="AM1884" s="43"/>
      <c r="AN1884" s="43"/>
      <c r="AO1884" s="43"/>
      <c r="AP1884" s="43"/>
      <c r="AQ1884" s="43"/>
      <c r="AR1884" s="43"/>
      <c r="AS1884" s="43"/>
      <c r="AT1884" s="43"/>
      <c r="AU1884" s="43"/>
      <c r="AV1884" s="43"/>
    </row>
    <row r="1885" spans="1:48" ht="43.9" customHeight="1">
      <c r="A1885" s="506"/>
      <c r="B1885" s="506" t="s">
        <v>1248</v>
      </c>
      <c r="C1885" s="506" t="s">
        <v>507</v>
      </c>
      <c r="D1885" s="1589">
        <v>930</v>
      </c>
      <c r="E1885" s="2223" t="s">
        <v>1900</v>
      </c>
      <c r="F1885" s="507">
        <v>2239</v>
      </c>
      <c r="G1885" s="411" t="s">
        <v>266</v>
      </c>
      <c r="H1885" s="508">
        <v>1150</v>
      </c>
      <c r="I1885" s="508"/>
      <c r="J1885" s="509"/>
      <c r="K1885" s="510"/>
      <c r="L1885" s="508">
        <v>1805</v>
      </c>
      <c r="M1885" s="608"/>
      <c r="N1885" s="1025"/>
      <c r="O1885" s="86"/>
      <c r="P1885" s="1817" t="e">
        <f>INDEX(#REF!,MATCH(F1885,#REF!,0),2)</f>
        <v>#REF!</v>
      </c>
    </row>
    <row r="1886" spans="1:48" ht="17.45" customHeight="1">
      <c r="A1886" s="412"/>
      <c r="B1886" s="412" t="s">
        <v>1248</v>
      </c>
      <c r="C1886" s="412" t="s">
        <v>507</v>
      </c>
      <c r="D1886" s="1590"/>
      <c r="E1886" s="2224" t="s">
        <v>1900</v>
      </c>
      <c r="F1886" s="505">
        <v>2239</v>
      </c>
      <c r="G1886" s="2774" t="s">
        <v>4678</v>
      </c>
      <c r="H1886" s="537"/>
      <c r="I1886" s="692">
        <v>550</v>
      </c>
      <c r="J1886" s="537"/>
      <c r="K1886" s="627"/>
      <c r="L1886" s="535"/>
      <c r="M1886" s="2588">
        <v>440</v>
      </c>
      <c r="N1886" s="43" t="s">
        <v>5791</v>
      </c>
      <c r="O1886" s="86"/>
      <c r="P1886" s="1817" t="e">
        <f>INDEX(#REF!,MATCH(F1886,#REF!,0),2)</f>
        <v>#REF!</v>
      </c>
    </row>
    <row r="1887" spans="1:48" ht="13.15" customHeight="1">
      <c r="A1887" s="1268"/>
      <c r="B1887" s="412" t="s">
        <v>1248</v>
      </c>
      <c r="C1887" s="412" t="s">
        <v>507</v>
      </c>
      <c r="D1887" s="1590"/>
      <c r="E1887" s="2224" t="s">
        <v>1900</v>
      </c>
      <c r="F1887" s="505">
        <v>2239</v>
      </c>
      <c r="G1887" s="2774" t="s">
        <v>4681</v>
      </c>
      <c r="H1887" s="1321"/>
      <c r="I1887" s="1155">
        <v>600</v>
      </c>
      <c r="J1887" s="1155"/>
      <c r="K1887" s="1322"/>
      <c r="L1887" s="1321"/>
      <c r="M1887" s="2779">
        <v>865</v>
      </c>
      <c r="N1887" s="2561" t="s">
        <v>4682</v>
      </c>
      <c r="O1887" s="86"/>
      <c r="P1887" s="1817" t="e">
        <f>INDEX(#REF!,MATCH(F1887,#REF!,0),2)</f>
        <v>#REF!</v>
      </c>
      <c r="Q1887" s="43"/>
      <c r="R1887" s="43"/>
      <c r="S1887" s="43"/>
      <c r="T1887" s="43"/>
      <c r="U1887" s="43"/>
      <c r="V1887" s="43"/>
      <c r="W1887" s="43"/>
      <c r="X1887" s="43"/>
      <c r="Y1887" s="43"/>
      <c r="Z1887" s="43"/>
      <c r="AA1887" s="43"/>
      <c r="AB1887" s="43"/>
      <c r="AC1887" s="43"/>
      <c r="AD1887" s="43"/>
      <c r="AE1887" s="43"/>
      <c r="AF1887" s="43"/>
      <c r="AG1887" s="43"/>
      <c r="AH1887" s="43"/>
      <c r="AI1887" s="43"/>
      <c r="AJ1887" s="43"/>
      <c r="AK1887" s="43"/>
      <c r="AL1887" s="43"/>
      <c r="AM1887" s="43"/>
      <c r="AN1887" s="43"/>
      <c r="AO1887" s="43"/>
      <c r="AP1887" s="43"/>
      <c r="AQ1887" s="43"/>
      <c r="AR1887" s="43"/>
      <c r="AS1887" s="43"/>
      <c r="AT1887" s="43"/>
      <c r="AU1887" s="43"/>
      <c r="AV1887" s="43"/>
    </row>
    <row r="1888" spans="1:48" ht="16.899999999999999" customHeight="1">
      <c r="A1888" s="2790"/>
      <c r="B1888" s="412" t="s">
        <v>1248</v>
      </c>
      <c r="C1888" s="412" t="s">
        <v>507</v>
      </c>
      <c r="D1888" s="1590"/>
      <c r="E1888" s="2224" t="s">
        <v>1900</v>
      </c>
      <c r="F1888" s="505">
        <v>2239</v>
      </c>
      <c r="G1888" s="2774" t="s">
        <v>4683</v>
      </c>
      <c r="H1888" s="3379"/>
      <c r="I1888" s="3382"/>
      <c r="J1888" s="3382"/>
      <c r="K1888" s="3383"/>
      <c r="L1888" s="3379"/>
      <c r="M1888" s="3380">
        <v>500</v>
      </c>
      <c r="N1888" s="2561" t="s">
        <v>4684</v>
      </c>
      <c r="O1888" s="86"/>
      <c r="P1888" s="1817"/>
      <c r="Q1888" s="43"/>
      <c r="R1888" s="43"/>
      <c r="S1888" s="43"/>
      <c r="T1888" s="43"/>
      <c r="U1888" s="43"/>
      <c r="V1888" s="43"/>
      <c r="W1888" s="43"/>
      <c r="X1888" s="43"/>
      <c r="Y1888" s="43"/>
      <c r="Z1888" s="43"/>
      <c r="AA1888" s="43"/>
      <c r="AB1888" s="43"/>
      <c r="AC1888" s="43"/>
      <c r="AD1888" s="43"/>
      <c r="AE1888" s="43"/>
      <c r="AF1888" s="43"/>
      <c r="AG1888" s="43"/>
      <c r="AH1888" s="43"/>
      <c r="AI1888" s="43"/>
      <c r="AJ1888" s="43"/>
      <c r="AK1888" s="43"/>
      <c r="AL1888" s="43"/>
      <c r="AM1888" s="43"/>
      <c r="AN1888" s="43"/>
      <c r="AO1888" s="43"/>
      <c r="AP1888" s="43"/>
      <c r="AQ1888" s="43"/>
      <c r="AR1888" s="43"/>
      <c r="AS1888" s="43"/>
      <c r="AT1888" s="43"/>
      <c r="AU1888" s="43"/>
      <c r="AV1888" s="43"/>
    </row>
    <row r="1889" spans="1:48" ht="13.15" customHeight="1">
      <c r="A1889" s="506"/>
      <c r="B1889" s="506" t="s">
        <v>566</v>
      </c>
      <c r="C1889" s="506" t="s">
        <v>510</v>
      </c>
      <c r="D1889" s="1589">
        <v>930</v>
      </c>
      <c r="E1889" s="2223" t="s">
        <v>1900</v>
      </c>
      <c r="F1889" s="507">
        <v>2239</v>
      </c>
      <c r="G1889" s="411" t="s">
        <v>266</v>
      </c>
      <c r="H1889" s="508">
        <v>606</v>
      </c>
      <c r="I1889" s="508"/>
      <c r="J1889" s="509"/>
      <c r="K1889" s="510"/>
      <c r="L1889" s="508">
        <v>0</v>
      </c>
      <c r="M1889" s="508"/>
      <c r="N1889" s="1025"/>
      <c r="O1889" s="86"/>
      <c r="P1889" s="1817" t="e">
        <f>INDEX(#REF!,MATCH(F1889,#REF!,0),2)</f>
        <v>#REF!</v>
      </c>
      <c r="Q1889" s="43"/>
      <c r="R1889" s="43"/>
      <c r="S1889" s="43"/>
      <c r="T1889" s="43"/>
      <c r="U1889" s="43"/>
      <c r="V1889" s="43"/>
      <c r="W1889" s="43"/>
      <c r="X1889" s="43"/>
      <c r="Y1889" s="43"/>
      <c r="Z1889" s="43"/>
      <c r="AA1889" s="43"/>
      <c r="AB1889" s="43"/>
      <c r="AC1889" s="43"/>
      <c r="AD1889" s="43"/>
      <c r="AE1889" s="43"/>
      <c r="AF1889" s="43"/>
      <c r="AG1889" s="43"/>
      <c r="AH1889" s="43"/>
      <c r="AI1889" s="43"/>
      <c r="AJ1889" s="43"/>
      <c r="AK1889" s="43"/>
      <c r="AL1889" s="43"/>
      <c r="AM1889" s="43"/>
      <c r="AN1889" s="43"/>
      <c r="AO1889" s="43"/>
      <c r="AP1889" s="43"/>
      <c r="AQ1889" s="43"/>
      <c r="AR1889" s="43"/>
      <c r="AS1889" s="43"/>
      <c r="AT1889" s="43"/>
      <c r="AU1889" s="43"/>
      <c r="AV1889" s="43"/>
    </row>
    <row r="1890" spans="1:48">
      <c r="A1890" s="412"/>
      <c r="B1890" s="412" t="s">
        <v>566</v>
      </c>
      <c r="C1890" s="412" t="s">
        <v>1663</v>
      </c>
      <c r="D1890" s="1590"/>
      <c r="E1890" s="2224" t="s">
        <v>1900</v>
      </c>
      <c r="F1890" s="505">
        <v>2239</v>
      </c>
      <c r="G1890" s="410" t="s">
        <v>4686</v>
      </c>
      <c r="H1890" s="511"/>
      <c r="I1890" s="511">
        <v>606</v>
      </c>
      <c r="J1890" s="511"/>
      <c r="K1890" s="512"/>
      <c r="L1890" s="419"/>
      <c r="M1890" s="419"/>
      <c r="N1890" s="2561" t="s">
        <v>4685</v>
      </c>
      <c r="O1890" s="86"/>
      <c r="P1890" s="1817" t="e">
        <f>INDEX(#REF!,MATCH(F1890,#REF!,0),2)</f>
        <v>#REF!</v>
      </c>
      <c r="Q1890" s="4"/>
      <c r="R1890" s="4"/>
      <c r="S1890" s="4"/>
      <c r="T1890" s="4"/>
      <c r="U1890" s="4"/>
      <c r="V1890" s="4"/>
      <c r="W1890" s="4"/>
      <c r="X1890" s="4"/>
      <c r="Y1890" s="4"/>
      <c r="Z1890" s="4"/>
      <c r="AA1890" s="4"/>
      <c r="AB1890" s="4"/>
      <c r="AC1890" s="4"/>
      <c r="AD1890" s="4"/>
      <c r="AE1890" s="4"/>
      <c r="AF1890" s="4"/>
      <c r="AG1890" s="4"/>
      <c r="AH1890" s="4"/>
      <c r="AI1890" s="4"/>
      <c r="AJ1890" s="4"/>
      <c r="AK1890" s="4"/>
      <c r="AL1890" s="4"/>
      <c r="AM1890" s="4"/>
      <c r="AN1890" s="4"/>
      <c r="AO1890" s="4"/>
      <c r="AP1890" s="4"/>
      <c r="AQ1890" s="4"/>
      <c r="AR1890" s="4"/>
      <c r="AS1890" s="4"/>
      <c r="AT1890" s="4"/>
      <c r="AU1890" s="4"/>
      <c r="AV1890" s="4"/>
    </row>
    <row r="1891" spans="1:48">
      <c r="A1891" s="506" t="s">
        <v>1085</v>
      </c>
      <c r="B1891" s="775" t="s">
        <v>1249</v>
      </c>
      <c r="C1891" s="506" t="s">
        <v>570</v>
      </c>
      <c r="D1891" s="1589">
        <v>930</v>
      </c>
      <c r="E1891" s="2223" t="s">
        <v>1900</v>
      </c>
      <c r="F1891" s="507">
        <v>2239</v>
      </c>
      <c r="G1891" s="411" t="s">
        <v>266</v>
      </c>
      <c r="H1891" s="508">
        <v>54703</v>
      </c>
      <c r="I1891" s="508"/>
      <c r="J1891" s="509">
        <v>52090.37</v>
      </c>
      <c r="K1891" s="510"/>
      <c r="L1891" s="508">
        <v>77380</v>
      </c>
      <c r="M1891" s="608"/>
      <c r="N1891" s="1025"/>
      <c r="O1891" s="86"/>
      <c r="P1891" s="1817" t="e">
        <f>INDEX(#REF!,MATCH(F1891,#REF!,0),2)</f>
        <v>#REF!</v>
      </c>
      <c r="Q1891" s="4"/>
      <c r="R1891" s="4"/>
      <c r="S1891" s="4"/>
      <c r="T1891" s="4"/>
      <c r="U1891" s="4"/>
      <c r="V1891" s="4"/>
      <c r="W1891" s="4"/>
      <c r="X1891" s="4"/>
      <c r="Y1891" s="4"/>
      <c r="Z1891" s="4"/>
      <c r="AA1891" s="4"/>
      <c r="AB1891" s="4"/>
      <c r="AC1891" s="4"/>
      <c r="AD1891" s="4"/>
      <c r="AE1891" s="4"/>
      <c r="AF1891" s="4"/>
      <c r="AG1891" s="4"/>
      <c r="AH1891" s="4"/>
      <c r="AI1891" s="4"/>
      <c r="AJ1891" s="4"/>
      <c r="AK1891" s="4"/>
      <c r="AL1891" s="4"/>
      <c r="AM1891" s="4"/>
      <c r="AN1891" s="4"/>
      <c r="AO1891" s="4"/>
      <c r="AP1891" s="4"/>
      <c r="AQ1891" s="4"/>
      <c r="AR1891" s="4"/>
      <c r="AS1891" s="4"/>
      <c r="AT1891" s="4"/>
      <c r="AU1891" s="4"/>
      <c r="AV1891" s="4"/>
    </row>
    <row r="1892" spans="1:48" ht="22.5">
      <c r="A1892" s="412" t="s">
        <v>709</v>
      </c>
      <c r="B1892" s="489" t="s">
        <v>1249</v>
      </c>
      <c r="C1892" s="412" t="s">
        <v>505</v>
      </c>
      <c r="D1892" s="1590"/>
      <c r="E1892" s="2224" t="s">
        <v>1900</v>
      </c>
      <c r="F1892" s="505">
        <v>2239</v>
      </c>
      <c r="G1892" s="2774" t="s">
        <v>2940</v>
      </c>
      <c r="H1892" s="1401"/>
      <c r="I1892" s="2826">
        <v>23000</v>
      </c>
      <c r="J1892" s="1402"/>
      <c r="K1892" s="1447"/>
      <c r="L1892" s="1496"/>
      <c r="M1892" s="1401">
        <v>23000</v>
      </c>
      <c r="N1892" s="1025"/>
      <c r="O1892" s="86"/>
      <c r="P1892" s="1817" t="e">
        <f>INDEX(#REF!,MATCH(F1892,#REF!,0),2)</f>
        <v>#REF!</v>
      </c>
      <c r="Q1892" s="4"/>
      <c r="R1892" s="4"/>
      <c r="S1892" s="4"/>
      <c r="T1892" s="4"/>
      <c r="U1892" s="4"/>
      <c r="V1892" s="4"/>
      <c r="W1892" s="4"/>
      <c r="X1892" s="4"/>
      <c r="Y1892" s="4"/>
      <c r="Z1892" s="4"/>
      <c r="AA1892" s="4"/>
      <c r="AB1892" s="4"/>
      <c r="AC1892" s="4"/>
      <c r="AD1892" s="4"/>
      <c r="AE1892" s="4"/>
      <c r="AF1892" s="4"/>
      <c r="AG1892" s="4"/>
      <c r="AH1892" s="4"/>
      <c r="AI1892" s="4"/>
      <c r="AJ1892" s="4"/>
      <c r="AK1892" s="4"/>
      <c r="AL1892" s="4"/>
      <c r="AM1892" s="4"/>
      <c r="AN1892" s="4"/>
      <c r="AO1892" s="4"/>
      <c r="AP1892" s="4"/>
      <c r="AQ1892" s="4"/>
      <c r="AR1892" s="4"/>
      <c r="AS1892" s="4"/>
      <c r="AT1892" s="4"/>
      <c r="AU1892" s="4"/>
      <c r="AV1892" s="4"/>
    </row>
    <row r="1893" spans="1:48" ht="22.5">
      <c r="A1893" s="412" t="s">
        <v>709</v>
      </c>
      <c r="B1893" s="489" t="s">
        <v>1249</v>
      </c>
      <c r="C1893" s="412" t="s">
        <v>505</v>
      </c>
      <c r="D1893" s="1590"/>
      <c r="E1893" s="2224" t="s">
        <v>1900</v>
      </c>
      <c r="F1893" s="505">
        <v>2239</v>
      </c>
      <c r="G1893" s="1911" t="s">
        <v>3300</v>
      </c>
      <c r="H1893" s="2311"/>
      <c r="I1893" s="2826">
        <v>-2026</v>
      </c>
      <c r="J1893" s="2312"/>
      <c r="K1893" s="2313"/>
      <c r="L1893" s="2376"/>
      <c r="M1893" s="2376"/>
      <c r="N1893" s="1025"/>
      <c r="O1893" s="86"/>
      <c r="P1893" s="1817" t="e">
        <f>INDEX(#REF!,MATCH(F1893,#REF!,0),2)</f>
        <v>#REF!</v>
      </c>
      <c r="Q1893" s="4"/>
      <c r="R1893" s="4"/>
      <c r="S1893" s="4"/>
      <c r="T1893" s="4"/>
      <c r="U1893" s="4"/>
      <c r="V1893" s="4"/>
      <c r="W1893" s="4"/>
      <c r="X1893" s="4"/>
      <c r="Y1893" s="4"/>
      <c r="Z1893" s="4"/>
      <c r="AA1893" s="4"/>
      <c r="AB1893" s="4"/>
      <c r="AC1893" s="4"/>
      <c r="AD1893" s="4"/>
      <c r="AE1893" s="4"/>
      <c r="AF1893" s="4"/>
      <c r="AG1893" s="4"/>
      <c r="AH1893" s="4"/>
      <c r="AI1893" s="4"/>
      <c r="AJ1893" s="4"/>
      <c r="AK1893" s="4"/>
      <c r="AL1893" s="4"/>
      <c r="AM1893" s="4"/>
      <c r="AN1893" s="4"/>
      <c r="AO1893" s="4"/>
      <c r="AP1893" s="4"/>
      <c r="AQ1893" s="4"/>
      <c r="AR1893" s="4"/>
      <c r="AS1893" s="4"/>
      <c r="AT1893" s="4"/>
      <c r="AU1893" s="4"/>
      <c r="AV1893" s="4"/>
    </row>
    <row r="1894" spans="1:48" ht="22.5">
      <c r="A1894" s="412" t="s">
        <v>709</v>
      </c>
      <c r="B1894" s="489" t="s">
        <v>1249</v>
      </c>
      <c r="C1894" s="412" t="s">
        <v>505</v>
      </c>
      <c r="D1894" s="1590"/>
      <c r="E1894" s="2224" t="s">
        <v>1900</v>
      </c>
      <c r="F1894" s="505">
        <v>2239</v>
      </c>
      <c r="G1894" s="1911" t="s">
        <v>3285</v>
      </c>
      <c r="H1894" s="2311"/>
      <c r="I1894" s="2826">
        <v>-1467</v>
      </c>
      <c r="J1894" s="2312"/>
      <c r="K1894" s="2313"/>
      <c r="L1894" s="2376"/>
      <c r="M1894" s="2376"/>
      <c r="N1894" s="1025"/>
      <c r="O1894" s="86"/>
      <c r="P1894" s="1817" t="e">
        <f>INDEX(#REF!,MATCH(F1894,#REF!,0),2)</f>
        <v>#REF!</v>
      </c>
      <c r="Q1894" s="43"/>
      <c r="R1894" s="43"/>
      <c r="S1894" s="43"/>
      <c r="T1894" s="43"/>
      <c r="U1894" s="43"/>
      <c r="V1894" s="43"/>
      <c r="W1894" s="43"/>
      <c r="X1894" s="43"/>
      <c r="Y1894" s="43"/>
      <c r="Z1894" s="43"/>
      <c r="AA1894" s="43"/>
      <c r="AB1894" s="43"/>
      <c r="AC1894" s="43"/>
      <c r="AD1894" s="43"/>
      <c r="AE1894" s="43"/>
      <c r="AF1894" s="43"/>
      <c r="AG1894" s="43"/>
      <c r="AH1894" s="43"/>
      <c r="AI1894" s="43"/>
      <c r="AJ1894" s="43"/>
      <c r="AK1894" s="43"/>
      <c r="AL1894" s="43"/>
      <c r="AM1894" s="43"/>
      <c r="AN1894" s="43"/>
      <c r="AO1894" s="43"/>
      <c r="AP1894" s="43"/>
      <c r="AQ1894" s="43"/>
      <c r="AR1894" s="43"/>
      <c r="AS1894" s="43"/>
      <c r="AT1894" s="43"/>
      <c r="AU1894" s="43"/>
      <c r="AV1894" s="43"/>
    </row>
    <row r="1895" spans="1:48" ht="48" customHeight="1">
      <c r="A1895" s="412" t="s">
        <v>709</v>
      </c>
      <c r="B1895" s="489" t="s">
        <v>1249</v>
      </c>
      <c r="C1895" s="412" t="s">
        <v>505</v>
      </c>
      <c r="D1895" s="1590"/>
      <c r="E1895" s="2224" t="s">
        <v>1900</v>
      </c>
      <c r="F1895" s="505">
        <v>2239</v>
      </c>
      <c r="G1895" s="1911" t="s">
        <v>3287</v>
      </c>
      <c r="H1895" s="2311"/>
      <c r="I1895" s="2826">
        <v>-1500</v>
      </c>
      <c r="J1895" s="2312"/>
      <c r="K1895" s="2313"/>
      <c r="L1895" s="2376"/>
      <c r="M1895" s="2376"/>
      <c r="N1895" s="1025"/>
      <c r="O1895" s="86"/>
      <c r="P1895" s="1817" t="e">
        <f>INDEX(#REF!,MATCH(F1895,#REF!,0),2)</f>
        <v>#REF!</v>
      </c>
      <c r="Q1895" s="43"/>
      <c r="R1895" s="43"/>
      <c r="S1895" s="43"/>
      <c r="T1895" s="43"/>
      <c r="U1895" s="43"/>
      <c r="V1895" s="43"/>
      <c r="W1895" s="43"/>
      <c r="X1895" s="43"/>
      <c r="Y1895" s="43"/>
      <c r="Z1895" s="43"/>
      <c r="AA1895" s="43"/>
      <c r="AB1895" s="43"/>
      <c r="AC1895" s="43"/>
      <c r="AD1895" s="43"/>
      <c r="AE1895" s="43"/>
      <c r="AF1895" s="43"/>
      <c r="AG1895" s="43"/>
      <c r="AH1895" s="43"/>
      <c r="AI1895" s="43"/>
      <c r="AJ1895" s="43"/>
      <c r="AK1895" s="43"/>
      <c r="AL1895" s="43"/>
      <c r="AM1895" s="43"/>
      <c r="AN1895" s="43"/>
      <c r="AO1895" s="43"/>
      <c r="AP1895" s="43"/>
      <c r="AQ1895" s="43"/>
      <c r="AR1895" s="43"/>
      <c r="AS1895" s="43"/>
      <c r="AT1895" s="43"/>
      <c r="AU1895" s="43"/>
      <c r="AV1895" s="43"/>
    </row>
    <row r="1896" spans="1:48" ht="30.6" customHeight="1">
      <c r="A1896" s="412" t="s">
        <v>708</v>
      </c>
      <c r="B1896" s="489" t="s">
        <v>1249</v>
      </c>
      <c r="C1896" s="412" t="s">
        <v>570</v>
      </c>
      <c r="D1896" s="1590"/>
      <c r="E1896" s="2224" t="s">
        <v>1900</v>
      </c>
      <c r="F1896" s="505">
        <v>2239</v>
      </c>
      <c r="G1896" s="2774" t="s">
        <v>4687</v>
      </c>
      <c r="H1896" s="1057"/>
      <c r="I1896" s="1057">
        <v>30620</v>
      </c>
      <c r="J1896" s="1057"/>
      <c r="K1896" s="1223"/>
      <c r="L1896" s="1019"/>
      <c r="M1896" s="2779">
        <v>39360</v>
      </c>
      <c r="N1896" s="2561" t="s">
        <v>4688</v>
      </c>
      <c r="O1896" s="86"/>
      <c r="P1896" s="1817" t="e">
        <f>INDEX(#REF!,MATCH(F1896,#REF!,0),2)</f>
        <v>#REF!</v>
      </c>
    </row>
    <row r="1897" spans="1:48" ht="31.9" customHeight="1">
      <c r="A1897" s="412" t="s">
        <v>709</v>
      </c>
      <c r="B1897" s="489" t="s">
        <v>1249</v>
      </c>
      <c r="C1897" s="412" t="s">
        <v>570</v>
      </c>
      <c r="D1897" s="1590"/>
      <c r="E1897" s="2224" t="s">
        <v>1900</v>
      </c>
      <c r="F1897" s="505">
        <v>2239</v>
      </c>
      <c r="G1897" s="2774" t="s">
        <v>4689</v>
      </c>
      <c r="H1897" s="537"/>
      <c r="I1897" s="692">
        <v>1000</v>
      </c>
      <c r="J1897" s="537"/>
      <c r="K1897" s="627"/>
      <c r="L1897" s="535"/>
      <c r="M1897" s="419">
        <v>2320</v>
      </c>
      <c r="N1897" s="43" t="s">
        <v>4690</v>
      </c>
      <c r="O1897" s="86"/>
      <c r="P1897" s="1817" t="e">
        <f>INDEX(#REF!,MATCH(F1897,#REF!,0),2)</f>
        <v>#REF!</v>
      </c>
    </row>
    <row r="1898" spans="1:48" ht="31.9" customHeight="1">
      <c r="A1898" s="762" t="s">
        <v>1503</v>
      </c>
      <c r="B1898" s="489" t="s">
        <v>1249</v>
      </c>
      <c r="C1898" s="412" t="s">
        <v>570</v>
      </c>
      <c r="D1898" s="1590"/>
      <c r="E1898" s="2224" t="s">
        <v>1900</v>
      </c>
      <c r="F1898" s="505">
        <v>2239</v>
      </c>
      <c r="G1898" s="2774" t="s">
        <v>4691</v>
      </c>
      <c r="H1898" s="1068"/>
      <c r="I1898" s="1065">
        <v>1000</v>
      </c>
      <c r="J1898" s="1065"/>
      <c r="K1898" s="1066"/>
      <c r="L1898" s="1068"/>
      <c r="M1898" s="3380">
        <v>1700</v>
      </c>
      <c r="N1898" s="2561" t="s">
        <v>4692</v>
      </c>
      <c r="O1898" s="86"/>
      <c r="P1898" s="1817" t="e">
        <f>INDEX(#REF!,MATCH(F1898,#REF!,0),2)</f>
        <v>#REF!</v>
      </c>
    </row>
    <row r="1899" spans="1:48" ht="31.9" customHeight="1">
      <c r="A1899" s="762" t="s">
        <v>1504</v>
      </c>
      <c r="B1899" s="489" t="s">
        <v>1249</v>
      </c>
      <c r="C1899" s="412" t="s">
        <v>570</v>
      </c>
      <c r="D1899" s="1590"/>
      <c r="E1899" s="2224" t="s">
        <v>1900</v>
      </c>
      <c r="F1899" s="505">
        <v>2239</v>
      </c>
      <c r="G1899" s="2774" t="s">
        <v>4693</v>
      </c>
      <c r="H1899" s="1068"/>
      <c r="I1899" s="1065">
        <v>2000</v>
      </c>
      <c r="J1899" s="1065"/>
      <c r="K1899" s="1066"/>
      <c r="L1899" s="1068"/>
      <c r="M1899" s="1576">
        <v>3000</v>
      </c>
      <c r="N1899" s="1025"/>
      <c r="O1899" s="86"/>
      <c r="P1899" s="1817" t="e">
        <f>INDEX(#REF!,MATCH(F1899,#REF!,0),2)</f>
        <v>#REF!</v>
      </c>
    </row>
    <row r="1900" spans="1:48" ht="31.9" customHeight="1">
      <c r="A1900" s="762" t="s">
        <v>1504</v>
      </c>
      <c r="B1900" s="489" t="s">
        <v>1249</v>
      </c>
      <c r="C1900" s="412" t="s">
        <v>570</v>
      </c>
      <c r="D1900" s="1590"/>
      <c r="E1900" s="2224" t="s">
        <v>1900</v>
      </c>
      <c r="F1900" s="505">
        <v>2239</v>
      </c>
      <c r="G1900" s="2774" t="s">
        <v>4694</v>
      </c>
      <c r="H1900" s="3379"/>
      <c r="I1900" s="3382"/>
      <c r="J1900" s="3382"/>
      <c r="K1900" s="3383"/>
      <c r="L1900" s="3379"/>
      <c r="M1900" s="3380">
        <v>1000</v>
      </c>
      <c r="N1900" s="2561" t="s">
        <v>4697</v>
      </c>
      <c r="O1900" s="86"/>
      <c r="P1900" s="1817"/>
    </row>
    <row r="1901" spans="1:48" ht="13.15" customHeight="1">
      <c r="A1901" s="762" t="s">
        <v>1504</v>
      </c>
      <c r="B1901" s="489" t="s">
        <v>1249</v>
      </c>
      <c r="C1901" s="412" t="s">
        <v>570</v>
      </c>
      <c r="D1901" s="1590"/>
      <c r="E1901" s="2224" t="s">
        <v>1900</v>
      </c>
      <c r="F1901" s="505">
        <v>2239</v>
      </c>
      <c r="G1901" s="2774" t="s">
        <v>4695</v>
      </c>
      <c r="H1901" s="3379"/>
      <c r="I1901" s="3382"/>
      <c r="J1901" s="3382"/>
      <c r="K1901" s="3383"/>
      <c r="L1901" s="3379"/>
      <c r="M1901" s="3380">
        <v>500</v>
      </c>
      <c r="N1901" s="2561" t="s">
        <v>4225</v>
      </c>
      <c r="O1901" s="86"/>
      <c r="P1901" s="1817"/>
      <c r="Q1901" s="43"/>
      <c r="R1901" s="43"/>
      <c r="S1901" s="43"/>
      <c r="T1901" s="43"/>
      <c r="U1901" s="43"/>
      <c r="V1901" s="43"/>
      <c r="W1901" s="43"/>
      <c r="X1901" s="43"/>
      <c r="Y1901" s="43"/>
      <c r="Z1901" s="43"/>
      <c r="AA1901" s="43"/>
      <c r="AB1901" s="43"/>
      <c r="AC1901" s="43"/>
      <c r="AD1901" s="43"/>
      <c r="AE1901" s="43"/>
      <c r="AF1901" s="43"/>
      <c r="AG1901" s="43"/>
      <c r="AH1901" s="43"/>
      <c r="AI1901" s="43"/>
      <c r="AJ1901" s="43"/>
      <c r="AK1901" s="43"/>
      <c r="AL1901" s="43"/>
      <c r="AM1901" s="43"/>
      <c r="AN1901" s="43"/>
      <c r="AO1901" s="43"/>
      <c r="AP1901" s="43"/>
      <c r="AQ1901" s="43"/>
      <c r="AR1901" s="43"/>
      <c r="AS1901" s="43"/>
      <c r="AT1901" s="43"/>
      <c r="AU1901" s="43"/>
      <c r="AV1901" s="43"/>
    </row>
    <row r="1902" spans="1:48" ht="21" customHeight="1">
      <c r="A1902" s="762" t="s">
        <v>1504</v>
      </c>
      <c r="B1902" s="489" t="s">
        <v>1249</v>
      </c>
      <c r="C1902" s="412" t="s">
        <v>570</v>
      </c>
      <c r="D1902" s="1590"/>
      <c r="E1902" s="2224" t="s">
        <v>1900</v>
      </c>
      <c r="F1902" s="505">
        <v>2239</v>
      </c>
      <c r="G1902" s="2774" t="s">
        <v>4696</v>
      </c>
      <c r="H1902" s="3379"/>
      <c r="I1902" s="3382"/>
      <c r="J1902" s="3382"/>
      <c r="K1902" s="3383"/>
      <c r="L1902" s="3379"/>
      <c r="M1902" s="3380">
        <v>6500</v>
      </c>
      <c r="N1902" s="2561" t="s">
        <v>4698</v>
      </c>
      <c r="O1902" s="86"/>
      <c r="P1902" s="1817"/>
      <c r="Q1902" s="43"/>
      <c r="R1902" s="43"/>
      <c r="S1902" s="43"/>
      <c r="T1902" s="43"/>
      <c r="U1902" s="43"/>
      <c r="V1902" s="43"/>
      <c r="W1902" s="43"/>
      <c r="X1902" s="43"/>
      <c r="Y1902" s="43"/>
      <c r="Z1902" s="43"/>
      <c r="AA1902" s="43"/>
      <c r="AB1902" s="43"/>
      <c r="AC1902" s="43"/>
      <c r="AD1902" s="43"/>
      <c r="AE1902" s="43"/>
      <c r="AF1902" s="43"/>
      <c r="AG1902" s="43"/>
      <c r="AH1902" s="43"/>
      <c r="AI1902" s="43"/>
      <c r="AJ1902" s="43"/>
      <c r="AK1902" s="43"/>
      <c r="AL1902" s="43"/>
      <c r="AM1902" s="43"/>
      <c r="AN1902" s="43"/>
      <c r="AO1902" s="43"/>
      <c r="AP1902" s="43"/>
      <c r="AQ1902" s="43"/>
      <c r="AR1902" s="43"/>
      <c r="AS1902" s="43"/>
      <c r="AT1902" s="43"/>
      <c r="AU1902" s="43"/>
      <c r="AV1902" s="43"/>
    </row>
    <row r="1903" spans="1:48" ht="21" customHeight="1">
      <c r="A1903" s="506"/>
      <c r="B1903" s="506" t="s">
        <v>1248</v>
      </c>
      <c r="C1903" s="506" t="s">
        <v>507</v>
      </c>
      <c r="D1903" s="1589">
        <v>930</v>
      </c>
      <c r="E1903" s="2223" t="s">
        <v>1900</v>
      </c>
      <c r="F1903" s="507">
        <v>2247</v>
      </c>
      <c r="G1903" s="411" t="s">
        <v>281</v>
      </c>
      <c r="H1903" s="508">
        <v>2444</v>
      </c>
      <c r="I1903" s="508"/>
      <c r="J1903" s="509">
        <v>50</v>
      </c>
      <c r="K1903" s="510"/>
      <c r="L1903" s="508">
        <v>2000</v>
      </c>
      <c r="M1903" s="608"/>
      <c r="N1903" s="1025"/>
      <c r="O1903" s="86"/>
      <c r="P1903" s="1817" t="e">
        <f>INDEX(#REF!,MATCH(F1903,#REF!,0),2)</f>
        <v>#REF!</v>
      </c>
      <c r="Q1903" s="43"/>
      <c r="R1903" s="43"/>
      <c r="S1903" s="43"/>
      <c r="T1903" s="43"/>
      <c r="U1903" s="43"/>
      <c r="V1903" s="43"/>
      <c r="W1903" s="43"/>
      <c r="X1903" s="43"/>
      <c r="Y1903" s="43"/>
      <c r="Z1903" s="43"/>
      <c r="AA1903" s="43"/>
      <c r="AB1903" s="43"/>
      <c r="AC1903" s="43"/>
      <c r="AD1903" s="43"/>
      <c r="AE1903" s="43"/>
      <c r="AF1903" s="43"/>
      <c r="AG1903" s="43"/>
      <c r="AH1903" s="43"/>
      <c r="AI1903" s="43"/>
      <c r="AJ1903" s="43"/>
      <c r="AK1903" s="43"/>
      <c r="AL1903" s="43"/>
      <c r="AM1903" s="43"/>
      <c r="AN1903" s="43"/>
      <c r="AO1903" s="43"/>
      <c r="AP1903" s="43"/>
      <c r="AQ1903" s="43"/>
      <c r="AR1903" s="43"/>
      <c r="AS1903" s="43"/>
      <c r="AT1903" s="43"/>
      <c r="AU1903" s="43"/>
      <c r="AV1903" s="43"/>
    </row>
    <row r="1904" spans="1:48" ht="21" customHeight="1">
      <c r="A1904" s="412"/>
      <c r="B1904" s="412" t="s">
        <v>1248</v>
      </c>
      <c r="C1904" s="412" t="s">
        <v>507</v>
      </c>
      <c r="D1904" s="1590"/>
      <c r="E1904" s="2224" t="s">
        <v>1900</v>
      </c>
      <c r="F1904" s="505">
        <v>2247</v>
      </c>
      <c r="G1904" s="410" t="s">
        <v>4666</v>
      </c>
      <c r="H1904" s="537"/>
      <c r="I1904" s="692">
        <v>444</v>
      </c>
      <c r="J1904" s="537"/>
      <c r="K1904" s="627"/>
      <c r="L1904" s="535"/>
      <c r="M1904" s="2588">
        <v>2000</v>
      </c>
      <c r="N1904" s="1025"/>
      <c r="O1904" s="86"/>
      <c r="P1904" s="1817" t="e">
        <f>INDEX(#REF!,MATCH(F1904,#REF!,0),2)</f>
        <v>#REF!</v>
      </c>
      <c r="Q1904" s="43"/>
      <c r="R1904" s="43"/>
      <c r="S1904" s="43"/>
      <c r="T1904" s="43"/>
      <c r="U1904" s="43"/>
      <c r="V1904" s="43"/>
      <c r="W1904" s="43"/>
      <c r="X1904" s="43"/>
      <c r="Y1904" s="43"/>
      <c r="Z1904" s="43"/>
      <c r="AA1904" s="43"/>
      <c r="AB1904" s="43"/>
      <c r="AC1904" s="43"/>
      <c r="AD1904" s="43"/>
      <c r="AE1904" s="43"/>
      <c r="AF1904" s="43"/>
      <c r="AG1904" s="43"/>
      <c r="AH1904" s="43"/>
      <c r="AI1904" s="43"/>
      <c r="AJ1904" s="43"/>
      <c r="AK1904" s="43"/>
      <c r="AL1904" s="43"/>
      <c r="AM1904" s="43"/>
      <c r="AN1904" s="43"/>
      <c r="AO1904" s="43"/>
      <c r="AP1904" s="43"/>
      <c r="AQ1904" s="43"/>
      <c r="AR1904" s="43"/>
      <c r="AS1904" s="43"/>
      <c r="AT1904" s="43"/>
      <c r="AU1904" s="43"/>
      <c r="AV1904" s="43"/>
    </row>
    <row r="1905" spans="1:48" ht="16.899999999999999" customHeight="1">
      <c r="A1905" s="1882"/>
      <c r="B1905" s="412" t="s">
        <v>1248</v>
      </c>
      <c r="C1905" s="412" t="s">
        <v>507</v>
      </c>
      <c r="D1905" s="1590"/>
      <c r="E1905" s="2224" t="s">
        <v>1900</v>
      </c>
      <c r="F1905" s="505">
        <v>2247</v>
      </c>
      <c r="G1905" s="1993" t="s">
        <v>3286</v>
      </c>
      <c r="H1905" s="1933"/>
      <c r="I1905" s="2314">
        <v>500</v>
      </c>
      <c r="J1905" s="1933"/>
      <c r="K1905" s="2315"/>
      <c r="L1905" s="1989"/>
      <c r="M1905" s="2427"/>
      <c r="N1905" s="1025"/>
      <c r="O1905" s="86"/>
      <c r="P1905" s="1817" t="e">
        <f>INDEX(#REF!,MATCH(F1905,#REF!,0),2)</f>
        <v>#REF!</v>
      </c>
      <c r="Q1905" s="43"/>
      <c r="R1905" s="43"/>
      <c r="S1905" s="43"/>
      <c r="T1905" s="43"/>
      <c r="U1905" s="43"/>
      <c r="V1905" s="43"/>
      <c r="W1905" s="43"/>
      <c r="X1905" s="43"/>
      <c r="Y1905" s="43"/>
      <c r="Z1905" s="43"/>
      <c r="AA1905" s="43"/>
      <c r="AB1905" s="43"/>
      <c r="AC1905" s="43"/>
      <c r="AD1905" s="43"/>
      <c r="AE1905" s="43"/>
      <c r="AF1905" s="43"/>
      <c r="AG1905" s="43"/>
      <c r="AH1905" s="43"/>
      <c r="AI1905" s="43"/>
      <c r="AJ1905" s="43"/>
      <c r="AK1905" s="43"/>
      <c r="AL1905" s="43"/>
      <c r="AM1905" s="43"/>
      <c r="AN1905" s="43"/>
      <c r="AO1905" s="43"/>
      <c r="AP1905" s="43"/>
      <c r="AQ1905" s="43"/>
      <c r="AR1905" s="43"/>
      <c r="AS1905" s="43"/>
      <c r="AT1905" s="43"/>
      <c r="AU1905" s="43"/>
      <c r="AV1905" s="43"/>
    </row>
    <row r="1906" spans="1:48" ht="13.15" customHeight="1">
      <c r="A1906" s="1882"/>
      <c r="B1906" s="412" t="s">
        <v>1248</v>
      </c>
      <c r="C1906" s="412" t="s">
        <v>507</v>
      </c>
      <c r="D1906" s="1590"/>
      <c r="E1906" s="2224" t="s">
        <v>1900</v>
      </c>
      <c r="F1906" s="505">
        <v>2247</v>
      </c>
      <c r="G1906" s="1993" t="s">
        <v>3287</v>
      </c>
      <c r="H1906" s="1933"/>
      <c r="I1906" s="2314">
        <v>1500</v>
      </c>
      <c r="J1906" s="1933"/>
      <c r="K1906" s="2315"/>
      <c r="L1906" s="1989"/>
      <c r="M1906" s="2427"/>
      <c r="N1906" s="1025"/>
      <c r="O1906" s="86"/>
      <c r="P1906" s="1817" t="e">
        <f>INDEX(#REF!,MATCH(F1906,#REF!,0),2)</f>
        <v>#REF!</v>
      </c>
      <c r="Q1906" s="43"/>
      <c r="R1906" s="43"/>
      <c r="S1906" s="43"/>
      <c r="T1906" s="43"/>
      <c r="U1906" s="43"/>
      <c r="V1906" s="43"/>
      <c r="W1906" s="43"/>
      <c r="X1906" s="43"/>
      <c r="Y1906" s="43"/>
      <c r="Z1906" s="43"/>
      <c r="AA1906" s="43"/>
      <c r="AB1906" s="43"/>
      <c r="AC1906" s="43"/>
      <c r="AD1906" s="43"/>
      <c r="AE1906" s="43"/>
      <c r="AF1906" s="43"/>
      <c r="AG1906" s="43"/>
      <c r="AH1906" s="43"/>
      <c r="AI1906" s="43"/>
      <c r="AJ1906" s="43"/>
      <c r="AK1906" s="43"/>
      <c r="AL1906" s="43"/>
      <c r="AM1906" s="43"/>
      <c r="AN1906" s="43"/>
      <c r="AO1906" s="43"/>
      <c r="AP1906" s="43"/>
      <c r="AQ1906" s="43"/>
      <c r="AR1906" s="43"/>
      <c r="AS1906" s="43"/>
      <c r="AT1906" s="43"/>
      <c r="AU1906" s="43"/>
      <c r="AV1906" s="43"/>
    </row>
    <row r="1907" spans="1:48" ht="33.6" customHeight="1">
      <c r="A1907" s="506"/>
      <c r="B1907" s="506" t="s">
        <v>1248</v>
      </c>
      <c r="C1907" s="506" t="s">
        <v>505</v>
      </c>
      <c r="D1907" s="1589">
        <v>930</v>
      </c>
      <c r="E1907" s="2223" t="s">
        <v>1900</v>
      </c>
      <c r="F1907" s="540">
        <v>2311</v>
      </c>
      <c r="G1907" s="411" t="s">
        <v>426</v>
      </c>
      <c r="H1907" s="508">
        <v>500</v>
      </c>
      <c r="I1907" s="508"/>
      <c r="J1907" s="509">
        <v>428</v>
      </c>
      <c r="K1907" s="510"/>
      <c r="L1907" s="508">
        <v>900</v>
      </c>
      <c r="M1907" s="608"/>
      <c r="N1907" s="1025" t="s">
        <v>5156</v>
      </c>
      <c r="O1907" s="86"/>
      <c r="P1907" s="1817" t="e">
        <f>INDEX(#REF!,MATCH(F1907,#REF!,0),2)</f>
        <v>#REF!</v>
      </c>
      <c r="Q1907" s="43"/>
      <c r="R1907" s="43"/>
      <c r="S1907" s="43"/>
      <c r="T1907" s="43"/>
      <c r="U1907" s="43"/>
      <c r="V1907" s="43"/>
      <c r="W1907" s="43"/>
      <c r="X1907" s="43"/>
      <c r="Y1907" s="43"/>
      <c r="Z1907" s="43"/>
      <c r="AA1907" s="43"/>
      <c r="AB1907" s="43"/>
      <c r="AC1907" s="43"/>
      <c r="AD1907" s="43"/>
      <c r="AE1907" s="43"/>
      <c r="AF1907" s="43"/>
      <c r="AG1907" s="43"/>
      <c r="AH1907" s="43"/>
      <c r="AI1907" s="43"/>
      <c r="AJ1907" s="43"/>
      <c r="AK1907" s="43"/>
      <c r="AL1907" s="43"/>
      <c r="AM1907" s="43"/>
      <c r="AN1907" s="43"/>
      <c r="AO1907" s="43"/>
      <c r="AP1907" s="43"/>
      <c r="AQ1907" s="43"/>
      <c r="AR1907" s="43"/>
      <c r="AS1907" s="43"/>
      <c r="AT1907" s="43"/>
      <c r="AU1907" s="43"/>
      <c r="AV1907" s="43"/>
    </row>
    <row r="1908" spans="1:48" ht="16.899999999999999" customHeight="1">
      <c r="A1908" s="412"/>
      <c r="B1908" s="412" t="s">
        <v>1248</v>
      </c>
      <c r="C1908" s="412" t="s">
        <v>505</v>
      </c>
      <c r="D1908" s="1590"/>
      <c r="E1908" s="2224" t="s">
        <v>1900</v>
      </c>
      <c r="F1908" s="505">
        <v>2311</v>
      </c>
      <c r="G1908" s="565" t="s">
        <v>426</v>
      </c>
      <c r="H1908" s="495"/>
      <c r="I1908" s="693">
        <v>250</v>
      </c>
      <c r="J1908" s="537"/>
      <c r="K1908" s="538"/>
      <c r="L1908" s="535"/>
      <c r="M1908" s="3380">
        <v>400</v>
      </c>
      <c r="N1908" s="43" t="s">
        <v>4669</v>
      </c>
      <c r="O1908" s="86"/>
      <c r="P1908" s="1817" t="e">
        <f>INDEX(#REF!,MATCH(F1908,#REF!,0),2)</f>
        <v>#REF!</v>
      </c>
      <c r="Q1908" s="43"/>
      <c r="R1908" s="43"/>
      <c r="S1908" s="43"/>
      <c r="T1908" s="43"/>
      <c r="U1908" s="43"/>
      <c r="V1908" s="43"/>
      <c r="W1908" s="43"/>
      <c r="X1908" s="43"/>
      <c r="Y1908" s="43"/>
      <c r="Z1908" s="43"/>
      <c r="AA1908" s="43"/>
      <c r="AB1908" s="43"/>
      <c r="AC1908" s="43"/>
      <c r="AD1908" s="43"/>
      <c r="AE1908" s="43"/>
      <c r="AF1908" s="43"/>
      <c r="AG1908" s="43"/>
      <c r="AH1908" s="43"/>
      <c r="AI1908" s="43"/>
      <c r="AJ1908" s="43"/>
      <c r="AK1908" s="43"/>
      <c r="AL1908" s="43"/>
      <c r="AM1908" s="43"/>
      <c r="AN1908" s="43"/>
      <c r="AO1908" s="43"/>
      <c r="AP1908" s="43"/>
      <c r="AQ1908" s="43"/>
      <c r="AR1908" s="43"/>
      <c r="AS1908" s="43"/>
      <c r="AT1908" s="43"/>
      <c r="AU1908" s="43"/>
      <c r="AV1908" s="43"/>
    </row>
    <row r="1909" spans="1:48" ht="33.75">
      <c r="A1909" s="2790"/>
      <c r="B1909" s="412" t="s">
        <v>1248</v>
      </c>
      <c r="C1909" s="412" t="s">
        <v>505</v>
      </c>
      <c r="D1909" s="1590"/>
      <c r="E1909" s="2224" t="s">
        <v>1900</v>
      </c>
      <c r="F1909" s="505">
        <v>2311</v>
      </c>
      <c r="G1909" s="2774" t="s">
        <v>4699</v>
      </c>
      <c r="H1909" s="3128"/>
      <c r="I1909" s="3384"/>
      <c r="J1909" s="3382"/>
      <c r="K1909" s="3383"/>
      <c r="L1909" s="3379"/>
      <c r="M1909" s="4285">
        <v>500</v>
      </c>
      <c r="N1909" s="2561" t="s">
        <v>4700</v>
      </c>
      <c r="O1909" s="86"/>
      <c r="P1909" s="1817"/>
      <c r="Q1909" s="43"/>
      <c r="R1909" s="43"/>
      <c r="S1909" s="43"/>
      <c r="T1909" s="43"/>
      <c r="U1909" s="43"/>
      <c r="V1909" s="43"/>
      <c r="W1909" s="43"/>
      <c r="X1909" s="43"/>
      <c r="Y1909" s="43"/>
      <c r="Z1909" s="43"/>
      <c r="AA1909" s="43"/>
      <c r="AB1909" s="43"/>
      <c r="AC1909" s="43"/>
      <c r="AD1909" s="43"/>
      <c r="AE1909" s="43"/>
      <c r="AF1909" s="43"/>
      <c r="AG1909" s="43"/>
      <c r="AH1909" s="43"/>
      <c r="AI1909" s="43"/>
      <c r="AJ1909" s="43"/>
      <c r="AK1909" s="43"/>
      <c r="AL1909" s="43"/>
      <c r="AM1909" s="43"/>
      <c r="AN1909" s="43"/>
      <c r="AO1909" s="43"/>
      <c r="AP1909" s="43"/>
      <c r="AQ1909" s="43"/>
      <c r="AR1909" s="43"/>
      <c r="AS1909" s="43"/>
      <c r="AT1909" s="43"/>
      <c r="AU1909" s="43"/>
      <c r="AV1909" s="43"/>
    </row>
    <row r="1910" spans="1:48">
      <c r="A1910" s="506"/>
      <c r="B1910" s="506" t="s">
        <v>1248</v>
      </c>
      <c r="C1910" s="506" t="s">
        <v>505</v>
      </c>
      <c r="D1910" s="1589">
        <v>930</v>
      </c>
      <c r="E1910" s="2223" t="s">
        <v>1900</v>
      </c>
      <c r="F1910" s="540">
        <v>2312</v>
      </c>
      <c r="G1910" s="411" t="s">
        <v>249</v>
      </c>
      <c r="H1910" s="508">
        <v>1967</v>
      </c>
      <c r="I1910" s="508"/>
      <c r="J1910" s="509">
        <v>1301</v>
      </c>
      <c r="K1910" s="510"/>
      <c r="L1910" s="508">
        <v>2950</v>
      </c>
      <c r="M1910" s="608"/>
      <c r="N1910" s="2804">
        <f>L1910-H1910</f>
        <v>983</v>
      </c>
      <c r="O1910" s="86"/>
      <c r="P1910" s="1817" t="e">
        <f>INDEX(#REF!,MATCH(F1910,#REF!,0),2)</f>
        <v>#REF!</v>
      </c>
      <c r="Q1910" s="43"/>
      <c r="R1910" s="43"/>
      <c r="S1910" s="43"/>
      <c r="T1910" s="43"/>
      <c r="U1910" s="43"/>
      <c r="V1910" s="43"/>
      <c r="W1910" s="43"/>
      <c r="X1910" s="43"/>
      <c r="Y1910" s="43"/>
      <c r="Z1910" s="43"/>
      <c r="AA1910" s="43"/>
      <c r="AB1910" s="43"/>
      <c r="AC1910" s="43"/>
      <c r="AD1910" s="43"/>
      <c r="AE1910" s="43"/>
      <c r="AF1910" s="43"/>
      <c r="AG1910" s="43"/>
      <c r="AH1910" s="43"/>
      <c r="AI1910" s="43"/>
      <c r="AJ1910" s="43"/>
      <c r="AK1910" s="43"/>
      <c r="AL1910" s="43"/>
      <c r="AM1910" s="43"/>
      <c r="AN1910" s="43"/>
      <c r="AO1910" s="43"/>
      <c r="AP1910" s="43"/>
      <c r="AQ1910" s="43"/>
      <c r="AR1910" s="43"/>
      <c r="AS1910" s="43"/>
      <c r="AT1910" s="43"/>
      <c r="AU1910" s="43"/>
      <c r="AV1910" s="43"/>
    </row>
    <row r="1911" spans="1:48">
      <c r="A1911" s="412"/>
      <c r="B1911" s="412" t="s">
        <v>1248</v>
      </c>
      <c r="C1911" s="412" t="s">
        <v>505</v>
      </c>
      <c r="D1911" s="1590"/>
      <c r="E1911" s="2224" t="s">
        <v>1900</v>
      </c>
      <c r="F1911" s="505">
        <v>2312</v>
      </c>
      <c r="G1911" s="3385" t="s">
        <v>4701</v>
      </c>
      <c r="H1911" s="535"/>
      <c r="I1911" s="537">
        <v>500</v>
      </c>
      <c r="J1911" s="537"/>
      <c r="K1911" s="538"/>
      <c r="L1911" s="535"/>
      <c r="M1911" s="4221">
        <v>150</v>
      </c>
      <c r="N1911" s="43" t="s">
        <v>4702</v>
      </c>
      <c r="O1911" s="86"/>
      <c r="P1911" s="1817" t="e">
        <f>INDEX(#REF!,MATCH(F1911,#REF!,0),2)</f>
        <v>#REF!</v>
      </c>
      <c r="Q1911" s="43"/>
      <c r="R1911" s="43"/>
      <c r="S1911" s="43"/>
      <c r="T1911" s="43"/>
      <c r="U1911" s="43"/>
      <c r="V1911" s="43"/>
      <c r="W1911" s="43"/>
      <c r="X1911" s="43"/>
      <c r="Y1911" s="43"/>
      <c r="Z1911" s="43"/>
      <c r="AA1911" s="43"/>
      <c r="AB1911" s="43"/>
      <c r="AC1911" s="43"/>
      <c r="AD1911" s="43"/>
      <c r="AE1911" s="43"/>
      <c r="AF1911" s="43"/>
      <c r="AG1911" s="43"/>
      <c r="AH1911" s="43"/>
      <c r="AI1911" s="43"/>
      <c r="AJ1911" s="43"/>
      <c r="AK1911" s="43"/>
      <c r="AL1911" s="43"/>
      <c r="AM1911" s="43"/>
      <c r="AN1911" s="43"/>
      <c r="AO1911" s="43"/>
      <c r="AP1911" s="43"/>
      <c r="AQ1911" s="43"/>
      <c r="AR1911" s="43"/>
      <c r="AS1911" s="43"/>
      <c r="AT1911" s="43"/>
      <c r="AU1911" s="43"/>
      <c r="AV1911" s="43"/>
    </row>
    <row r="1912" spans="1:48" ht="22.5">
      <c r="A1912" s="412"/>
      <c r="B1912" s="412" t="s">
        <v>1248</v>
      </c>
      <c r="C1912" s="412" t="s">
        <v>505</v>
      </c>
      <c r="D1912" s="1590"/>
      <c r="E1912" s="2224" t="s">
        <v>1900</v>
      </c>
      <c r="F1912" s="505">
        <v>2312</v>
      </c>
      <c r="G1912" s="1911" t="s">
        <v>3285</v>
      </c>
      <c r="H1912" s="537"/>
      <c r="I1912" s="692">
        <v>1467</v>
      </c>
      <c r="J1912" s="537"/>
      <c r="K1912" s="627"/>
      <c r="L1912" s="535"/>
      <c r="M1912" s="1575"/>
      <c r="N1912" s="1025"/>
      <c r="O1912" s="86"/>
      <c r="P1912" s="1817" t="e">
        <f>INDEX(#REF!,MATCH(F1912,#REF!,0),2)</f>
        <v>#REF!</v>
      </c>
      <c r="Q1912" s="43"/>
      <c r="R1912" s="43"/>
      <c r="S1912" s="43"/>
      <c r="T1912" s="43"/>
      <c r="U1912" s="43"/>
      <c r="V1912" s="43"/>
      <c r="W1912" s="43"/>
      <c r="X1912" s="43"/>
      <c r="Y1912" s="43"/>
      <c r="Z1912" s="43"/>
      <c r="AA1912" s="43"/>
      <c r="AB1912" s="43"/>
      <c r="AC1912" s="43"/>
      <c r="AD1912" s="43"/>
      <c r="AE1912" s="43"/>
      <c r="AF1912" s="43"/>
      <c r="AG1912" s="43"/>
      <c r="AH1912" s="43"/>
      <c r="AI1912" s="43"/>
      <c r="AJ1912" s="43"/>
      <c r="AK1912" s="43"/>
      <c r="AL1912" s="43"/>
      <c r="AM1912" s="43"/>
      <c r="AN1912" s="43"/>
      <c r="AO1912" s="43"/>
      <c r="AP1912" s="43"/>
      <c r="AQ1912" s="43"/>
      <c r="AR1912" s="43"/>
      <c r="AS1912" s="43"/>
      <c r="AT1912" s="43"/>
      <c r="AU1912" s="43"/>
      <c r="AV1912" s="43"/>
    </row>
    <row r="1913" spans="1:48" ht="22.5">
      <c r="A1913" s="1370"/>
      <c r="B1913" s="412" t="s">
        <v>1248</v>
      </c>
      <c r="C1913" s="412" t="s">
        <v>505</v>
      </c>
      <c r="D1913" s="1590"/>
      <c r="E1913" s="2224" t="s">
        <v>1900</v>
      </c>
      <c r="F1913" s="505">
        <v>2312</v>
      </c>
      <c r="G1913" s="3385" t="s">
        <v>4703</v>
      </c>
      <c r="H1913" s="1390"/>
      <c r="I1913" s="1452"/>
      <c r="J1913" s="1390"/>
      <c r="K1913" s="1453"/>
      <c r="L1913" s="1403"/>
      <c r="M1913" s="4285">
        <v>2100</v>
      </c>
      <c r="N1913" s="2561" t="s">
        <v>6106</v>
      </c>
      <c r="O1913" s="86"/>
      <c r="P1913" s="1817" t="e">
        <f>INDEX(#REF!,MATCH(F1913,#REF!,0),2)</f>
        <v>#REF!</v>
      </c>
      <c r="Q1913" s="43"/>
      <c r="R1913" s="43"/>
      <c r="S1913" s="43"/>
      <c r="T1913" s="43"/>
      <c r="U1913" s="43"/>
      <c r="V1913" s="43"/>
      <c r="W1913" s="43"/>
      <c r="X1913" s="43"/>
      <c r="Y1913" s="43"/>
      <c r="Z1913" s="43"/>
      <c r="AA1913" s="43"/>
      <c r="AB1913" s="43"/>
      <c r="AC1913" s="43"/>
      <c r="AD1913" s="43"/>
      <c r="AE1913" s="43"/>
      <c r="AF1913" s="43"/>
      <c r="AG1913" s="43"/>
      <c r="AH1913" s="43"/>
      <c r="AI1913" s="43"/>
      <c r="AJ1913" s="43"/>
      <c r="AK1913" s="43"/>
      <c r="AL1913" s="43"/>
      <c r="AM1913" s="43"/>
      <c r="AN1913" s="43"/>
      <c r="AO1913" s="43"/>
      <c r="AP1913" s="43"/>
      <c r="AQ1913" s="43"/>
      <c r="AR1913" s="43"/>
      <c r="AS1913" s="43"/>
      <c r="AT1913" s="43"/>
      <c r="AU1913" s="43"/>
      <c r="AV1913" s="43"/>
    </row>
    <row r="1914" spans="1:48" ht="12.6" customHeight="1">
      <c r="A1914" s="2790"/>
      <c r="B1914" s="412" t="s">
        <v>1248</v>
      </c>
      <c r="C1914" s="412" t="s">
        <v>505</v>
      </c>
      <c r="D1914" s="1590"/>
      <c r="E1914" s="2224" t="s">
        <v>1900</v>
      </c>
      <c r="F1914" s="505">
        <v>2312</v>
      </c>
      <c r="G1914" s="3385" t="s">
        <v>4704</v>
      </c>
      <c r="H1914" s="3382"/>
      <c r="I1914" s="3386"/>
      <c r="J1914" s="3382"/>
      <c r="K1914" s="3387"/>
      <c r="L1914" s="3379"/>
      <c r="M1914" s="3380">
        <v>700</v>
      </c>
      <c r="N1914" s="43"/>
      <c r="O1914" s="86"/>
      <c r="P1914" s="1817"/>
      <c r="Q1914" s="43"/>
      <c r="R1914" s="43"/>
      <c r="S1914" s="43"/>
      <c r="T1914" s="43"/>
      <c r="U1914" s="43"/>
      <c r="V1914" s="43"/>
      <c r="W1914" s="43"/>
      <c r="X1914" s="43"/>
      <c r="Y1914" s="43"/>
      <c r="Z1914" s="43"/>
      <c r="AA1914" s="43"/>
      <c r="AB1914" s="43"/>
      <c r="AC1914" s="43"/>
      <c r="AD1914" s="43"/>
      <c r="AE1914" s="43"/>
      <c r="AF1914" s="43"/>
      <c r="AG1914" s="43"/>
      <c r="AH1914" s="43"/>
      <c r="AI1914" s="43"/>
      <c r="AJ1914" s="43"/>
      <c r="AK1914" s="43"/>
      <c r="AL1914" s="43"/>
      <c r="AM1914" s="43"/>
      <c r="AN1914" s="43"/>
      <c r="AO1914" s="43"/>
      <c r="AP1914" s="43"/>
      <c r="AQ1914" s="43"/>
      <c r="AR1914" s="43"/>
      <c r="AS1914" s="43"/>
      <c r="AT1914" s="43"/>
      <c r="AU1914" s="43"/>
      <c r="AV1914" s="43"/>
    </row>
    <row r="1915" spans="1:48" ht="25.5" customHeight="1">
      <c r="A1915" s="1882"/>
      <c r="B1915" s="412" t="s">
        <v>1248</v>
      </c>
      <c r="C1915" s="412" t="s">
        <v>505</v>
      </c>
      <c r="D1915" s="1590"/>
      <c r="E1915" s="2224" t="s">
        <v>1900</v>
      </c>
      <c r="F1915" s="505">
        <v>2312</v>
      </c>
      <c r="G1915" s="3385" t="s">
        <v>4705</v>
      </c>
      <c r="H1915" s="1933"/>
      <c r="I1915" s="2314"/>
      <c r="J1915" s="1933"/>
      <c r="K1915" s="2315"/>
      <c r="L1915" s="1989"/>
      <c r="M1915" s="4285">
        <v>0</v>
      </c>
      <c r="N1915" s="1538" t="s">
        <v>6120</v>
      </c>
      <c r="O1915" s="86"/>
      <c r="P1915" s="1817" t="e">
        <f>INDEX(#REF!,MATCH(F1915,#REF!,0),2)</f>
        <v>#REF!</v>
      </c>
      <c r="Q1915" s="43"/>
      <c r="R1915" s="43"/>
      <c r="S1915" s="43"/>
      <c r="T1915" s="43"/>
      <c r="U1915" s="43"/>
      <c r="V1915" s="43"/>
      <c r="W1915" s="43"/>
      <c r="X1915" s="43"/>
      <c r="Y1915" s="43"/>
      <c r="Z1915" s="43"/>
      <c r="AA1915" s="43"/>
      <c r="AB1915" s="43"/>
      <c r="AC1915" s="43"/>
      <c r="AD1915" s="43"/>
      <c r="AE1915" s="43"/>
      <c r="AF1915" s="43"/>
      <c r="AG1915" s="43"/>
      <c r="AH1915" s="43"/>
      <c r="AI1915" s="43"/>
      <c r="AJ1915" s="43"/>
      <c r="AK1915" s="43"/>
      <c r="AL1915" s="43"/>
      <c r="AM1915" s="43"/>
      <c r="AN1915" s="43"/>
      <c r="AO1915" s="43"/>
      <c r="AP1915" s="43"/>
      <c r="AQ1915" s="43"/>
      <c r="AR1915" s="43"/>
      <c r="AS1915" s="43"/>
      <c r="AT1915" s="43"/>
      <c r="AU1915" s="43"/>
      <c r="AV1915" s="43"/>
    </row>
    <row r="1916" spans="1:48" ht="12.6" customHeight="1">
      <c r="A1916" s="506"/>
      <c r="B1916" s="506" t="s">
        <v>1248</v>
      </c>
      <c r="C1916" s="506" t="s">
        <v>505</v>
      </c>
      <c r="D1916" s="1589">
        <v>930</v>
      </c>
      <c r="E1916" s="2223" t="s">
        <v>1900</v>
      </c>
      <c r="F1916" s="540">
        <v>2322</v>
      </c>
      <c r="G1916" s="411" t="s">
        <v>319</v>
      </c>
      <c r="H1916" s="508">
        <v>600</v>
      </c>
      <c r="I1916" s="508"/>
      <c r="J1916" s="509">
        <v>557</v>
      </c>
      <c r="K1916" s="538"/>
      <c r="L1916" s="508">
        <v>4530.2999999999993</v>
      </c>
      <c r="M1916" s="1578"/>
      <c r="N1916" s="2804">
        <f>L1916-H1916</f>
        <v>3930.2999999999993</v>
      </c>
      <c r="O1916" s="86"/>
      <c r="P1916" s="1817" t="e">
        <f>INDEX(#REF!,MATCH(F1916,#REF!,0),2)</f>
        <v>#REF!</v>
      </c>
      <c r="Q1916" s="43"/>
      <c r="R1916" s="43"/>
      <c r="S1916" s="43"/>
      <c r="T1916" s="43"/>
      <c r="U1916" s="43"/>
      <c r="V1916" s="43"/>
      <c r="W1916" s="43"/>
      <c r="X1916" s="43"/>
      <c r="Y1916" s="43"/>
      <c r="Z1916" s="43"/>
      <c r="AA1916" s="43"/>
      <c r="AB1916" s="43"/>
      <c r="AC1916" s="43"/>
      <c r="AD1916" s="43"/>
      <c r="AE1916" s="43"/>
      <c r="AF1916" s="43"/>
      <c r="AG1916" s="43"/>
      <c r="AH1916" s="43"/>
      <c r="AI1916" s="43"/>
      <c r="AJ1916" s="43"/>
      <c r="AK1916" s="43"/>
      <c r="AL1916" s="43"/>
      <c r="AM1916" s="43"/>
      <c r="AN1916" s="43"/>
      <c r="AO1916" s="43"/>
      <c r="AP1916" s="43"/>
      <c r="AQ1916" s="43"/>
      <c r="AR1916" s="43"/>
      <c r="AS1916" s="43"/>
      <c r="AT1916" s="43"/>
      <c r="AU1916" s="43"/>
      <c r="AV1916" s="43"/>
    </row>
    <row r="1917" spans="1:48" ht="15" customHeight="1">
      <c r="A1917" s="412"/>
      <c r="B1917" s="412" t="s">
        <v>1248</v>
      </c>
      <c r="C1917" s="412" t="s">
        <v>505</v>
      </c>
      <c r="D1917" s="1590"/>
      <c r="E1917" s="2224" t="s">
        <v>1900</v>
      </c>
      <c r="F1917" s="505">
        <v>2322</v>
      </c>
      <c r="G1917" s="3377" t="s">
        <v>4706</v>
      </c>
      <c r="H1917" s="495"/>
      <c r="I1917" s="693">
        <v>600</v>
      </c>
      <c r="J1917" s="537"/>
      <c r="K1917" s="538"/>
      <c r="L1917" s="535"/>
      <c r="M1917" s="3380">
        <v>4530.2999999999993</v>
      </c>
      <c r="N1917" s="2561" t="s">
        <v>4669</v>
      </c>
      <c r="O1917" s="86"/>
      <c r="P1917" s="1817" t="e">
        <f>INDEX(#REF!,MATCH(F1917,#REF!,0),2)</f>
        <v>#REF!</v>
      </c>
      <c r="Q1917" s="43"/>
      <c r="R1917" s="43"/>
      <c r="S1917" s="43"/>
      <c r="T1917" s="43"/>
      <c r="U1917" s="43"/>
      <c r="V1917" s="43"/>
      <c r="W1917" s="43"/>
      <c r="X1917" s="43"/>
      <c r="Y1917" s="43"/>
      <c r="Z1917" s="43"/>
      <c r="AA1917" s="43"/>
      <c r="AB1917" s="43"/>
      <c r="AC1917" s="43"/>
      <c r="AD1917" s="43"/>
      <c r="AE1917" s="43"/>
      <c r="AF1917" s="43"/>
      <c r="AG1917" s="43"/>
      <c r="AH1917" s="43"/>
      <c r="AI1917" s="43"/>
      <c r="AJ1917" s="43"/>
      <c r="AK1917" s="43"/>
      <c r="AL1917" s="43"/>
      <c r="AM1917" s="43"/>
      <c r="AN1917" s="43"/>
      <c r="AO1917" s="43"/>
      <c r="AP1917" s="43"/>
      <c r="AQ1917" s="43"/>
      <c r="AR1917" s="43"/>
      <c r="AS1917" s="43"/>
      <c r="AT1917" s="43"/>
      <c r="AU1917" s="43"/>
      <c r="AV1917" s="43"/>
    </row>
    <row r="1918" spans="1:48" ht="12.6" customHeight="1">
      <c r="A1918" s="506"/>
      <c r="B1918" s="506" t="s">
        <v>1248</v>
      </c>
      <c r="C1918" s="506" t="s">
        <v>505</v>
      </c>
      <c r="D1918" s="1589">
        <v>930</v>
      </c>
      <c r="E1918" s="2223" t="s">
        <v>1900</v>
      </c>
      <c r="F1918" s="540">
        <v>2370</v>
      </c>
      <c r="G1918" s="411" t="s">
        <v>252</v>
      </c>
      <c r="H1918" s="508">
        <v>0</v>
      </c>
      <c r="I1918" s="508"/>
      <c r="J1918" s="509"/>
      <c r="K1918" s="538"/>
      <c r="L1918" s="608">
        <v>0</v>
      </c>
      <c r="M1918" s="1578"/>
      <c r="N1918" s="1025"/>
      <c r="O1918" s="86"/>
      <c r="P1918" s="1817" t="e">
        <f>INDEX(#REF!,MATCH(F1918,#REF!,0),2)</f>
        <v>#REF!</v>
      </c>
      <c r="Q1918" s="43"/>
      <c r="R1918" s="43"/>
      <c r="S1918" s="43"/>
      <c r="T1918" s="43"/>
      <c r="U1918" s="43"/>
      <c r="V1918" s="43"/>
      <c r="W1918" s="43"/>
      <c r="X1918" s="43"/>
      <c r="Y1918" s="43"/>
      <c r="Z1918" s="43"/>
      <c r="AA1918" s="43"/>
      <c r="AB1918" s="43"/>
      <c r="AC1918" s="43"/>
      <c r="AD1918" s="43"/>
      <c r="AE1918" s="43"/>
      <c r="AF1918" s="43"/>
      <c r="AG1918" s="43"/>
      <c r="AH1918" s="43"/>
      <c r="AI1918" s="43"/>
      <c r="AJ1918" s="43"/>
      <c r="AK1918" s="43"/>
      <c r="AL1918" s="43"/>
      <c r="AM1918" s="43"/>
      <c r="AN1918" s="43"/>
      <c r="AO1918" s="43"/>
      <c r="AP1918" s="43"/>
      <c r="AQ1918" s="43"/>
      <c r="AR1918" s="43"/>
      <c r="AS1918" s="43"/>
      <c r="AT1918" s="43"/>
      <c r="AU1918" s="43"/>
      <c r="AV1918" s="43"/>
    </row>
    <row r="1919" spans="1:48" ht="28.15" customHeight="1">
      <c r="A1919" s="412"/>
      <c r="B1919" s="412" t="s">
        <v>1248</v>
      </c>
      <c r="C1919" s="412" t="s">
        <v>505</v>
      </c>
      <c r="D1919" s="1590"/>
      <c r="E1919" s="2224" t="s">
        <v>1900</v>
      </c>
      <c r="F1919" s="505">
        <v>2370</v>
      </c>
      <c r="G1919" s="556" t="s">
        <v>2009</v>
      </c>
      <c r="H1919" s="456"/>
      <c r="I1919" s="537"/>
      <c r="J1919" s="585"/>
      <c r="K1919" s="421"/>
      <c r="L1919" s="456"/>
      <c r="M1919" s="1575"/>
      <c r="N1919" s="1025"/>
      <c r="O1919" s="86"/>
      <c r="P1919" s="1817" t="e">
        <f>INDEX(#REF!,MATCH(F1919,#REF!,0),2)</f>
        <v>#REF!</v>
      </c>
      <c r="Q1919" s="43"/>
      <c r="R1919" s="43"/>
      <c r="S1919" s="43"/>
      <c r="T1919" s="43"/>
      <c r="U1919" s="43"/>
      <c r="V1919" s="43"/>
      <c r="W1919" s="43"/>
      <c r="X1919" s="43"/>
      <c r="Y1919" s="43"/>
      <c r="Z1919" s="43"/>
      <c r="AA1919" s="43"/>
      <c r="AB1919" s="43"/>
      <c r="AC1919" s="43"/>
      <c r="AD1919" s="43"/>
      <c r="AE1919" s="43"/>
      <c r="AF1919" s="43"/>
      <c r="AG1919" s="43"/>
      <c r="AH1919" s="43"/>
      <c r="AI1919" s="43"/>
      <c r="AJ1919" s="43"/>
      <c r="AK1919" s="43"/>
      <c r="AL1919" s="43"/>
      <c r="AM1919" s="43"/>
      <c r="AN1919" s="43"/>
      <c r="AO1919" s="43"/>
      <c r="AP1919" s="43"/>
      <c r="AQ1919" s="43"/>
      <c r="AR1919" s="43"/>
      <c r="AS1919" s="43"/>
      <c r="AT1919" s="43"/>
      <c r="AU1919" s="43"/>
      <c r="AV1919" s="43"/>
    </row>
    <row r="1920" spans="1:48" ht="13.9" customHeight="1">
      <c r="A1920" s="506"/>
      <c r="B1920" s="506" t="s">
        <v>1248</v>
      </c>
      <c r="C1920" s="506" t="s">
        <v>505</v>
      </c>
      <c r="D1920" s="1589">
        <v>930</v>
      </c>
      <c r="E1920" s="2223" t="s">
        <v>1900</v>
      </c>
      <c r="F1920" s="540">
        <v>2390</v>
      </c>
      <c r="G1920" s="411" t="s">
        <v>253</v>
      </c>
      <c r="H1920" s="508">
        <v>5970</v>
      </c>
      <c r="I1920" s="508"/>
      <c r="J1920" s="509">
        <v>5584.45</v>
      </c>
      <c r="K1920" s="538"/>
      <c r="L1920" s="508">
        <v>9429.5254999999997</v>
      </c>
      <c r="M1920" s="1578"/>
      <c r="N1920" s="1025"/>
      <c r="O1920" s="86"/>
      <c r="P1920" s="1817" t="e">
        <f>INDEX(#REF!,MATCH(F1920,#REF!,0),2)</f>
        <v>#REF!</v>
      </c>
      <c r="Q1920" s="43"/>
      <c r="R1920" s="43"/>
      <c r="S1920" s="43"/>
      <c r="T1920" s="43"/>
      <c r="U1920" s="43"/>
      <c r="V1920" s="43"/>
      <c r="W1920" s="43"/>
      <c r="X1920" s="43"/>
      <c r="Y1920" s="43"/>
      <c r="Z1920" s="43"/>
      <c r="AA1920" s="43"/>
      <c r="AB1920" s="43"/>
      <c r="AC1920" s="43"/>
      <c r="AD1920" s="43"/>
      <c r="AE1920" s="43"/>
      <c r="AF1920" s="43"/>
      <c r="AG1920" s="43"/>
      <c r="AH1920" s="43"/>
      <c r="AI1920" s="43"/>
      <c r="AJ1920" s="43"/>
      <c r="AK1920" s="43"/>
      <c r="AL1920" s="43"/>
      <c r="AM1920" s="43"/>
      <c r="AN1920" s="43"/>
      <c r="AO1920" s="43"/>
      <c r="AP1920" s="43"/>
      <c r="AQ1920" s="43"/>
      <c r="AR1920" s="43"/>
      <c r="AS1920" s="43"/>
      <c r="AT1920" s="43"/>
      <c r="AU1920" s="43"/>
      <c r="AV1920" s="43"/>
    </row>
    <row r="1921" spans="1:48" ht="13.9" customHeight="1">
      <c r="A1921" s="412"/>
      <c r="B1921" s="412" t="s">
        <v>1248</v>
      </c>
      <c r="C1921" s="412" t="s">
        <v>505</v>
      </c>
      <c r="D1921" s="1590"/>
      <c r="E1921" s="2224" t="s">
        <v>1900</v>
      </c>
      <c r="F1921" s="505">
        <v>2390</v>
      </c>
      <c r="G1921" s="3388" t="s">
        <v>4707</v>
      </c>
      <c r="H1921" s="456"/>
      <c r="I1921" s="537">
        <v>4540</v>
      </c>
      <c r="J1921" s="585"/>
      <c r="K1921" s="421"/>
      <c r="L1921" s="456"/>
      <c r="M1921" s="1576">
        <v>6413</v>
      </c>
      <c r="N1921" s="2561" t="s">
        <v>5724</v>
      </c>
      <c r="O1921" s="86"/>
      <c r="P1921" s="1817" t="e">
        <f>INDEX(#REF!,MATCH(F1921,#REF!,0),2)</f>
        <v>#REF!</v>
      </c>
      <c r="Q1921" s="43"/>
      <c r="R1921" s="43"/>
      <c r="S1921" s="43"/>
      <c r="T1921" s="43"/>
      <c r="U1921" s="43"/>
      <c r="V1921" s="43"/>
      <c r="W1921" s="43"/>
      <c r="X1921" s="43"/>
      <c r="Y1921" s="43"/>
      <c r="Z1921" s="43"/>
      <c r="AA1921" s="43"/>
      <c r="AB1921" s="43"/>
      <c r="AC1921" s="43"/>
      <c r="AD1921" s="43"/>
      <c r="AE1921" s="43"/>
      <c r="AF1921" s="43"/>
      <c r="AG1921" s="43"/>
      <c r="AH1921" s="43"/>
      <c r="AI1921" s="43"/>
      <c r="AJ1921" s="43"/>
      <c r="AK1921" s="43"/>
      <c r="AL1921" s="43"/>
      <c r="AM1921" s="43"/>
      <c r="AN1921" s="43"/>
      <c r="AO1921" s="43"/>
      <c r="AP1921" s="43"/>
      <c r="AQ1921" s="43"/>
      <c r="AR1921" s="43"/>
      <c r="AS1921" s="43"/>
      <c r="AT1921" s="43"/>
      <c r="AU1921" s="43"/>
      <c r="AV1921" s="43"/>
    </row>
    <row r="1922" spans="1:48" ht="16.149999999999999" customHeight="1">
      <c r="A1922" s="412"/>
      <c r="B1922" s="412" t="s">
        <v>1248</v>
      </c>
      <c r="C1922" s="412" t="s">
        <v>505</v>
      </c>
      <c r="D1922" s="1590"/>
      <c r="E1922" s="2224" t="s">
        <v>1900</v>
      </c>
      <c r="F1922" s="505">
        <v>2390</v>
      </c>
      <c r="G1922" s="2774" t="s">
        <v>4708</v>
      </c>
      <c r="H1922" s="535"/>
      <c r="I1922" s="537">
        <v>480</v>
      </c>
      <c r="J1922" s="537"/>
      <c r="K1922" s="538"/>
      <c r="L1922" s="535"/>
      <c r="M1922" s="1576">
        <v>480</v>
      </c>
      <c r="N1922" s="1025"/>
      <c r="O1922" s="86"/>
      <c r="P1922" s="1817" t="e">
        <f>INDEX(#REF!,MATCH(F1922,#REF!,0),2)</f>
        <v>#REF!</v>
      </c>
      <c r="Q1922" s="43"/>
      <c r="R1922" s="43"/>
      <c r="S1922" s="43"/>
      <c r="T1922" s="43"/>
      <c r="U1922" s="43"/>
      <c r="V1922" s="43"/>
      <c r="W1922" s="43"/>
      <c r="X1922" s="43"/>
      <c r="Y1922" s="43"/>
      <c r="Z1922" s="43"/>
      <c r="AA1922" s="43"/>
      <c r="AB1922" s="43"/>
      <c r="AC1922" s="43"/>
      <c r="AD1922" s="43"/>
      <c r="AE1922" s="43"/>
      <c r="AF1922" s="43"/>
      <c r="AG1922" s="43"/>
      <c r="AH1922" s="43"/>
      <c r="AI1922" s="43"/>
      <c r="AJ1922" s="43"/>
      <c r="AK1922" s="43"/>
      <c r="AL1922" s="43"/>
      <c r="AM1922" s="43"/>
      <c r="AN1922" s="43"/>
      <c r="AO1922" s="43"/>
      <c r="AP1922" s="43"/>
      <c r="AQ1922" s="43"/>
      <c r="AR1922" s="43"/>
      <c r="AS1922" s="43"/>
      <c r="AT1922" s="43"/>
      <c r="AU1922" s="43"/>
      <c r="AV1922" s="43"/>
    </row>
    <row r="1923" spans="1:48" ht="31.15" customHeight="1">
      <c r="A1923" s="412"/>
      <c r="B1923" s="412" t="s">
        <v>1248</v>
      </c>
      <c r="C1923" s="412" t="s">
        <v>505</v>
      </c>
      <c r="D1923" s="1590"/>
      <c r="E1923" s="2224" t="s">
        <v>1900</v>
      </c>
      <c r="F1923" s="505">
        <v>2390</v>
      </c>
      <c r="G1923" s="2774" t="s">
        <v>4709</v>
      </c>
      <c r="H1923" s="535"/>
      <c r="I1923" s="537">
        <v>350</v>
      </c>
      <c r="J1923" s="537"/>
      <c r="K1923" s="538"/>
      <c r="L1923" s="535"/>
      <c r="M1923" s="536">
        <v>480</v>
      </c>
      <c r="N1923" s="43" t="s">
        <v>4710</v>
      </c>
      <c r="O1923" s="86"/>
      <c r="P1923" s="1817" t="e">
        <f>INDEX(#REF!,MATCH(F1923,#REF!,0),2)</f>
        <v>#REF!</v>
      </c>
      <c r="Q1923" s="43"/>
      <c r="R1923" s="43"/>
      <c r="S1923" s="43"/>
      <c r="T1923" s="43"/>
      <c r="U1923" s="43"/>
      <c r="V1923" s="43"/>
      <c r="W1923" s="43"/>
      <c r="X1923" s="43"/>
      <c r="Y1923" s="43"/>
      <c r="Z1923" s="43"/>
      <c r="AA1923" s="43"/>
      <c r="AB1923" s="43"/>
      <c r="AC1923" s="43"/>
      <c r="AD1923" s="43"/>
      <c r="AE1923" s="43"/>
      <c r="AF1923" s="43"/>
      <c r="AG1923" s="43"/>
      <c r="AH1923" s="43"/>
      <c r="AI1923" s="43"/>
      <c r="AJ1923" s="43"/>
      <c r="AK1923" s="43"/>
      <c r="AL1923" s="43"/>
      <c r="AM1923" s="43"/>
      <c r="AN1923" s="43"/>
      <c r="AO1923" s="43"/>
      <c r="AP1923" s="43"/>
      <c r="AQ1923" s="43"/>
      <c r="AR1923" s="43"/>
      <c r="AS1923" s="43"/>
      <c r="AT1923" s="43"/>
      <c r="AU1923" s="43"/>
      <c r="AV1923" s="43"/>
    </row>
    <row r="1924" spans="1:48" ht="36" customHeight="1">
      <c r="A1924" s="762"/>
      <c r="B1924" s="762" t="s">
        <v>1248</v>
      </c>
      <c r="C1924" s="412" t="s">
        <v>505</v>
      </c>
      <c r="D1924" s="1590"/>
      <c r="E1924" s="2224" t="s">
        <v>1900</v>
      </c>
      <c r="F1924" s="505">
        <v>2390</v>
      </c>
      <c r="G1924" s="2774" t="s">
        <v>5270</v>
      </c>
      <c r="H1924" s="1068"/>
      <c r="I1924" s="1065">
        <v>450</v>
      </c>
      <c r="J1924" s="1065"/>
      <c r="K1924" s="1066"/>
      <c r="L1924" s="1068"/>
      <c r="M1924" s="4285">
        <v>500</v>
      </c>
      <c r="N1924" s="43" t="s">
        <v>6004</v>
      </c>
      <c r="O1924" s="86"/>
      <c r="P1924" s="1817" t="e">
        <f>INDEX(#REF!,MATCH(F1924,#REF!,0),2)</f>
        <v>#REF!</v>
      </c>
      <c r="Q1924" s="43"/>
      <c r="R1924" s="43"/>
      <c r="S1924" s="43"/>
      <c r="T1924" s="43"/>
      <c r="U1924" s="43"/>
      <c r="V1924" s="43"/>
      <c r="W1924" s="43"/>
      <c r="X1924" s="43"/>
      <c r="Y1924" s="43"/>
      <c r="Z1924" s="43"/>
      <c r="AA1924" s="43"/>
      <c r="AB1924" s="43"/>
      <c r="AC1924" s="43"/>
      <c r="AD1924" s="43"/>
      <c r="AE1924" s="43"/>
      <c r="AF1924" s="43"/>
      <c r="AG1924" s="43"/>
      <c r="AH1924" s="43"/>
      <c r="AI1924" s="43"/>
      <c r="AJ1924" s="43"/>
      <c r="AK1924" s="43"/>
      <c r="AL1924" s="43"/>
      <c r="AM1924" s="43"/>
      <c r="AN1924" s="43"/>
      <c r="AO1924" s="43"/>
      <c r="AP1924" s="43"/>
      <c r="AQ1924" s="43"/>
      <c r="AR1924" s="43"/>
      <c r="AS1924" s="43"/>
      <c r="AT1924" s="43"/>
      <c r="AU1924" s="43"/>
      <c r="AV1924" s="43"/>
    </row>
    <row r="1925" spans="1:48" ht="27" customHeight="1">
      <c r="A1925" s="2790"/>
      <c r="B1925" s="762" t="s">
        <v>1248</v>
      </c>
      <c r="C1925" s="412" t="s">
        <v>505</v>
      </c>
      <c r="D1925" s="1590"/>
      <c r="E1925" s="2224" t="s">
        <v>1900</v>
      </c>
      <c r="F1925" s="505">
        <v>2390</v>
      </c>
      <c r="G1925" s="2774" t="s">
        <v>4712</v>
      </c>
      <c r="H1925" s="3379"/>
      <c r="I1925" s="3382"/>
      <c r="J1925" s="3382"/>
      <c r="K1925" s="3383"/>
      <c r="L1925" s="3379"/>
      <c r="M1925" s="4286">
        <v>908</v>
      </c>
      <c r="N1925" s="1538" t="s">
        <v>6141</v>
      </c>
      <c r="O1925" s="86"/>
      <c r="P1925" s="1817"/>
      <c r="Q1925" s="43"/>
      <c r="R1925" s="43"/>
      <c r="S1925" s="43"/>
      <c r="T1925" s="43"/>
      <c r="U1925" s="43"/>
      <c r="V1925" s="43"/>
      <c r="W1925" s="43"/>
      <c r="X1925" s="43"/>
      <c r="Y1925" s="43"/>
      <c r="Z1925" s="43"/>
      <c r="AA1925" s="43"/>
      <c r="AB1925" s="43"/>
      <c r="AC1925" s="43"/>
      <c r="AD1925" s="43"/>
      <c r="AE1925" s="43"/>
      <c r="AF1925" s="43"/>
      <c r="AG1925" s="43"/>
      <c r="AH1925" s="43"/>
      <c r="AI1925" s="43"/>
      <c r="AJ1925" s="43"/>
      <c r="AK1925" s="43"/>
      <c r="AL1925" s="43"/>
      <c r="AM1925" s="43"/>
      <c r="AN1925" s="43"/>
      <c r="AO1925" s="43"/>
      <c r="AP1925" s="43"/>
      <c r="AQ1925" s="43"/>
      <c r="AR1925" s="43"/>
      <c r="AS1925" s="43"/>
      <c r="AT1925" s="43"/>
      <c r="AU1925" s="43"/>
      <c r="AV1925" s="43"/>
    </row>
    <row r="1926" spans="1:48" ht="22.5" customHeight="1">
      <c r="A1926" s="2790"/>
      <c r="B1926" s="762" t="s">
        <v>1248</v>
      </c>
      <c r="C1926" s="412" t="s">
        <v>505</v>
      </c>
      <c r="D1926" s="1590"/>
      <c r="E1926" s="2224" t="s">
        <v>1900</v>
      </c>
      <c r="F1926" s="505">
        <v>2390</v>
      </c>
      <c r="G1926" s="2774" t="s">
        <v>4713</v>
      </c>
      <c r="H1926" s="3379"/>
      <c r="I1926" s="3382"/>
      <c r="J1926" s="3382"/>
      <c r="K1926" s="3383"/>
      <c r="L1926" s="3379"/>
      <c r="M1926" s="4285">
        <v>348.52549999999997</v>
      </c>
      <c r="N1926" s="2561" t="s">
        <v>6005</v>
      </c>
      <c r="O1926" s="86"/>
      <c r="P1926" s="1817"/>
      <c r="Q1926" s="43"/>
      <c r="R1926" s="43"/>
      <c r="S1926" s="43"/>
      <c r="T1926" s="43"/>
      <c r="U1926" s="43"/>
      <c r="V1926" s="43"/>
      <c r="W1926" s="43"/>
      <c r="X1926" s="43"/>
      <c r="Y1926" s="43"/>
      <c r="Z1926" s="43"/>
      <c r="AA1926" s="43"/>
      <c r="AB1926" s="43"/>
      <c r="AC1926" s="43"/>
      <c r="AD1926" s="43"/>
      <c r="AE1926" s="43"/>
      <c r="AF1926" s="43"/>
      <c r="AG1926" s="43"/>
      <c r="AH1926" s="43"/>
      <c r="AI1926" s="43"/>
      <c r="AJ1926" s="43"/>
      <c r="AK1926" s="43"/>
      <c r="AL1926" s="43"/>
      <c r="AM1926" s="43"/>
      <c r="AN1926" s="43"/>
      <c r="AO1926" s="43"/>
      <c r="AP1926" s="43"/>
      <c r="AQ1926" s="43"/>
      <c r="AR1926" s="43"/>
      <c r="AS1926" s="43"/>
      <c r="AT1926" s="43"/>
      <c r="AU1926" s="43"/>
      <c r="AV1926" s="43"/>
    </row>
    <row r="1927" spans="1:48" ht="27.75" customHeight="1">
      <c r="A1927" s="762"/>
      <c r="B1927" s="762" t="s">
        <v>1248</v>
      </c>
      <c r="C1927" s="412" t="s">
        <v>505</v>
      </c>
      <c r="D1927" s="1590"/>
      <c r="E1927" s="2224" t="s">
        <v>1900</v>
      </c>
      <c r="F1927" s="505">
        <v>2390</v>
      </c>
      <c r="G1927" s="772" t="s">
        <v>2483</v>
      </c>
      <c r="H1927" s="1068"/>
      <c r="I1927" s="1065">
        <v>150</v>
      </c>
      <c r="J1927" s="1065"/>
      <c r="K1927" s="1066"/>
      <c r="L1927" s="1068"/>
      <c r="M1927" s="3380">
        <v>300</v>
      </c>
      <c r="N1927" s="43" t="s">
        <v>4711</v>
      </c>
      <c r="O1927" s="86"/>
      <c r="P1927" s="1817" t="e">
        <f>INDEX(#REF!,MATCH(F1927,#REF!,0),2)</f>
        <v>#REF!</v>
      </c>
      <c r="Q1927" s="43"/>
      <c r="R1927" s="43"/>
      <c r="S1927" s="43"/>
      <c r="T1927" s="43"/>
      <c r="U1927" s="43"/>
      <c r="V1927" s="43"/>
      <c r="W1927" s="43"/>
      <c r="X1927" s="43"/>
      <c r="Y1927" s="43"/>
      <c r="Z1927" s="43"/>
      <c r="AA1927" s="43"/>
      <c r="AB1927" s="43"/>
      <c r="AC1927" s="43"/>
      <c r="AD1927" s="43"/>
      <c r="AE1927" s="43"/>
      <c r="AF1927" s="43"/>
      <c r="AG1927" s="43"/>
      <c r="AH1927" s="43"/>
      <c r="AI1927" s="43"/>
      <c r="AJ1927" s="43"/>
      <c r="AK1927" s="43"/>
      <c r="AL1927" s="43"/>
      <c r="AM1927" s="43"/>
      <c r="AN1927" s="43"/>
      <c r="AO1927" s="43"/>
      <c r="AP1927" s="43"/>
      <c r="AQ1927" s="43"/>
      <c r="AR1927" s="43"/>
      <c r="AS1927" s="43"/>
      <c r="AT1927" s="43"/>
      <c r="AU1927" s="43"/>
      <c r="AV1927" s="43"/>
    </row>
    <row r="1928" spans="1:48" ht="22.5" customHeight="1">
      <c r="A1928" s="506"/>
      <c r="B1928" s="775" t="s">
        <v>1249</v>
      </c>
      <c r="C1928" s="506" t="s">
        <v>570</v>
      </c>
      <c r="D1928" s="1589">
        <v>930</v>
      </c>
      <c r="E1928" s="2223" t="s">
        <v>1900</v>
      </c>
      <c r="F1928" s="540">
        <v>3263</v>
      </c>
      <c r="G1928" s="411" t="s">
        <v>314</v>
      </c>
      <c r="H1928" s="508">
        <v>3000</v>
      </c>
      <c r="I1928" s="508"/>
      <c r="J1928" s="509"/>
      <c r="K1928" s="538"/>
      <c r="L1928" s="508">
        <v>3000</v>
      </c>
      <c r="M1928" s="608"/>
      <c r="N1928" s="1025"/>
      <c r="O1928" s="86"/>
      <c r="P1928" s="1817" t="e">
        <f>INDEX(#REF!,MATCH(F1928,#REF!,0),2)</f>
        <v>#REF!</v>
      </c>
      <c r="Q1928" s="43"/>
      <c r="R1928" s="43"/>
      <c r="S1928" s="43"/>
      <c r="T1928" s="43"/>
      <c r="U1928" s="43"/>
      <c r="V1928" s="43"/>
      <c r="W1928" s="43"/>
      <c r="X1928" s="43"/>
      <c r="Y1928" s="43"/>
      <c r="Z1928" s="43"/>
      <c r="AA1928" s="43"/>
      <c r="AB1928" s="43"/>
      <c r="AC1928" s="43"/>
      <c r="AD1928" s="43"/>
      <c r="AE1928" s="43"/>
      <c r="AF1928" s="43"/>
      <c r="AG1928" s="43"/>
      <c r="AH1928" s="43"/>
      <c r="AI1928" s="43"/>
      <c r="AJ1928" s="43"/>
      <c r="AK1928" s="43"/>
      <c r="AL1928" s="43"/>
      <c r="AM1928" s="43"/>
      <c r="AN1928" s="43"/>
      <c r="AO1928" s="43"/>
      <c r="AP1928" s="43"/>
      <c r="AQ1928" s="43"/>
      <c r="AR1928" s="43"/>
      <c r="AS1928" s="43"/>
      <c r="AT1928" s="43"/>
      <c r="AU1928" s="43"/>
      <c r="AV1928" s="43"/>
    </row>
    <row r="1929" spans="1:48" ht="27.75" customHeight="1">
      <c r="A1929" s="412" t="s">
        <v>710</v>
      </c>
      <c r="B1929" s="489" t="s">
        <v>1249</v>
      </c>
      <c r="C1929" s="412" t="s">
        <v>570</v>
      </c>
      <c r="D1929" s="1590"/>
      <c r="E1929" s="2224" t="s">
        <v>1900</v>
      </c>
      <c r="F1929" s="505">
        <v>3263</v>
      </c>
      <c r="G1929" s="1374" t="s">
        <v>2679</v>
      </c>
      <c r="H1929" s="1390"/>
      <c r="I1929" s="1452">
        <v>3000</v>
      </c>
      <c r="J1929" s="1390"/>
      <c r="K1929" s="1453"/>
      <c r="L1929" s="1403"/>
      <c r="M1929" s="3389">
        <v>3000</v>
      </c>
      <c r="N1929" s="43" t="s">
        <v>4714</v>
      </c>
      <c r="O1929" s="86"/>
      <c r="P1929" s="1817" t="e">
        <f>INDEX(#REF!,MATCH(F1929,#REF!,0),2)</f>
        <v>#REF!</v>
      </c>
      <c r="Q1929" s="43"/>
      <c r="R1929" s="43"/>
      <c r="S1929" s="43"/>
      <c r="T1929" s="43"/>
      <c r="U1929" s="43"/>
      <c r="V1929" s="43"/>
      <c r="W1929" s="43"/>
      <c r="X1929" s="43"/>
      <c r="Y1929" s="43"/>
      <c r="Z1929" s="43"/>
      <c r="AA1929" s="43"/>
      <c r="AB1929" s="43"/>
      <c r="AC1929" s="43"/>
      <c r="AD1929" s="43"/>
      <c r="AE1929" s="43"/>
      <c r="AF1929" s="43"/>
      <c r="AG1929" s="43"/>
      <c r="AH1929" s="43"/>
      <c r="AI1929" s="43"/>
      <c r="AJ1929" s="43"/>
      <c r="AK1929" s="43"/>
      <c r="AL1929" s="43"/>
      <c r="AM1929" s="43"/>
      <c r="AN1929" s="43"/>
      <c r="AO1929" s="43"/>
      <c r="AP1929" s="43"/>
      <c r="AQ1929" s="43"/>
      <c r="AR1929" s="43"/>
      <c r="AS1929" s="43"/>
      <c r="AT1929" s="43"/>
      <c r="AU1929" s="43"/>
      <c r="AV1929" s="43"/>
    </row>
    <row r="1930" spans="1:48" ht="22.5" customHeight="1">
      <c r="A1930" s="506"/>
      <c r="B1930" s="775" t="s">
        <v>1249</v>
      </c>
      <c r="C1930" s="506" t="s">
        <v>570</v>
      </c>
      <c r="D1930" s="1589">
        <v>930</v>
      </c>
      <c r="E1930" s="2223" t="s">
        <v>1900</v>
      </c>
      <c r="F1930" s="540">
        <v>5120</v>
      </c>
      <c r="G1930" s="411" t="s">
        <v>2010</v>
      </c>
      <c r="H1930" s="508">
        <v>0</v>
      </c>
      <c r="I1930" s="508"/>
      <c r="J1930" s="509"/>
      <c r="K1930" s="538"/>
      <c r="L1930" s="508">
        <v>0</v>
      </c>
      <c r="M1930" s="608"/>
      <c r="N1930" s="1025"/>
      <c r="O1930" s="86"/>
      <c r="P1930" s="1817" t="e">
        <f>INDEX(#REF!,MATCH(F1930,#REF!,0),2)</f>
        <v>#REF!</v>
      </c>
      <c r="Q1930" s="43"/>
      <c r="R1930" s="43"/>
      <c r="S1930" s="43"/>
      <c r="T1930" s="43"/>
      <c r="U1930" s="43"/>
      <c r="V1930" s="43"/>
      <c r="W1930" s="43"/>
      <c r="X1930" s="43"/>
      <c r="Y1930" s="43"/>
      <c r="Z1930" s="43"/>
      <c r="AA1930" s="43"/>
      <c r="AB1930" s="43"/>
      <c r="AC1930" s="43"/>
      <c r="AD1930" s="43"/>
      <c r="AE1930" s="43"/>
      <c r="AF1930" s="43"/>
      <c r="AG1930" s="43"/>
      <c r="AH1930" s="43"/>
      <c r="AI1930" s="43"/>
      <c r="AJ1930" s="43"/>
      <c r="AK1930" s="43"/>
      <c r="AL1930" s="43"/>
      <c r="AM1930" s="43"/>
      <c r="AN1930" s="43"/>
      <c r="AO1930" s="43"/>
      <c r="AP1930" s="43"/>
      <c r="AQ1930" s="43"/>
      <c r="AR1930" s="43"/>
      <c r="AS1930" s="43"/>
      <c r="AT1930" s="43"/>
      <c r="AU1930" s="43"/>
      <c r="AV1930" s="43"/>
    </row>
    <row r="1931" spans="1:48" ht="36.6" customHeight="1">
      <c r="A1931" s="412" t="s">
        <v>710</v>
      </c>
      <c r="B1931" s="489" t="s">
        <v>1249</v>
      </c>
      <c r="C1931" s="412" t="s">
        <v>570</v>
      </c>
      <c r="D1931" s="1590"/>
      <c r="E1931" s="2224" t="s">
        <v>1900</v>
      </c>
      <c r="F1931" s="505">
        <v>5120</v>
      </c>
      <c r="G1931" s="1374" t="s">
        <v>2008</v>
      </c>
      <c r="H1931" s="1390"/>
      <c r="I1931" s="1452"/>
      <c r="J1931" s="1390"/>
      <c r="K1931" s="1453"/>
      <c r="L1931" s="1403"/>
      <c r="M1931" s="1497"/>
      <c r="N1931" s="1025"/>
      <c r="O1931" s="86"/>
      <c r="P1931" s="1817" t="e">
        <f>INDEX(#REF!,MATCH(F1931,#REF!,0),2)</f>
        <v>#REF!</v>
      </c>
      <c r="Q1931" s="43"/>
      <c r="R1931" s="43"/>
      <c r="S1931" s="43"/>
      <c r="T1931" s="43"/>
      <c r="U1931" s="43"/>
      <c r="V1931" s="43"/>
      <c r="W1931" s="43"/>
      <c r="X1931" s="43"/>
      <c r="Y1931" s="43"/>
      <c r="Z1931" s="43"/>
      <c r="AA1931" s="43"/>
      <c r="AB1931" s="43"/>
      <c r="AC1931" s="43"/>
      <c r="AD1931" s="43"/>
      <c r="AE1931" s="43"/>
      <c r="AF1931" s="43"/>
      <c r="AG1931" s="43"/>
      <c r="AH1931" s="43"/>
      <c r="AI1931" s="43"/>
      <c r="AJ1931" s="43"/>
      <c r="AK1931" s="43"/>
      <c r="AL1931" s="43"/>
      <c r="AM1931" s="43"/>
      <c r="AN1931" s="43"/>
      <c r="AO1931" s="43"/>
      <c r="AP1931" s="43"/>
      <c r="AQ1931" s="43"/>
      <c r="AR1931" s="43"/>
      <c r="AS1931" s="43"/>
      <c r="AT1931" s="43"/>
      <c r="AU1931" s="43"/>
      <c r="AV1931" s="43"/>
    </row>
    <row r="1932" spans="1:48" ht="22.5" customHeight="1">
      <c r="A1932" s="506"/>
      <c r="B1932" s="775" t="s">
        <v>1249</v>
      </c>
      <c r="C1932" s="506" t="s">
        <v>570</v>
      </c>
      <c r="D1932" s="1589">
        <v>930</v>
      </c>
      <c r="E1932" s="2223" t="s">
        <v>1900</v>
      </c>
      <c r="F1932" s="540">
        <v>5140</v>
      </c>
      <c r="G1932" s="411" t="s">
        <v>2439</v>
      </c>
      <c r="H1932" s="508">
        <v>0</v>
      </c>
      <c r="I1932" s="508"/>
      <c r="J1932" s="509"/>
      <c r="K1932" s="538"/>
      <c r="L1932" s="508">
        <v>500</v>
      </c>
      <c r="M1932" s="508"/>
      <c r="N1932" s="1025"/>
      <c r="O1932" s="86"/>
      <c r="P1932" s="1817" t="e">
        <f>INDEX(#REF!,MATCH(F1932,#REF!,0),2)</f>
        <v>#REF!</v>
      </c>
      <c r="Q1932" s="43"/>
      <c r="R1932" s="43"/>
      <c r="S1932" s="43"/>
      <c r="T1932" s="43"/>
      <c r="U1932" s="43"/>
      <c r="V1932" s="43"/>
      <c r="W1932" s="43"/>
      <c r="X1932" s="43"/>
      <c r="Y1932" s="43"/>
      <c r="Z1932" s="43"/>
      <c r="AA1932" s="43"/>
      <c r="AB1932" s="43"/>
      <c r="AC1932" s="43"/>
      <c r="AD1932" s="43"/>
      <c r="AE1932" s="43"/>
      <c r="AF1932" s="43"/>
      <c r="AG1932" s="43"/>
      <c r="AH1932" s="43"/>
      <c r="AI1932" s="43"/>
      <c r="AJ1932" s="43"/>
      <c r="AK1932" s="43"/>
      <c r="AL1932" s="43"/>
      <c r="AM1932" s="43"/>
      <c r="AN1932" s="43"/>
      <c r="AO1932" s="43"/>
      <c r="AP1932" s="43"/>
      <c r="AQ1932" s="43"/>
      <c r="AR1932" s="43"/>
      <c r="AS1932" s="43"/>
      <c r="AT1932" s="43"/>
      <c r="AU1932" s="43"/>
      <c r="AV1932" s="43"/>
    </row>
    <row r="1933" spans="1:48" ht="12.6" customHeight="1">
      <c r="A1933" s="412" t="s">
        <v>710</v>
      </c>
      <c r="B1933" s="489" t="s">
        <v>1249</v>
      </c>
      <c r="C1933" s="412" t="s">
        <v>570</v>
      </c>
      <c r="D1933" s="1590"/>
      <c r="E1933" s="2224" t="s">
        <v>1900</v>
      </c>
      <c r="F1933" s="505">
        <v>5140</v>
      </c>
      <c r="G1933" s="2774" t="s">
        <v>5269</v>
      </c>
      <c r="H1933" s="1390"/>
      <c r="I1933" s="1452"/>
      <c r="J1933" s="1390"/>
      <c r="K1933" s="1453"/>
      <c r="L1933" s="3390"/>
      <c r="M1933" s="3389">
        <v>500</v>
      </c>
      <c r="N1933" s="43" t="s">
        <v>4688</v>
      </c>
      <c r="O1933" s="86"/>
      <c r="P1933" s="1817" t="e">
        <f>INDEX(#REF!,MATCH(F1933,#REF!,0),2)</f>
        <v>#REF!</v>
      </c>
      <c r="Q1933" s="43"/>
      <c r="R1933" s="43"/>
      <c r="S1933" s="43"/>
      <c r="T1933" s="43"/>
      <c r="U1933" s="43"/>
      <c r="V1933" s="43"/>
      <c r="W1933" s="43"/>
      <c r="X1933" s="43"/>
      <c r="Y1933" s="43"/>
      <c r="Z1933" s="43"/>
      <c r="AA1933" s="43"/>
      <c r="AB1933" s="43"/>
      <c r="AC1933" s="43"/>
      <c r="AD1933" s="43"/>
      <c r="AE1933" s="43"/>
      <c r="AF1933" s="43"/>
      <c r="AG1933" s="43"/>
      <c r="AH1933" s="43"/>
      <c r="AI1933" s="43"/>
      <c r="AJ1933" s="43"/>
      <c r="AK1933" s="43"/>
      <c r="AL1933" s="43"/>
      <c r="AM1933" s="43"/>
      <c r="AN1933" s="43"/>
      <c r="AO1933" s="43"/>
      <c r="AP1933" s="43"/>
      <c r="AQ1933" s="43"/>
      <c r="AR1933" s="43"/>
      <c r="AS1933" s="43"/>
      <c r="AT1933" s="43"/>
      <c r="AU1933" s="43"/>
      <c r="AV1933" s="43"/>
    </row>
    <row r="1934" spans="1:48" ht="12.6" customHeight="1">
      <c r="A1934" s="506"/>
      <c r="B1934" s="506" t="s">
        <v>1250</v>
      </c>
      <c r="C1934" s="506" t="s">
        <v>509</v>
      </c>
      <c r="D1934" s="1589">
        <v>930</v>
      </c>
      <c r="E1934" s="2223" t="s">
        <v>1900</v>
      </c>
      <c r="F1934" s="540">
        <v>5238</v>
      </c>
      <c r="G1934" s="411" t="s">
        <v>257</v>
      </c>
      <c r="H1934" s="508">
        <v>3874</v>
      </c>
      <c r="I1934" s="508"/>
      <c r="J1934" s="509">
        <v>3540.44</v>
      </c>
      <c r="K1934" s="538"/>
      <c r="L1934" s="508">
        <v>0</v>
      </c>
      <c r="M1934" s="608"/>
      <c r="N1934" s="1025"/>
      <c r="O1934" s="86"/>
      <c r="P1934" s="1817" t="e">
        <f>INDEX(#REF!,MATCH(F1934,#REF!,0),2)</f>
        <v>#REF!</v>
      </c>
      <c r="Q1934" s="43"/>
      <c r="R1934" s="43"/>
      <c r="S1934" s="43"/>
      <c r="T1934" s="43"/>
      <c r="U1934" s="43"/>
      <c r="V1934" s="43"/>
      <c r="W1934" s="43"/>
      <c r="X1934" s="43"/>
      <c r="Y1934" s="43"/>
      <c r="Z1934" s="43"/>
      <c r="AA1934" s="43"/>
      <c r="AB1934" s="43"/>
      <c r="AC1934" s="43"/>
      <c r="AD1934" s="43"/>
      <c r="AE1934" s="43"/>
      <c r="AF1934" s="43"/>
      <c r="AG1934" s="43"/>
      <c r="AH1934" s="43"/>
      <c r="AI1934" s="43"/>
      <c r="AJ1934" s="43"/>
      <c r="AK1934" s="43"/>
      <c r="AL1934" s="43"/>
      <c r="AM1934" s="43"/>
      <c r="AN1934" s="43"/>
      <c r="AO1934" s="43"/>
      <c r="AP1934" s="43"/>
      <c r="AQ1934" s="43"/>
      <c r="AR1934" s="43"/>
      <c r="AS1934" s="43"/>
      <c r="AT1934" s="43"/>
      <c r="AU1934" s="43"/>
      <c r="AV1934" s="43"/>
    </row>
    <row r="1935" spans="1:48" ht="24.6" customHeight="1">
      <c r="A1935" s="2790"/>
      <c r="B1935" s="412" t="s">
        <v>1250</v>
      </c>
      <c r="C1935" s="412" t="s">
        <v>509</v>
      </c>
      <c r="D1935" s="1590"/>
      <c r="E1935" s="2224" t="s">
        <v>1900</v>
      </c>
      <c r="F1935" s="505">
        <v>5238</v>
      </c>
      <c r="G1935" s="3385" t="s">
        <v>4715</v>
      </c>
      <c r="H1935" s="3382"/>
      <c r="I1935" s="3386"/>
      <c r="J1935" s="3382"/>
      <c r="K1935" s="3387"/>
      <c r="L1935" s="3379"/>
      <c r="M1935" s="4285">
        <v>0</v>
      </c>
      <c r="N1935" s="43" t="s">
        <v>6006</v>
      </c>
      <c r="O1935" s="86"/>
      <c r="P1935" s="1817"/>
      <c r="Q1935" s="43"/>
      <c r="R1935" s="43"/>
      <c r="S1935" s="43"/>
      <c r="T1935" s="43"/>
      <c r="U1935" s="43"/>
      <c r="V1935" s="43"/>
      <c r="W1935" s="43"/>
      <c r="X1935" s="43"/>
      <c r="Y1935" s="43"/>
      <c r="Z1935" s="43"/>
      <c r="AA1935" s="43"/>
      <c r="AB1935" s="43"/>
      <c r="AC1935" s="43"/>
      <c r="AD1935" s="43"/>
      <c r="AE1935" s="43"/>
      <c r="AF1935" s="43"/>
      <c r="AG1935" s="43"/>
      <c r="AH1935" s="43"/>
      <c r="AI1935" s="43"/>
      <c r="AJ1935" s="43"/>
      <c r="AK1935" s="43"/>
      <c r="AL1935" s="43"/>
      <c r="AM1935" s="43"/>
      <c r="AN1935" s="43"/>
      <c r="AO1935" s="43"/>
      <c r="AP1935" s="43"/>
      <c r="AQ1935" s="43"/>
      <c r="AR1935" s="43"/>
      <c r="AS1935" s="43"/>
      <c r="AT1935" s="43"/>
      <c r="AU1935" s="43"/>
      <c r="AV1935" s="43"/>
    </row>
    <row r="1936" spans="1:48" ht="25.15" customHeight="1">
      <c r="A1936" s="412"/>
      <c r="B1936" s="412" t="s">
        <v>1250</v>
      </c>
      <c r="C1936" s="412" t="s">
        <v>509</v>
      </c>
      <c r="D1936" s="1590"/>
      <c r="E1936" s="2224" t="s">
        <v>1900</v>
      </c>
      <c r="F1936" s="505">
        <v>5238</v>
      </c>
      <c r="G1936" s="1707" t="s">
        <v>2681</v>
      </c>
      <c r="H1936" s="537"/>
      <c r="I1936" s="692">
        <v>1300</v>
      </c>
      <c r="J1936" s="537"/>
      <c r="K1936" s="627"/>
      <c r="L1936" s="535"/>
      <c r="M1936" s="535"/>
      <c r="N1936" s="1025"/>
      <c r="O1936" s="86"/>
      <c r="P1936" s="1817" t="e">
        <f>INDEX(#REF!,MATCH(F1936,#REF!,0),2)</f>
        <v>#REF!</v>
      </c>
      <c r="Q1936" s="43"/>
      <c r="R1936" s="43"/>
      <c r="S1936" s="43"/>
      <c r="T1936" s="43"/>
      <c r="U1936" s="43"/>
      <c r="V1936" s="43"/>
      <c r="W1936" s="43"/>
      <c r="X1936" s="43"/>
      <c r="Y1936" s="43"/>
      <c r="Z1936" s="43"/>
      <c r="AA1936" s="43"/>
      <c r="AB1936" s="43"/>
      <c r="AC1936" s="43"/>
      <c r="AD1936" s="43"/>
      <c r="AE1936" s="43"/>
      <c r="AF1936" s="43"/>
      <c r="AG1936" s="43"/>
      <c r="AH1936" s="43"/>
      <c r="AI1936" s="43"/>
      <c r="AJ1936" s="43"/>
      <c r="AK1936" s="43"/>
      <c r="AL1936" s="43"/>
      <c r="AM1936" s="43"/>
      <c r="AN1936" s="43"/>
      <c r="AO1936" s="43"/>
      <c r="AP1936" s="43"/>
      <c r="AQ1936" s="43"/>
      <c r="AR1936" s="43"/>
      <c r="AS1936" s="43"/>
      <c r="AT1936" s="43"/>
      <c r="AU1936" s="43"/>
      <c r="AV1936" s="43"/>
    </row>
    <row r="1937" spans="1:48" ht="13.9" customHeight="1">
      <c r="A1937" s="1882"/>
      <c r="B1937" s="412" t="s">
        <v>1250</v>
      </c>
      <c r="C1937" s="412" t="s">
        <v>509</v>
      </c>
      <c r="D1937" s="1590"/>
      <c r="E1937" s="2224" t="s">
        <v>1900</v>
      </c>
      <c r="F1937" s="505">
        <v>5238</v>
      </c>
      <c r="G1937" s="1915" t="s">
        <v>3299</v>
      </c>
      <c r="H1937" s="1933"/>
      <c r="I1937" s="2314">
        <v>548</v>
      </c>
      <c r="J1937" s="1933"/>
      <c r="K1937" s="2315"/>
      <c r="L1937" s="1989"/>
      <c r="M1937" s="1989"/>
      <c r="N1937" s="1025"/>
      <c r="O1937" s="86"/>
      <c r="P1937" s="1817" t="e">
        <f>INDEX(#REF!,MATCH(F1937,#REF!,0),2)</f>
        <v>#REF!</v>
      </c>
      <c r="Q1937" s="43"/>
      <c r="R1937" s="43"/>
      <c r="S1937" s="43"/>
      <c r="T1937" s="43"/>
      <c r="U1937" s="43"/>
      <c r="V1937" s="43"/>
      <c r="W1937" s="43"/>
      <c r="X1937" s="43"/>
      <c r="Y1937" s="43"/>
      <c r="Z1937" s="43"/>
      <c r="AA1937" s="43"/>
      <c r="AB1937" s="43"/>
      <c r="AC1937" s="43"/>
      <c r="AD1937" s="43"/>
      <c r="AE1937" s="43"/>
      <c r="AF1937" s="43"/>
      <c r="AG1937" s="43"/>
      <c r="AH1937" s="43"/>
      <c r="AI1937" s="43"/>
      <c r="AJ1937" s="43"/>
      <c r="AK1937" s="43"/>
      <c r="AL1937" s="43"/>
      <c r="AM1937" s="43"/>
      <c r="AN1937" s="43"/>
      <c r="AO1937" s="43"/>
      <c r="AP1937" s="43"/>
      <c r="AQ1937" s="43"/>
      <c r="AR1937" s="43"/>
      <c r="AS1937" s="43"/>
      <c r="AT1937" s="43"/>
      <c r="AU1937" s="43"/>
      <c r="AV1937" s="43"/>
    </row>
    <row r="1938" spans="1:48" ht="42" customHeight="1">
      <c r="A1938" s="412"/>
      <c r="B1938" s="412" t="s">
        <v>1250</v>
      </c>
      <c r="C1938" s="412" t="s">
        <v>509</v>
      </c>
      <c r="D1938" s="1590"/>
      <c r="E1938" s="2224" t="s">
        <v>1900</v>
      </c>
      <c r="F1938" s="505">
        <v>5238</v>
      </c>
      <c r="G1938" s="1707" t="s">
        <v>3300</v>
      </c>
      <c r="H1938" s="537"/>
      <c r="I1938" s="692">
        <v>2026</v>
      </c>
      <c r="J1938" s="537"/>
      <c r="K1938" s="627"/>
      <c r="L1938" s="535"/>
      <c r="M1938" s="535"/>
      <c r="N1938" s="1025"/>
      <c r="O1938" s="86"/>
      <c r="P1938" s="1817" t="e">
        <f>INDEX(#REF!,MATCH(F1938,#REF!,0),2)</f>
        <v>#REF!</v>
      </c>
      <c r="Q1938" s="43"/>
      <c r="R1938" s="43"/>
      <c r="S1938" s="43"/>
      <c r="T1938" s="43"/>
      <c r="U1938" s="43"/>
      <c r="V1938" s="43"/>
      <c r="W1938" s="43"/>
      <c r="X1938" s="43"/>
      <c r="Y1938" s="43"/>
      <c r="Z1938" s="43"/>
      <c r="AA1938" s="43"/>
      <c r="AB1938" s="43"/>
      <c r="AC1938" s="43"/>
      <c r="AD1938" s="43"/>
      <c r="AE1938" s="43"/>
      <c r="AF1938" s="43"/>
      <c r="AG1938" s="43"/>
      <c r="AH1938" s="43"/>
      <c r="AI1938" s="43"/>
      <c r="AJ1938" s="43"/>
      <c r="AK1938" s="43"/>
      <c r="AL1938" s="43"/>
      <c r="AM1938" s="43"/>
      <c r="AN1938" s="43"/>
      <c r="AO1938" s="43"/>
      <c r="AP1938" s="43"/>
      <c r="AQ1938" s="43"/>
      <c r="AR1938" s="43"/>
      <c r="AS1938" s="43"/>
      <c r="AT1938" s="43"/>
      <c r="AU1938" s="43"/>
      <c r="AV1938" s="43"/>
    </row>
    <row r="1939" spans="1:48" ht="13.9" customHeight="1">
      <c r="A1939" s="506" t="s">
        <v>1085</v>
      </c>
      <c r="B1939" s="775" t="s">
        <v>1249</v>
      </c>
      <c r="C1939" s="506" t="s">
        <v>570</v>
      </c>
      <c r="D1939" s="1589">
        <v>930</v>
      </c>
      <c r="E1939" s="2223" t="s">
        <v>1900</v>
      </c>
      <c r="F1939" s="540">
        <v>6423</v>
      </c>
      <c r="G1939" s="411" t="s">
        <v>466</v>
      </c>
      <c r="H1939" s="508">
        <v>0</v>
      </c>
      <c r="I1939" s="508"/>
      <c r="J1939" s="509"/>
      <c r="K1939" s="538"/>
      <c r="L1939" s="608">
        <v>0</v>
      </c>
      <c r="M1939" s="608"/>
      <c r="N1939" s="1025"/>
      <c r="O1939" s="86"/>
      <c r="P1939" s="1817" t="e">
        <f>INDEX(#REF!,MATCH(F1939,#REF!,0),2)</f>
        <v>#REF!</v>
      </c>
      <c r="Q1939" s="43"/>
      <c r="R1939" s="43"/>
      <c r="S1939" s="43"/>
      <c r="T1939" s="43"/>
      <c r="U1939" s="43"/>
      <c r="V1939" s="43"/>
      <c r="W1939" s="43"/>
      <c r="X1939" s="43"/>
      <c r="Y1939" s="43"/>
      <c r="Z1939" s="43"/>
      <c r="AA1939" s="43"/>
      <c r="AB1939" s="43"/>
      <c r="AC1939" s="43"/>
      <c r="AD1939" s="43"/>
      <c r="AE1939" s="43"/>
      <c r="AF1939" s="43"/>
      <c r="AG1939" s="43"/>
      <c r="AH1939" s="43"/>
      <c r="AI1939" s="43"/>
      <c r="AJ1939" s="43"/>
      <c r="AK1939" s="43"/>
      <c r="AL1939" s="43"/>
      <c r="AM1939" s="43"/>
      <c r="AN1939" s="43"/>
      <c r="AO1939" s="43"/>
      <c r="AP1939" s="43"/>
      <c r="AQ1939" s="43"/>
      <c r="AR1939" s="43"/>
      <c r="AS1939" s="43"/>
      <c r="AT1939" s="43"/>
      <c r="AU1939" s="43"/>
      <c r="AV1939" s="43"/>
    </row>
    <row r="1940" spans="1:48" ht="29.45" customHeight="1">
      <c r="A1940" s="762"/>
      <c r="B1940" s="489" t="s">
        <v>1249</v>
      </c>
      <c r="C1940" s="412" t="s">
        <v>570</v>
      </c>
      <c r="D1940" s="1590"/>
      <c r="E1940" s="2224" t="s">
        <v>1900</v>
      </c>
      <c r="F1940" s="505">
        <v>6423</v>
      </c>
      <c r="G1940" s="772" t="s">
        <v>1849</v>
      </c>
      <c r="H1940" s="1155"/>
      <c r="I1940" s="1156"/>
      <c r="J1940" s="1155"/>
      <c r="K1940" s="1157"/>
      <c r="L1940" s="1321"/>
      <c r="M1940" s="2428"/>
      <c r="N1940" s="1025"/>
      <c r="O1940" s="86"/>
      <c r="P1940" s="1817" t="e">
        <f>INDEX(#REF!,MATCH(F1940,#REF!,0),2)</f>
        <v>#REF!</v>
      </c>
      <c r="Q1940" s="43"/>
      <c r="R1940" s="43"/>
      <c r="S1940" s="43"/>
      <c r="T1940" s="43"/>
      <c r="U1940" s="43"/>
      <c r="V1940" s="43"/>
      <c r="W1940" s="43"/>
      <c r="X1940" s="43"/>
      <c r="Y1940" s="43"/>
      <c r="Z1940" s="43"/>
      <c r="AA1940" s="43"/>
      <c r="AB1940" s="43"/>
      <c r="AC1940" s="43"/>
      <c r="AD1940" s="43"/>
      <c r="AE1940" s="43"/>
      <c r="AF1940" s="43"/>
      <c r="AG1940" s="43"/>
      <c r="AH1940" s="43"/>
      <c r="AI1940" s="43"/>
      <c r="AJ1940" s="43"/>
      <c r="AK1940" s="43"/>
      <c r="AL1940" s="43"/>
      <c r="AM1940" s="43"/>
      <c r="AN1940" s="43"/>
      <c r="AO1940" s="43"/>
      <c r="AP1940" s="43"/>
      <c r="AQ1940" s="43"/>
      <c r="AR1940" s="43"/>
      <c r="AS1940" s="43"/>
      <c r="AT1940" s="43"/>
      <c r="AU1940" s="43"/>
      <c r="AV1940" s="43"/>
    </row>
    <row r="1941" spans="1:48" ht="13.9" customHeight="1">
      <c r="A1941" s="506"/>
      <c r="B1941" s="506" t="s">
        <v>566</v>
      </c>
      <c r="C1941" s="506" t="s">
        <v>508</v>
      </c>
      <c r="D1941" s="1589">
        <v>930</v>
      </c>
      <c r="E1941" s="2232" t="s">
        <v>1900</v>
      </c>
      <c r="F1941" s="540">
        <v>7230</v>
      </c>
      <c r="G1941" s="411" t="s">
        <v>1848</v>
      </c>
      <c r="H1941" s="508">
        <v>0</v>
      </c>
      <c r="I1941" s="508"/>
      <c r="J1941" s="509"/>
      <c r="K1941" s="538"/>
      <c r="L1941" s="608">
        <v>0</v>
      </c>
      <c r="M1941" s="608"/>
      <c r="N1941" s="1025"/>
      <c r="O1941" s="86"/>
      <c r="P1941" s="1817" t="e">
        <f>INDEX(#REF!,MATCH(F1941,#REF!,0),2)</f>
        <v>#REF!</v>
      </c>
      <c r="Q1941" s="43"/>
      <c r="R1941" s="43"/>
      <c r="S1941" s="43"/>
      <c r="T1941" s="43"/>
      <c r="U1941" s="43"/>
      <c r="V1941" s="43"/>
      <c r="W1941" s="43"/>
      <c r="X1941" s="43"/>
      <c r="Y1941" s="43"/>
      <c r="Z1941" s="43"/>
      <c r="AA1941" s="43"/>
      <c r="AB1941" s="43"/>
      <c r="AC1941" s="43"/>
      <c r="AD1941" s="43"/>
      <c r="AE1941" s="43"/>
      <c r="AF1941" s="43"/>
      <c r="AG1941" s="43"/>
      <c r="AH1941" s="43"/>
      <c r="AI1941" s="43"/>
      <c r="AJ1941" s="43"/>
      <c r="AK1941" s="43"/>
      <c r="AL1941" s="43"/>
      <c r="AM1941" s="43"/>
      <c r="AN1941" s="43"/>
      <c r="AO1941" s="43"/>
      <c r="AP1941" s="43"/>
      <c r="AQ1941" s="43"/>
      <c r="AR1941" s="43"/>
      <c r="AS1941" s="43"/>
      <c r="AT1941" s="43"/>
      <c r="AU1941" s="43"/>
      <c r="AV1941" s="43"/>
    </row>
    <row r="1942" spans="1:48" ht="29.45" customHeight="1">
      <c r="A1942" s="412"/>
      <c r="B1942" s="412" t="s">
        <v>566</v>
      </c>
      <c r="C1942" s="412" t="s">
        <v>508</v>
      </c>
      <c r="D1942" s="1590"/>
      <c r="E1942" s="2224" t="s">
        <v>1900</v>
      </c>
      <c r="F1942" s="505">
        <v>7230</v>
      </c>
      <c r="G1942" s="1411" t="s">
        <v>1976</v>
      </c>
      <c r="H1942" s="537"/>
      <c r="I1942" s="692"/>
      <c r="J1942" s="537"/>
      <c r="K1942" s="627"/>
      <c r="L1942" s="535"/>
      <c r="M1942" s="2429"/>
      <c r="N1942" s="1025"/>
      <c r="O1942" s="86"/>
      <c r="P1942" s="1817" t="e">
        <f>INDEX(#REF!,MATCH(F1942,#REF!,0),2)</f>
        <v>#REF!</v>
      </c>
      <c r="Q1942" s="43"/>
      <c r="R1942" s="43"/>
      <c r="S1942" s="43"/>
      <c r="T1942" s="43"/>
      <c r="U1942" s="43"/>
      <c r="V1942" s="43"/>
      <c r="W1942" s="43"/>
      <c r="X1942" s="43"/>
      <c r="Y1942" s="43"/>
      <c r="Z1942" s="43"/>
      <c r="AA1942" s="43"/>
      <c r="AB1942" s="43"/>
      <c r="AC1942" s="43"/>
      <c r="AD1942" s="43"/>
      <c r="AE1942" s="43"/>
      <c r="AF1942" s="43"/>
      <c r="AG1942" s="43"/>
      <c r="AH1942" s="43"/>
      <c r="AI1942" s="43"/>
      <c r="AJ1942" s="43"/>
      <c r="AK1942" s="43"/>
      <c r="AL1942" s="43"/>
      <c r="AM1942" s="43"/>
      <c r="AN1942" s="43"/>
      <c r="AO1942" s="43"/>
      <c r="AP1942" s="43"/>
      <c r="AQ1942" s="43"/>
      <c r="AR1942" s="43"/>
      <c r="AS1942" s="43"/>
      <c r="AT1942" s="43"/>
      <c r="AU1942" s="43"/>
      <c r="AV1942" s="43"/>
    </row>
    <row r="1943" spans="1:48" ht="29.45" customHeight="1">
      <c r="A1943" s="506"/>
      <c r="B1943" s="506" t="s">
        <v>566</v>
      </c>
      <c r="C1943" s="506" t="s">
        <v>508</v>
      </c>
      <c r="D1943" s="1589">
        <v>930</v>
      </c>
      <c r="E1943" s="2232" t="s">
        <v>1900</v>
      </c>
      <c r="F1943" s="540">
        <v>7245</v>
      </c>
      <c r="G1943" s="1817" t="s">
        <v>786</v>
      </c>
      <c r="H1943" s="508">
        <v>609</v>
      </c>
      <c r="I1943" s="508"/>
      <c r="J1943" s="509">
        <v>609</v>
      </c>
      <c r="K1943" s="538"/>
      <c r="L1943" s="608">
        <v>1863.05</v>
      </c>
      <c r="M1943" s="608"/>
      <c r="N1943" s="1025"/>
      <c r="O1943" s="86"/>
      <c r="P1943" s="1817" t="e">
        <f>INDEX(#REF!,MATCH(F1943,#REF!,0),2)</f>
        <v>#REF!</v>
      </c>
      <c r="Q1943" s="43"/>
      <c r="R1943" s="43"/>
      <c r="S1943" s="43"/>
      <c r="T1943" s="43"/>
      <c r="U1943" s="43"/>
      <c r="V1943" s="43"/>
      <c r="W1943" s="43"/>
      <c r="X1943" s="43"/>
      <c r="Y1943" s="43"/>
      <c r="Z1943" s="43"/>
      <c r="AA1943" s="43"/>
      <c r="AB1943" s="43"/>
      <c r="AC1943" s="43"/>
      <c r="AD1943" s="43"/>
      <c r="AE1943" s="43"/>
      <c r="AF1943" s="43"/>
      <c r="AG1943" s="43"/>
      <c r="AH1943" s="43"/>
      <c r="AI1943" s="43"/>
      <c r="AJ1943" s="43"/>
      <c r="AK1943" s="43"/>
      <c r="AL1943" s="43"/>
      <c r="AM1943" s="43"/>
      <c r="AN1943" s="43"/>
      <c r="AO1943" s="43"/>
      <c r="AP1943" s="43"/>
      <c r="AQ1943" s="43"/>
      <c r="AR1943" s="43"/>
      <c r="AS1943" s="43"/>
      <c r="AT1943" s="43"/>
      <c r="AU1943" s="43"/>
      <c r="AV1943" s="43"/>
    </row>
    <row r="1944" spans="1:48" ht="29.45" customHeight="1">
      <c r="A1944" s="412"/>
      <c r="B1944" s="412" t="s">
        <v>566</v>
      </c>
      <c r="C1944" s="412" t="s">
        <v>508</v>
      </c>
      <c r="D1944" s="1590"/>
      <c r="E1944" s="2224" t="s">
        <v>1900</v>
      </c>
      <c r="F1944" s="505">
        <v>7245</v>
      </c>
      <c r="G1944" s="1411"/>
      <c r="H1944" s="537"/>
      <c r="I1944" s="692"/>
      <c r="J1944" s="537"/>
      <c r="K1944" s="627"/>
      <c r="L1944" s="535"/>
      <c r="M1944" s="2429">
        <v>749.05</v>
      </c>
      <c r="N1944" s="43" t="s">
        <v>4716</v>
      </c>
      <c r="O1944" s="86"/>
      <c r="P1944" s="1817"/>
      <c r="Q1944" s="43"/>
      <c r="R1944" s="43"/>
      <c r="S1944" s="43"/>
      <c r="T1944" s="43"/>
      <c r="U1944" s="43"/>
      <c r="V1944" s="43"/>
      <c r="W1944" s="43"/>
      <c r="X1944" s="43"/>
      <c r="Y1944" s="43"/>
      <c r="Z1944" s="43"/>
      <c r="AA1944" s="43"/>
      <c r="AB1944" s="43"/>
      <c r="AC1944" s="43"/>
      <c r="AD1944" s="43"/>
      <c r="AE1944" s="43"/>
      <c r="AF1944" s="43"/>
      <c r="AG1944" s="43"/>
      <c r="AH1944" s="43"/>
      <c r="AI1944" s="43"/>
      <c r="AJ1944" s="43"/>
      <c r="AK1944" s="43"/>
      <c r="AL1944" s="43"/>
      <c r="AM1944" s="43"/>
      <c r="AN1944" s="43"/>
      <c r="AO1944" s="43"/>
      <c r="AP1944" s="43"/>
      <c r="AQ1944" s="43"/>
      <c r="AR1944" s="43"/>
      <c r="AS1944" s="43"/>
      <c r="AT1944" s="43"/>
      <c r="AU1944" s="43"/>
      <c r="AV1944" s="43"/>
    </row>
    <row r="1945" spans="1:48">
      <c r="A1945" s="412"/>
      <c r="B1945" s="412" t="s">
        <v>566</v>
      </c>
      <c r="C1945" s="412" t="s">
        <v>508</v>
      </c>
      <c r="D1945" s="1590"/>
      <c r="E1945" s="2224" t="s">
        <v>1900</v>
      </c>
      <c r="F1945" s="505">
        <v>7245</v>
      </c>
      <c r="G1945" s="1411"/>
      <c r="H1945" s="537"/>
      <c r="I1945" s="692"/>
      <c r="J1945" s="537"/>
      <c r="K1945" s="627"/>
      <c r="L1945" s="535"/>
      <c r="M1945" s="2429">
        <v>1049</v>
      </c>
      <c r="N1945" s="43" t="s">
        <v>4717</v>
      </c>
      <c r="O1945" s="86"/>
      <c r="P1945" s="1817"/>
      <c r="Q1945" s="43"/>
      <c r="R1945" s="43"/>
      <c r="S1945" s="43"/>
      <c r="T1945" s="43"/>
      <c r="U1945" s="43"/>
      <c r="V1945" s="43"/>
      <c r="W1945" s="43"/>
      <c r="X1945" s="43"/>
      <c r="Y1945" s="43"/>
      <c r="Z1945" s="43"/>
      <c r="AA1945" s="43"/>
      <c r="AB1945" s="43"/>
      <c r="AC1945" s="43"/>
      <c r="AD1945" s="43"/>
      <c r="AE1945" s="43"/>
      <c r="AF1945" s="43"/>
      <c r="AG1945" s="43"/>
      <c r="AH1945" s="43"/>
      <c r="AI1945" s="43"/>
      <c r="AJ1945" s="43"/>
      <c r="AK1945" s="43"/>
      <c r="AL1945" s="43"/>
      <c r="AM1945" s="43"/>
      <c r="AN1945" s="43"/>
      <c r="AO1945" s="43"/>
      <c r="AP1945" s="43"/>
      <c r="AQ1945" s="43"/>
      <c r="AR1945" s="43"/>
      <c r="AS1945" s="43"/>
      <c r="AT1945" s="43"/>
      <c r="AU1945" s="43"/>
      <c r="AV1945" s="43"/>
    </row>
    <row r="1946" spans="1:48">
      <c r="A1946" s="412"/>
      <c r="B1946" s="412" t="s">
        <v>566</v>
      </c>
      <c r="C1946" s="412" t="s">
        <v>508</v>
      </c>
      <c r="D1946" s="1590"/>
      <c r="E1946" s="2224" t="s">
        <v>1900</v>
      </c>
      <c r="F1946" s="505">
        <v>7245</v>
      </c>
      <c r="G1946" s="1411"/>
      <c r="H1946" s="537"/>
      <c r="I1946" s="692"/>
      <c r="J1946" s="537"/>
      <c r="K1946" s="627"/>
      <c r="L1946" s="535"/>
      <c r="M1946" s="2429">
        <v>65</v>
      </c>
      <c r="N1946" s="43" t="s">
        <v>4718</v>
      </c>
      <c r="O1946" s="86"/>
      <c r="P1946" s="1817" t="e">
        <f>INDEX(#REF!,MATCH(F1946,#REF!,0),2)</f>
        <v>#REF!</v>
      </c>
      <c r="Q1946" s="43"/>
      <c r="R1946" s="43"/>
      <c r="S1946" s="43"/>
      <c r="T1946" s="43"/>
      <c r="U1946" s="43"/>
      <c r="V1946" s="43"/>
      <c r="W1946" s="43"/>
      <c r="X1946" s="43"/>
      <c r="Y1946" s="43"/>
      <c r="Z1946" s="43"/>
      <c r="AA1946" s="43"/>
      <c r="AB1946" s="43"/>
      <c r="AC1946" s="43"/>
      <c r="AD1946" s="43"/>
      <c r="AE1946" s="43"/>
      <c r="AF1946" s="43"/>
      <c r="AG1946" s="43"/>
      <c r="AH1946" s="43"/>
      <c r="AI1946" s="43"/>
      <c r="AJ1946" s="43"/>
      <c r="AK1946" s="43"/>
      <c r="AL1946" s="43"/>
      <c r="AM1946" s="43"/>
      <c r="AN1946" s="43"/>
      <c r="AO1946" s="43"/>
      <c r="AP1946" s="43"/>
      <c r="AQ1946" s="43"/>
      <c r="AR1946" s="43"/>
      <c r="AS1946" s="43"/>
      <c r="AT1946" s="43"/>
      <c r="AU1946" s="43"/>
      <c r="AV1946" s="43"/>
    </row>
    <row r="1947" spans="1:48">
      <c r="A1947" s="506"/>
      <c r="B1947" s="775" t="s">
        <v>1249</v>
      </c>
      <c r="C1947" s="506" t="s">
        <v>570</v>
      </c>
      <c r="D1947" s="1589"/>
      <c r="E1947" s="2223" t="s">
        <v>3207</v>
      </c>
      <c r="F1947" s="540">
        <v>1119</v>
      </c>
      <c r="G1947" s="411" t="s">
        <v>260</v>
      </c>
      <c r="H1947" s="508">
        <v>22910.267821021116</v>
      </c>
      <c r="I1947" s="508"/>
      <c r="J1947" s="509"/>
      <c r="K1947" s="538"/>
      <c r="L1947" s="508">
        <v>32970</v>
      </c>
      <c r="M1947" s="508"/>
      <c r="N1947" s="1025"/>
      <c r="O1947" s="86"/>
      <c r="P1947" s="1817" t="e">
        <f>INDEX(#REF!,MATCH(F1947,#REF!,0),2)</f>
        <v>#REF!</v>
      </c>
      <c r="Q1947" s="43"/>
      <c r="R1947" s="43"/>
      <c r="S1947" s="43"/>
      <c r="T1947" s="43"/>
      <c r="U1947" s="43"/>
      <c r="V1947" s="43"/>
      <c r="W1947" s="43"/>
      <c r="X1947" s="43"/>
      <c r="Y1947" s="43"/>
      <c r="Z1947" s="43"/>
      <c r="AA1947" s="43"/>
      <c r="AB1947" s="43"/>
      <c r="AC1947" s="43"/>
      <c r="AD1947" s="43"/>
      <c r="AE1947" s="43"/>
      <c r="AF1947" s="43"/>
      <c r="AG1947" s="43"/>
      <c r="AH1947" s="43"/>
      <c r="AI1947" s="43"/>
      <c r="AJ1947" s="43"/>
      <c r="AK1947" s="43"/>
      <c r="AL1947" s="43"/>
      <c r="AM1947" s="43"/>
      <c r="AN1947" s="43"/>
      <c r="AO1947" s="43"/>
      <c r="AP1947" s="43"/>
      <c r="AQ1947" s="43"/>
      <c r="AR1947" s="43"/>
      <c r="AS1947" s="43"/>
      <c r="AT1947" s="43"/>
      <c r="AU1947" s="43"/>
      <c r="AV1947" s="43"/>
    </row>
    <row r="1948" spans="1:48" ht="22.5">
      <c r="A1948" s="412"/>
      <c r="B1948" s="412" t="s">
        <v>1249</v>
      </c>
      <c r="C1948" s="412" t="s">
        <v>570</v>
      </c>
      <c r="D1948" s="1590"/>
      <c r="E1948" s="2224" t="s">
        <v>3207</v>
      </c>
      <c r="F1948" s="505">
        <v>1119</v>
      </c>
      <c r="G1948" s="1399" t="s">
        <v>2962</v>
      </c>
      <c r="H1948" s="537"/>
      <c r="I1948" s="692">
        <v>22910.267821021116</v>
      </c>
      <c r="J1948" s="537"/>
      <c r="K1948" s="627"/>
      <c r="L1948" s="536"/>
      <c r="M1948" s="2585">
        <v>32970</v>
      </c>
      <c r="N1948" s="43" t="s">
        <v>3460</v>
      </c>
      <c r="O1948" s="86"/>
      <c r="P1948" s="1817" t="e">
        <f>INDEX(#REF!,MATCH(F1948,#REF!,0),2)</f>
        <v>#REF!</v>
      </c>
      <c r="Q1948" s="43"/>
      <c r="R1948" s="43"/>
      <c r="S1948" s="43"/>
      <c r="T1948" s="43"/>
      <c r="U1948" s="43"/>
      <c r="V1948" s="43"/>
      <c r="W1948" s="43"/>
      <c r="X1948" s="43"/>
      <c r="Y1948" s="43"/>
      <c r="Z1948" s="43"/>
      <c r="AA1948" s="43"/>
      <c r="AB1948" s="43"/>
      <c r="AC1948" s="43"/>
      <c r="AD1948" s="43"/>
      <c r="AE1948" s="43"/>
      <c r="AF1948" s="43"/>
      <c r="AG1948" s="43"/>
      <c r="AH1948" s="43"/>
      <c r="AI1948" s="43"/>
      <c r="AJ1948" s="43"/>
      <c r="AK1948" s="43"/>
      <c r="AL1948" s="43"/>
      <c r="AM1948" s="43"/>
      <c r="AN1948" s="43"/>
      <c r="AO1948" s="43"/>
      <c r="AP1948" s="43"/>
      <c r="AQ1948" s="43"/>
      <c r="AR1948" s="43"/>
      <c r="AS1948" s="43"/>
      <c r="AT1948" s="43"/>
      <c r="AU1948" s="43"/>
      <c r="AV1948" s="43"/>
    </row>
    <row r="1949" spans="1:48" ht="22.5">
      <c r="A1949" s="506"/>
      <c r="B1949" s="775" t="s">
        <v>1249</v>
      </c>
      <c r="C1949" s="506" t="s">
        <v>570</v>
      </c>
      <c r="D1949" s="1589"/>
      <c r="E1949" s="2223" t="s">
        <v>3207</v>
      </c>
      <c r="F1949" s="540">
        <v>1210</v>
      </c>
      <c r="G1949" s="411" t="s">
        <v>624</v>
      </c>
      <c r="H1949" s="508">
        <v>5404.5321789788813</v>
      </c>
      <c r="I1949" s="508"/>
      <c r="J1949" s="509"/>
      <c r="K1949" s="538"/>
      <c r="L1949" s="508">
        <v>10931.48</v>
      </c>
      <c r="M1949" s="508"/>
      <c r="N1949" s="1025"/>
      <c r="O1949" s="86"/>
      <c r="P1949" s="1817" t="e">
        <f>INDEX(#REF!,MATCH(F1949,#REF!,0),2)</f>
        <v>#REF!</v>
      </c>
      <c r="Q1949" s="43"/>
      <c r="R1949" s="43"/>
      <c r="S1949" s="43"/>
      <c r="T1949" s="43"/>
      <c r="U1949" s="43"/>
      <c r="V1949" s="43"/>
      <c r="W1949" s="43"/>
      <c r="X1949" s="43"/>
      <c r="Y1949" s="43"/>
      <c r="Z1949" s="43"/>
      <c r="AA1949" s="43"/>
      <c r="AB1949" s="43"/>
      <c r="AC1949" s="43"/>
      <c r="AD1949" s="43"/>
      <c r="AE1949" s="43"/>
      <c r="AF1949" s="43"/>
      <c r="AG1949" s="43"/>
      <c r="AH1949" s="43"/>
      <c r="AI1949" s="43"/>
      <c r="AJ1949" s="43"/>
      <c r="AK1949" s="43"/>
      <c r="AL1949" s="43"/>
      <c r="AM1949" s="43"/>
      <c r="AN1949" s="43"/>
      <c r="AO1949" s="43"/>
      <c r="AP1949" s="43"/>
      <c r="AQ1949" s="43"/>
      <c r="AR1949" s="43"/>
      <c r="AS1949" s="43"/>
      <c r="AT1949" s="43"/>
      <c r="AU1949" s="43"/>
      <c r="AV1949" s="43"/>
    </row>
    <row r="1950" spans="1:48" ht="22.5">
      <c r="A1950" s="412"/>
      <c r="B1950" s="412" t="s">
        <v>1249</v>
      </c>
      <c r="C1950" s="412" t="s">
        <v>570</v>
      </c>
      <c r="D1950" s="1590"/>
      <c r="E1950" s="2224" t="s">
        <v>3207</v>
      </c>
      <c r="F1950" s="505">
        <v>1210</v>
      </c>
      <c r="G1950" s="1399" t="s">
        <v>2961</v>
      </c>
      <c r="H1950" s="537"/>
      <c r="I1950" s="692">
        <v>5404.5321789788813</v>
      </c>
      <c r="J1950" s="537"/>
      <c r="K1950" s="627"/>
      <c r="L1950" s="536"/>
      <c r="M1950" s="2585">
        <v>10931.48</v>
      </c>
      <c r="N1950" s="43" t="s">
        <v>3447</v>
      </c>
      <c r="O1950" s="86"/>
      <c r="P1950" s="1817" t="e">
        <f>INDEX(#REF!,MATCH(F1950,#REF!,0),2)</f>
        <v>#REF!</v>
      </c>
      <c r="Q1950" s="43"/>
      <c r="R1950" s="43"/>
      <c r="S1950" s="43"/>
      <c r="T1950" s="43"/>
      <c r="U1950" s="43"/>
      <c r="V1950" s="43"/>
      <c r="W1950" s="43"/>
      <c r="X1950" s="43"/>
      <c r="Y1950" s="43"/>
      <c r="Z1950" s="43"/>
      <c r="AA1950" s="43"/>
      <c r="AB1950" s="43"/>
      <c r="AC1950" s="43"/>
      <c r="AD1950" s="43"/>
      <c r="AE1950" s="43"/>
      <c r="AF1950" s="43"/>
      <c r="AG1950" s="43"/>
      <c r="AH1950" s="43"/>
      <c r="AI1950" s="43"/>
      <c r="AJ1950" s="43"/>
      <c r="AK1950" s="43"/>
      <c r="AL1950" s="43"/>
      <c r="AM1950" s="43"/>
      <c r="AN1950" s="43"/>
      <c r="AO1950" s="43"/>
      <c r="AP1950" s="43"/>
      <c r="AQ1950" s="43"/>
      <c r="AR1950" s="43"/>
      <c r="AS1950" s="43"/>
      <c r="AT1950" s="43"/>
      <c r="AU1950" s="43"/>
      <c r="AV1950" s="43"/>
    </row>
    <row r="1951" spans="1:48">
      <c r="A1951" s="506"/>
      <c r="B1951" s="775" t="s">
        <v>1248</v>
      </c>
      <c r="C1951" s="506" t="s">
        <v>507</v>
      </c>
      <c r="D1951" s="1589"/>
      <c r="E1951" s="2223" t="s">
        <v>3207</v>
      </c>
      <c r="F1951" s="540">
        <v>2233</v>
      </c>
      <c r="G1951" s="411" t="s">
        <v>263</v>
      </c>
      <c r="H1951" s="508">
        <v>308</v>
      </c>
      <c r="I1951" s="508"/>
      <c r="J1951" s="509"/>
      <c r="K1951" s="538"/>
      <c r="L1951" s="508">
        <v>847.00000000000011</v>
      </c>
      <c r="M1951" s="508"/>
      <c r="N1951" s="1025"/>
      <c r="O1951" s="86"/>
      <c r="P1951" s="1817" t="e">
        <f>INDEX(#REF!,MATCH(F1951,#REF!,0),2)</f>
        <v>#REF!</v>
      </c>
      <c r="Q1951" s="43"/>
      <c r="R1951" s="43"/>
      <c r="S1951" s="43"/>
      <c r="T1951" s="43"/>
      <c r="U1951" s="43"/>
      <c r="V1951" s="43"/>
      <c r="W1951" s="43"/>
      <c r="X1951" s="43"/>
      <c r="Y1951" s="43"/>
      <c r="Z1951" s="43"/>
      <c r="AA1951" s="43"/>
      <c r="AB1951" s="43"/>
      <c r="AC1951" s="43"/>
      <c r="AD1951" s="43"/>
      <c r="AE1951" s="43"/>
      <c r="AF1951" s="43"/>
      <c r="AG1951" s="43"/>
      <c r="AH1951" s="43"/>
      <c r="AI1951" s="43"/>
      <c r="AJ1951" s="43"/>
      <c r="AK1951" s="43"/>
      <c r="AL1951" s="43"/>
      <c r="AM1951" s="43"/>
      <c r="AN1951" s="43"/>
      <c r="AO1951" s="43"/>
      <c r="AP1951" s="43"/>
      <c r="AQ1951" s="43"/>
      <c r="AR1951" s="43"/>
      <c r="AS1951" s="43"/>
      <c r="AT1951" s="43"/>
      <c r="AU1951" s="43"/>
      <c r="AV1951" s="43"/>
    </row>
    <row r="1952" spans="1:48" ht="45">
      <c r="A1952" s="412"/>
      <c r="B1952" s="412" t="s">
        <v>1248</v>
      </c>
      <c r="C1952" s="412" t="s">
        <v>507</v>
      </c>
      <c r="D1952" s="1590"/>
      <c r="E1952" s="2224" t="s">
        <v>3207</v>
      </c>
      <c r="F1952" s="505">
        <v>2233</v>
      </c>
      <c r="G1952" s="2584" t="s">
        <v>3448</v>
      </c>
      <c r="H1952" s="537"/>
      <c r="I1952" s="692">
        <v>308</v>
      </c>
      <c r="J1952" s="537"/>
      <c r="K1952" s="627"/>
      <c r="L1952" s="536"/>
      <c r="M1952" s="2585">
        <v>847.00000000000011</v>
      </c>
      <c r="N1952" s="43" t="s">
        <v>3449</v>
      </c>
      <c r="O1952" s="86"/>
      <c r="P1952" s="1817" t="e">
        <f>INDEX(#REF!,MATCH(F1952,#REF!,0),2)</f>
        <v>#REF!</v>
      </c>
      <c r="Q1952" s="43"/>
      <c r="R1952" s="43"/>
      <c r="S1952" s="43"/>
      <c r="T1952" s="43"/>
      <c r="U1952" s="43"/>
      <c r="V1952" s="43"/>
      <c r="W1952" s="43"/>
      <c r="X1952" s="43"/>
      <c r="Y1952" s="43"/>
      <c r="Z1952" s="43"/>
      <c r="AA1952" s="43"/>
      <c r="AB1952" s="43"/>
      <c r="AC1952" s="43"/>
      <c r="AD1952" s="43"/>
      <c r="AE1952" s="43"/>
      <c r="AF1952" s="43"/>
      <c r="AG1952" s="43"/>
      <c r="AH1952" s="43"/>
      <c r="AI1952" s="43"/>
      <c r="AJ1952" s="43"/>
      <c r="AK1952" s="43"/>
      <c r="AL1952" s="43"/>
      <c r="AM1952" s="43"/>
      <c r="AN1952" s="43"/>
      <c r="AO1952" s="43"/>
      <c r="AP1952" s="43"/>
      <c r="AQ1952" s="43"/>
      <c r="AR1952" s="43"/>
      <c r="AS1952" s="43"/>
      <c r="AT1952" s="43"/>
      <c r="AU1952" s="43"/>
      <c r="AV1952" s="43"/>
    </row>
    <row r="1953" spans="1:48">
      <c r="A1953" s="506"/>
      <c r="B1953" s="775" t="s">
        <v>1248</v>
      </c>
      <c r="C1953" s="506" t="s">
        <v>507</v>
      </c>
      <c r="D1953" s="1589"/>
      <c r="E1953" s="2223" t="s">
        <v>3207</v>
      </c>
      <c r="F1953" s="540">
        <v>2239</v>
      </c>
      <c r="G1953" s="411" t="s">
        <v>1801</v>
      </c>
      <c r="H1953" s="508">
        <v>3222</v>
      </c>
      <c r="I1953" s="508"/>
      <c r="J1953" s="509"/>
      <c r="K1953" s="538"/>
      <c r="L1953" s="508">
        <v>3920.05</v>
      </c>
      <c r="M1953" s="508"/>
      <c r="N1953" s="1025"/>
      <c r="O1953" s="86"/>
      <c r="P1953" s="1817" t="e">
        <f>INDEX(#REF!,MATCH(F1953,#REF!,0),2)</f>
        <v>#REF!</v>
      </c>
      <c r="Q1953" s="43"/>
      <c r="R1953" s="43"/>
      <c r="S1953" s="43"/>
      <c r="T1953" s="43"/>
      <c r="U1953" s="43"/>
      <c r="V1953" s="43"/>
      <c r="W1953" s="43"/>
      <c r="X1953" s="43"/>
      <c r="Y1953" s="43"/>
      <c r="Z1953" s="43"/>
      <c r="AA1953" s="43"/>
      <c r="AB1953" s="43"/>
      <c r="AC1953" s="43"/>
      <c r="AD1953" s="43"/>
      <c r="AE1953" s="43"/>
      <c r="AF1953" s="43"/>
      <c r="AG1953" s="43"/>
      <c r="AH1953" s="43"/>
      <c r="AI1953" s="43"/>
      <c r="AJ1953" s="43"/>
      <c r="AK1953" s="43"/>
      <c r="AL1953" s="43"/>
      <c r="AM1953" s="43"/>
      <c r="AN1953" s="43"/>
      <c r="AO1953" s="43"/>
      <c r="AP1953" s="43"/>
      <c r="AQ1953" s="43"/>
      <c r="AR1953" s="43"/>
      <c r="AS1953" s="43"/>
      <c r="AT1953" s="43"/>
      <c r="AU1953" s="43"/>
      <c r="AV1953" s="43"/>
    </row>
    <row r="1954" spans="1:48" ht="56.25">
      <c r="A1954" s="412" t="s">
        <v>2480</v>
      </c>
      <c r="B1954" s="412" t="s">
        <v>1248</v>
      </c>
      <c r="C1954" s="412" t="s">
        <v>507</v>
      </c>
      <c r="D1954" s="1590"/>
      <c r="E1954" s="2224" t="s">
        <v>3207</v>
      </c>
      <c r="F1954" s="505">
        <v>2239</v>
      </c>
      <c r="G1954" s="2586" t="s">
        <v>3450</v>
      </c>
      <c r="H1954" s="537"/>
      <c r="I1954" s="692">
        <v>2822</v>
      </c>
      <c r="J1954" s="537"/>
      <c r="K1954" s="627"/>
      <c r="L1954" s="536"/>
      <c r="M1954" s="2585">
        <v>3367.25</v>
      </c>
      <c r="N1954" s="43" t="s">
        <v>3454</v>
      </c>
      <c r="O1954" s="86"/>
      <c r="P1954" s="1817" t="e">
        <f>INDEX(#REF!,MATCH(F1954,#REF!,0),2)</f>
        <v>#REF!</v>
      </c>
      <c r="Q1954" s="43"/>
      <c r="R1954" s="43"/>
      <c r="S1954" s="43"/>
      <c r="T1954" s="43"/>
      <c r="U1954" s="43"/>
      <c r="V1954" s="43"/>
      <c r="W1954" s="43"/>
      <c r="X1954" s="43"/>
      <c r="Y1954" s="43"/>
      <c r="Z1954" s="43"/>
      <c r="AA1954" s="43"/>
      <c r="AB1954" s="43"/>
      <c r="AC1954" s="43"/>
      <c r="AD1954" s="43"/>
      <c r="AE1954" s="43"/>
      <c r="AF1954" s="43"/>
      <c r="AG1954" s="43"/>
      <c r="AH1954" s="43"/>
      <c r="AI1954" s="43"/>
      <c r="AJ1954" s="43"/>
      <c r="AK1954" s="43"/>
      <c r="AL1954" s="43"/>
      <c r="AM1954" s="43"/>
      <c r="AN1954" s="43"/>
      <c r="AO1954" s="43"/>
      <c r="AP1954" s="43"/>
      <c r="AQ1954" s="43"/>
      <c r="AR1954" s="43"/>
      <c r="AS1954" s="43"/>
      <c r="AT1954" s="43"/>
      <c r="AU1954" s="43"/>
      <c r="AV1954" s="43"/>
    </row>
    <row r="1955" spans="1:48" ht="45">
      <c r="A1955" s="412" t="s">
        <v>2481</v>
      </c>
      <c r="B1955" s="412" t="s">
        <v>1248</v>
      </c>
      <c r="C1955" s="412" t="s">
        <v>507</v>
      </c>
      <c r="D1955" s="1590"/>
      <c r="E1955" s="2224" t="s">
        <v>3207</v>
      </c>
      <c r="F1955" s="505">
        <v>2239</v>
      </c>
      <c r="G1955" s="2584" t="s">
        <v>3451</v>
      </c>
      <c r="H1955" s="537"/>
      <c r="I1955" s="692">
        <v>80</v>
      </c>
      <c r="J1955" s="537"/>
      <c r="K1955" s="627"/>
      <c r="L1955" s="536"/>
      <c r="M1955" s="2585">
        <v>100</v>
      </c>
      <c r="N1955" s="43" t="s">
        <v>3449</v>
      </c>
      <c r="O1955" s="86"/>
      <c r="P1955" s="1817" t="e">
        <f>INDEX(#REF!,MATCH(F1955,#REF!,0),2)</f>
        <v>#REF!</v>
      </c>
      <c r="Q1955" s="43"/>
      <c r="R1955" s="43"/>
      <c r="S1955" s="43"/>
      <c r="T1955" s="43"/>
      <c r="U1955" s="43"/>
      <c r="V1955" s="43"/>
      <c r="W1955" s="43"/>
      <c r="X1955" s="43"/>
      <c r="Y1955" s="43"/>
      <c r="Z1955" s="43"/>
      <c r="AA1955" s="43"/>
      <c r="AB1955" s="43"/>
      <c r="AC1955" s="43"/>
      <c r="AD1955" s="43"/>
      <c r="AE1955" s="43"/>
      <c r="AF1955" s="43"/>
      <c r="AG1955" s="43"/>
      <c r="AH1955" s="43"/>
      <c r="AI1955" s="43"/>
      <c r="AJ1955" s="43"/>
      <c r="AK1955" s="43"/>
      <c r="AL1955" s="43"/>
      <c r="AM1955" s="43"/>
      <c r="AN1955" s="43"/>
      <c r="AO1955" s="43"/>
      <c r="AP1955" s="43"/>
      <c r="AQ1955" s="43"/>
      <c r="AR1955" s="43"/>
      <c r="AS1955" s="43"/>
      <c r="AT1955" s="43"/>
      <c r="AU1955" s="43"/>
      <c r="AV1955" s="43"/>
    </row>
    <row r="1956" spans="1:48" ht="33.75">
      <c r="A1956" s="412" t="s">
        <v>2482</v>
      </c>
      <c r="B1956" s="412" t="s">
        <v>1248</v>
      </c>
      <c r="C1956" s="412" t="s">
        <v>507</v>
      </c>
      <c r="D1956" s="1590"/>
      <c r="E1956" s="2224" t="s">
        <v>3207</v>
      </c>
      <c r="F1956" s="505">
        <v>2239</v>
      </c>
      <c r="G1956" s="2584" t="s">
        <v>3452</v>
      </c>
      <c r="H1956" s="537"/>
      <c r="I1956" s="692">
        <v>252</v>
      </c>
      <c r="J1956" s="537"/>
      <c r="K1956" s="627"/>
      <c r="L1956" s="536"/>
      <c r="M1956" s="2585">
        <v>92.8</v>
      </c>
      <c r="N1956" s="43" t="s">
        <v>3455</v>
      </c>
      <c r="O1956" s="86"/>
      <c r="P1956" s="1817" t="e">
        <f>INDEX(#REF!,MATCH(F1956,#REF!,0),2)</f>
        <v>#REF!</v>
      </c>
      <c r="Q1956" s="43"/>
      <c r="R1956" s="43"/>
      <c r="S1956" s="43"/>
      <c r="T1956" s="43"/>
      <c r="U1956" s="43"/>
      <c r="V1956" s="43"/>
      <c r="W1956" s="43"/>
      <c r="X1956" s="43"/>
      <c r="Y1956" s="43"/>
      <c r="Z1956" s="43"/>
      <c r="AA1956" s="43"/>
      <c r="AB1956" s="43"/>
      <c r="AC1956" s="43"/>
      <c r="AD1956" s="43"/>
      <c r="AE1956" s="43"/>
      <c r="AF1956" s="43"/>
      <c r="AG1956" s="43"/>
      <c r="AH1956" s="43"/>
      <c r="AI1956" s="43"/>
      <c r="AJ1956" s="43"/>
      <c r="AK1956" s="43"/>
      <c r="AL1956" s="43"/>
      <c r="AM1956" s="43"/>
      <c r="AN1956" s="43"/>
      <c r="AO1956" s="43"/>
      <c r="AP1956" s="43"/>
      <c r="AQ1956" s="43"/>
      <c r="AR1956" s="43"/>
      <c r="AS1956" s="43"/>
      <c r="AT1956" s="43"/>
      <c r="AU1956" s="43"/>
      <c r="AV1956" s="43"/>
    </row>
    <row r="1957" spans="1:48" ht="45">
      <c r="A1957" s="412" t="s">
        <v>1506</v>
      </c>
      <c r="B1957" s="412" t="s">
        <v>1248</v>
      </c>
      <c r="C1957" s="412" t="s">
        <v>507</v>
      </c>
      <c r="D1957" s="1590"/>
      <c r="E1957" s="2224" t="s">
        <v>3207</v>
      </c>
      <c r="F1957" s="505">
        <v>2239</v>
      </c>
      <c r="G1957" s="2584" t="s">
        <v>3453</v>
      </c>
      <c r="H1957" s="537"/>
      <c r="I1957" s="692">
        <v>310</v>
      </c>
      <c r="J1957" s="537"/>
      <c r="K1957" s="627"/>
      <c r="L1957" s="536"/>
      <c r="M1957" s="2585">
        <v>360</v>
      </c>
      <c r="N1957" s="43" t="s">
        <v>3456</v>
      </c>
      <c r="O1957" s="86"/>
      <c r="P1957" s="1817" t="e">
        <f>INDEX(#REF!,MATCH(F1957,#REF!,0),2)</f>
        <v>#REF!</v>
      </c>
      <c r="Q1957" s="43"/>
      <c r="R1957" s="43"/>
      <c r="S1957" s="43"/>
      <c r="T1957" s="43"/>
      <c r="U1957" s="43"/>
      <c r="V1957" s="43"/>
      <c r="W1957" s="43"/>
      <c r="X1957" s="43"/>
      <c r="Y1957" s="43"/>
      <c r="Z1957" s="43"/>
      <c r="AA1957" s="43"/>
      <c r="AB1957" s="43"/>
      <c r="AC1957" s="43"/>
      <c r="AD1957" s="43"/>
      <c r="AE1957" s="43"/>
      <c r="AF1957" s="43"/>
      <c r="AG1957" s="43"/>
      <c r="AH1957" s="43"/>
      <c r="AI1957" s="43"/>
      <c r="AJ1957" s="43"/>
      <c r="AK1957" s="43"/>
      <c r="AL1957" s="43"/>
      <c r="AM1957" s="43"/>
      <c r="AN1957" s="43"/>
      <c r="AO1957" s="43"/>
      <c r="AP1957" s="43"/>
      <c r="AQ1957" s="43"/>
      <c r="AR1957" s="43"/>
      <c r="AS1957" s="43"/>
      <c r="AT1957" s="43"/>
      <c r="AU1957" s="43"/>
      <c r="AV1957" s="43"/>
    </row>
    <row r="1958" spans="1:48">
      <c r="A1958" s="506" t="s">
        <v>710</v>
      </c>
      <c r="B1958" s="775" t="s">
        <v>1249</v>
      </c>
      <c r="C1958" s="506" t="s">
        <v>570</v>
      </c>
      <c r="D1958" s="1589"/>
      <c r="E1958" s="2223" t="s">
        <v>3207</v>
      </c>
      <c r="F1958" s="540">
        <v>2239</v>
      </c>
      <c r="G1958" s="411" t="s">
        <v>1801</v>
      </c>
      <c r="H1958" s="508">
        <v>4000</v>
      </c>
      <c r="I1958" s="508"/>
      <c r="J1958" s="509"/>
      <c r="K1958" s="538"/>
      <c r="L1958" s="508">
        <v>4000</v>
      </c>
      <c r="M1958" s="508"/>
      <c r="N1958" s="1025"/>
      <c r="O1958" s="86"/>
      <c r="P1958" s="1817" t="e">
        <f>INDEX(#REF!,MATCH(F1958,#REF!,0),2)</f>
        <v>#REF!</v>
      </c>
      <c r="Q1958" s="43"/>
      <c r="R1958" s="43"/>
      <c r="S1958" s="43"/>
      <c r="T1958" s="43"/>
      <c r="U1958" s="43"/>
      <c r="V1958" s="43"/>
      <c r="W1958" s="43"/>
      <c r="X1958" s="43"/>
      <c r="Y1958" s="43"/>
      <c r="Z1958" s="43"/>
      <c r="AA1958" s="43"/>
      <c r="AB1958" s="43"/>
      <c r="AC1958" s="43"/>
      <c r="AD1958" s="43"/>
      <c r="AE1958" s="43"/>
      <c r="AF1958" s="43"/>
      <c r="AG1958" s="43"/>
      <c r="AH1958" s="43"/>
      <c r="AI1958" s="43"/>
      <c r="AJ1958" s="43"/>
      <c r="AK1958" s="43"/>
      <c r="AL1958" s="43"/>
      <c r="AM1958" s="43"/>
      <c r="AN1958" s="43"/>
      <c r="AO1958" s="43"/>
      <c r="AP1958" s="43"/>
      <c r="AQ1958" s="43"/>
      <c r="AR1958" s="43"/>
      <c r="AS1958" s="43"/>
      <c r="AT1958" s="43"/>
      <c r="AU1958" s="43"/>
      <c r="AV1958" s="43"/>
    </row>
    <row r="1959" spans="1:48" ht="22.5">
      <c r="A1959" s="412" t="s">
        <v>710</v>
      </c>
      <c r="B1959" s="412" t="s">
        <v>1249</v>
      </c>
      <c r="C1959" s="412" t="s">
        <v>570</v>
      </c>
      <c r="D1959" s="1590"/>
      <c r="E1959" s="2224" t="s">
        <v>3207</v>
      </c>
      <c r="F1959" s="505">
        <v>2239</v>
      </c>
      <c r="G1959" s="1399" t="s">
        <v>3208</v>
      </c>
      <c r="H1959" s="537"/>
      <c r="I1959" s="692">
        <v>4000</v>
      </c>
      <c r="J1959" s="537"/>
      <c r="K1959" s="627"/>
      <c r="L1959" s="536"/>
      <c r="M1959" s="2585">
        <v>4000</v>
      </c>
      <c r="N1959" s="43" t="s">
        <v>3457</v>
      </c>
      <c r="O1959" s="86"/>
      <c r="P1959" s="1817" t="e">
        <f>INDEX(#REF!,MATCH(F1959,#REF!,0),2)</f>
        <v>#REF!</v>
      </c>
      <c r="Q1959" s="43"/>
      <c r="R1959" s="43"/>
      <c r="S1959" s="43"/>
      <c r="T1959" s="43"/>
      <c r="U1959" s="43"/>
      <c r="V1959" s="43"/>
      <c r="W1959" s="43"/>
      <c r="X1959" s="43"/>
      <c r="Y1959" s="43"/>
      <c r="Z1959" s="43"/>
      <c r="AA1959" s="43"/>
      <c r="AB1959" s="43"/>
      <c r="AC1959" s="43"/>
      <c r="AD1959" s="43"/>
      <c r="AE1959" s="43"/>
      <c r="AF1959" s="43"/>
      <c r="AG1959" s="43"/>
      <c r="AH1959" s="43"/>
      <c r="AI1959" s="43"/>
      <c r="AJ1959" s="43"/>
      <c r="AK1959" s="43"/>
      <c r="AL1959" s="43"/>
      <c r="AM1959" s="43"/>
      <c r="AN1959" s="43"/>
      <c r="AO1959" s="43"/>
      <c r="AP1959" s="43"/>
      <c r="AQ1959" s="43"/>
      <c r="AR1959" s="43"/>
      <c r="AS1959" s="43"/>
      <c r="AT1959" s="43"/>
      <c r="AU1959" s="43"/>
      <c r="AV1959" s="43"/>
    </row>
    <row r="1960" spans="1:48">
      <c r="A1960" s="506"/>
      <c r="B1960" s="775" t="s">
        <v>1248</v>
      </c>
      <c r="C1960" s="506" t="s">
        <v>507</v>
      </c>
      <c r="D1960" s="1589"/>
      <c r="E1960" s="2223" t="s">
        <v>3207</v>
      </c>
      <c r="F1960" s="540">
        <v>2264</v>
      </c>
      <c r="G1960" s="411" t="s">
        <v>3045</v>
      </c>
      <c r="H1960" s="508">
        <v>242</v>
      </c>
      <c r="I1960" s="508"/>
      <c r="J1960" s="509">
        <v>242</v>
      </c>
      <c r="K1960" s="538"/>
      <c r="L1960" s="508"/>
      <c r="M1960" s="508"/>
      <c r="N1960" s="1025"/>
      <c r="O1960" s="86"/>
      <c r="P1960" s="1817" t="e">
        <f>INDEX(#REF!,MATCH(F1960,#REF!,0),2)</f>
        <v>#REF!</v>
      </c>
      <c r="Q1960" s="43"/>
      <c r="R1960" s="43"/>
      <c r="S1960" s="43"/>
      <c r="T1960" s="43"/>
      <c r="U1960" s="43"/>
      <c r="V1960" s="43"/>
      <c r="W1960" s="43"/>
      <c r="X1960" s="43"/>
      <c r="Y1960" s="43"/>
      <c r="Z1960" s="43"/>
      <c r="AA1960" s="43"/>
      <c r="AB1960" s="43"/>
      <c r="AC1960" s="43"/>
      <c r="AD1960" s="43"/>
      <c r="AE1960" s="43"/>
      <c r="AF1960" s="43"/>
      <c r="AG1960" s="43"/>
      <c r="AH1960" s="43"/>
      <c r="AI1960" s="43"/>
      <c r="AJ1960" s="43"/>
      <c r="AK1960" s="43"/>
      <c r="AL1960" s="43"/>
      <c r="AM1960" s="43"/>
      <c r="AN1960" s="43"/>
      <c r="AO1960" s="43"/>
      <c r="AP1960" s="43"/>
      <c r="AQ1960" s="43"/>
      <c r="AR1960" s="43"/>
      <c r="AS1960" s="43"/>
      <c r="AT1960" s="43"/>
      <c r="AU1960" s="43"/>
      <c r="AV1960" s="43"/>
    </row>
    <row r="1961" spans="1:48">
      <c r="A1961" s="412" t="s">
        <v>2480</v>
      </c>
      <c r="B1961" s="412" t="s">
        <v>1248</v>
      </c>
      <c r="C1961" s="412" t="s">
        <v>507</v>
      </c>
      <c r="D1961" s="1590"/>
      <c r="E1961" s="2224" t="s">
        <v>3207</v>
      </c>
      <c r="F1961" s="505">
        <v>2264</v>
      </c>
      <c r="G1961" s="2586" t="s">
        <v>5725</v>
      </c>
      <c r="H1961" s="537"/>
      <c r="I1961" s="692"/>
      <c r="J1961" s="537"/>
      <c r="K1961" s="627"/>
      <c r="L1961" s="536"/>
      <c r="M1961" s="2585"/>
      <c r="N1961" s="43"/>
      <c r="O1961" s="86"/>
      <c r="P1961" s="1817" t="e">
        <f>INDEX(#REF!,MATCH(F1961,#REF!,0),2)</f>
        <v>#REF!</v>
      </c>
      <c r="Q1961" s="43"/>
      <c r="R1961" s="43"/>
      <c r="S1961" s="43"/>
      <c r="T1961" s="43"/>
      <c r="U1961" s="43"/>
      <c r="V1961" s="43"/>
      <c r="W1961" s="43"/>
      <c r="X1961" s="43"/>
      <c r="Y1961" s="43"/>
      <c r="Z1961" s="43"/>
      <c r="AA1961" s="43"/>
      <c r="AB1961" s="43"/>
      <c r="AC1961" s="43"/>
      <c r="AD1961" s="43"/>
      <c r="AE1961" s="43"/>
      <c r="AF1961" s="43"/>
      <c r="AG1961" s="43"/>
      <c r="AH1961" s="43"/>
      <c r="AI1961" s="43"/>
      <c r="AJ1961" s="43"/>
      <c r="AK1961" s="43"/>
      <c r="AL1961" s="43"/>
      <c r="AM1961" s="43"/>
      <c r="AN1961" s="43"/>
      <c r="AO1961" s="43"/>
      <c r="AP1961" s="43"/>
      <c r="AQ1961" s="43"/>
      <c r="AR1961" s="43"/>
      <c r="AS1961" s="43"/>
      <c r="AT1961" s="43"/>
      <c r="AU1961" s="43"/>
      <c r="AV1961" s="43"/>
    </row>
    <row r="1962" spans="1:48">
      <c r="A1962" s="506"/>
      <c r="B1962" s="775" t="s">
        <v>1248</v>
      </c>
      <c r="C1962" s="506" t="s">
        <v>507</v>
      </c>
      <c r="D1962" s="1589"/>
      <c r="E1962" s="2223" t="s">
        <v>3207</v>
      </c>
      <c r="F1962" s="540">
        <v>2311</v>
      </c>
      <c r="G1962" s="411" t="s">
        <v>426</v>
      </c>
      <c r="H1962" s="508">
        <v>643</v>
      </c>
      <c r="I1962" s="508"/>
      <c r="J1962" s="509">
        <v>212</v>
      </c>
      <c r="K1962" s="538"/>
      <c r="L1962" s="508">
        <v>528</v>
      </c>
      <c r="M1962" s="508"/>
      <c r="N1962" s="1025"/>
      <c r="O1962" s="86"/>
      <c r="P1962" s="1817" t="e">
        <f>INDEX(#REF!,MATCH(F1962,#REF!,0),2)</f>
        <v>#REF!</v>
      </c>
      <c r="Q1962" s="43"/>
      <c r="R1962" s="43"/>
      <c r="S1962" s="43"/>
      <c r="T1962" s="43"/>
      <c r="U1962" s="43"/>
      <c r="V1962" s="43"/>
      <c r="W1962" s="43"/>
      <c r="X1962" s="43"/>
      <c r="Y1962" s="43"/>
      <c r="Z1962" s="43"/>
      <c r="AA1962" s="43"/>
      <c r="AB1962" s="43"/>
      <c r="AC1962" s="43"/>
      <c r="AD1962" s="43"/>
      <c r="AE1962" s="43"/>
      <c r="AF1962" s="43"/>
      <c r="AG1962" s="43"/>
      <c r="AH1962" s="43"/>
      <c r="AI1962" s="43"/>
      <c r="AJ1962" s="43"/>
      <c r="AK1962" s="43"/>
      <c r="AL1962" s="43"/>
      <c r="AM1962" s="43"/>
      <c r="AN1962" s="43"/>
      <c r="AO1962" s="43"/>
      <c r="AP1962" s="43"/>
      <c r="AQ1962" s="43"/>
      <c r="AR1962" s="43"/>
      <c r="AS1962" s="43"/>
      <c r="AT1962" s="43"/>
      <c r="AU1962" s="43"/>
      <c r="AV1962" s="43"/>
    </row>
    <row r="1963" spans="1:48" ht="56.25">
      <c r="A1963" s="412"/>
      <c r="B1963" s="412" t="s">
        <v>1248</v>
      </c>
      <c r="C1963" s="412" t="s">
        <v>507</v>
      </c>
      <c r="D1963" s="1590"/>
      <c r="E1963" s="2224" t="s">
        <v>3207</v>
      </c>
      <c r="F1963" s="505">
        <v>2311</v>
      </c>
      <c r="G1963" s="2584" t="s">
        <v>3461</v>
      </c>
      <c r="H1963" s="537"/>
      <c r="I1963" s="692">
        <v>643</v>
      </c>
      <c r="J1963" s="537"/>
      <c r="K1963" s="627"/>
      <c r="L1963" s="536"/>
      <c r="M1963" s="2585">
        <v>528</v>
      </c>
      <c r="N1963" s="43" t="s">
        <v>3462</v>
      </c>
      <c r="O1963" s="86"/>
      <c r="P1963" s="1817" t="e">
        <f>INDEX(#REF!,MATCH(F1963,#REF!,0),2)</f>
        <v>#REF!</v>
      </c>
      <c r="Q1963" s="43"/>
      <c r="R1963" s="43"/>
      <c r="S1963" s="43"/>
      <c r="T1963" s="43"/>
      <c r="U1963" s="43"/>
      <c r="V1963" s="43"/>
      <c r="W1963" s="43"/>
      <c r="X1963" s="43"/>
      <c r="Y1963" s="43"/>
      <c r="Z1963" s="43"/>
      <c r="AA1963" s="43"/>
      <c r="AB1963" s="43"/>
      <c r="AC1963" s="43"/>
      <c r="AD1963" s="43"/>
      <c r="AE1963" s="43"/>
      <c r="AF1963" s="43"/>
      <c r="AG1963" s="43"/>
      <c r="AH1963" s="43"/>
      <c r="AI1963" s="43"/>
      <c r="AJ1963" s="43"/>
      <c r="AK1963" s="43"/>
      <c r="AL1963" s="43"/>
      <c r="AM1963" s="43"/>
      <c r="AN1963" s="43"/>
      <c r="AO1963" s="43"/>
      <c r="AP1963" s="43"/>
      <c r="AQ1963" s="43"/>
      <c r="AR1963" s="43"/>
      <c r="AS1963" s="43"/>
      <c r="AT1963" s="43"/>
      <c r="AU1963" s="43"/>
      <c r="AV1963" s="43"/>
    </row>
    <row r="1964" spans="1:48">
      <c r="A1964" s="506"/>
      <c r="B1964" s="775" t="s">
        <v>1248</v>
      </c>
      <c r="C1964" s="506" t="s">
        <v>507</v>
      </c>
      <c r="D1964" s="1589"/>
      <c r="E1964" s="2223" t="s">
        <v>3207</v>
      </c>
      <c r="F1964" s="540">
        <v>2312</v>
      </c>
      <c r="G1964" s="411" t="s">
        <v>363</v>
      </c>
      <c r="H1964" s="508">
        <v>2970</v>
      </c>
      <c r="I1964" s="508"/>
      <c r="J1964" s="509">
        <v>2027</v>
      </c>
      <c r="K1964" s="538"/>
      <c r="L1964" s="508">
        <v>1420</v>
      </c>
      <c r="M1964" s="508"/>
      <c r="N1964" s="1025"/>
      <c r="O1964" s="86"/>
      <c r="P1964" s="1817" t="e">
        <f>INDEX(#REF!,MATCH(F1964,#REF!,0),2)</f>
        <v>#REF!</v>
      </c>
      <c r="Q1964" s="43"/>
      <c r="R1964" s="43"/>
      <c r="S1964" s="43"/>
      <c r="T1964" s="43"/>
      <c r="U1964" s="43"/>
      <c r="V1964" s="43"/>
      <c r="W1964" s="43"/>
      <c r="X1964" s="43"/>
      <c r="Y1964" s="43"/>
      <c r="Z1964" s="43"/>
      <c r="AA1964" s="43"/>
      <c r="AB1964" s="43"/>
      <c r="AC1964" s="43"/>
      <c r="AD1964" s="43"/>
      <c r="AE1964" s="43"/>
      <c r="AF1964" s="43"/>
      <c r="AG1964" s="43"/>
      <c r="AH1964" s="43"/>
      <c r="AI1964" s="43"/>
      <c r="AJ1964" s="43"/>
      <c r="AK1964" s="43"/>
      <c r="AL1964" s="43"/>
      <c r="AM1964" s="43"/>
      <c r="AN1964" s="43"/>
      <c r="AO1964" s="43"/>
      <c r="AP1964" s="43"/>
      <c r="AQ1964" s="43"/>
      <c r="AR1964" s="43"/>
      <c r="AS1964" s="43"/>
      <c r="AT1964" s="43"/>
      <c r="AU1964" s="43"/>
      <c r="AV1964" s="43"/>
    </row>
    <row r="1965" spans="1:48" ht="33.75">
      <c r="A1965" s="412"/>
      <c r="B1965" s="412" t="s">
        <v>1248</v>
      </c>
      <c r="C1965" s="412" t="s">
        <v>507</v>
      </c>
      <c r="D1965" s="1590"/>
      <c r="E1965" s="2224" t="s">
        <v>3207</v>
      </c>
      <c r="F1965" s="505">
        <v>2312</v>
      </c>
      <c r="G1965" s="2584" t="s">
        <v>3459</v>
      </c>
      <c r="H1965" s="537"/>
      <c r="I1965" s="692">
        <v>2970</v>
      </c>
      <c r="J1965" s="537"/>
      <c r="K1965" s="627"/>
      <c r="L1965" s="536"/>
      <c r="M1965" s="2585">
        <v>1420</v>
      </c>
      <c r="N1965" s="43" t="s">
        <v>3458</v>
      </c>
      <c r="O1965" s="86"/>
      <c r="P1965" s="1817" t="e">
        <f>INDEX(#REF!,MATCH(F1965,#REF!,0),2)</f>
        <v>#REF!</v>
      </c>
      <c r="Q1965" s="43"/>
      <c r="R1965" s="43"/>
      <c r="S1965" s="43"/>
      <c r="T1965" s="43"/>
      <c r="U1965" s="43"/>
      <c r="V1965" s="43"/>
      <c r="W1965" s="43"/>
      <c r="X1965" s="43"/>
      <c r="Y1965" s="43"/>
      <c r="Z1965" s="43"/>
      <c r="AA1965" s="43"/>
      <c r="AB1965" s="43"/>
      <c r="AC1965" s="43"/>
      <c r="AD1965" s="43"/>
      <c r="AE1965" s="43"/>
      <c r="AF1965" s="43"/>
      <c r="AG1965" s="43"/>
      <c r="AH1965" s="43"/>
      <c r="AI1965" s="43"/>
      <c r="AJ1965" s="43"/>
      <c r="AK1965" s="43"/>
      <c r="AL1965" s="43"/>
      <c r="AM1965" s="43"/>
      <c r="AN1965" s="43"/>
      <c r="AO1965" s="43"/>
      <c r="AP1965" s="43"/>
      <c r="AQ1965" s="43"/>
      <c r="AR1965" s="43"/>
      <c r="AS1965" s="43"/>
      <c r="AT1965" s="43"/>
      <c r="AU1965" s="43"/>
      <c r="AV1965" s="43"/>
    </row>
    <row r="1966" spans="1:48" ht="22.5">
      <c r="A1966" s="506"/>
      <c r="B1966" s="775" t="s">
        <v>1248</v>
      </c>
      <c r="C1966" s="506" t="s">
        <v>507</v>
      </c>
      <c r="D1966" s="1589"/>
      <c r="E1966" s="2223" t="s">
        <v>3207</v>
      </c>
      <c r="F1966" s="540">
        <v>2314</v>
      </c>
      <c r="G1966" s="411" t="s">
        <v>3761</v>
      </c>
      <c r="H1966" s="508">
        <v>1370</v>
      </c>
      <c r="I1966" s="508"/>
      <c r="J1966" s="509">
        <v>1139</v>
      </c>
      <c r="K1966" s="538"/>
      <c r="L1966" s="508">
        <v>2235.12</v>
      </c>
      <c r="M1966" s="508"/>
      <c r="N1966" s="1025"/>
      <c r="O1966" s="86"/>
      <c r="P1966" s="1817" t="e">
        <f>INDEX(#REF!,MATCH(F1966,#REF!,0),2)</f>
        <v>#REF!</v>
      </c>
      <c r="Q1966" s="43"/>
      <c r="R1966" s="43"/>
      <c r="S1966" s="43"/>
      <c r="T1966" s="43"/>
      <c r="U1966" s="43"/>
      <c r="V1966" s="43"/>
      <c r="W1966" s="43"/>
      <c r="X1966" s="43"/>
      <c r="Y1966" s="43"/>
      <c r="Z1966" s="43"/>
      <c r="AA1966" s="43"/>
      <c r="AB1966" s="43"/>
      <c r="AC1966" s="43"/>
      <c r="AD1966" s="43"/>
      <c r="AE1966" s="43"/>
      <c r="AF1966" s="43"/>
      <c r="AG1966" s="43"/>
      <c r="AH1966" s="43"/>
      <c r="AI1966" s="43"/>
      <c r="AJ1966" s="43"/>
      <c r="AK1966" s="43"/>
      <c r="AL1966" s="43"/>
      <c r="AM1966" s="43"/>
      <c r="AN1966" s="43"/>
      <c r="AO1966" s="43"/>
      <c r="AP1966" s="43"/>
      <c r="AQ1966" s="43"/>
      <c r="AR1966" s="43"/>
      <c r="AS1966" s="43"/>
      <c r="AT1966" s="43"/>
      <c r="AU1966" s="43"/>
      <c r="AV1966" s="43"/>
    </row>
    <row r="1967" spans="1:48" ht="56.25">
      <c r="A1967" s="412"/>
      <c r="B1967" s="412" t="s">
        <v>1248</v>
      </c>
      <c r="C1967" s="412" t="s">
        <v>507</v>
      </c>
      <c r="D1967" s="1590"/>
      <c r="E1967" s="2224" t="s">
        <v>3207</v>
      </c>
      <c r="F1967" s="505">
        <v>2314</v>
      </c>
      <c r="G1967" s="2586" t="s">
        <v>3450</v>
      </c>
      <c r="H1967" s="537"/>
      <c r="I1967" s="692">
        <v>883</v>
      </c>
      <c r="J1967" s="537"/>
      <c r="K1967" s="627"/>
      <c r="L1967" s="536"/>
      <c r="M1967" s="2585">
        <v>1044.4699999999998</v>
      </c>
      <c r="N1967" s="43" t="s">
        <v>3454</v>
      </c>
      <c r="O1967" s="86"/>
      <c r="P1967" s="1817" t="e">
        <f>INDEX(#REF!,MATCH(F1967,#REF!,0),2)</f>
        <v>#REF!</v>
      </c>
      <c r="Q1967" s="43"/>
      <c r="R1967" s="43"/>
      <c r="S1967" s="43"/>
      <c r="T1967" s="43"/>
      <c r="U1967" s="43"/>
      <c r="V1967" s="43"/>
      <c r="W1967" s="43"/>
      <c r="X1967" s="43"/>
      <c r="Y1967" s="43"/>
      <c r="Z1967" s="43"/>
      <c r="AA1967" s="43"/>
      <c r="AB1967" s="43"/>
      <c r="AC1967" s="43"/>
      <c r="AD1967" s="43"/>
      <c r="AE1967" s="43"/>
      <c r="AF1967" s="43"/>
      <c r="AG1967" s="43"/>
      <c r="AH1967" s="43"/>
      <c r="AI1967" s="43"/>
      <c r="AJ1967" s="43"/>
      <c r="AK1967" s="43"/>
      <c r="AL1967" s="43"/>
      <c r="AM1967" s="43"/>
      <c r="AN1967" s="43"/>
      <c r="AO1967" s="43"/>
      <c r="AP1967" s="43"/>
      <c r="AQ1967" s="43"/>
      <c r="AR1967" s="43"/>
      <c r="AS1967" s="43"/>
      <c r="AT1967" s="43"/>
      <c r="AU1967" s="43"/>
      <c r="AV1967" s="43"/>
    </row>
    <row r="1968" spans="1:48" ht="33.75">
      <c r="A1968" s="1882"/>
      <c r="B1968" s="412" t="s">
        <v>1248</v>
      </c>
      <c r="C1968" s="412" t="s">
        <v>507</v>
      </c>
      <c r="D1968" s="1590"/>
      <c r="E1968" s="2224" t="s">
        <v>3207</v>
      </c>
      <c r="F1968" s="505">
        <v>2314</v>
      </c>
      <c r="G1968" s="2584" t="s">
        <v>3452</v>
      </c>
      <c r="H1968" s="1571"/>
      <c r="I1968" s="2361">
        <v>300</v>
      </c>
      <c r="J1968" s="1571"/>
      <c r="K1968" s="2362"/>
      <c r="L1968" s="1644"/>
      <c r="M1968" s="2588">
        <v>500</v>
      </c>
      <c r="N1968" s="43" t="s">
        <v>3455</v>
      </c>
      <c r="O1968" s="86"/>
      <c r="P1968" s="1817" t="e">
        <f>INDEX(#REF!,MATCH(F1968,#REF!,0),2)</f>
        <v>#REF!</v>
      </c>
      <c r="Q1968" s="43"/>
      <c r="R1968" s="43"/>
      <c r="S1968" s="43"/>
      <c r="T1968" s="43"/>
      <c r="U1968" s="43"/>
      <c r="V1968" s="43"/>
      <c r="W1968" s="43"/>
      <c r="X1968" s="43"/>
      <c r="Y1968" s="43"/>
      <c r="Z1968" s="43"/>
      <c r="AA1968" s="43"/>
      <c r="AB1968" s="43"/>
      <c r="AC1968" s="43"/>
      <c r="AD1968" s="43"/>
      <c r="AE1968" s="43"/>
      <c r="AF1968" s="43"/>
      <c r="AG1968" s="43"/>
      <c r="AH1968" s="43"/>
      <c r="AI1968" s="43"/>
      <c r="AJ1968" s="43"/>
      <c r="AK1968" s="43"/>
      <c r="AL1968" s="43"/>
      <c r="AM1968" s="43"/>
      <c r="AN1968" s="43"/>
      <c r="AO1968" s="43"/>
      <c r="AP1968" s="43"/>
      <c r="AQ1968" s="43"/>
      <c r="AR1968" s="43"/>
      <c r="AS1968" s="43"/>
      <c r="AT1968" s="43"/>
      <c r="AU1968" s="43"/>
      <c r="AV1968" s="43"/>
    </row>
    <row r="1969" spans="1:48" ht="45">
      <c r="A1969" s="412"/>
      <c r="B1969" s="412" t="s">
        <v>1248</v>
      </c>
      <c r="C1969" s="412" t="s">
        <v>507</v>
      </c>
      <c r="D1969" s="1590"/>
      <c r="E1969" s="2224" t="s">
        <v>3207</v>
      </c>
      <c r="F1969" s="505">
        <v>2314</v>
      </c>
      <c r="G1969" s="2584" t="s">
        <v>3453</v>
      </c>
      <c r="H1969" s="537"/>
      <c r="I1969" s="692">
        <v>187</v>
      </c>
      <c r="J1969" s="537"/>
      <c r="K1969" s="627"/>
      <c r="L1969" s="536"/>
      <c r="M1969" s="2585">
        <v>316.64999999999998</v>
      </c>
      <c r="N1969" s="43" t="s">
        <v>3456</v>
      </c>
      <c r="O1969" s="86"/>
      <c r="P1969" s="1817" t="e">
        <f>INDEX(#REF!,MATCH(F1969,#REF!,0),2)</f>
        <v>#REF!</v>
      </c>
      <c r="Q1969" s="43"/>
      <c r="R1969" s="43"/>
      <c r="S1969" s="43"/>
      <c r="T1969" s="43"/>
      <c r="U1969" s="43"/>
      <c r="V1969" s="43"/>
      <c r="W1969" s="43"/>
      <c r="X1969" s="43"/>
      <c r="Y1969" s="43"/>
      <c r="Z1969" s="43"/>
      <c r="AA1969" s="43"/>
      <c r="AB1969" s="43"/>
      <c r="AC1969" s="43"/>
      <c r="AD1969" s="43"/>
      <c r="AE1969" s="43"/>
      <c r="AF1969" s="43"/>
      <c r="AG1969" s="43"/>
      <c r="AH1969" s="43"/>
      <c r="AI1969" s="43"/>
      <c r="AJ1969" s="43"/>
      <c r="AK1969" s="43"/>
      <c r="AL1969" s="43"/>
      <c r="AM1969" s="43"/>
      <c r="AN1969" s="43"/>
      <c r="AO1969" s="43"/>
      <c r="AP1969" s="43"/>
      <c r="AQ1969" s="43"/>
      <c r="AR1969" s="43"/>
      <c r="AS1969" s="43"/>
      <c r="AT1969" s="43"/>
      <c r="AU1969" s="43"/>
      <c r="AV1969" s="43"/>
    </row>
    <row r="1970" spans="1:48" ht="33.75">
      <c r="A1970" s="2587"/>
      <c r="B1970" s="412" t="s">
        <v>1248</v>
      </c>
      <c r="C1970" s="412" t="s">
        <v>507</v>
      </c>
      <c r="D1970" s="1590"/>
      <c r="E1970" s="2224" t="s">
        <v>3207</v>
      </c>
      <c r="F1970" s="505">
        <v>2314</v>
      </c>
      <c r="G1970" s="2584" t="s">
        <v>3459</v>
      </c>
      <c r="H1970" s="1571"/>
      <c r="I1970" s="2361"/>
      <c r="J1970" s="1571"/>
      <c r="K1970" s="2362"/>
      <c r="L1970" s="1644"/>
      <c r="M1970" s="2588">
        <v>374</v>
      </c>
      <c r="N1970" s="43" t="s">
        <v>3458</v>
      </c>
      <c r="O1970" s="86"/>
      <c r="P1970" s="1817"/>
      <c r="Q1970" s="43"/>
      <c r="R1970" s="43"/>
      <c r="S1970" s="43"/>
      <c r="T1970" s="43"/>
      <c r="U1970" s="43"/>
      <c r="V1970" s="43"/>
      <c r="W1970" s="43"/>
      <c r="X1970" s="43"/>
      <c r="Y1970" s="43"/>
      <c r="Z1970" s="43"/>
      <c r="AA1970" s="43"/>
      <c r="AB1970" s="43"/>
      <c r="AC1970" s="43"/>
      <c r="AD1970" s="43"/>
      <c r="AE1970" s="43"/>
      <c r="AF1970" s="43"/>
      <c r="AG1970" s="43"/>
      <c r="AH1970" s="43"/>
      <c r="AI1970" s="43"/>
      <c r="AJ1970" s="43"/>
      <c r="AK1970" s="43"/>
      <c r="AL1970" s="43"/>
      <c r="AM1970" s="43"/>
      <c r="AN1970" s="43"/>
      <c r="AO1970" s="43"/>
      <c r="AP1970" s="43"/>
      <c r="AQ1970" s="43"/>
      <c r="AR1970" s="43"/>
      <c r="AS1970" s="43"/>
      <c r="AT1970" s="43"/>
      <c r="AU1970" s="43"/>
      <c r="AV1970" s="43"/>
    </row>
    <row r="1971" spans="1:48">
      <c r="A1971" s="506"/>
      <c r="B1971" s="775" t="s">
        <v>1248</v>
      </c>
      <c r="C1971" s="506" t="s">
        <v>507</v>
      </c>
      <c r="D1971" s="1589"/>
      <c r="E1971" s="2223" t="s">
        <v>3207</v>
      </c>
      <c r="F1971" s="540">
        <v>2350</v>
      </c>
      <c r="G1971" s="411" t="s">
        <v>1984</v>
      </c>
      <c r="H1971" s="508">
        <v>220</v>
      </c>
      <c r="I1971" s="508"/>
      <c r="J1971" s="509">
        <v>49</v>
      </c>
      <c r="K1971" s="538"/>
      <c r="L1971" s="508">
        <v>0</v>
      </c>
      <c r="M1971" s="508"/>
      <c r="N1971" s="1025"/>
      <c r="O1971" s="86"/>
      <c r="P1971" s="1817" t="e">
        <f>INDEX(#REF!,MATCH(F1971,#REF!,0),2)</f>
        <v>#REF!</v>
      </c>
      <c r="Q1971" s="43"/>
      <c r="R1971" s="43"/>
      <c r="S1971" s="43"/>
      <c r="T1971" s="43"/>
      <c r="U1971" s="43"/>
      <c r="V1971" s="43"/>
      <c r="W1971" s="43"/>
      <c r="X1971" s="43"/>
      <c r="Y1971" s="43"/>
      <c r="Z1971" s="43"/>
      <c r="AA1971" s="43"/>
      <c r="AB1971" s="43"/>
      <c r="AC1971" s="43"/>
      <c r="AD1971" s="43"/>
      <c r="AE1971" s="43"/>
      <c r="AF1971" s="43"/>
      <c r="AG1971" s="43"/>
      <c r="AH1971" s="43"/>
      <c r="AI1971" s="43"/>
      <c r="AJ1971" s="43"/>
      <c r="AK1971" s="43"/>
      <c r="AL1971" s="43"/>
      <c r="AM1971" s="43"/>
      <c r="AN1971" s="43"/>
      <c r="AO1971" s="43"/>
      <c r="AP1971" s="43"/>
      <c r="AQ1971" s="43"/>
      <c r="AR1971" s="43"/>
      <c r="AS1971" s="43"/>
      <c r="AT1971" s="43"/>
      <c r="AU1971" s="43"/>
      <c r="AV1971" s="43"/>
    </row>
    <row r="1972" spans="1:48" ht="45">
      <c r="A1972" s="412"/>
      <c r="B1972" s="412" t="s">
        <v>1248</v>
      </c>
      <c r="C1972" s="412" t="s">
        <v>507</v>
      </c>
      <c r="D1972" s="1590"/>
      <c r="E1972" s="2224" t="s">
        <v>3207</v>
      </c>
      <c r="F1972" s="505">
        <v>2350</v>
      </c>
      <c r="G1972" s="1399" t="s">
        <v>3223</v>
      </c>
      <c r="H1972" s="537"/>
      <c r="I1972" s="692">
        <v>220</v>
      </c>
      <c r="J1972" s="537"/>
      <c r="K1972" s="627"/>
      <c r="L1972" s="536"/>
      <c r="M1972" s="2585">
        <v>0</v>
      </c>
      <c r="N1972" s="1025"/>
      <c r="O1972" s="86"/>
      <c r="P1972" s="1817" t="e">
        <f>INDEX(#REF!,MATCH(F1972,#REF!,0),2)</f>
        <v>#REF!</v>
      </c>
      <c r="Q1972" s="43"/>
      <c r="R1972" s="43"/>
      <c r="S1972" s="43"/>
      <c r="T1972" s="43"/>
      <c r="U1972" s="43"/>
      <c r="V1972" s="43"/>
      <c r="W1972" s="43"/>
      <c r="X1972" s="43"/>
      <c r="Y1972" s="43"/>
      <c r="Z1972" s="43"/>
      <c r="AA1972" s="43"/>
      <c r="AB1972" s="43"/>
      <c r="AC1972" s="43"/>
      <c r="AD1972" s="43"/>
      <c r="AE1972" s="43"/>
      <c r="AF1972" s="43"/>
      <c r="AG1972" s="43"/>
      <c r="AH1972" s="43"/>
      <c r="AI1972" s="43"/>
      <c r="AJ1972" s="43"/>
      <c r="AK1972" s="43"/>
      <c r="AL1972" s="43"/>
      <c r="AM1972" s="43"/>
      <c r="AN1972" s="43"/>
      <c r="AO1972" s="43"/>
      <c r="AP1972" s="43"/>
      <c r="AQ1972" s="43"/>
      <c r="AR1972" s="43"/>
      <c r="AS1972" s="43"/>
      <c r="AT1972" s="43"/>
      <c r="AU1972" s="43"/>
      <c r="AV1972" s="43"/>
    </row>
    <row r="1973" spans="1:48" ht="13.9" customHeight="1">
      <c r="A1973" s="506"/>
      <c r="B1973" s="775" t="s">
        <v>1248</v>
      </c>
      <c r="C1973" s="506" t="s">
        <v>507</v>
      </c>
      <c r="D1973" s="1589"/>
      <c r="E1973" s="2223" t="s">
        <v>3207</v>
      </c>
      <c r="F1973" s="540">
        <v>5238</v>
      </c>
      <c r="G1973" s="411" t="s">
        <v>257</v>
      </c>
      <c r="H1973" s="508">
        <v>1452</v>
      </c>
      <c r="I1973" s="508"/>
      <c r="J1973" s="509">
        <v>1285</v>
      </c>
      <c r="K1973" s="538"/>
      <c r="L1973" s="508">
        <v>2100</v>
      </c>
      <c r="M1973" s="508"/>
      <c r="N1973" s="1025"/>
      <c r="O1973" s="86"/>
      <c r="P1973" s="1817" t="e">
        <f>INDEX(#REF!,MATCH(F1973,#REF!,0),2)</f>
        <v>#REF!</v>
      </c>
      <c r="Q1973" s="43"/>
      <c r="R1973" s="43"/>
      <c r="S1973" s="43"/>
      <c r="T1973" s="43"/>
      <c r="U1973" s="43"/>
      <c r="V1973" s="43"/>
      <c r="W1973" s="43"/>
      <c r="X1973" s="43"/>
      <c r="Y1973" s="43"/>
      <c r="Z1973" s="43"/>
      <c r="AA1973" s="43"/>
      <c r="AB1973" s="43"/>
      <c r="AC1973" s="43"/>
      <c r="AD1973" s="43"/>
      <c r="AE1973" s="43"/>
      <c r="AF1973" s="43"/>
      <c r="AG1973" s="43"/>
      <c r="AH1973" s="43"/>
      <c r="AI1973" s="43"/>
      <c r="AJ1973" s="43"/>
      <c r="AK1973" s="43"/>
      <c r="AL1973" s="43"/>
      <c r="AM1973" s="43"/>
      <c r="AN1973" s="43"/>
      <c r="AO1973" s="43"/>
      <c r="AP1973" s="43"/>
      <c r="AQ1973" s="43"/>
      <c r="AR1973" s="43"/>
      <c r="AS1973" s="43"/>
      <c r="AT1973" s="43"/>
      <c r="AU1973" s="43"/>
      <c r="AV1973" s="43"/>
    </row>
    <row r="1974" spans="1:48" ht="29.45" customHeight="1">
      <c r="A1974" s="412"/>
      <c r="B1974" s="412" t="s">
        <v>1248</v>
      </c>
      <c r="C1974" s="412" t="s">
        <v>507</v>
      </c>
      <c r="D1974" s="1590"/>
      <c r="E1974" s="2224" t="s">
        <v>3207</v>
      </c>
      <c r="F1974" s="505">
        <v>5238</v>
      </c>
      <c r="G1974" s="2584" t="s">
        <v>3459</v>
      </c>
      <c r="H1974" s="537"/>
      <c r="I1974" s="692">
        <v>2000</v>
      </c>
      <c r="J1974" s="537"/>
      <c r="K1974" s="627"/>
      <c r="L1974" s="536"/>
      <c r="M1974" s="2585">
        <v>2100</v>
      </c>
      <c r="N1974" s="43" t="s">
        <v>3458</v>
      </c>
      <c r="O1974" s="86"/>
      <c r="P1974" s="1817" t="e">
        <f>INDEX(#REF!,MATCH(F1974,#REF!,0),2)</f>
        <v>#REF!</v>
      </c>
      <c r="Q1974" s="43"/>
      <c r="R1974" s="43"/>
      <c r="S1974" s="43"/>
      <c r="T1974" s="43"/>
      <c r="U1974" s="43"/>
      <c r="V1974" s="43"/>
      <c r="W1974" s="43"/>
      <c r="X1974" s="43"/>
      <c r="Y1974" s="43"/>
      <c r="Z1974" s="43"/>
      <c r="AA1974" s="43"/>
      <c r="AB1974" s="43"/>
      <c r="AC1974" s="43"/>
      <c r="AD1974" s="43"/>
      <c r="AE1974" s="43"/>
      <c r="AF1974" s="43"/>
      <c r="AG1974" s="43"/>
      <c r="AH1974" s="43"/>
      <c r="AI1974" s="43"/>
      <c r="AJ1974" s="43"/>
      <c r="AK1974" s="43"/>
      <c r="AL1974" s="43"/>
      <c r="AM1974" s="43"/>
      <c r="AN1974" s="43"/>
      <c r="AO1974" s="43"/>
      <c r="AP1974" s="43"/>
      <c r="AQ1974" s="43"/>
      <c r="AR1974" s="43"/>
      <c r="AS1974" s="43"/>
      <c r="AT1974" s="43"/>
      <c r="AU1974" s="43"/>
      <c r="AV1974" s="43"/>
    </row>
    <row r="1975" spans="1:48" ht="13.9" customHeight="1">
      <c r="A1975" s="506"/>
      <c r="B1975" s="506" t="s">
        <v>566</v>
      </c>
      <c r="C1975" s="506" t="s">
        <v>508</v>
      </c>
      <c r="D1975" s="1589">
        <v>931</v>
      </c>
      <c r="E1975" s="2232" t="s">
        <v>1903</v>
      </c>
      <c r="F1975" s="540">
        <v>1119</v>
      </c>
      <c r="G1975" s="411" t="s">
        <v>1253</v>
      </c>
      <c r="H1975" s="508">
        <v>4643</v>
      </c>
      <c r="I1975" s="508"/>
      <c r="J1975" s="509"/>
      <c r="K1975" s="538"/>
      <c r="L1975" s="508">
        <v>0</v>
      </c>
      <c r="M1975" s="508"/>
      <c r="N1975" s="1025" t="s">
        <v>4719</v>
      </c>
      <c r="O1975" s="86"/>
      <c r="P1975" s="1817" t="e">
        <f>INDEX(#REF!,MATCH(F1975,#REF!,0),2)</f>
        <v>#REF!</v>
      </c>
      <c r="Q1975" s="43"/>
      <c r="R1975" s="43"/>
      <c r="S1975" s="43"/>
      <c r="T1975" s="43"/>
      <c r="U1975" s="43"/>
      <c r="V1975" s="43"/>
      <c r="W1975" s="43"/>
      <c r="X1975" s="43"/>
      <c r="Y1975" s="43"/>
      <c r="Z1975" s="43"/>
      <c r="AA1975" s="43"/>
      <c r="AB1975" s="43"/>
      <c r="AC1975" s="43"/>
      <c r="AD1975" s="43"/>
      <c r="AE1975" s="43"/>
      <c r="AF1975" s="43"/>
      <c r="AG1975" s="43"/>
      <c r="AH1975" s="43"/>
      <c r="AI1975" s="43"/>
      <c r="AJ1975" s="43"/>
      <c r="AK1975" s="43"/>
      <c r="AL1975" s="43"/>
      <c r="AM1975" s="43"/>
      <c r="AN1975" s="43"/>
      <c r="AO1975" s="43"/>
      <c r="AP1975" s="43"/>
      <c r="AQ1975" s="43"/>
      <c r="AR1975" s="43"/>
      <c r="AS1975" s="43"/>
      <c r="AT1975" s="43"/>
      <c r="AU1975" s="43"/>
      <c r="AV1975" s="43"/>
    </row>
    <row r="1976" spans="1:48" ht="19.899999999999999" customHeight="1">
      <c r="A1976" s="412"/>
      <c r="B1976" s="412" t="s">
        <v>566</v>
      </c>
      <c r="C1976" s="412" t="s">
        <v>508</v>
      </c>
      <c r="D1976" s="1590"/>
      <c r="E1976" s="2224" t="s">
        <v>1903</v>
      </c>
      <c r="F1976" s="505">
        <v>1119</v>
      </c>
      <c r="G1976" s="410" t="s">
        <v>2011</v>
      </c>
      <c r="H1976" s="537"/>
      <c r="I1976" s="692">
        <v>4643</v>
      </c>
      <c r="J1976" s="537"/>
      <c r="K1976" s="627"/>
      <c r="L1976" s="536"/>
      <c r="M1976" s="2585"/>
      <c r="N1976" s="1025"/>
      <c r="O1976" s="86"/>
      <c r="P1976" s="1817" t="e">
        <f>INDEX(#REF!,MATCH(F1976,#REF!,0),2)</f>
        <v>#REF!</v>
      </c>
      <c r="Q1976" s="43"/>
      <c r="R1976" s="43"/>
      <c r="S1976" s="43"/>
      <c r="T1976" s="43"/>
      <c r="U1976" s="43"/>
      <c r="V1976" s="43"/>
      <c r="W1976" s="43"/>
      <c r="X1976" s="43"/>
      <c r="Y1976" s="43"/>
      <c r="Z1976" s="43"/>
      <c r="AA1976" s="43"/>
      <c r="AB1976" s="43"/>
      <c r="AC1976" s="43"/>
      <c r="AD1976" s="43"/>
      <c r="AE1976" s="43"/>
      <c r="AF1976" s="43"/>
      <c r="AG1976" s="43"/>
      <c r="AH1976" s="43"/>
      <c r="AI1976" s="43"/>
      <c r="AJ1976" s="43"/>
      <c r="AK1976" s="43"/>
      <c r="AL1976" s="43"/>
      <c r="AM1976" s="43"/>
      <c r="AN1976" s="43"/>
      <c r="AO1976" s="43"/>
      <c r="AP1976" s="43"/>
      <c r="AQ1976" s="43"/>
      <c r="AR1976" s="43"/>
      <c r="AS1976" s="43"/>
      <c r="AT1976" s="43"/>
      <c r="AU1976" s="43"/>
      <c r="AV1976" s="43"/>
    </row>
    <row r="1977" spans="1:48" ht="13.9" customHeight="1">
      <c r="A1977" s="506"/>
      <c r="B1977" s="506" t="s">
        <v>566</v>
      </c>
      <c r="C1977" s="506" t="s">
        <v>508</v>
      </c>
      <c r="D1977" s="1589">
        <v>931</v>
      </c>
      <c r="E1977" s="2223" t="s">
        <v>1903</v>
      </c>
      <c r="F1977" s="540">
        <v>1210</v>
      </c>
      <c r="G1977" s="411" t="s">
        <v>1291</v>
      </c>
      <c r="H1977" s="508">
        <v>3265</v>
      </c>
      <c r="I1977" s="508"/>
      <c r="J1977" s="509"/>
      <c r="K1977" s="538"/>
      <c r="L1977" s="508">
        <v>0</v>
      </c>
      <c r="M1977" s="508"/>
      <c r="N1977" s="1025"/>
      <c r="O1977" s="86"/>
      <c r="P1977" s="1817" t="e">
        <f>INDEX(#REF!,MATCH(F1977,#REF!,0),2)</f>
        <v>#REF!</v>
      </c>
      <c r="Q1977" s="43"/>
      <c r="R1977" s="43"/>
      <c r="S1977" s="43"/>
      <c r="T1977" s="43"/>
      <c r="U1977" s="43"/>
      <c r="V1977" s="43"/>
      <c r="W1977" s="43"/>
      <c r="X1977" s="43"/>
      <c r="Y1977" s="43"/>
      <c r="Z1977" s="43"/>
      <c r="AA1977" s="43"/>
      <c r="AB1977" s="43"/>
      <c r="AC1977" s="43"/>
      <c r="AD1977" s="43"/>
      <c r="AE1977" s="43"/>
      <c r="AF1977" s="43"/>
      <c r="AG1977" s="43"/>
      <c r="AH1977" s="43"/>
      <c r="AI1977" s="43"/>
      <c r="AJ1977" s="43"/>
      <c r="AK1977" s="43"/>
      <c r="AL1977" s="43"/>
      <c r="AM1977" s="43"/>
      <c r="AN1977" s="43"/>
      <c r="AO1977" s="43"/>
      <c r="AP1977" s="43"/>
      <c r="AQ1977" s="43"/>
      <c r="AR1977" s="43"/>
      <c r="AS1977" s="43"/>
      <c r="AT1977" s="43"/>
      <c r="AU1977" s="43"/>
      <c r="AV1977" s="43"/>
    </row>
    <row r="1978" spans="1:48" ht="22.9" customHeight="1">
      <c r="A1978" s="412"/>
      <c r="B1978" s="412" t="s">
        <v>566</v>
      </c>
      <c r="C1978" s="412" t="s">
        <v>508</v>
      </c>
      <c r="D1978" s="1590"/>
      <c r="E1978" s="2224" t="s">
        <v>1903</v>
      </c>
      <c r="F1978" s="505">
        <v>1210</v>
      </c>
      <c r="G1978" s="410" t="s">
        <v>1290</v>
      </c>
      <c r="H1978" s="537"/>
      <c r="I1978" s="692">
        <v>3265</v>
      </c>
      <c r="J1978" s="537"/>
      <c r="K1978" s="627"/>
      <c r="L1978" s="536"/>
      <c r="M1978" s="2585"/>
      <c r="N1978" s="1025"/>
      <c r="O1978" s="86"/>
      <c r="P1978" s="1817" t="e">
        <f>INDEX(#REF!,MATCH(F1978,#REF!,0),2)</f>
        <v>#REF!</v>
      </c>
      <c r="Q1978" s="43"/>
      <c r="R1978" s="43"/>
      <c r="S1978" s="43"/>
      <c r="T1978" s="43"/>
      <c r="U1978" s="43"/>
      <c r="V1978" s="43"/>
      <c r="W1978" s="43"/>
      <c r="X1978" s="43"/>
      <c r="Y1978" s="43"/>
      <c r="Z1978" s="43"/>
      <c r="AA1978" s="43"/>
      <c r="AB1978" s="43"/>
      <c r="AC1978" s="43"/>
      <c r="AD1978" s="43"/>
      <c r="AE1978" s="43"/>
      <c r="AF1978" s="43"/>
      <c r="AG1978" s="43"/>
      <c r="AH1978" s="43"/>
      <c r="AI1978" s="43"/>
      <c r="AJ1978" s="43"/>
      <c r="AK1978" s="43"/>
      <c r="AL1978" s="43"/>
      <c r="AM1978" s="43"/>
      <c r="AN1978" s="43"/>
      <c r="AO1978" s="43"/>
      <c r="AP1978" s="43"/>
      <c r="AQ1978" s="43"/>
      <c r="AR1978" s="43"/>
      <c r="AS1978" s="43"/>
      <c r="AT1978" s="43"/>
      <c r="AU1978" s="43"/>
      <c r="AV1978" s="43"/>
    </row>
    <row r="1979" spans="1:48" ht="13.9" customHeight="1">
      <c r="A1979" s="506"/>
      <c r="B1979" s="506" t="s">
        <v>566</v>
      </c>
      <c r="C1979" s="506" t="s">
        <v>508</v>
      </c>
      <c r="D1979" s="1589">
        <v>931</v>
      </c>
      <c r="E1979" s="2223" t="s">
        <v>1903</v>
      </c>
      <c r="F1979" s="540">
        <v>1221</v>
      </c>
      <c r="G1979" s="411" t="s">
        <v>1292</v>
      </c>
      <c r="H1979" s="508"/>
      <c r="I1979" s="508"/>
      <c r="J1979" s="509"/>
      <c r="K1979" s="538"/>
      <c r="L1979" s="508"/>
      <c r="M1979" s="508"/>
      <c r="N1979" s="1025"/>
      <c r="O1979" s="86"/>
      <c r="P1979" s="1817" t="e">
        <f>INDEX(#REF!,MATCH(F1979,#REF!,0),2)</f>
        <v>#REF!</v>
      </c>
      <c r="Q1979" s="43"/>
      <c r="R1979" s="43"/>
      <c r="S1979" s="43"/>
      <c r="T1979" s="43"/>
      <c r="U1979" s="43"/>
      <c r="V1979" s="43"/>
      <c r="W1979" s="43"/>
      <c r="X1979" s="43"/>
      <c r="Y1979" s="43"/>
      <c r="Z1979" s="43"/>
      <c r="AA1979" s="43"/>
      <c r="AB1979" s="43"/>
      <c r="AC1979" s="43"/>
      <c r="AD1979" s="43"/>
      <c r="AE1979" s="43"/>
      <c r="AF1979" s="43"/>
      <c r="AG1979" s="43"/>
      <c r="AH1979" s="43"/>
      <c r="AI1979" s="43"/>
      <c r="AJ1979" s="43"/>
      <c r="AK1979" s="43"/>
      <c r="AL1979" s="43"/>
      <c r="AM1979" s="43"/>
      <c r="AN1979" s="43"/>
      <c r="AO1979" s="43"/>
      <c r="AP1979" s="43"/>
      <c r="AQ1979" s="43"/>
      <c r="AR1979" s="43"/>
      <c r="AS1979" s="43"/>
      <c r="AT1979" s="43"/>
      <c r="AU1979" s="43"/>
      <c r="AV1979" s="43"/>
    </row>
    <row r="1980" spans="1:48" ht="23.45" customHeight="1">
      <c r="A1980" s="412"/>
      <c r="B1980" s="412" t="s">
        <v>566</v>
      </c>
      <c r="C1980" s="412" t="s">
        <v>508</v>
      </c>
      <c r="D1980" s="1590"/>
      <c r="E1980" s="2224" t="s">
        <v>1903</v>
      </c>
      <c r="F1980" s="505">
        <v>1221</v>
      </c>
      <c r="G1980" s="410" t="s">
        <v>1290</v>
      </c>
      <c r="H1980" s="537"/>
      <c r="I1980" s="692"/>
      <c r="J1980" s="537"/>
      <c r="K1980" s="627"/>
      <c r="L1980" s="536"/>
      <c r="M1980" s="2585"/>
      <c r="N1980" s="1025"/>
      <c r="O1980" s="86"/>
      <c r="P1980" s="1817" t="e">
        <f>INDEX(#REF!,MATCH(F1980,#REF!,0),2)</f>
        <v>#REF!</v>
      </c>
      <c r="Q1980" s="43"/>
      <c r="R1980" s="43"/>
      <c r="S1980" s="43"/>
      <c r="T1980" s="43"/>
      <c r="U1980" s="43"/>
      <c r="V1980" s="43"/>
      <c r="W1980" s="43"/>
      <c r="X1980" s="43"/>
      <c r="Y1980" s="43"/>
      <c r="Z1980" s="43"/>
      <c r="AA1980" s="43"/>
      <c r="AB1980" s="43"/>
      <c r="AC1980" s="43"/>
      <c r="AD1980" s="43"/>
      <c r="AE1980" s="43"/>
      <c r="AF1980" s="43"/>
      <c r="AG1980" s="43"/>
      <c r="AH1980" s="43"/>
      <c r="AI1980" s="43"/>
      <c r="AJ1980" s="43"/>
      <c r="AK1980" s="43"/>
      <c r="AL1980" s="43"/>
      <c r="AM1980" s="43"/>
      <c r="AN1980" s="43"/>
      <c r="AO1980" s="43"/>
      <c r="AP1980" s="43"/>
      <c r="AQ1980" s="43"/>
      <c r="AR1980" s="43"/>
      <c r="AS1980" s="43"/>
      <c r="AT1980" s="43"/>
      <c r="AU1980" s="43"/>
      <c r="AV1980" s="43"/>
    </row>
    <row r="1981" spans="1:48" ht="13.9" customHeight="1">
      <c r="A1981" s="506"/>
      <c r="B1981" s="506" t="s">
        <v>566</v>
      </c>
      <c r="C1981" s="506" t="s">
        <v>508</v>
      </c>
      <c r="D1981" s="1589">
        <v>931</v>
      </c>
      <c r="E1981" s="2223" t="s">
        <v>1903</v>
      </c>
      <c r="F1981" s="540">
        <v>2239</v>
      </c>
      <c r="G1981" s="411" t="s">
        <v>237</v>
      </c>
      <c r="H1981" s="508">
        <v>8384</v>
      </c>
      <c r="I1981" s="508"/>
      <c r="J1981" s="509"/>
      <c r="K1981" s="538"/>
      <c r="L1981" s="508">
        <v>0</v>
      </c>
      <c r="M1981" s="508"/>
      <c r="N1981" s="1025"/>
      <c r="O1981" s="86"/>
      <c r="P1981" s="1817" t="e">
        <f>INDEX(#REF!,MATCH(F1981,#REF!,0),2)</f>
        <v>#REF!</v>
      </c>
      <c r="Q1981" s="43"/>
      <c r="R1981" s="43"/>
      <c r="S1981" s="43"/>
      <c r="T1981" s="43"/>
      <c r="U1981" s="43"/>
      <c r="V1981" s="43"/>
      <c r="W1981" s="43"/>
      <c r="X1981" s="43"/>
      <c r="Y1981" s="43"/>
      <c r="Z1981" s="43"/>
      <c r="AA1981" s="43"/>
      <c r="AB1981" s="43"/>
      <c r="AC1981" s="43"/>
      <c r="AD1981" s="43"/>
      <c r="AE1981" s="43"/>
      <c r="AF1981" s="43"/>
      <c r="AG1981" s="43"/>
      <c r="AH1981" s="43"/>
      <c r="AI1981" s="43"/>
      <c r="AJ1981" s="43"/>
      <c r="AK1981" s="43"/>
      <c r="AL1981" s="43"/>
      <c r="AM1981" s="43"/>
      <c r="AN1981" s="43"/>
      <c r="AO1981" s="43"/>
      <c r="AP1981" s="43"/>
      <c r="AQ1981" s="43"/>
      <c r="AR1981" s="43"/>
      <c r="AS1981" s="43"/>
      <c r="AT1981" s="43"/>
      <c r="AU1981" s="43"/>
      <c r="AV1981" s="43"/>
    </row>
    <row r="1982" spans="1:48" ht="24" customHeight="1">
      <c r="A1982" s="412"/>
      <c r="B1982" s="412" t="s">
        <v>566</v>
      </c>
      <c r="C1982" s="412" t="s">
        <v>508</v>
      </c>
      <c r="D1982" s="1590"/>
      <c r="E1982" s="2224" t="s">
        <v>1903</v>
      </c>
      <c r="F1982" s="505">
        <v>2239</v>
      </c>
      <c r="G1982" s="410" t="s">
        <v>1290</v>
      </c>
      <c r="H1982" s="537"/>
      <c r="I1982" s="692">
        <v>8384</v>
      </c>
      <c r="J1982" s="537"/>
      <c r="K1982" s="627"/>
      <c r="L1982" s="536"/>
      <c r="M1982" s="2585"/>
      <c r="N1982" s="1025"/>
      <c r="O1982" s="86"/>
      <c r="P1982" s="1817" t="e">
        <f>INDEX(#REF!,MATCH(F1982,#REF!,0),2)</f>
        <v>#REF!</v>
      </c>
      <c r="Q1982" s="43"/>
      <c r="R1982" s="43"/>
      <c r="S1982" s="43"/>
      <c r="T1982" s="43"/>
      <c r="U1982" s="43"/>
      <c r="V1982" s="43"/>
      <c r="W1982" s="43"/>
      <c r="X1982" s="43"/>
      <c r="Y1982" s="43"/>
      <c r="Z1982" s="43"/>
      <c r="AA1982" s="43"/>
      <c r="AB1982" s="43"/>
      <c r="AC1982" s="43"/>
      <c r="AD1982" s="43"/>
      <c r="AE1982" s="43"/>
      <c r="AF1982" s="43"/>
      <c r="AG1982" s="43"/>
      <c r="AH1982" s="43"/>
      <c r="AI1982" s="43"/>
      <c r="AJ1982" s="43"/>
      <c r="AK1982" s="43"/>
      <c r="AL1982" s="43"/>
      <c r="AM1982" s="43"/>
      <c r="AN1982" s="43"/>
      <c r="AO1982" s="43"/>
      <c r="AP1982" s="43"/>
      <c r="AQ1982" s="43"/>
      <c r="AR1982" s="43"/>
      <c r="AS1982" s="43"/>
      <c r="AT1982" s="43"/>
      <c r="AU1982" s="43"/>
      <c r="AV1982" s="43"/>
    </row>
    <row r="1983" spans="1:48" ht="13.9" customHeight="1">
      <c r="A1983" s="506"/>
      <c r="B1983" s="506" t="s">
        <v>566</v>
      </c>
      <c r="C1983" s="506" t="s">
        <v>508</v>
      </c>
      <c r="D1983" s="1589">
        <v>932</v>
      </c>
      <c r="E1983" s="2232" t="s">
        <v>1902</v>
      </c>
      <c r="F1983" s="540">
        <v>1119</v>
      </c>
      <c r="G1983" s="411" t="s">
        <v>1253</v>
      </c>
      <c r="H1983" s="508"/>
      <c r="I1983" s="508"/>
      <c r="J1983" s="509"/>
      <c r="K1983" s="538"/>
      <c r="L1983" s="508"/>
      <c r="M1983" s="508"/>
      <c r="N1983" s="1025" t="s">
        <v>4719</v>
      </c>
      <c r="O1983" s="86"/>
      <c r="P1983" s="1817" t="e">
        <f>INDEX(#REF!,MATCH(F1983,#REF!,0),2)</f>
        <v>#REF!</v>
      </c>
      <c r="Q1983" s="43"/>
      <c r="R1983" s="43"/>
      <c r="S1983" s="43"/>
      <c r="T1983" s="43"/>
      <c r="U1983" s="43"/>
      <c r="V1983" s="43"/>
      <c r="W1983" s="43"/>
      <c r="X1983" s="43"/>
      <c r="Y1983" s="43"/>
      <c r="Z1983" s="43"/>
      <c r="AA1983" s="43"/>
      <c r="AB1983" s="43"/>
      <c r="AC1983" s="43"/>
      <c r="AD1983" s="43"/>
      <c r="AE1983" s="43"/>
      <c r="AF1983" s="43"/>
      <c r="AG1983" s="43"/>
      <c r="AH1983" s="43"/>
      <c r="AI1983" s="43"/>
      <c r="AJ1983" s="43"/>
      <c r="AK1983" s="43"/>
      <c r="AL1983" s="43"/>
      <c r="AM1983" s="43"/>
      <c r="AN1983" s="43"/>
      <c r="AO1983" s="43"/>
      <c r="AP1983" s="43"/>
      <c r="AQ1983" s="43"/>
      <c r="AR1983" s="43"/>
      <c r="AS1983" s="43"/>
      <c r="AT1983" s="43"/>
      <c r="AU1983" s="43"/>
      <c r="AV1983" s="43"/>
    </row>
    <row r="1984" spans="1:48" ht="25.9" customHeight="1">
      <c r="A1984" s="412"/>
      <c r="B1984" s="412" t="s">
        <v>566</v>
      </c>
      <c r="C1984" s="412" t="s">
        <v>508</v>
      </c>
      <c r="D1984" s="1590"/>
      <c r="E1984" s="2224" t="s">
        <v>1902</v>
      </c>
      <c r="F1984" s="505">
        <v>1119</v>
      </c>
      <c r="G1984" s="410" t="s">
        <v>1293</v>
      </c>
      <c r="H1984" s="537"/>
      <c r="I1984" s="692"/>
      <c r="J1984" s="537"/>
      <c r="K1984" s="627"/>
      <c r="L1984" s="536"/>
      <c r="M1984" s="2585"/>
      <c r="N1984" s="1025"/>
      <c r="O1984" s="86"/>
      <c r="P1984" s="1817" t="e">
        <f>INDEX(#REF!,MATCH(F1984,#REF!,0),2)</f>
        <v>#REF!</v>
      </c>
      <c r="Q1984" s="43"/>
      <c r="R1984" s="43"/>
      <c r="S1984" s="43"/>
      <c r="T1984" s="43"/>
      <c r="U1984" s="43"/>
      <c r="V1984" s="43"/>
      <c r="W1984" s="43"/>
      <c r="X1984" s="43"/>
      <c r="Y1984" s="43"/>
      <c r="Z1984" s="43"/>
      <c r="AA1984" s="43"/>
      <c r="AB1984" s="43"/>
      <c r="AC1984" s="43"/>
      <c r="AD1984" s="43"/>
      <c r="AE1984" s="43"/>
      <c r="AF1984" s="43"/>
      <c r="AG1984" s="43"/>
      <c r="AH1984" s="43"/>
      <c r="AI1984" s="43"/>
      <c r="AJ1984" s="43"/>
      <c r="AK1984" s="43"/>
      <c r="AL1984" s="43"/>
      <c r="AM1984" s="43"/>
      <c r="AN1984" s="43"/>
      <c r="AO1984" s="43"/>
      <c r="AP1984" s="43"/>
      <c r="AQ1984" s="43"/>
      <c r="AR1984" s="43"/>
      <c r="AS1984" s="43"/>
      <c r="AT1984" s="43"/>
      <c r="AU1984" s="43"/>
      <c r="AV1984" s="43"/>
    </row>
    <row r="1985" spans="1:48" ht="23.45" customHeight="1">
      <c r="A1985" s="506"/>
      <c r="B1985" s="506" t="s">
        <v>566</v>
      </c>
      <c r="C1985" s="506" t="s">
        <v>508</v>
      </c>
      <c r="D1985" s="1589">
        <v>932</v>
      </c>
      <c r="E1985" s="2223" t="s">
        <v>1902</v>
      </c>
      <c r="F1985" s="540">
        <v>1210</v>
      </c>
      <c r="G1985" s="411" t="s">
        <v>1291</v>
      </c>
      <c r="H1985" s="508"/>
      <c r="I1985" s="508"/>
      <c r="J1985" s="509"/>
      <c r="K1985" s="538"/>
      <c r="L1985" s="508"/>
      <c r="M1985" s="508"/>
      <c r="N1985" s="1025"/>
      <c r="O1985" s="86"/>
      <c r="P1985" s="1817" t="e">
        <f>INDEX(#REF!,MATCH(F1985,#REF!,0),2)</f>
        <v>#REF!</v>
      </c>
      <c r="Q1985" s="43"/>
      <c r="R1985" s="43"/>
      <c r="S1985" s="43"/>
      <c r="T1985" s="43"/>
      <c r="U1985" s="43"/>
      <c r="V1985" s="43"/>
      <c r="W1985" s="43"/>
      <c r="X1985" s="43"/>
      <c r="Y1985" s="43"/>
      <c r="Z1985" s="43"/>
      <c r="AA1985" s="43"/>
      <c r="AB1985" s="43"/>
      <c r="AC1985" s="43"/>
      <c r="AD1985" s="43"/>
      <c r="AE1985" s="43"/>
      <c r="AF1985" s="43"/>
      <c r="AG1985" s="43"/>
      <c r="AH1985" s="43"/>
      <c r="AI1985" s="43"/>
      <c r="AJ1985" s="43"/>
      <c r="AK1985" s="43"/>
      <c r="AL1985" s="43"/>
      <c r="AM1985" s="43"/>
      <c r="AN1985" s="43"/>
      <c r="AO1985" s="43"/>
      <c r="AP1985" s="43"/>
      <c r="AQ1985" s="43"/>
      <c r="AR1985" s="43"/>
      <c r="AS1985" s="43"/>
      <c r="AT1985" s="43"/>
      <c r="AU1985" s="43"/>
      <c r="AV1985" s="43"/>
    </row>
    <row r="1986" spans="1:48" ht="18" customHeight="1">
      <c r="A1986" s="412"/>
      <c r="B1986" s="412" t="s">
        <v>566</v>
      </c>
      <c r="C1986" s="412" t="s">
        <v>508</v>
      </c>
      <c r="D1986" s="1590"/>
      <c r="E1986" s="2224" t="s">
        <v>1902</v>
      </c>
      <c r="F1986" s="505">
        <v>1210</v>
      </c>
      <c r="G1986" s="410" t="s">
        <v>1293</v>
      </c>
      <c r="H1986" s="537"/>
      <c r="I1986" s="692"/>
      <c r="J1986" s="537"/>
      <c r="K1986" s="627"/>
      <c r="L1986" s="536"/>
      <c r="M1986" s="2585"/>
      <c r="N1986" s="1025"/>
      <c r="O1986" s="86"/>
      <c r="P1986" s="1817" t="e">
        <f>INDEX(#REF!,MATCH(F1986,#REF!,0),2)</f>
        <v>#REF!</v>
      </c>
      <c r="Q1986" s="43"/>
      <c r="R1986" s="43"/>
      <c r="S1986" s="43"/>
      <c r="T1986" s="43"/>
      <c r="U1986" s="43"/>
      <c r="V1986" s="43"/>
      <c r="W1986" s="43"/>
      <c r="X1986" s="43"/>
      <c r="Y1986" s="43"/>
      <c r="Z1986" s="43"/>
      <c r="AA1986" s="43"/>
      <c r="AB1986" s="43"/>
      <c r="AC1986" s="43"/>
      <c r="AD1986" s="43"/>
      <c r="AE1986" s="43"/>
      <c r="AF1986" s="43"/>
      <c r="AG1986" s="43"/>
      <c r="AH1986" s="43"/>
      <c r="AI1986" s="43"/>
      <c r="AJ1986" s="43"/>
      <c r="AK1986" s="43"/>
      <c r="AL1986" s="43"/>
      <c r="AM1986" s="43"/>
      <c r="AN1986" s="43"/>
      <c r="AO1986" s="43"/>
      <c r="AP1986" s="43"/>
      <c r="AQ1986" s="43"/>
      <c r="AR1986" s="43"/>
      <c r="AS1986" s="43"/>
      <c r="AT1986" s="43"/>
      <c r="AU1986" s="43"/>
      <c r="AV1986" s="43"/>
    </row>
    <row r="1987" spans="1:48" ht="15.6" customHeight="1">
      <c r="A1987" s="506"/>
      <c r="B1987" s="506" t="s">
        <v>566</v>
      </c>
      <c r="C1987" s="506" t="s">
        <v>508</v>
      </c>
      <c r="D1987" s="1589">
        <v>932</v>
      </c>
      <c r="E1987" s="2223" t="s">
        <v>1902</v>
      </c>
      <c r="F1987" s="540">
        <v>2239</v>
      </c>
      <c r="G1987" s="411" t="s">
        <v>237</v>
      </c>
      <c r="H1987" s="508">
        <v>1049</v>
      </c>
      <c r="I1987" s="508"/>
      <c r="J1987" s="509"/>
      <c r="K1987" s="538"/>
      <c r="L1987" s="508">
        <v>0</v>
      </c>
      <c r="M1987" s="508"/>
      <c r="N1987" s="1025" t="s">
        <v>4719</v>
      </c>
      <c r="O1987" s="86"/>
      <c r="P1987" s="1817" t="e">
        <f>INDEX(#REF!,MATCH(F1987,#REF!,0),2)</f>
        <v>#REF!</v>
      </c>
      <c r="Q1987" s="43"/>
      <c r="R1987" s="43"/>
      <c r="S1987" s="43"/>
      <c r="T1987" s="43"/>
      <c r="U1987" s="43"/>
      <c r="V1987" s="43"/>
      <c r="W1987" s="43"/>
      <c r="X1987" s="43"/>
      <c r="Y1987" s="43"/>
      <c r="Z1987" s="43"/>
      <c r="AA1987" s="43"/>
      <c r="AB1987" s="43"/>
      <c r="AC1987" s="43"/>
      <c r="AD1987" s="43"/>
      <c r="AE1987" s="43"/>
      <c r="AF1987" s="43"/>
      <c r="AG1987" s="43"/>
      <c r="AH1987" s="43"/>
      <c r="AI1987" s="43"/>
      <c r="AJ1987" s="43"/>
      <c r="AK1987" s="43"/>
      <c r="AL1987" s="43"/>
      <c r="AM1987" s="43"/>
      <c r="AN1987" s="43"/>
      <c r="AO1987" s="43"/>
      <c r="AP1987" s="43"/>
      <c r="AQ1987" s="43"/>
      <c r="AR1987" s="43"/>
      <c r="AS1987" s="43"/>
      <c r="AT1987" s="43"/>
      <c r="AU1987" s="43"/>
      <c r="AV1987" s="43"/>
    </row>
    <row r="1988" spans="1:48" ht="25.9" customHeight="1">
      <c r="A1988" s="412"/>
      <c r="B1988" s="412" t="s">
        <v>566</v>
      </c>
      <c r="C1988" s="412" t="s">
        <v>508</v>
      </c>
      <c r="D1988" s="1590"/>
      <c r="E1988" s="2224" t="s">
        <v>1902</v>
      </c>
      <c r="F1988" s="505">
        <v>2239</v>
      </c>
      <c r="G1988" s="410" t="s">
        <v>3167</v>
      </c>
      <c r="H1988" s="537"/>
      <c r="I1988" s="692">
        <v>1049</v>
      </c>
      <c r="J1988" s="537"/>
      <c r="K1988" s="627"/>
      <c r="L1988" s="536"/>
      <c r="M1988" s="2585"/>
      <c r="N1988" s="1025"/>
      <c r="O1988" s="86"/>
      <c r="P1988" s="1817" t="e">
        <f>INDEX(#REF!,MATCH(F1988,#REF!,0),2)</f>
        <v>#REF!</v>
      </c>
      <c r="Q1988" s="43"/>
      <c r="R1988" s="43"/>
      <c r="S1988" s="43"/>
      <c r="T1988" s="43"/>
      <c r="U1988" s="43"/>
      <c r="V1988" s="43"/>
      <c r="W1988" s="43"/>
      <c r="X1988" s="43"/>
      <c r="Y1988" s="43"/>
      <c r="Z1988" s="43"/>
      <c r="AA1988" s="43"/>
      <c r="AB1988" s="43"/>
      <c r="AC1988" s="43"/>
      <c r="AD1988" s="43"/>
      <c r="AE1988" s="43"/>
      <c r="AF1988" s="43"/>
      <c r="AG1988" s="43"/>
      <c r="AH1988" s="4"/>
      <c r="AI1988" s="4"/>
      <c r="AJ1988" s="4"/>
      <c r="AK1988" s="4"/>
      <c r="AL1988" s="4"/>
      <c r="AM1988" s="4"/>
      <c r="AN1988" s="4"/>
      <c r="AO1988" s="4"/>
      <c r="AP1988" s="4"/>
      <c r="AQ1988" s="4"/>
      <c r="AR1988" s="4"/>
      <c r="AS1988" s="4"/>
      <c r="AT1988" s="4"/>
      <c r="AU1988" s="4"/>
      <c r="AV1988" s="4"/>
    </row>
    <row r="1989" spans="1:48" ht="15.6" customHeight="1">
      <c r="A1989" s="506"/>
      <c r="B1989" s="506" t="s">
        <v>566</v>
      </c>
      <c r="C1989" s="506" t="s">
        <v>508</v>
      </c>
      <c r="D1989" s="1589">
        <v>933</v>
      </c>
      <c r="E1989" s="2232" t="s">
        <v>1901</v>
      </c>
      <c r="F1989" s="507">
        <v>1147</v>
      </c>
      <c r="G1989" s="411" t="s">
        <v>2012</v>
      </c>
      <c r="H1989" s="508">
        <v>1696.0029128570275</v>
      </c>
      <c r="I1989" s="508"/>
      <c r="J1989" s="509"/>
      <c r="K1989" s="510"/>
      <c r="L1989" s="508">
        <v>0</v>
      </c>
      <c r="M1989" s="508"/>
      <c r="N1989" s="149" t="s">
        <v>4719</v>
      </c>
      <c r="O1989" s="86"/>
      <c r="P1989" s="1817" t="e">
        <f>INDEX(#REF!,MATCH(F1989,#REF!,0),2)</f>
        <v>#REF!</v>
      </c>
      <c r="Q1989" s="43"/>
      <c r="R1989" s="43"/>
      <c r="S1989" s="43"/>
      <c r="T1989" s="43"/>
      <c r="U1989" s="43"/>
      <c r="V1989" s="43"/>
      <c r="W1989" s="43"/>
      <c r="X1989" s="43"/>
      <c r="Y1989" s="43"/>
      <c r="Z1989" s="43"/>
      <c r="AA1989" s="43"/>
      <c r="AB1989" s="43"/>
      <c r="AC1989" s="43"/>
      <c r="AD1989" s="43"/>
      <c r="AE1989" s="43"/>
      <c r="AF1989" s="43"/>
      <c r="AG1989" s="43"/>
      <c r="AH1989" s="43"/>
      <c r="AI1989" s="43"/>
      <c r="AJ1989" s="43"/>
      <c r="AK1989" s="43"/>
      <c r="AL1989" s="43"/>
      <c r="AM1989" s="43"/>
      <c r="AN1989" s="43"/>
      <c r="AO1989" s="43"/>
      <c r="AP1989" s="43"/>
      <c r="AQ1989" s="43"/>
      <c r="AR1989" s="43"/>
      <c r="AS1989" s="43"/>
      <c r="AT1989" s="43"/>
      <c r="AU1989" s="43"/>
      <c r="AV1989" s="43"/>
    </row>
    <row r="1990" spans="1:48" ht="43.15" customHeight="1">
      <c r="A1990" s="762" t="s">
        <v>1505</v>
      </c>
      <c r="B1990" s="412" t="s">
        <v>566</v>
      </c>
      <c r="C1990" s="412" t="s">
        <v>508</v>
      </c>
      <c r="D1990" s="1599"/>
      <c r="E1990" s="2245" t="s">
        <v>1901</v>
      </c>
      <c r="F1990" s="763">
        <v>1147</v>
      </c>
      <c r="G1990" s="829" t="s">
        <v>2484</v>
      </c>
      <c r="H1990" s="1005"/>
      <c r="I1990" s="1070">
        <v>1696.0029128570275</v>
      </c>
      <c r="J1990" s="1006"/>
      <c r="K1990" s="991"/>
      <c r="L1990" s="1005"/>
      <c r="M1990" s="1005"/>
      <c r="N1990" s="1538"/>
      <c r="O1990" s="86"/>
      <c r="P1990" s="1817" t="e">
        <f>INDEX(#REF!,MATCH(F1990,#REF!,0),2)</f>
        <v>#REF!</v>
      </c>
      <c r="Q1990" s="43"/>
      <c r="R1990" s="43"/>
      <c r="S1990" s="43"/>
      <c r="T1990" s="43"/>
      <c r="U1990" s="43"/>
      <c r="V1990" s="43"/>
      <c r="W1990" s="43"/>
      <c r="X1990" s="43"/>
      <c r="Y1990" s="43"/>
      <c r="Z1990" s="43"/>
      <c r="AA1990" s="43"/>
      <c r="AB1990" s="43"/>
      <c r="AC1990" s="43"/>
      <c r="AD1990" s="43"/>
      <c r="AE1990" s="43"/>
      <c r="AF1990" s="43"/>
      <c r="AG1990" s="43"/>
      <c r="AH1990" s="4"/>
      <c r="AI1990" s="4"/>
      <c r="AJ1990" s="4"/>
      <c r="AK1990" s="4"/>
      <c r="AL1990" s="4"/>
      <c r="AM1990" s="4"/>
      <c r="AN1990" s="4"/>
      <c r="AO1990" s="4"/>
      <c r="AP1990" s="4"/>
      <c r="AQ1990" s="4"/>
      <c r="AR1990" s="4"/>
      <c r="AS1990" s="4"/>
      <c r="AT1990" s="4"/>
      <c r="AU1990" s="4"/>
      <c r="AV1990" s="4"/>
    </row>
    <row r="1991" spans="1:48" ht="32.450000000000003" customHeight="1">
      <c r="A1991" s="506"/>
      <c r="B1991" s="506" t="s">
        <v>566</v>
      </c>
      <c r="C1991" s="506" t="s">
        <v>508</v>
      </c>
      <c r="D1991" s="1589">
        <v>933</v>
      </c>
      <c r="E1991" s="2223" t="s">
        <v>1901</v>
      </c>
      <c r="F1991" s="507">
        <v>1210</v>
      </c>
      <c r="G1991" s="411" t="s">
        <v>1291</v>
      </c>
      <c r="H1991" s="508">
        <v>400</v>
      </c>
      <c r="I1991" s="508"/>
      <c r="J1991" s="509"/>
      <c r="K1991" s="510"/>
      <c r="L1991" s="508">
        <v>0</v>
      </c>
      <c r="M1991" s="508"/>
      <c r="N1991" s="73"/>
      <c r="O1991" s="86"/>
      <c r="P1991" s="1817" t="e">
        <f>INDEX(#REF!,MATCH(F1991,#REF!,0),2)</f>
        <v>#REF!</v>
      </c>
      <c r="Q1991" s="43"/>
      <c r="R1991" s="43"/>
      <c r="S1991" s="43"/>
      <c r="T1991" s="43"/>
      <c r="U1991" s="43"/>
      <c r="V1991" s="43"/>
      <c r="W1991" s="43"/>
      <c r="X1991" s="43"/>
      <c r="Y1991" s="43"/>
      <c r="Z1991" s="43"/>
      <c r="AA1991" s="43"/>
      <c r="AB1991" s="43"/>
      <c r="AC1991" s="43"/>
      <c r="AD1991" s="43"/>
      <c r="AE1991" s="43"/>
      <c r="AF1991" s="43"/>
      <c r="AG1991" s="43"/>
      <c r="AH1991" s="4"/>
      <c r="AI1991" s="4"/>
      <c r="AJ1991" s="4"/>
      <c r="AK1991" s="4"/>
      <c r="AL1991" s="4"/>
      <c r="AM1991" s="4"/>
      <c r="AN1991" s="4"/>
      <c r="AO1991" s="4"/>
      <c r="AP1991" s="4"/>
      <c r="AQ1991" s="4"/>
      <c r="AR1991" s="4"/>
      <c r="AS1991" s="4"/>
      <c r="AT1991" s="4"/>
      <c r="AU1991" s="4"/>
      <c r="AV1991" s="4"/>
    </row>
    <row r="1992" spans="1:48" ht="15.6" customHeight="1">
      <c r="A1992" s="762" t="s">
        <v>1505</v>
      </c>
      <c r="B1992" s="412" t="s">
        <v>566</v>
      </c>
      <c r="C1992" s="412" t="s">
        <v>508</v>
      </c>
      <c r="D1992" s="1599"/>
      <c r="E1992" s="2245" t="s">
        <v>1901</v>
      </c>
      <c r="F1992" s="763">
        <v>1210</v>
      </c>
      <c r="G1992" s="829" t="s">
        <v>2485</v>
      </c>
      <c r="H1992" s="1005"/>
      <c r="I1992" s="1070">
        <v>400</v>
      </c>
      <c r="J1992" s="1006"/>
      <c r="K1992" s="991"/>
      <c r="L1992" s="1005"/>
      <c r="M1992" s="1005"/>
      <c r="N1992" s="1538"/>
      <c r="O1992" s="86"/>
      <c r="P1992" s="1817" t="e">
        <f>INDEX(#REF!,MATCH(F1992,#REF!,0),2)</f>
        <v>#REF!</v>
      </c>
      <c r="Q1992" s="43"/>
      <c r="R1992" s="43"/>
      <c r="S1992" s="43"/>
      <c r="T1992" s="43"/>
      <c r="U1992" s="43"/>
      <c r="V1992" s="43"/>
      <c r="W1992" s="43"/>
      <c r="X1992" s="43"/>
      <c r="Y1992" s="43"/>
      <c r="Z1992" s="43"/>
      <c r="AA1992" s="43"/>
      <c r="AB1992" s="43"/>
      <c r="AC1992" s="43"/>
      <c r="AD1992" s="43"/>
      <c r="AE1992" s="43"/>
      <c r="AF1992" s="43"/>
      <c r="AG1992" s="43"/>
      <c r="AH1992" s="43"/>
      <c r="AI1992" s="43"/>
      <c r="AJ1992" s="43"/>
      <c r="AK1992" s="43"/>
      <c r="AL1992" s="43"/>
      <c r="AM1992" s="43"/>
      <c r="AN1992" s="43"/>
      <c r="AO1992" s="43"/>
      <c r="AP1992" s="43"/>
      <c r="AQ1992" s="43"/>
      <c r="AR1992" s="43"/>
      <c r="AS1992" s="43"/>
      <c r="AT1992" s="43"/>
      <c r="AU1992" s="43"/>
      <c r="AV1992" s="43"/>
    </row>
    <row r="1993" spans="1:48" ht="23.45" customHeight="1">
      <c r="A1993" s="762" t="s">
        <v>1505</v>
      </c>
      <c r="B1993" s="412" t="s">
        <v>566</v>
      </c>
      <c r="C1993" s="412" t="s">
        <v>508</v>
      </c>
      <c r="D1993" s="1599"/>
      <c r="E1993" s="2245" t="s">
        <v>1901</v>
      </c>
      <c r="F1993" s="763">
        <v>1210</v>
      </c>
      <c r="G1993" s="829"/>
      <c r="H1993" s="1005"/>
      <c r="I1993" s="1070"/>
      <c r="J1993" s="1006"/>
      <c r="K1993" s="991"/>
      <c r="L1993" s="1005"/>
      <c r="M1993" s="1005"/>
      <c r="N1993" s="1538"/>
      <c r="O1993" s="86"/>
      <c r="P1993" s="1817" t="e">
        <f>INDEX(#REF!,MATCH(F1993,#REF!,0),2)</f>
        <v>#REF!</v>
      </c>
      <c r="Q1993" s="43"/>
      <c r="R1993" s="43"/>
      <c r="S1993" s="43"/>
      <c r="T1993" s="43"/>
      <c r="U1993" s="43"/>
      <c r="V1993" s="43"/>
      <c r="W1993" s="43"/>
      <c r="X1993" s="43"/>
      <c r="Y1993" s="43"/>
      <c r="Z1993" s="43"/>
      <c r="AA1993" s="43"/>
      <c r="AB1993" s="43"/>
      <c r="AC1993" s="43"/>
      <c r="AD1993" s="43"/>
      <c r="AE1993" s="43"/>
      <c r="AF1993" s="43"/>
      <c r="AG1993" s="43"/>
      <c r="AH1993" s="4"/>
      <c r="AI1993" s="4"/>
      <c r="AJ1993" s="4"/>
      <c r="AK1993" s="4"/>
      <c r="AL1993" s="4"/>
      <c r="AM1993" s="4"/>
      <c r="AN1993" s="4"/>
      <c r="AO1993" s="4"/>
      <c r="AP1993" s="4"/>
      <c r="AQ1993" s="4"/>
      <c r="AR1993" s="4"/>
      <c r="AS1993" s="4"/>
      <c r="AT1993" s="4"/>
      <c r="AU1993" s="4"/>
      <c r="AV1993" s="4"/>
    </row>
    <row r="1994" spans="1:48" ht="15.6" customHeight="1">
      <c r="A1994" s="506"/>
      <c r="B1994" s="506" t="s">
        <v>566</v>
      </c>
      <c r="C1994" s="506" t="s">
        <v>508</v>
      </c>
      <c r="D1994" s="1589">
        <v>933</v>
      </c>
      <c r="E1994" s="2223" t="s">
        <v>1901</v>
      </c>
      <c r="F1994" s="507">
        <v>2239</v>
      </c>
      <c r="G1994" s="411" t="s">
        <v>266</v>
      </c>
      <c r="H1994" s="508">
        <v>3480</v>
      </c>
      <c r="I1994" s="508"/>
      <c r="J1994" s="509"/>
      <c r="K1994" s="510"/>
      <c r="L1994" s="508">
        <v>0</v>
      </c>
      <c r="M1994" s="508"/>
      <c r="N1994" s="73"/>
      <c r="O1994" s="86"/>
      <c r="P1994" s="1817" t="e">
        <f>INDEX(#REF!,MATCH(F1994,#REF!,0),2)</f>
        <v>#REF!</v>
      </c>
      <c r="Q1994" s="43"/>
      <c r="R1994" s="43"/>
      <c r="S1994" s="43"/>
      <c r="T1994" s="43"/>
      <c r="U1994" s="43"/>
      <c r="V1994" s="43"/>
      <c r="W1994" s="43"/>
      <c r="X1994" s="43"/>
      <c r="Y1994" s="43"/>
      <c r="Z1994" s="43"/>
      <c r="AA1994" s="43"/>
      <c r="AB1994" s="43"/>
      <c r="AC1994" s="43"/>
      <c r="AD1994" s="43"/>
      <c r="AE1994" s="43"/>
      <c r="AF1994" s="43"/>
      <c r="AG1994" s="43"/>
      <c r="AH1994" s="43"/>
      <c r="AI1994" s="43"/>
      <c r="AJ1994" s="43"/>
      <c r="AK1994" s="43"/>
      <c r="AL1994" s="43"/>
      <c r="AM1994" s="43"/>
      <c r="AN1994" s="43"/>
      <c r="AO1994" s="43"/>
      <c r="AP1994" s="43"/>
      <c r="AQ1994" s="43"/>
      <c r="AR1994" s="43"/>
      <c r="AS1994" s="43"/>
      <c r="AT1994" s="43"/>
      <c r="AU1994" s="43"/>
      <c r="AV1994" s="43"/>
    </row>
    <row r="1995" spans="1:48" ht="23.45" customHeight="1">
      <c r="A1995" s="762" t="s">
        <v>1505</v>
      </c>
      <c r="B1995" s="412" t="s">
        <v>566</v>
      </c>
      <c r="C1995" s="412" t="s">
        <v>508</v>
      </c>
      <c r="D1995" s="1599"/>
      <c r="E1995" s="2245" t="s">
        <v>1901</v>
      </c>
      <c r="F1995" s="763">
        <v>2239</v>
      </c>
      <c r="G1995" s="829" t="s">
        <v>2485</v>
      </c>
      <c r="H1995" s="1245"/>
      <c r="I1995" s="1355">
        <v>3480</v>
      </c>
      <c r="J1995" s="1246"/>
      <c r="K1995" s="1356"/>
      <c r="L1995" s="1245"/>
      <c r="M1995" s="1245"/>
      <c r="N1995" s="1538"/>
      <c r="O1995" s="86"/>
      <c r="P1995" s="1817" t="e">
        <f>INDEX(#REF!,MATCH(F1995,#REF!,0),2)</f>
        <v>#REF!</v>
      </c>
      <c r="Q1995" s="43"/>
      <c r="R1995" s="43"/>
      <c r="S1995" s="43"/>
      <c r="T1995" s="43"/>
      <c r="U1995" s="43"/>
      <c r="V1995" s="43"/>
      <c r="W1995" s="43"/>
      <c r="X1995" s="43"/>
      <c r="Y1995" s="43"/>
      <c r="Z1995" s="43"/>
      <c r="AA1995" s="43"/>
      <c r="AB1995" s="43"/>
      <c r="AC1995" s="43"/>
      <c r="AD1995" s="43"/>
      <c r="AE1995" s="43"/>
      <c r="AF1995" s="43"/>
      <c r="AG1995" s="43"/>
      <c r="AH1995" s="4"/>
      <c r="AI1995" s="4"/>
      <c r="AJ1995" s="4"/>
      <c r="AK1995" s="4"/>
      <c r="AL1995" s="4"/>
      <c r="AM1995" s="4"/>
      <c r="AN1995" s="4"/>
      <c r="AO1995" s="4"/>
      <c r="AP1995" s="4"/>
      <c r="AQ1995" s="4"/>
      <c r="AR1995" s="4"/>
      <c r="AS1995" s="4"/>
      <c r="AT1995" s="4"/>
      <c r="AU1995" s="4"/>
      <c r="AV1995" s="4"/>
    </row>
    <row r="1996" spans="1:48" ht="15.6" customHeight="1">
      <c r="A1996" s="506"/>
      <c r="B1996" s="506" t="s">
        <v>566</v>
      </c>
      <c r="C1996" s="506" t="s">
        <v>508</v>
      </c>
      <c r="D1996" s="1589">
        <v>933</v>
      </c>
      <c r="E1996" s="2223" t="s">
        <v>1901</v>
      </c>
      <c r="F1996" s="507">
        <v>2311</v>
      </c>
      <c r="G1996" s="411" t="s">
        <v>426</v>
      </c>
      <c r="H1996" s="508">
        <v>971.91</v>
      </c>
      <c r="I1996" s="508"/>
      <c r="J1996" s="509"/>
      <c r="K1996" s="510"/>
      <c r="L1996" s="508">
        <v>0</v>
      </c>
      <c r="M1996" s="508"/>
      <c r="N1996" s="73"/>
      <c r="O1996" s="86"/>
      <c r="P1996" s="1817" t="e">
        <f>INDEX(#REF!,MATCH(F1996,#REF!,0),2)</f>
        <v>#REF!</v>
      </c>
      <c r="Q1996" s="43"/>
      <c r="R1996" s="43"/>
      <c r="S1996" s="43"/>
      <c r="T1996" s="43"/>
      <c r="U1996" s="43"/>
      <c r="V1996" s="43"/>
      <c r="W1996" s="43"/>
      <c r="X1996" s="43"/>
      <c r="Y1996" s="43"/>
      <c r="Z1996" s="43"/>
      <c r="AA1996" s="43"/>
      <c r="AB1996" s="43"/>
      <c r="AC1996" s="43"/>
      <c r="AD1996" s="43"/>
      <c r="AE1996" s="43"/>
      <c r="AF1996" s="43"/>
      <c r="AG1996" s="43"/>
      <c r="AH1996" s="43"/>
      <c r="AI1996" s="43"/>
      <c r="AJ1996" s="43"/>
      <c r="AK1996" s="43"/>
      <c r="AL1996" s="43"/>
      <c r="AM1996" s="43"/>
      <c r="AN1996" s="43"/>
      <c r="AO1996" s="43"/>
      <c r="AP1996" s="43"/>
      <c r="AQ1996" s="43"/>
      <c r="AR1996" s="43"/>
      <c r="AS1996" s="43"/>
      <c r="AT1996" s="43"/>
      <c r="AU1996" s="43"/>
      <c r="AV1996" s="43"/>
    </row>
    <row r="1997" spans="1:48" ht="23.45" customHeight="1">
      <c r="A1997" s="762" t="s">
        <v>1505</v>
      </c>
      <c r="B1997" s="412" t="s">
        <v>566</v>
      </c>
      <c r="C1997" s="412" t="s">
        <v>508</v>
      </c>
      <c r="D1997" s="1599"/>
      <c r="E1997" s="2245" t="s">
        <v>1901</v>
      </c>
      <c r="F1997" s="763">
        <v>2311</v>
      </c>
      <c r="G1997" s="829" t="s">
        <v>2485</v>
      </c>
      <c r="H1997" s="1245"/>
      <c r="I1997" s="1355">
        <v>971.91</v>
      </c>
      <c r="J1997" s="1246"/>
      <c r="K1997" s="1356"/>
      <c r="L1997" s="1245"/>
      <c r="M1997" s="1245"/>
      <c r="N1997" s="1538"/>
      <c r="O1997" s="86"/>
      <c r="P1997" s="1817" t="e">
        <f>INDEX(#REF!,MATCH(F1997,#REF!,0),2)</f>
        <v>#REF!</v>
      </c>
      <c r="Q1997" s="43"/>
      <c r="R1997" s="43"/>
      <c r="S1997" s="43"/>
      <c r="T1997" s="43"/>
      <c r="U1997" s="43"/>
      <c r="V1997" s="43"/>
      <c r="W1997" s="43"/>
      <c r="X1997" s="43"/>
      <c r="Y1997" s="43"/>
      <c r="Z1997" s="43"/>
      <c r="AA1997" s="43"/>
      <c r="AB1997" s="43"/>
      <c r="AC1997" s="43"/>
      <c r="AD1997" s="43"/>
      <c r="AE1997" s="43"/>
      <c r="AF1997" s="43"/>
      <c r="AG1997" s="43"/>
      <c r="AH1997" s="4"/>
      <c r="AI1997" s="4"/>
      <c r="AJ1997" s="4"/>
      <c r="AK1997" s="4"/>
      <c r="AL1997" s="4"/>
      <c r="AM1997" s="4"/>
      <c r="AN1997" s="4"/>
      <c r="AO1997" s="4"/>
      <c r="AP1997" s="4"/>
      <c r="AQ1997" s="4"/>
      <c r="AR1997" s="4"/>
      <c r="AS1997" s="4"/>
      <c r="AT1997" s="4"/>
      <c r="AU1997" s="4"/>
      <c r="AV1997" s="4"/>
    </row>
    <row r="1998" spans="1:48" ht="15.6" customHeight="1">
      <c r="A1998" s="506"/>
      <c r="B1998" s="506" t="s">
        <v>566</v>
      </c>
      <c r="C1998" s="506" t="s">
        <v>508</v>
      </c>
      <c r="D1998" s="1589">
        <v>933</v>
      </c>
      <c r="E1998" s="2223" t="s">
        <v>1901</v>
      </c>
      <c r="F1998" s="507">
        <v>2312</v>
      </c>
      <c r="G1998" s="411" t="s">
        <v>363</v>
      </c>
      <c r="H1998" s="508">
        <v>452</v>
      </c>
      <c r="I1998" s="508"/>
      <c r="J1998" s="509"/>
      <c r="K1998" s="510"/>
      <c r="L1998" s="508">
        <v>0</v>
      </c>
      <c r="M1998" s="508"/>
      <c r="N1998" s="73"/>
      <c r="O1998" s="86"/>
      <c r="P1998" s="1817" t="e">
        <f>INDEX(#REF!,MATCH(F1998,#REF!,0),2)</f>
        <v>#REF!</v>
      </c>
      <c r="Q1998" s="43"/>
      <c r="R1998" s="43"/>
      <c r="S1998" s="43"/>
      <c r="T1998" s="43"/>
      <c r="U1998" s="43"/>
      <c r="V1998" s="43"/>
      <c r="W1998" s="43"/>
      <c r="X1998" s="43"/>
      <c r="Y1998" s="43"/>
      <c r="Z1998" s="43"/>
      <c r="AA1998" s="43"/>
      <c r="AB1998" s="43"/>
      <c r="AC1998" s="43"/>
      <c r="AD1998" s="43"/>
      <c r="AE1998" s="43"/>
      <c r="AF1998" s="43"/>
      <c r="AG1998" s="43"/>
      <c r="AH1998" s="43"/>
      <c r="AI1998" s="43"/>
      <c r="AJ1998" s="43"/>
      <c r="AK1998" s="43"/>
      <c r="AL1998" s="43"/>
      <c r="AM1998" s="43"/>
      <c r="AN1998" s="43"/>
      <c r="AO1998" s="43"/>
      <c r="AP1998" s="43"/>
      <c r="AQ1998" s="43"/>
      <c r="AR1998" s="43"/>
      <c r="AS1998" s="43"/>
      <c r="AT1998" s="43"/>
      <c r="AU1998" s="43"/>
      <c r="AV1998" s="43"/>
    </row>
    <row r="1999" spans="1:48" ht="23.45" customHeight="1">
      <c r="A1999" s="762" t="s">
        <v>1505</v>
      </c>
      <c r="B1999" s="412" t="s">
        <v>566</v>
      </c>
      <c r="C1999" s="412" t="s">
        <v>508</v>
      </c>
      <c r="D1999" s="1599"/>
      <c r="E1999" s="2245" t="s">
        <v>1901</v>
      </c>
      <c r="F1999" s="763">
        <v>2312</v>
      </c>
      <c r="G1999" s="829" t="s">
        <v>2485</v>
      </c>
      <c r="H1999" s="1245"/>
      <c r="I1999" s="1355">
        <v>452</v>
      </c>
      <c r="J1999" s="1246"/>
      <c r="K1999" s="1356"/>
      <c r="L1999" s="1245"/>
      <c r="M1999" s="1245"/>
      <c r="N1999" s="1538"/>
      <c r="O1999" s="86"/>
      <c r="P1999" s="1817" t="e">
        <f>INDEX(#REF!,MATCH(F1999,#REF!,0),2)</f>
        <v>#REF!</v>
      </c>
      <c r="Q1999" s="43"/>
      <c r="R1999" s="43"/>
      <c r="S1999" s="43"/>
      <c r="T1999" s="43"/>
      <c r="U1999" s="43"/>
      <c r="V1999" s="43"/>
      <c r="W1999" s="43"/>
      <c r="X1999" s="43"/>
      <c r="Y1999" s="43"/>
      <c r="Z1999" s="43"/>
      <c r="AA1999" s="43"/>
      <c r="AB1999" s="43"/>
      <c r="AC1999" s="43"/>
      <c r="AD1999" s="43"/>
      <c r="AE1999" s="43"/>
      <c r="AF1999" s="43"/>
      <c r="AG1999" s="43"/>
      <c r="AH1999" s="4"/>
      <c r="AI1999" s="4"/>
      <c r="AJ1999" s="4"/>
      <c r="AK1999" s="4"/>
      <c r="AL1999" s="4"/>
      <c r="AM1999" s="4"/>
      <c r="AN1999" s="4"/>
      <c r="AO1999" s="4"/>
      <c r="AP1999" s="4"/>
      <c r="AQ1999" s="4"/>
      <c r="AR1999" s="4"/>
      <c r="AS1999" s="4"/>
      <c r="AT1999" s="4"/>
      <c r="AU1999" s="4"/>
      <c r="AV1999" s="4"/>
    </row>
    <row r="2000" spans="1:48">
      <c r="A2000" s="506"/>
      <c r="B2000" s="506" t="s">
        <v>566</v>
      </c>
      <c r="C2000" s="506" t="s">
        <v>508</v>
      </c>
      <c r="D2000" s="1589">
        <v>933</v>
      </c>
      <c r="E2000" s="2223" t="s">
        <v>1901</v>
      </c>
      <c r="F2000" s="507">
        <v>2390</v>
      </c>
      <c r="G2000" s="411" t="s">
        <v>253</v>
      </c>
      <c r="H2000" s="508">
        <v>0</v>
      </c>
      <c r="I2000" s="508"/>
      <c r="J2000" s="509"/>
      <c r="K2000" s="510"/>
      <c r="L2000" s="508">
        <v>0</v>
      </c>
      <c r="M2000" s="508"/>
      <c r="N2000" s="73"/>
      <c r="O2000" s="86"/>
      <c r="P2000" s="1817" t="e">
        <f>INDEX(#REF!,MATCH(F2000,#REF!,0),2)</f>
        <v>#REF!</v>
      </c>
      <c r="Q2000" s="43"/>
      <c r="R2000" s="43"/>
      <c r="S2000" s="43"/>
      <c r="T2000" s="43"/>
      <c r="U2000" s="43"/>
      <c r="V2000" s="43"/>
      <c r="W2000" s="43"/>
      <c r="X2000" s="43"/>
      <c r="Y2000" s="43"/>
      <c r="Z2000" s="43"/>
      <c r="AA2000" s="43"/>
      <c r="AB2000" s="43"/>
      <c r="AC2000" s="43"/>
      <c r="AD2000" s="43"/>
      <c r="AE2000" s="43"/>
      <c r="AF2000" s="43"/>
      <c r="AG2000" s="43"/>
      <c r="AH2000" s="43"/>
      <c r="AI2000" s="43"/>
      <c r="AJ2000" s="43"/>
      <c r="AK2000" s="43"/>
      <c r="AL2000" s="43"/>
      <c r="AM2000" s="43"/>
      <c r="AN2000" s="43"/>
      <c r="AO2000" s="43"/>
      <c r="AP2000" s="43"/>
      <c r="AQ2000" s="43"/>
      <c r="AR2000" s="43"/>
      <c r="AS2000" s="43"/>
      <c r="AT2000" s="43"/>
      <c r="AU2000" s="43"/>
      <c r="AV2000" s="43"/>
    </row>
    <row r="2001" spans="1:48" ht="64.900000000000006" customHeight="1">
      <c r="A2001" s="762" t="s">
        <v>1505</v>
      </c>
      <c r="B2001" s="412" t="s">
        <v>566</v>
      </c>
      <c r="C2001" s="412" t="s">
        <v>508</v>
      </c>
      <c r="D2001" s="1599"/>
      <c r="E2001" s="2245" t="s">
        <v>1901</v>
      </c>
      <c r="F2001" s="763">
        <v>2390</v>
      </c>
      <c r="G2001" s="829" t="s">
        <v>2485</v>
      </c>
      <c r="H2001" s="1245"/>
      <c r="I2001" s="1355"/>
      <c r="J2001" s="1246"/>
      <c r="K2001" s="1356"/>
      <c r="L2001" s="1245"/>
      <c r="M2001" s="1245"/>
      <c r="N2001" s="1538"/>
      <c r="O2001" s="86"/>
      <c r="P2001" s="1817" t="e">
        <f>INDEX(#REF!,MATCH(F2001,#REF!,0),2)</f>
        <v>#REF!</v>
      </c>
      <c r="Q2001" s="1779"/>
      <c r="R2001" s="1779"/>
      <c r="S2001" s="1779"/>
      <c r="T2001" s="1779"/>
      <c r="U2001" s="1779"/>
      <c r="V2001" s="1779"/>
      <c r="W2001" s="43"/>
      <c r="X2001" s="1779"/>
      <c r="Y2001" s="1779"/>
      <c r="Z2001" s="1779"/>
      <c r="AA2001" s="1779"/>
      <c r="AB2001" s="1779"/>
      <c r="AC2001" s="1779"/>
      <c r="AD2001" s="1779"/>
      <c r="AE2001" s="1779"/>
      <c r="AF2001" s="1779"/>
      <c r="AG2001" s="1779"/>
      <c r="AH2001" s="1779"/>
      <c r="AI2001" s="1779"/>
      <c r="AJ2001" s="1779"/>
      <c r="AK2001" s="1779"/>
      <c r="AL2001" s="1779"/>
      <c r="AM2001" s="1779"/>
      <c r="AN2001" s="1779"/>
      <c r="AO2001" s="1779"/>
      <c r="AP2001" s="1779"/>
      <c r="AQ2001" s="1779"/>
      <c r="AR2001" s="1779"/>
      <c r="AS2001" s="1779"/>
      <c r="AT2001" s="1779"/>
      <c r="AU2001" s="1779"/>
      <c r="AV2001" s="1779"/>
    </row>
    <row r="2002" spans="1:48" ht="11.45" customHeight="1">
      <c r="A2002" s="5"/>
      <c r="B2002" s="5" t="s">
        <v>1248</v>
      </c>
      <c r="C2002" s="5" t="s">
        <v>507</v>
      </c>
      <c r="D2002" s="1592">
        <v>940</v>
      </c>
      <c r="E2002" s="2218" t="s">
        <v>3145</v>
      </c>
      <c r="F2002" s="381">
        <v>2239</v>
      </c>
      <c r="G2002" s="7" t="s">
        <v>702</v>
      </c>
      <c r="H2002" s="950">
        <v>162810</v>
      </c>
      <c r="I2002" s="55"/>
      <c r="J2002" s="245"/>
      <c r="K2002" s="56"/>
      <c r="L2002" s="55">
        <v>162750</v>
      </c>
      <c r="M2002" s="55"/>
      <c r="N2002" s="1254"/>
      <c r="O2002" s="86"/>
      <c r="P2002" s="1817" t="e">
        <f>INDEX(#REF!,MATCH(F2002,#REF!,0),2)</f>
        <v>#REF!</v>
      </c>
      <c r="Q2002" s="1779"/>
      <c r="R2002" s="1779"/>
      <c r="S2002" s="1779"/>
      <c r="T2002" s="1779"/>
      <c r="U2002" s="1779"/>
      <c r="V2002" s="1779"/>
      <c r="W2002" s="43"/>
      <c r="X2002" s="1779"/>
      <c r="Y2002" s="1779"/>
      <c r="Z2002" s="1779"/>
      <c r="AA2002" s="1779"/>
      <c r="AB2002" s="1779"/>
      <c r="AC2002" s="1779"/>
      <c r="AD2002" s="1779"/>
      <c r="AE2002" s="1779"/>
      <c r="AF2002" s="1779"/>
      <c r="AG2002" s="1779"/>
      <c r="AH2002" s="1779"/>
      <c r="AI2002" s="1779"/>
      <c r="AJ2002" s="1779"/>
      <c r="AK2002" s="1779"/>
      <c r="AL2002" s="1779"/>
      <c r="AM2002" s="1779"/>
      <c r="AN2002" s="1779"/>
      <c r="AO2002" s="1779"/>
      <c r="AP2002" s="1779"/>
      <c r="AQ2002" s="1779"/>
      <c r="AR2002" s="1779"/>
      <c r="AS2002" s="1779"/>
      <c r="AT2002" s="1779"/>
      <c r="AU2002" s="1779"/>
      <c r="AV2002" s="1779"/>
    </row>
    <row r="2003" spans="1:48" ht="29.45" customHeight="1">
      <c r="A2003" s="12"/>
      <c r="B2003" s="12" t="s">
        <v>1248</v>
      </c>
      <c r="C2003" s="12" t="s">
        <v>507</v>
      </c>
      <c r="D2003" s="1593"/>
      <c r="E2003" s="1593" t="s">
        <v>3145</v>
      </c>
      <c r="F2003" s="23">
        <v>2239</v>
      </c>
      <c r="G2003" s="3393" t="s">
        <v>4726</v>
      </c>
      <c r="H2003" s="951"/>
      <c r="I2003" s="82">
        <v>135000</v>
      </c>
      <c r="J2003" s="336"/>
      <c r="K2003" s="57"/>
      <c r="L2003" s="82"/>
      <c r="M2003" s="82">
        <v>162750</v>
      </c>
      <c r="N2003" s="154" t="s">
        <v>4723</v>
      </c>
      <c r="O2003" s="86"/>
      <c r="P2003" s="1817" t="e">
        <f>INDEX(#REF!,MATCH(F2003,#REF!,0),2)</f>
        <v>#REF!</v>
      </c>
      <c r="Q2003" s="1779"/>
      <c r="R2003" s="1779"/>
      <c r="S2003" s="1779"/>
      <c r="T2003" s="1779"/>
      <c r="U2003" s="1779"/>
      <c r="V2003" s="1779"/>
      <c r="W2003" s="43"/>
      <c r="X2003" s="1779"/>
      <c r="Y2003" s="1779"/>
      <c r="Z2003" s="1779"/>
      <c r="AA2003" s="1779"/>
      <c r="AB2003" s="1779"/>
      <c r="AC2003" s="1779"/>
      <c r="AD2003" s="1779"/>
      <c r="AE2003" s="1779"/>
      <c r="AF2003" s="1779"/>
      <c r="AG2003" s="1779"/>
      <c r="AH2003" s="1779"/>
      <c r="AI2003" s="1779"/>
      <c r="AJ2003" s="1779"/>
      <c r="AK2003" s="1779"/>
      <c r="AL2003" s="1779"/>
      <c r="AM2003" s="1779"/>
      <c r="AN2003" s="1779"/>
      <c r="AO2003" s="1779"/>
      <c r="AP2003" s="1779"/>
      <c r="AQ2003" s="1779"/>
      <c r="AR2003" s="1779"/>
      <c r="AS2003" s="1779"/>
      <c r="AT2003" s="1779"/>
      <c r="AU2003" s="1779"/>
      <c r="AV2003" s="1779"/>
    </row>
    <row r="2004" spans="1:48" ht="21" customHeight="1">
      <c r="A2004" s="5"/>
      <c r="B2004" s="5" t="s">
        <v>1248</v>
      </c>
      <c r="C2004" s="5" t="s">
        <v>507</v>
      </c>
      <c r="D2004" s="1592">
        <v>940</v>
      </c>
      <c r="E2004" s="2218" t="s">
        <v>3144</v>
      </c>
      <c r="F2004" s="381">
        <v>2239</v>
      </c>
      <c r="G2004" s="7" t="s">
        <v>403</v>
      </c>
      <c r="H2004" s="950">
        <v>1650090</v>
      </c>
      <c r="I2004" s="55"/>
      <c r="J2004" s="245"/>
      <c r="K2004" s="56"/>
      <c r="L2004" s="55">
        <v>1865620</v>
      </c>
      <c r="M2004" s="2430"/>
      <c r="N2004" s="73"/>
      <c r="O2004" s="86"/>
      <c r="P2004" s="1817" t="e">
        <f>INDEX(#REF!,MATCH(F2004,#REF!,0),2)</f>
        <v>#REF!</v>
      </c>
      <c r="Q2004" s="1779"/>
      <c r="R2004" s="1779"/>
      <c r="S2004" s="1779"/>
      <c r="T2004" s="1779"/>
      <c r="U2004" s="1779"/>
      <c r="V2004" s="1779"/>
      <c r="W2004" s="43"/>
      <c r="X2004" s="1779"/>
      <c r="Y2004" s="1779"/>
      <c r="Z2004" s="1779"/>
      <c r="AA2004" s="1779"/>
      <c r="AB2004" s="1779"/>
      <c r="AC2004" s="1779"/>
      <c r="AD2004" s="1779"/>
      <c r="AE2004" s="1779"/>
      <c r="AF2004" s="1779"/>
      <c r="AG2004" s="1779"/>
      <c r="AH2004" s="1779"/>
      <c r="AI2004" s="1779"/>
      <c r="AJ2004" s="1779"/>
      <c r="AK2004" s="1779"/>
      <c r="AL2004" s="1779"/>
      <c r="AM2004" s="1779"/>
      <c r="AN2004" s="1779"/>
      <c r="AO2004" s="1779"/>
      <c r="AP2004" s="1779"/>
      <c r="AQ2004" s="1779"/>
      <c r="AR2004" s="1779"/>
      <c r="AS2004" s="1779"/>
      <c r="AT2004" s="1779"/>
      <c r="AU2004" s="1779"/>
      <c r="AV2004" s="1779"/>
    </row>
    <row r="2005" spans="1:48" ht="31.9" customHeight="1">
      <c r="A2005" s="12"/>
      <c r="B2005" s="12" t="s">
        <v>1248</v>
      </c>
      <c r="C2005" s="12" t="s">
        <v>507</v>
      </c>
      <c r="D2005" s="1593"/>
      <c r="E2005" s="2222" t="s">
        <v>3144</v>
      </c>
      <c r="F2005" s="23">
        <v>2239</v>
      </c>
      <c r="G2005" s="3394" t="s">
        <v>2938</v>
      </c>
      <c r="H2005" s="951"/>
      <c r="I2005" s="82">
        <v>1296792</v>
      </c>
      <c r="J2005" s="336"/>
      <c r="K2005" s="57"/>
      <c r="L2005" s="2431"/>
      <c r="M2005" s="82">
        <v>1748620</v>
      </c>
      <c r="N2005" s="154" t="s">
        <v>4720</v>
      </c>
      <c r="O2005" s="86"/>
      <c r="P2005" s="1817" t="e">
        <f>INDEX(#REF!,MATCH(F2005,#REF!,0),2)</f>
        <v>#REF!</v>
      </c>
      <c r="Q2005" s="1779"/>
      <c r="R2005" s="1779"/>
      <c r="S2005" s="1779"/>
      <c r="T2005" s="1779"/>
      <c r="U2005" s="1779"/>
      <c r="V2005" s="1779"/>
      <c r="W2005" s="43"/>
      <c r="X2005" s="1779"/>
      <c r="Y2005" s="1779"/>
      <c r="Z2005" s="1779"/>
      <c r="AA2005" s="1779"/>
      <c r="AB2005" s="1779"/>
      <c r="AC2005" s="1779"/>
      <c r="AD2005" s="1779"/>
      <c r="AE2005" s="1779"/>
      <c r="AF2005" s="1779"/>
      <c r="AG2005" s="1779"/>
      <c r="AH2005" s="1779"/>
      <c r="AI2005" s="1779"/>
      <c r="AJ2005" s="1779"/>
      <c r="AK2005" s="1779"/>
      <c r="AL2005" s="1779"/>
      <c r="AM2005" s="1779"/>
      <c r="AN2005" s="1779"/>
      <c r="AO2005" s="1779"/>
      <c r="AP2005" s="1779"/>
      <c r="AQ2005" s="1779"/>
      <c r="AR2005" s="1779"/>
      <c r="AS2005" s="1779"/>
      <c r="AT2005" s="1779"/>
      <c r="AU2005" s="1779"/>
      <c r="AV2005" s="1779"/>
    </row>
    <row r="2006" spans="1:48" ht="11.45" customHeight="1">
      <c r="A2006" s="246"/>
      <c r="B2006" s="12" t="s">
        <v>1248</v>
      </c>
      <c r="C2006" s="12" t="s">
        <v>507</v>
      </c>
      <c r="D2006" s="1593"/>
      <c r="E2006" s="2222" t="s">
        <v>3144</v>
      </c>
      <c r="F2006" s="23">
        <v>2239</v>
      </c>
      <c r="G2006" s="3395" t="s">
        <v>4725</v>
      </c>
      <c r="H2006" s="952"/>
      <c r="I2006" s="58">
        <v>81000</v>
      </c>
      <c r="J2006" s="272"/>
      <c r="K2006" s="59"/>
      <c r="L2006" s="2432"/>
      <c r="M2006" s="58">
        <v>117000</v>
      </c>
      <c r="N2006" s="154" t="s">
        <v>4721</v>
      </c>
      <c r="O2006" s="86"/>
      <c r="P2006" s="1817" t="e">
        <f>INDEX(#REF!,MATCH(F2006,#REF!,0),2)</f>
        <v>#REF!</v>
      </c>
      <c r="Q2006" s="1779"/>
      <c r="R2006" s="1779"/>
      <c r="S2006" s="1779"/>
      <c r="T2006" s="1779"/>
      <c r="U2006" s="1779"/>
      <c r="V2006" s="1779"/>
      <c r="W2006" s="43"/>
      <c r="X2006" s="1779"/>
      <c r="Y2006" s="1779"/>
      <c r="Z2006" s="1779"/>
      <c r="AA2006" s="1779"/>
      <c r="AB2006" s="1779"/>
      <c r="AC2006" s="1779"/>
      <c r="AD2006" s="1779"/>
      <c r="AE2006" s="1779"/>
      <c r="AF2006" s="1779"/>
      <c r="AG2006" s="1779"/>
      <c r="AH2006" s="1779"/>
      <c r="AI2006" s="1779"/>
      <c r="AJ2006" s="1779"/>
      <c r="AK2006" s="1779"/>
      <c r="AL2006" s="1779"/>
      <c r="AM2006" s="1779"/>
      <c r="AN2006" s="1779"/>
      <c r="AO2006" s="1779"/>
      <c r="AP2006" s="1779"/>
      <c r="AQ2006" s="1779"/>
      <c r="AR2006" s="1779"/>
      <c r="AS2006" s="1779"/>
      <c r="AT2006" s="1779"/>
      <c r="AU2006" s="1779"/>
      <c r="AV2006" s="1779"/>
    </row>
    <row r="2007" spans="1:48" ht="30.6" customHeight="1">
      <c r="A2007" s="2790"/>
      <c r="B2007" s="12" t="s">
        <v>1248</v>
      </c>
      <c r="C2007" s="2790"/>
      <c r="D2007" s="3071"/>
      <c r="E2007" s="2222" t="s">
        <v>3144</v>
      </c>
      <c r="F2007" s="23">
        <v>2239</v>
      </c>
      <c r="G2007" s="3396" t="s">
        <v>4722</v>
      </c>
      <c r="H2007" s="3392"/>
      <c r="I2007" s="3128"/>
      <c r="J2007" s="3374"/>
      <c r="K2007" s="3375"/>
      <c r="L2007" s="3127"/>
      <c r="M2007" s="3128">
        <v>0</v>
      </c>
      <c r="N2007" s="154" t="s">
        <v>4724</v>
      </c>
      <c r="O2007" s="86"/>
      <c r="P2007" s="1817"/>
      <c r="Q2007" s="1779"/>
      <c r="R2007" s="1779"/>
      <c r="S2007" s="1779"/>
      <c r="T2007" s="1779"/>
      <c r="U2007" s="1779"/>
      <c r="V2007" s="1779"/>
      <c r="W2007" s="43"/>
      <c r="X2007" s="1779"/>
      <c r="Y2007" s="1779"/>
      <c r="Z2007" s="1779"/>
      <c r="AA2007" s="1779"/>
      <c r="AB2007" s="1779"/>
      <c r="AC2007" s="1779"/>
      <c r="AD2007" s="1779"/>
      <c r="AE2007" s="1779"/>
      <c r="AF2007" s="1779"/>
      <c r="AG2007" s="1779"/>
      <c r="AH2007" s="1779"/>
      <c r="AI2007" s="1779"/>
      <c r="AJ2007" s="1779"/>
      <c r="AK2007" s="1779"/>
      <c r="AL2007" s="1779"/>
      <c r="AM2007" s="1779"/>
      <c r="AN2007" s="1779"/>
      <c r="AO2007" s="1779"/>
      <c r="AP2007" s="1779"/>
      <c r="AQ2007" s="1779"/>
      <c r="AR2007" s="1779"/>
      <c r="AS2007" s="1779"/>
      <c r="AT2007" s="1779"/>
      <c r="AU2007" s="1779"/>
      <c r="AV2007" s="1779"/>
    </row>
    <row r="2008" spans="1:48">
      <c r="A2008" s="5"/>
      <c r="B2008" s="5" t="s">
        <v>1248</v>
      </c>
      <c r="C2008" s="5" t="s">
        <v>507</v>
      </c>
      <c r="D2008" s="1592">
        <v>940</v>
      </c>
      <c r="E2008" s="2218" t="s">
        <v>3463</v>
      </c>
      <c r="F2008" s="6">
        <v>7210</v>
      </c>
      <c r="G2008" s="7" t="s">
        <v>404</v>
      </c>
      <c r="H2008" s="950">
        <v>788532</v>
      </c>
      <c r="I2008" s="55"/>
      <c r="J2008" s="245"/>
      <c r="K2008" s="56"/>
      <c r="L2008" s="55">
        <v>750000</v>
      </c>
      <c r="M2008" s="2430"/>
      <c r="N2008" s="73"/>
      <c r="O2008" s="86"/>
      <c r="P2008" s="1817" t="e">
        <f>INDEX(#REF!,MATCH(F2008,#REF!,0),2)</f>
        <v>#REF!</v>
      </c>
      <c r="Q2008" s="11"/>
      <c r="R2008" s="11"/>
      <c r="S2008" s="11"/>
      <c r="T2008" s="11"/>
      <c r="U2008" s="11"/>
      <c r="V2008" s="11"/>
      <c r="W2008" s="4"/>
      <c r="X2008" s="11"/>
      <c r="Y2008" s="11"/>
      <c r="Z2008" s="11"/>
      <c r="AA2008" s="11"/>
      <c r="AB2008" s="11"/>
      <c r="AC2008" s="11"/>
      <c r="AD2008" s="11"/>
      <c r="AE2008" s="11"/>
      <c r="AF2008" s="11"/>
      <c r="AG2008" s="11"/>
      <c r="AH2008" s="11"/>
      <c r="AI2008" s="11"/>
      <c r="AJ2008" s="11"/>
      <c r="AK2008" s="11"/>
      <c r="AL2008" s="11"/>
      <c r="AM2008" s="11"/>
      <c r="AN2008" s="11"/>
      <c r="AO2008" s="11"/>
      <c r="AP2008" s="11"/>
      <c r="AQ2008" s="11"/>
      <c r="AR2008" s="11"/>
      <c r="AS2008" s="11"/>
      <c r="AT2008" s="11"/>
      <c r="AU2008" s="11"/>
      <c r="AV2008" s="11"/>
    </row>
    <row r="2009" spans="1:48" ht="22.5">
      <c r="A2009" s="12"/>
      <c r="B2009" s="12" t="s">
        <v>1248</v>
      </c>
      <c r="C2009" s="12" t="s">
        <v>507</v>
      </c>
      <c r="D2009" s="1593"/>
      <c r="E2009" s="2251" t="s">
        <v>3463</v>
      </c>
      <c r="F2009" s="23">
        <v>7210</v>
      </c>
      <c r="G2009" s="3397" t="s">
        <v>2939</v>
      </c>
      <c r="H2009" s="951"/>
      <c r="I2009" s="82">
        <v>1009440</v>
      </c>
      <c r="J2009" s="336"/>
      <c r="K2009" s="57"/>
      <c r="L2009" s="2431"/>
      <c r="M2009" s="82">
        <v>750000</v>
      </c>
      <c r="N2009" s="154"/>
      <c r="O2009" s="86"/>
      <c r="P2009" s="1817" t="e">
        <f>INDEX(#REF!,MATCH(F2009,#REF!,0),2)</f>
        <v>#REF!</v>
      </c>
      <c r="Q2009" s="1779"/>
      <c r="R2009" s="1779"/>
      <c r="S2009" s="1779"/>
      <c r="T2009" s="1779"/>
      <c r="U2009" s="1779"/>
      <c r="V2009" s="1779"/>
      <c r="W2009" s="43"/>
      <c r="X2009" s="1779"/>
      <c r="Y2009" s="1779"/>
      <c r="Z2009" s="1779"/>
      <c r="AA2009" s="1779"/>
      <c r="AB2009" s="1779"/>
      <c r="AC2009" s="1779"/>
      <c r="AD2009" s="1779"/>
      <c r="AE2009" s="1779"/>
      <c r="AF2009" s="1779"/>
      <c r="AG2009" s="1779"/>
      <c r="AH2009" s="1779"/>
      <c r="AI2009" s="1779"/>
      <c r="AJ2009" s="1779"/>
      <c r="AK2009" s="1779"/>
      <c r="AL2009" s="1779"/>
      <c r="AM2009" s="1779"/>
      <c r="AN2009" s="1779"/>
      <c r="AO2009" s="1779"/>
      <c r="AP2009" s="1779"/>
      <c r="AQ2009" s="1779"/>
      <c r="AR2009" s="1779"/>
      <c r="AS2009" s="1779"/>
      <c r="AT2009" s="1779"/>
      <c r="AU2009" s="1779"/>
      <c r="AV2009" s="1779"/>
    </row>
    <row r="2010" spans="1:48">
      <c r="A2010" s="170"/>
      <c r="B2010" s="170" t="s">
        <v>663</v>
      </c>
      <c r="C2010" s="170" t="s">
        <v>652</v>
      </c>
      <c r="D2010" s="1603">
        <v>1030</v>
      </c>
      <c r="E2010" s="2252" t="s">
        <v>1921</v>
      </c>
      <c r="F2010" s="171">
        <v>1119</v>
      </c>
      <c r="G2010" s="172" t="s">
        <v>224</v>
      </c>
      <c r="H2010" s="2604">
        <v>83016.399999999994</v>
      </c>
      <c r="I2010" s="2606"/>
      <c r="J2010" s="2635"/>
      <c r="K2010" s="2647"/>
      <c r="L2010" s="2604">
        <v>93430.944000000018</v>
      </c>
      <c r="M2010" s="2604"/>
      <c r="N2010" s="73"/>
      <c r="O2010" s="86"/>
      <c r="P2010" s="1817" t="e">
        <f>INDEX(#REF!,MATCH(F2010,#REF!,0),2)</f>
        <v>#REF!</v>
      </c>
      <c r="Q2010" s="1779"/>
      <c r="R2010" s="1779"/>
      <c r="S2010" s="1779"/>
      <c r="T2010" s="1779"/>
      <c r="U2010" s="1779"/>
      <c r="V2010" s="1779"/>
      <c r="W2010" s="43"/>
      <c r="X2010" s="1779"/>
      <c r="Y2010" s="1779"/>
      <c r="Z2010" s="1779"/>
      <c r="AA2010" s="1779"/>
      <c r="AB2010" s="1779"/>
      <c r="AC2010" s="1779"/>
      <c r="AD2010" s="1779"/>
      <c r="AE2010" s="1779"/>
      <c r="AF2010" s="1779"/>
      <c r="AG2010" s="1779"/>
      <c r="AH2010" s="1779"/>
      <c r="AI2010" s="1779"/>
      <c r="AJ2010" s="1779"/>
      <c r="AK2010" s="1779"/>
      <c r="AL2010" s="1779"/>
      <c r="AM2010" s="1779"/>
      <c r="AN2010" s="1779"/>
      <c r="AO2010" s="1779"/>
      <c r="AP2010" s="1779"/>
      <c r="AQ2010" s="1779"/>
      <c r="AR2010" s="1779"/>
      <c r="AS2010" s="1779"/>
      <c r="AT2010" s="1779"/>
      <c r="AU2010" s="1779"/>
      <c r="AV2010" s="1779"/>
    </row>
    <row r="2011" spans="1:48">
      <c r="A2011" s="325"/>
      <c r="B2011" s="173" t="s">
        <v>663</v>
      </c>
      <c r="C2011" s="173" t="s">
        <v>652</v>
      </c>
      <c r="D2011" s="1604"/>
      <c r="E2011" s="2251" t="s">
        <v>1921</v>
      </c>
      <c r="F2011" s="370">
        <v>1119</v>
      </c>
      <c r="G2011" s="330" t="s">
        <v>663</v>
      </c>
      <c r="H2011" s="2592"/>
      <c r="I2011" s="2636">
        <v>88142.399999999994</v>
      </c>
      <c r="J2011" s="2636"/>
      <c r="K2011" s="2647"/>
      <c r="L2011" s="2592"/>
      <c r="M2011" s="2592">
        <v>93430.944000000018</v>
      </c>
      <c r="N2011" s="73"/>
      <c r="O2011" s="86"/>
      <c r="P2011" s="1817" t="e">
        <f>INDEX(#REF!,MATCH(F2011,#REF!,0),2)</f>
        <v>#REF!</v>
      </c>
      <c r="Q2011" s="11"/>
      <c r="R2011" s="11"/>
      <c r="S2011" s="11"/>
      <c r="T2011" s="11"/>
      <c r="U2011" s="11"/>
      <c r="V2011" s="11"/>
      <c r="W2011" s="4"/>
      <c r="X2011" s="11"/>
      <c r="Y2011" s="11"/>
      <c r="Z2011" s="11"/>
      <c r="AA2011" s="11"/>
      <c r="AB2011" s="11"/>
      <c r="AC2011" s="11"/>
      <c r="AD2011" s="11"/>
      <c r="AE2011" s="11"/>
      <c r="AF2011" s="11"/>
      <c r="AG2011" s="11"/>
      <c r="AH2011" s="11"/>
      <c r="AI2011" s="11"/>
      <c r="AJ2011" s="11"/>
      <c r="AK2011" s="11"/>
      <c r="AL2011" s="11"/>
      <c r="AM2011" s="11"/>
      <c r="AN2011" s="11"/>
      <c r="AO2011" s="11"/>
      <c r="AP2011" s="11"/>
      <c r="AQ2011" s="11"/>
      <c r="AR2011" s="11"/>
      <c r="AS2011" s="11"/>
      <c r="AT2011" s="11"/>
      <c r="AU2011" s="11"/>
      <c r="AV2011" s="11"/>
    </row>
    <row r="2012" spans="1:48" ht="22.5">
      <c r="A2012" s="325"/>
      <c r="B2012" s="173" t="s">
        <v>663</v>
      </c>
      <c r="C2012" s="173" t="s">
        <v>652</v>
      </c>
      <c r="D2012" s="1604"/>
      <c r="E2012" s="2251" t="s">
        <v>1921</v>
      </c>
      <c r="F2012" s="370">
        <v>1119</v>
      </c>
      <c r="G2012" s="330" t="s">
        <v>3201</v>
      </c>
      <c r="H2012" s="2592"/>
      <c r="I2012" s="2636">
        <v>-5126</v>
      </c>
      <c r="J2012" s="2636"/>
      <c r="K2012" s="2647"/>
      <c r="L2012" s="2592"/>
      <c r="M2012" s="2592"/>
      <c r="N2012" s="73"/>
      <c r="O2012" s="86"/>
      <c r="P2012" s="1817" t="e">
        <f>INDEX(#REF!,MATCH(F2012,#REF!,0),2)</f>
        <v>#REF!</v>
      </c>
      <c r="Q2012" s="11"/>
      <c r="R2012" s="11"/>
      <c r="S2012" s="11"/>
      <c r="T2012" s="11"/>
      <c r="U2012" s="11"/>
      <c r="V2012" s="11"/>
      <c r="W2012" s="4"/>
      <c r="X2012" s="11"/>
      <c r="Y2012" s="11"/>
      <c r="Z2012" s="11"/>
      <c r="AA2012" s="11"/>
      <c r="AB2012" s="11"/>
      <c r="AC2012" s="11"/>
      <c r="AD2012" s="11"/>
      <c r="AE2012" s="11"/>
      <c r="AF2012" s="11"/>
      <c r="AG2012" s="11"/>
      <c r="AH2012" s="11"/>
      <c r="AI2012" s="11"/>
      <c r="AJ2012" s="11"/>
      <c r="AK2012" s="11"/>
      <c r="AL2012" s="11"/>
      <c r="AM2012" s="11"/>
      <c r="AN2012" s="11"/>
      <c r="AO2012" s="11"/>
      <c r="AP2012" s="11"/>
      <c r="AQ2012" s="11"/>
      <c r="AR2012" s="11"/>
      <c r="AS2012" s="11"/>
      <c r="AT2012" s="11"/>
      <c r="AU2012" s="11"/>
      <c r="AV2012" s="11"/>
    </row>
    <row r="2013" spans="1:48" ht="22.5">
      <c r="A2013" s="170"/>
      <c r="B2013" s="170" t="s">
        <v>663</v>
      </c>
      <c r="C2013" s="170" t="s">
        <v>652</v>
      </c>
      <c r="D2013" s="1603">
        <v>1030</v>
      </c>
      <c r="E2013" s="2252" t="s">
        <v>1921</v>
      </c>
      <c r="F2013" s="171">
        <v>1146</v>
      </c>
      <c r="G2013" s="172" t="s">
        <v>922</v>
      </c>
      <c r="H2013" s="2604">
        <v>0</v>
      </c>
      <c r="I2013" s="2606"/>
      <c r="J2013" s="2635"/>
      <c r="K2013" s="2647"/>
      <c r="L2013" s="2604">
        <v>0</v>
      </c>
      <c r="M2013" s="2604"/>
      <c r="N2013" s="73"/>
      <c r="O2013" s="86"/>
      <c r="P2013" s="1817" t="e">
        <f>INDEX(#REF!,MATCH(F2013,#REF!,0),2)</f>
        <v>#REF!</v>
      </c>
      <c r="Q2013" s="11"/>
      <c r="R2013" s="11"/>
      <c r="S2013" s="11"/>
      <c r="T2013" s="11"/>
      <c r="U2013" s="11"/>
      <c r="V2013" s="11"/>
      <c r="W2013" s="4"/>
      <c r="X2013" s="11"/>
      <c r="Y2013" s="11"/>
      <c r="Z2013" s="11"/>
      <c r="AA2013" s="11"/>
      <c r="AB2013" s="11"/>
      <c r="AC2013" s="11"/>
      <c r="AD2013" s="11"/>
      <c r="AE2013" s="11"/>
      <c r="AF2013" s="11"/>
      <c r="AG2013" s="11"/>
      <c r="AH2013" s="11"/>
      <c r="AI2013" s="11"/>
      <c r="AJ2013" s="11"/>
      <c r="AK2013" s="11"/>
      <c r="AL2013" s="11"/>
      <c r="AM2013" s="11"/>
      <c r="AN2013" s="11"/>
      <c r="AO2013" s="11"/>
      <c r="AP2013" s="11"/>
      <c r="AQ2013" s="11"/>
      <c r="AR2013" s="11"/>
      <c r="AS2013" s="11"/>
      <c r="AT2013" s="11"/>
      <c r="AU2013" s="11"/>
      <c r="AV2013" s="11"/>
    </row>
    <row r="2014" spans="1:48">
      <c r="A2014" s="173"/>
      <c r="B2014" s="173" t="s">
        <v>663</v>
      </c>
      <c r="C2014" s="173" t="s">
        <v>652</v>
      </c>
      <c r="D2014" s="1604"/>
      <c r="E2014" s="2251" t="s">
        <v>1921</v>
      </c>
      <c r="F2014" s="370">
        <v>1146</v>
      </c>
      <c r="G2014" s="180"/>
      <c r="H2014" s="2592"/>
      <c r="I2014" s="2636"/>
      <c r="J2014" s="2636"/>
      <c r="K2014" s="2647"/>
      <c r="L2014" s="2592"/>
      <c r="M2014" s="2592"/>
      <c r="N2014" s="73"/>
      <c r="O2014" s="86"/>
      <c r="P2014" s="1817" t="e">
        <f>INDEX(#REF!,MATCH(F2014,#REF!,0),2)</f>
        <v>#REF!</v>
      </c>
      <c r="Q2014" s="1779"/>
      <c r="R2014" s="1779"/>
      <c r="S2014" s="1779"/>
      <c r="T2014" s="1779"/>
      <c r="U2014" s="1779"/>
      <c r="V2014" s="1779"/>
      <c r="W2014" s="43"/>
      <c r="X2014" s="1779"/>
      <c r="Y2014" s="1779"/>
      <c r="Z2014" s="1779"/>
      <c r="AA2014" s="1779"/>
      <c r="AB2014" s="1779"/>
      <c r="AC2014" s="1779"/>
      <c r="AD2014" s="1779"/>
      <c r="AE2014" s="1779"/>
      <c r="AF2014" s="1779"/>
      <c r="AG2014" s="1779"/>
      <c r="AH2014" s="1779"/>
      <c r="AI2014" s="1779"/>
      <c r="AJ2014" s="1779"/>
      <c r="AK2014" s="1779"/>
      <c r="AL2014" s="1779"/>
      <c r="AM2014" s="1779"/>
      <c r="AN2014" s="1779"/>
      <c r="AO2014" s="1779"/>
      <c r="AP2014" s="1779"/>
      <c r="AQ2014" s="1779"/>
      <c r="AR2014" s="1779"/>
      <c r="AS2014" s="1779"/>
      <c r="AT2014" s="1779"/>
      <c r="AU2014" s="1779"/>
      <c r="AV2014" s="1779"/>
    </row>
    <row r="2015" spans="1:48">
      <c r="A2015" s="170"/>
      <c r="B2015" s="170" t="s">
        <v>663</v>
      </c>
      <c r="C2015" s="170" t="s">
        <v>652</v>
      </c>
      <c r="D2015" s="1603">
        <v>1030</v>
      </c>
      <c r="E2015" s="2252" t="s">
        <v>1921</v>
      </c>
      <c r="F2015" s="171">
        <v>1147</v>
      </c>
      <c r="G2015" s="172" t="s">
        <v>226</v>
      </c>
      <c r="H2015" s="2604">
        <v>6345.2</v>
      </c>
      <c r="I2015" s="2606"/>
      <c r="J2015" s="2635"/>
      <c r="K2015" s="2647"/>
      <c r="L2015" s="2604">
        <v>14237.912</v>
      </c>
      <c r="M2015" s="2604"/>
      <c r="N2015" s="73"/>
      <c r="O2015" s="86"/>
      <c r="P2015" s="1817" t="e">
        <f>INDEX(#REF!,MATCH(F2015,#REF!,0),2)</f>
        <v>#REF!</v>
      </c>
      <c r="Q2015" s="1779"/>
      <c r="R2015" s="1779"/>
      <c r="S2015" s="1779"/>
      <c r="T2015" s="1779"/>
      <c r="U2015" s="1779"/>
      <c r="V2015" s="1779"/>
      <c r="W2015" s="43"/>
      <c r="X2015" s="1779"/>
      <c r="Y2015" s="1779"/>
      <c r="Z2015" s="1779"/>
      <c r="AA2015" s="1779"/>
      <c r="AB2015" s="1779"/>
      <c r="AC2015" s="1779"/>
      <c r="AD2015" s="1779"/>
      <c r="AE2015" s="1779"/>
      <c r="AF2015" s="1779"/>
      <c r="AG2015" s="1779"/>
      <c r="AH2015" s="1779"/>
      <c r="AI2015" s="1779"/>
      <c r="AJ2015" s="1779"/>
      <c r="AK2015" s="1779"/>
      <c r="AL2015" s="1779"/>
      <c r="AM2015" s="1779"/>
      <c r="AN2015" s="1779"/>
      <c r="AO2015" s="1779"/>
      <c r="AP2015" s="1779"/>
      <c r="AQ2015" s="1779"/>
      <c r="AR2015" s="1779"/>
      <c r="AS2015" s="1779"/>
      <c r="AT2015" s="1779"/>
      <c r="AU2015" s="1779"/>
      <c r="AV2015" s="1779"/>
    </row>
    <row r="2016" spans="1:48">
      <c r="A2016" s="325"/>
      <c r="B2016" s="173" t="s">
        <v>663</v>
      </c>
      <c r="C2016" s="173" t="s">
        <v>652</v>
      </c>
      <c r="D2016" s="1604"/>
      <c r="E2016" s="2251" t="s">
        <v>1921</v>
      </c>
      <c r="F2016" s="370">
        <v>1147</v>
      </c>
      <c r="G2016" s="330" t="s">
        <v>663</v>
      </c>
      <c r="H2016" s="2592"/>
      <c r="I2016" s="2636">
        <v>6345.2</v>
      </c>
      <c r="J2016" s="2636"/>
      <c r="K2016" s="2647"/>
      <c r="L2016" s="2592"/>
      <c r="M2016" s="2592">
        <v>6785.9120000000003</v>
      </c>
      <c r="N2016" s="73"/>
      <c r="O2016" s="86"/>
      <c r="P2016" s="1817" t="e">
        <f>INDEX(#REF!,MATCH(F2016,#REF!,0),2)</f>
        <v>#REF!</v>
      </c>
      <c r="Q2016" s="1779"/>
      <c r="R2016" s="1779"/>
      <c r="S2016" s="1779"/>
      <c r="T2016" s="1779"/>
      <c r="U2016" s="1779"/>
      <c r="V2016" s="1779"/>
      <c r="W2016" s="43"/>
      <c r="X2016" s="1779"/>
      <c r="Y2016" s="1779"/>
      <c r="Z2016" s="1779"/>
      <c r="AA2016" s="1779"/>
      <c r="AB2016" s="1779"/>
      <c r="AC2016" s="1779"/>
      <c r="AD2016" s="1779"/>
      <c r="AE2016" s="1779"/>
      <c r="AF2016" s="1779"/>
      <c r="AG2016" s="1779"/>
      <c r="AH2016" s="1779"/>
      <c r="AI2016" s="1779"/>
      <c r="AJ2016" s="1779"/>
      <c r="AK2016" s="1779"/>
      <c r="AL2016" s="1779"/>
      <c r="AM2016" s="1779"/>
      <c r="AN2016" s="1779"/>
      <c r="AO2016" s="1779"/>
      <c r="AP2016" s="1779"/>
      <c r="AQ2016" s="1779"/>
      <c r="AR2016" s="1779"/>
      <c r="AS2016" s="1779"/>
      <c r="AT2016" s="1779"/>
      <c r="AU2016" s="1779"/>
      <c r="AV2016" s="1779"/>
    </row>
    <row r="2017" spans="1:48" ht="22.5">
      <c r="A2017" s="325"/>
      <c r="B2017" s="173" t="s">
        <v>663</v>
      </c>
      <c r="C2017" s="173" t="s">
        <v>652</v>
      </c>
      <c r="D2017" s="1604"/>
      <c r="E2017" s="2251" t="s">
        <v>1921</v>
      </c>
      <c r="F2017" s="370">
        <v>1147</v>
      </c>
      <c r="G2017" s="2646" t="s">
        <v>3522</v>
      </c>
      <c r="H2017" s="2592"/>
      <c r="I2017" s="2636"/>
      <c r="J2017" s="2636"/>
      <c r="K2017" s="2647"/>
      <c r="L2017" s="2592"/>
      <c r="M2017" s="2592">
        <v>7452</v>
      </c>
      <c r="N2017" s="154" t="s">
        <v>3523</v>
      </c>
      <c r="O2017" s="86"/>
      <c r="P2017" s="1817" t="e">
        <f>INDEX(#REF!,MATCH(F2017,#REF!,0),2)</f>
        <v>#REF!</v>
      </c>
      <c r="Q2017" s="1779"/>
      <c r="R2017" s="1779"/>
      <c r="S2017" s="1779"/>
      <c r="T2017" s="1779"/>
      <c r="U2017" s="1779"/>
      <c r="V2017" s="1779"/>
      <c r="W2017" s="43"/>
      <c r="X2017" s="1779"/>
      <c r="Y2017" s="1779"/>
      <c r="Z2017" s="1779"/>
      <c r="AA2017" s="1779"/>
      <c r="AB2017" s="1779"/>
      <c r="AC2017" s="1779"/>
      <c r="AD2017" s="1779"/>
      <c r="AE2017" s="1779"/>
      <c r="AF2017" s="1779"/>
      <c r="AG2017" s="1779"/>
      <c r="AH2017" s="1779"/>
      <c r="AI2017" s="1779"/>
      <c r="AJ2017" s="1779"/>
      <c r="AK2017" s="1779"/>
      <c r="AL2017" s="1779"/>
      <c r="AM2017" s="1779"/>
      <c r="AN2017" s="1779"/>
      <c r="AO2017" s="1779"/>
      <c r="AP2017" s="1779"/>
      <c r="AQ2017" s="1779"/>
      <c r="AR2017" s="1779"/>
      <c r="AS2017" s="1779"/>
      <c r="AT2017" s="1779"/>
      <c r="AU2017" s="1779"/>
      <c r="AV2017" s="1779"/>
    </row>
    <row r="2018" spans="1:48">
      <c r="A2018" s="4582"/>
      <c r="B2018" s="173" t="s">
        <v>663</v>
      </c>
      <c r="C2018" s="173" t="s">
        <v>652</v>
      </c>
      <c r="D2018" s="1604"/>
      <c r="E2018" s="2251" t="s">
        <v>1921</v>
      </c>
      <c r="F2018" s="370">
        <v>1147</v>
      </c>
      <c r="G2018" s="4583" t="s">
        <v>6213</v>
      </c>
      <c r="H2018" s="4584"/>
      <c r="I2018" s="4585"/>
      <c r="J2018" s="4585"/>
      <c r="K2018" s="4586"/>
      <c r="L2018" s="4584"/>
      <c r="M2018" s="4589">
        <v>2364.2689537988508</v>
      </c>
      <c r="N2018" s="154"/>
      <c r="O2018" s="86"/>
      <c r="P2018" s="1817" t="e">
        <f>INDEX(#REF!,MATCH(F2018,#REF!,0),2)</f>
        <v>#REF!</v>
      </c>
      <c r="Q2018" s="1779"/>
      <c r="R2018" s="1779"/>
      <c r="S2018" s="1779"/>
      <c r="T2018" s="1779"/>
      <c r="U2018" s="1779"/>
      <c r="V2018" s="1779"/>
      <c r="W2018" s="43"/>
      <c r="X2018" s="1779"/>
      <c r="Y2018" s="1779"/>
      <c r="Z2018" s="1779"/>
      <c r="AA2018" s="1779"/>
      <c r="AB2018" s="1779"/>
      <c r="AC2018" s="1779"/>
      <c r="AD2018" s="1779"/>
      <c r="AE2018" s="1779"/>
      <c r="AF2018" s="1779"/>
      <c r="AG2018" s="1779"/>
      <c r="AH2018" s="1779"/>
      <c r="AI2018" s="1779"/>
      <c r="AJ2018" s="1779"/>
      <c r="AK2018" s="1779"/>
      <c r="AL2018" s="1779"/>
      <c r="AM2018" s="1779"/>
      <c r="AN2018" s="1779"/>
      <c r="AO2018" s="1779"/>
      <c r="AP2018" s="1779"/>
      <c r="AQ2018" s="1779"/>
      <c r="AR2018" s="1779"/>
      <c r="AS2018" s="1779"/>
      <c r="AT2018" s="1779"/>
      <c r="AU2018" s="1779"/>
      <c r="AV2018" s="1779"/>
    </row>
    <row r="2019" spans="1:48">
      <c r="A2019" s="170"/>
      <c r="B2019" s="170" t="s">
        <v>663</v>
      </c>
      <c r="C2019" s="170" t="s">
        <v>652</v>
      </c>
      <c r="D2019" s="1603">
        <v>1030</v>
      </c>
      <c r="E2019" s="2252" t="s">
        <v>1921</v>
      </c>
      <c r="F2019" s="171">
        <v>1148</v>
      </c>
      <c r="G2019" s="172" t="s">
        <v>532</v>
      </c>
      <c r="H2019" s="2604">
        <v>1000</v>
      </c>
      <c r="I2019" s="2606"/>
      <c r="J2019" s="2635"/>
      <c r="K2019" s="2647"/>
      <c r="L2019" s="2604">
        <v>1000</v>
      </c>
      <c r="M2019" s="2604"/>
      <c r="N2019" s="73"/>
      <c r="O2019" s="86"/>
      <c r="P2019" s="1817" t="e">
        <f>INDEX(#REF!,MATCH(F2019,#REF!,0),2)</f>
        <v>#REF!</v>
      </c>
      <c r="Q2019" s="1779"/>
      <c r="R2019" s="1779"/>
      <c r="S2019" s="1779"/>
      <c r="T2019" s="1779"/>
      <c r="U2019" s="1779"/>
      <c r="V2019" s="1779"/>
      <c r="W2019" s="43"/>
      <c r="X2019" s="1779"/>
      <c r="Y2019" s="1779"/>
      <c r="Z2019" s="1779"/>
      <c r="AA2019" s="1779"/>
      <c r="AB2019" s="1779"/>
      <c r="AC2019" s="1779"/>
      <c r="AD2019" s="1779"/>
      <c r="AE2019" s="1779"/>
      <c r="AF2019" s="1779"/>
      <c r="AG2019" s="1779"/>
      <c r="AH2019" s="1779"/>
      <c r="AI2019" s="1779"/>
      <c r="AJ2019" s="1779"/>
      <c r="AK2019" s="1779"/>
      <c r="AL2019" s="1779"/>
      <c r="AM2019" s="1779"/>
      <c r="AN2019" s="1779"/>
      <c r="AO2019" s="1779"/>
      <c r="AP2019" s="1779"/>
      <c r="AQ2019" s="1779"/>
      <c r="AR2019" s="1779"/>
      <c r="AS2019" s="1779"/>
      <c r="AT2019" s="1779"/>
      <c r="AU2019" s="1779"/>
      <c r="AV2019" s="1779"/>
    </row>
    <row r="2020" spans="1:48">
      <c r="A2020" s="173"/>
      <c r="B2020" s="173" t="s">
        <v>663</v>
      </c>
      <c r="C2020" s="173" t="s">
        <v>652</v>
      </c>
      <c r="D2020" s="1604"/>
      <c r="E2020" s="2251" t="s">
        <v>1921</v>
      </c>
      <c r="F2020" s="370">
        <v>1148</v>
      </c>
      <c r="G2020" s="330" t="s">
        <v>663</v>
      </c>
      <c r="H2020" s="2592"/>
      <c r="I2020" s="2636">
        <v>1000</v>
      </c>
      <c r="J2020" s="2636"/>
      <c r="K2020" s="2593"/>
      <c r="L2020" s="2592"/>
      <c r="M2020" s="2592">
        <v>1000</v>
      </c>
      <c r="N2020" s="73"/>
      <c r="O2020" s="86"/>
      <c r="P2020" s="1817" t="e">
        <f>INDEX(#REF!,MATCH(F2020,#REF!,0),2)</f>
        <v>#REF!</v>
      </c>
      <c r="Q2020" s="1779"/>
      <c r="R2020" s="1779"/>
      <c r="S2020" s="1779"/>
      <c r="T2020" s="1779"/>
      <c r="U2020" s="1779"/>
      <c r="V2020" s="1779"/>
      <c r="W2020" s="43"/>
      <c r="X2020" s="1779"/>
      <c r="Y2020" s="1779"/>
      <c r="Z2020" s="1779"/>
      <c r="AA2020" s="1779"/>
      <c r="AB2020" s="1779"/>
      <c r="AC2020" s="1779"/>
      <c r="AD2020" s="1779"/>
      <c r="AE2020" s="1779"/>
      <c r="AF2020" s="1779"/>
      <c r="AG2020" s="1779"/>
      <c r="AH2020" s="1779"/>
      <c r="AI2020" s="1779"/>
      <c r="AJ2020" s="1779"/>
      <c r="AK2020" s="1779"/>
      <c r="AL2020" s="1779"/>
      <c r="AM2020" s="1779"/>
      <c r="AN2020" s="1779"/>
      <c r="AO2020" s="1779"/>
      <c r="AP2020" s="1779"/>
      <c r="AQ2020" s="1779"/>
      <c r="AR2020" s="1779"/>
      <c r="AS2020" s="1779"/>
      <c r="AT2020" s="1779"/>
      <c r="AU2020" s="1779"/>
      <c r="AV2020" s="1779"/>
    </row>
    <row r="2021" spans="1:48">
      <c r="A2021" s="5"/>
      <c r="B2021" s="5" t="s">
        <v>663</v>
      </c>
      <c r="C2021" s="5" t="s">
        <v>652</v>
      </c>
      <c r="D2021" s="1592">
        <v>1030</v>
      </c>
      <c r="E2021" s="2220" t="s">
        <v>1921</v>
      </c>
      <c r="F2021" s="6">
        <v>1170</v>
      </c>
      <c r="G2021" s="7" t="s">
        <v>724</v>
      </c>
      <c r="H2021" s="2602">
        <v>75</v>
      </c>
      <c r="I2021" s="2601"/>
      <c r="J2021" s="2648"/>
      <c r="K2021" s="2649"/>
      <c r="L2021" s="2602">
        <v>75</v>
      </c>
      <c r="M2021" s="2602"/>
      <c r="N2021" s="73"/>
      <c r="O2021" s="86"/>
      <c r="P2021" s="1817" t="e">
        <f>INDEX(#REF!,MATCH(F2021,#REF!,0),2)</f>
        <v>#REF!</v>
      </c>
      <c r="Q2021" s="1779"/>
      <c r="R2021" s="1779"/>
      <c r="S2021" s="1779"/>
      <c r="T2021" s="1779"/>
      <c r="U2021" s="1779"/>
      <c r="V2021" s="1779"/>
      <c r="W2021" s="43"/>
      <c r="X2021" s="1779"/>
      <c r="Y2021" s="1779"/>
      <c r="Z2021" s="1779"/>
      <c r="AA2021" s="1779"/>
      <c r="AB2021" s="1779"/>
      <c r="AC2021" s="1779"/>
      <c r="AD2021" s="1779"/>
      <c r="AE2021" s="1779"/>
      <c r="AF2021" s="1779"/>
      <c r="AG2021" s="1779"/>
      <c r="AH2021" s="1779"/>
      <c r="AI2021" s="1779"/>
      <c r="AJ2021" s="1779"/>
      <c r="AK2021" s="1779"/>
      <c r="AL2021" s="1779"/>
      <c r="AM2021" s="1779"/>
      <c r="AN2021" s="1779"/>
      <c r="AO2021" s="1779"/>
      <c r="AP2021" s="1779"/>
      <c r="AQ2021" s="1779"/>
      <c r="AR2021" s="1779"/>
      <c r="AS2021" s="1779"/>
      <c r="AT2021" s="1779"/>
      <c r="AU2021" s="1779"/>
      <c r="AV2021" s="1779"/>
    </row>
    <row r="2022" spans="1:48" ht="22.5">
      <c r="A2022" s="246"/>
      <c r="B2022" s="12" t="s">
        <v>663</v>
      </c>
      <c r="C2022" s="12" t="s">
        <v>652</v>
      </c>
      <c r="D2022" s="1593"/>
      <c r="E2022" s="2222" t="s">
        <v>1921</v>
      </c>
      <c r="F2022" s="23">
        <v>1170</v>
      </c>
      <c r="G2022" s="180" t="s">
        <v>1383</v>
      </c>
      <c r="H2022" s="2603"/>
      <c r="I2022" s="2637">
        <v>75</v>
      </c>
      <c r="J2022" s="2637"/>
      <c r="K2022" s="2650"/>
      <c r="L2022" s="2603"/>
      <c r="M2022" s="2603">
        <v>75</v>
      </c>
      <c r="N2022" s="73"/>
      <c r="O2022" s="86"/>
      <c r="P2022" s="1817" t="e">
        <f>INDEX(#REF!,MATCH(F2022,#REF!,0),2)</f>
        <v>#REF!</v>
      </c>
      <c r="Q2022" s="1779"/>
      <c r="R2022" s="1779"/>
      <c r="S2022" s="1779"/>
      <c r="T2022" s="1779"/>
      <c r="U2022" s="1779"/>
      <c r="V2022" s="1779"/>
      <c r="W2022" s="43"/>
      <c r="X2022" s="1779"/>
      <c r="Y2022" s="1779"/>
      <c r="Z2022" s="1779"/>
      <c r="AA2022" s="1779"/>
      <c r="AB2022" s="1779"/>
      <c r="AC2022" s="1779"/>
      <c r="AD2022" s="1779"/>
      <c r="AE2022" s="1779"/>
      <c r="AF2022" s="1779"/>
      <c r="AG2022" s="1779"/>
      <c r="AH2022" s="1779"/>
      <c r="AI2022" s="1779"/>
      <c r="AJ2022" s="1779"/>
      <c r="AK2022" s="1779"/>
      <c r="AL2022" s="1779"/>
      <c r="AM2022" s="1779"/>
      <c r="AN2022" s="1779"/>
      <c r="AO2022" s="1779"/>
      <c r="AP2022" s="1779"/>
      <c r="AQ2022" s="1779"/>
      <c r="AR2022" s="1779"/>
      <c r="AS2022" s="1779"/>
      <c r="AT2022" s="1779"/>
      <c r="AU2022" s="1779"/>
      <c r="AV2022" s="1779"/>
    </row>
    <row r="2023" spans="1:48">
      <c r="A2023" s="170"/>
      <c r="B2023" s="170" t="s">
        <v>663</v>
      </c>
      <c r="C2023" s="170" t="s">
        <v>652</v>
      </c>
      <c r="D2023" s="1603">
        <v>1030</v>
      </c>
      <c r="E2023" s="2252" t="s">
        <v>1921</v>
      </c>
      <c r="F2023" s="171">
        <v>1210</v>
      </c>
      <c r="G2023" s="172" t="s">
        <v>228</v>
      </c>
      <c r="H2023" s="2604">
        <v>20639.296620999998</v>
      </c>
      <c r="I2023" s="2606"/>
      <c r="J2023" s="2635"/>
      <c r="K2023" s="2647"/>
      <c r="L2023" s="2604">
        <v>25871.29226446115</v>
      </c>
      <c r="M2023" s="2604"/>
      <c r="N2023" s="73"/>
      <c r="O2023" s="86"/>
      <c r="P2023" s="1817" t="e">
        <f>INDEX(#REF!,MATCH(F2023,#REF!,0),2)</f>
        <v>#REF!</v>
      </c>
      <c r="Q2023" s="1779"/>
      <c r="R2023" s="1779"/>
      <c r="S2023" s="1779"/>
      <c r="T2023" s="1779"/>
      <c r="U2023" s="1779"/>
      <c r="V2023" s="1779"/>
      <c r="W2023" s="43"/>
      <c r="X2023" s="1779"/>
      <c r="Y2023" s="1779"/>
      <c r="Z2023" s="1779"/>
      <c r="AA2023" s="1779"/>
      <c r="AB2023" s="1779"/>
      <c r="AC2023" s="1779"/>
      <c r="AD2023" s="1779"/>
      <c r="AE2023" s="1779"/>
      <c r="AF2023" s="1779"/>
      <c r="AG2023" s="1779"/>
      <c r="AH2023" s="1779"/>
      <c r="AI2023" s="1779"/>
      <c r="AJ2023" s="1779"/>
      <c r="AK2023" s="1779"/>
      <c r="AL2023" s="1779"/>
      <c r="AM2023" s="1779"/>
      <c r="AN2023" s="1779"/>
      <c r="AO2023" s="1779"/>
      <c r="AP2023" s="1779"/>
      <c r="AQ2023" s="1779"/>
      <c r="AR2023" s="1779"/>
      <c r="AS2023" s="1779"/>
      <c r="AT2023" s="1779"/>
      <c r="AU2023" s="1779"/>
      <c r="AV2023" s="1779"/>
    </row>
    <row r="2024" spans="1:48">
      <c r="A2024" s="173"/>
      <c r="B2024" s="12" t="s">
        <v>663</v>
      </c>
      <c r="C2024" s="12" t="s">
        <v>652</v>
      </c>
      <c r="D2024" s="1604"/>
      <c r="E2024" s="2251" t="s">
        <v>1921</v>
      </c>
      <c r="F2024" s="23">
        <v>1210</v>
      </c>
      <c r="G2024" s="330" t="s">
        <v>663</v>
      </c>
      <c r="H2024" s="2592"/>
      <c r="I2024" s="2636">
        <v>22222.296620999998</v>
      </c>
      <c r="J2024" s="2636"/>
      <c r="K2024" s="2593"/>
      <c r="L2024" s="2592"/>
      <c r="M2024" s="2592">
        <v>23555.634418260001</v>
      </c>
      <c r="N2024" s="73"/>
      <c r="O2024" s="86"/>
      <c r="P2024" s="1817"/>
      <c r="Q2024" s="1779"/>
      <c r="R2024" s="1779"/>
      <c r="S2024" s="1779"/>
      <c r="T2024" s="1779"/>
      <c r="U2024" s="1779"/>
      <c r="V2024" s="1779"/>
      <c r="W2024" s="43"/>
      <c r="X2024" s="1779"/>
      <c r="Y2024" s="1779"/>
      <c r="Z2024" s="1779"/>
      <c r="AA2024" s="1779"/>
      <c r="AB2024" s="1779"/>
      <c r="AC2024" s="1779"/>
      <c r="AD2024" s="1779"/>
      <c r="AE2024" s="1779"/>
      <c r="AF2024" s="1779"/>
      <c r="AG2024" s="1779"/>
      <c r="AH2024" s="1779"/>
      <c r="AI2024" s="1779"/>
      <c r="AJ2024" s="1779"/>
      <c r="AK2024" s="1779"/>
      <c r="AL2024" s="1779"/>
      <c r="AM2024" s="1779"/>
      <c r="AN2024" s="1779"/>
      <c r="AO2024" s="1779"/>
      <c r="AP2024" s="1779"/>
      <c r="AQ2024" s="1779"/>
      <c r="AR2024" s="1779"/>
      <c r="AS2024" s="1779"/>
      <c r="AT2024" s="1779"/>
      <c r="AU2024" s="1779"/>
      <c r="AV2024" s="1779"/>
    </row>
    <row r="2025" spans="1:48" ht="22.5">
      <c r="A2025" s="173"/>
      <c r="B2025" s="12" t="s">
        <v>663</v>
      </c>
      <c r="C2025" s="12" t="s">
        <v>652</v>
      </c>
      <c r="D2025" s="1604"/>
      <c r="E2025" s="2251" t="s">
        <v>1921</v>
      </c>
      <c r="F2025" s="23">
        <v>1210</v>
      </c>
      <c r="G2025" s="2646" t="s">
        <v>3522</v>
      </c>
      <c r="H2025" s="2592"/>
      <c r="I2025" s="2636"/>
      <c r="J2025" s="2636"/>
      <c r="K2025" s="2593"/>
      <c r="L2025" s="2594"/>
      <c r="M2025" s="2592">
        <v>1757.9268</v>
      </c>
      <c r="N2025" s="154" t="s">
        <v>3523</v>
      </c>
      <c r="O2025" s="86"/>
      <c r="P2025" s="1817" t="e">
        <f>INDEX(#REF!,MATCH(F2025,#REF!,0),2)</f>
        <v>#REF!</v>
      </c>
      <c r="Q2025" s="1779"/>
      <c r="R2025" s="1779"/>
      <c r="S2025" s="1779"/>
      <c r="T2025" s="1779"/>
      <c r="U2025" s="1779"/>
      <c r="V2025" s="1779"/>
      <c r="W2025" s="43"/>
      <c r="X2025" s="1779"/>
      <c r="Y2025" s="1779"/>
      <c r="Z2025" s="1779"/>
      <c r="AA2025" s="1779"/>
      <c r="AB2025" s="1779"/>
      <c r="AC2025" s="1779"/>
      <c r="AD2025" s="1779"/>
      <c r="AE2025" s="1779"/>
      <c r="AF2025" s="1779"/>
      <c r="AG2025" s="1779"/>
      <c r="AH2025" s="1779"/>
      <c r="AI2025" s="1779"/>
      <c r="AJ2025" s="1779"/>
      <c r="AK2025" s="1779"/>
      <c r="AL2025" s="1779"/>
      <c r="AM2025" s="1779"/>
      <c r="AN2025" s="1779"/>
      <c r="AO2025" s="1779"/>
      <c r="AP2025" s="1779"/>
      <c r="AQ2025" s="1779"/>
      <c r="AR2025" s="1779"/>
      <c r="AS2025" s="1779"/>
      <c r="AT2025" s="1779"/>
      <c r="AU2025" s="1779"/>
      <c r="AV2025" s="1779"/>
    </row>
    <row r="2026" spans="1:48">
      <c r="A2026" s="4582"/>
      <c r="B2026" s="12" t="s">
        <v>663</v>
      </c>
      <c r="C2026" s="12" t="s">
        <v>652</v>
      </c>
      <c r="D2026" s="1604"/>
      <c r="E2026" s="2251" t="s">
        <v>1921</v>
      </c>
      <c r="F2026" s="23">
        <v>1210</v>
      </c>
      <c r="G2026" s="4583" t="s">
        <v>6213</v>
      </c>
      <c r="H2026" s="4584"/>
      <c r="I2026" s="4585"/>
      <c r="J2026" s="4585"/>
      <c r="K2026" s="4587"/>
      <c r="L2026" s="4588"/>
      <c r="M2026" s="4589">
        <v>557.73104620114896</v>
      </c>
      <c r="N2026" s="154"/>
      <c r="O2026" s="86"/>
      <c r="P2026" s="1817" t="e">
        <f>INDEX(#REF!,MATCH(F2026,#REF!,0),2)</f>
        <v>#REF!</v>
      </c>
      <c r="Q2026" s="1779"/>
      <c r="R2026" s="1779"/>
      <c r="S2026" s="1779"/>
      <c r="T2026" s="1779"/>
      <c r="U2026" s="1779"/>
      <c r="V2026" s="1779"/>
      <c r="W2026" s="43"/>
      <c r="X2026" s="1779"/>
      <c r="Y2026" s="1779"/>
      <c r="Z2026" s="1779"/>
      <c r="AA2026" s="1779"/>
      <c r="AB2026" s="1779"/>
      <c r="AC2026" s="1779"/>
      <c r="AD2026" s="1779"/>
      <c r="AE2026" s="1779"/>
      <c r="AF2026" s="1779"/>
      <c r="AG2026" s="1779"/>
      <c r="AH2026" s="1779"/>
      <c r="AI2026" s="1779"/>
      <c r="AJ2026" s="1779"/>
      <c r="AK2026" s="1779"/>
      <c r="AL2026" s="1779"/>
      <c r="AM2026" s="1779"/>
      <c r="AN2026" s="1779"/>
      <c r="AO2026" s="1779"/>
      <c r="AP2026" s="1779"/>
      <c r="AQ2026" s="1779"/>
      <c r="AR2026" s="1779"/>
      <c r="AS2026" s="1779"/>
      <c r="AT2026" s="1779"/>
      <c r="AU2026" s="1779"/>
      <c r="AV2026" s="1779"/>
    </row>
    <row r="2027" spans="1:48" ht="22.5">
      <c r="A2027" s="173"/>
      <c r="B2027" s="173" t="s">
        <v>663</v>
      </c>
      <c r="C2027" s="173" t="s">
        <v>652</v>
      </c>
      <c r="D2027" s="1604"/>
      <c r="E2027" s="2251" t="s">
        <v>1921</v>
      </c>
      <c r="F2027" s="370">
        <v>1210</v>
      </c>
      <c r="G2027" s="330" t="s">
        <v>3201</v>
      </c>
      <c r="H2027" s="2592"/>
      <c r="I2027" s="2636">
        <v>-1583</v>
      </c>
      <c r="J2027" s="2636"/>
      <c r="K2027" s="2593"/>
      <c r="L2027" s="2594"/>
      <c r="M2027" s="2594"/>
      <c r="N2027" s="73"/>
      <c r="O2027" s="86"/>
      <c r="P2027" s="1817" t="e">
        <f>INDEX(#REF!,MATCH(F2027,#REF!,0),2)</f>
        <v>#REF!</v>
      </c>
      <c r="Q2027" s="1779"/>
      <c r="R2027" s="1779"/>
      <c r="S2027" s="1779"/>
      <c r="T2027" s="1779"/>
      <c r="U2027" s="1779"/>
      <c r="V2027" s="1779"/>
      <c r="W2027" s="43"/>
      <c r="X2027" s="1779"/>
      <c r="Y2027" s="1779"/>
      <c r="Z2027" s="1779"/>
      <c r="AA2027" s="1779"/>
      <c r="AB2027" s="1779"/>
      <c r="AC2027" s="1779"/>
      <c r="AD2027" s="1779"/>
      <c r="AE2027" s="1779"/>
      <c r="AF2027" s="1779"/>
      <c r="AG2027" s="1779"/>
      <c r="AH2027" s="1779"/>
      <c r="AI2027" s="1779"/>
      <c r="AJ2027" s="1779"/>
      <c r="AK2027" s="1779"/>
      <c r="AL2027" s="1779"/>
      <c r="AM2027" s="1779"/>
      <c r="AN2027" s="1779"/>
      <c r="AO2027" s="1779"/>
      <c r="AP2027" s="1779"/>
      <c r="AQ2027" s="1779"/>
      <c r="AR2027" s="1779"/>
      <c r="AS2027" s="1779"/>
      <c r="AT2027" s="1779"/>
      <c r="AU2027" s="1779"/>
      <c r="AV2027" s="1779"/>
    </row>
    <row r="2028" spans="1:48">
      <c r="A2028" s="170"/>
      <c r="B2028" s="170" t="s">
        <v>663</v>
      </c>
      <c r="C2028" s="170" t="s">
        <v>652</v>
      </c>
      <c r="D2028" s="1603">
        <v>1030</v>
      </c>
      <c r="E2028" s="2252" t="s">
        <v>1921</v>
      </c>
      <c r="F2028" s="171">
        <v>1221</v>
      </c>
      <c r="G2028" s="172" t="s">
        <v>533</v>
      </c>
      <c r="H2028" s="2604">
        <v>4842.1945589999996</v>
      </c>
      <c r="I2028" s="2606"/>
      <c r="J2028" s="2635"/>
      <c r="K2028" s="2647"/>
      <c r="L2028" s="2604">
        <v>5132.7262325400006</v>
      </c>
      <c r="M2028" s="2604"/>
      <c r="N2028" s="73"/>
      <c r="O2028" s="86"/>
      <c r="P2028" s="1817" t="e">
        <f>INDEX(#REF!,MATCH(F2028,#REF!,0),2)</f>
        <v>#REF!</v>
      </c>
      <c r="Q2028" s="1779"/>
      <c r="R2028" s="1779"/>
      <c r="S2028" s="1779"/>
      <c r="T2028" s="1779"/>
      <c r="U2028" s="1779"/>
      <c r="V2028" s="1779"/>
      <c r="W2028" s="43"/>
      <c r="X2028" s="1779"/>
      <c r="Y2028" s="1779"/>
      <c r="Z2028" s="1779"/>
      <c r="AA2028" s="1779"/>
      <c r="AB2028" s="1779"/>
      <c r="AC2028" s="1779"/>
      <c r="AD2028" s="1779"/>
      <c r="AE2028" s="1779"/>
      <c r="AF2028" s="1779"/>
      <c r="AG2028" s="1779"/>
      <c r="AH2028" s="1779"/>
      <c r="AI2028" s="1779"/>
      <c r="AJ2028" s="1779"/>
      <c r="AK2028" s="1779"/>
      <c r="AL2028" s="1779"/>
      <c r="AM2028" s="1779"/>
      <c r="AN2028" s="1779"/>
      <c r="AO2028" s="1779"/>
      <c r="AP2028" s="1779"/>
      <c r="AQ2028" s="1779"/>
      <c r="AR2028" s="1779"/>
      <c r="AS2028" s="1779"/>
      <c r="AT2028" s="1779"/>
      <c r="AU2028" s="1779"/>
      <c r="AV2028" s="1779"/>
    </row>
    <row r="2029" spans="1:48">
      <c r="A2029" s="173"/>
      <c r="B2029" s="173" t="s">
        <v>663</v>
      </c>
      <c r="C2029" s="173" t="s">
        <v>652</v>
      </c>
      <c r="D2029" s="1604"/>
      <c r="E2029" s="2251" t="s">
        <v>1921</v>
      </c>
      <c r="F2029" s="370">
        <v>1221</v>
      </c>
      <c r="G2029" s="330" t="s">
        <v>663</v>
      </c>
      <c r="H2029" s="2592"/>
      <c r="I2029" s="2636">
        <v>4842.1945589999996</v>
      </c>
      <c r="J2029" s="2636"/>
      <c r="K2029" s="2593"/>
      <c r="L2029" s="2592"/>
      <c r="M2029" s="2592">
        <v>5132.7262325400006</v>
      </c>
      <c r="N2029" s="73"/>
      <c r="O2029" s="86"/>
      <c r="P2029" s="1817" t="e">
        <f>INDEX(#REF!,MATCH(F2029,#REF!,0),2)</f>
        <v>#REF!</v>
      </c>
      <c r="Q2029" s="1779"/>
      <c r="R2029" s="1779"/>
      <c r="S2029" s="1779"/>
      <c r="T2029" s="1779"/>
      <c r="U2029" s="1779"/>
      <c r="V2029" s="1779"/>
      <c r="W2029" s="43"/>
      <c r="X2029" s="1779"/>
      <c r="Y2029" s="1779"/>
      <c r="Z2029" s="1779"/>
      <c r="AA2029" s="1779"/>
      <c r="AB2029" s="1779"/>
      <c r="AC2029" s="1779"/>
      <c r="AD2029" s="1779"/>
      <c r="AE2029" s="1779"/>
      <c r="AF2029" s="1779"/>
      <c r="AG2029" s="1779"/>
      <c r="AH2029" s="1779"/>
      <c r="AI2029" s="1779"/>
      <c r="AJ2029" s="1779"/>
      <c r="AK2029" s="1779"/>
      <c r="AL2029" s="1779"/>
      <c r="AM2029" s="1779"/>
      <c r="AN2029" s="1779"/>
      <c r="AO2029" s="1779"/>
      <c r="AP2029" s="1779"/>
      <c r="AQ2029" s="1779"/>
      <c r="AR2029" s="1779"/>
      <c r="AS2029" s="1779"/>
      <c r="AT2029" s="1779"/>
      <c r="AU2029" s="1779"/>
      <c r="AV2029" s="1779"/>
    </row>
    <row r="2030" spans="1:48">
      <c r="A2030" s="173"/>
      <c r="B2030" s="173" t="s">
        <v>663</v>
      </c>
      <c r="C2030" s="173" t="s">
        <v>652</v>
      </c>
      <c r="D2030" s="1604"/>
      <c r="E2030" s="2251" t="s">
        <v>1921</v>
      </c>
      <c r="F2030" s="370">
        <v>1221</v>
      </c>
      <c r="G2030" s="330" t="s">
        <v>1177</v>
      </c>
      <c r="H2030" s="2592"/>
      <c r="I2030" s="2636"/>
      <c r="J2030" s="2636"/>
      <c r="K2030" s="2593"/>
      <c r="L2030" s="2592"/>
      <c r="M2030" s="2592"/>
      <c r="N2030" s="73"/>
      <c r="O2030" s="86"/>
      <c r="P2030" s="1817" t="e">
        <f>INDEX(#REF!,MATCH(F2030,#REF!,0),2)</f>
        <v>#REF!</v>
      </c>
      <c r="Q2030" s="1779"/>
      <c r="R2030" s="1779"/>
      <c r="S2030" s="1779"/>
      <c r="T2030" s="1779"/>
      <c r="U2030" s="1779"/>
      <c r="V2030" s="1779"/>
      <c r="W2030" s="43"/>
      <c r="X2030" s="1779"/>
      <c r="Y2030" s="1779"/>
      <c r="Z2030" s="1779"/>
      <c r="AA2030" s="1779"/>
      <c r="AB2030" s="1779"/>
      <c r="AC2030" s="1779"/>
      <c r="AD2030" s="1779"/>
      <c r="AE2030" s="1779"/>
      <c r="AF2030" s="1779"/>
      <c r="AG2030" s="1779"/>
      <c r="AH2030" s="1779"/>
      <c r="AI2030" s="1779"/>
      <c r="AJ2030" s="1779"/>
      <c r="AK2030" s="1779"/>
      <c r="AL2030" s="1779"/>
      <c r="AM2030" s="1779"/>
      <c r="AN2030" s="1779"/>
      <c r="AO2030" s="1779"/>
      <c r="AP2030" s="1779"/>
      <c r="AQ2030" s="1779"/>
      <c r="AR2030" s="1779"/>
      <c r="AS2030" s="1779"/>
      <c r="AT2030" s="1779"/>
      <c r="AU2030" s="1779"/>
      <c r="AV2030" s="1779"/>
    </row>
    <row r="2031" spans="1:48">
      <c r="A2031" s="170"/>
      <c r="B2031" s="170" t="s">
        <v>1248</v>
      </c>
      <c r="C2031" s="170" t="s">
        <v>652</v>
      </c>
      <c r="D2031" s="1603">
        <v>1030</v>
      </c>
      <c r="E2031" s="2252" t="s">
        <v>1921</v>
      </c>
      <c r="F2031" s="171">
        <v>1228</v>
      </c>
      <c r="G2031" s="172" t="s">
        <v>230</v>
      </c>
      <c r="H2031" s="2604">
        <v>1720</v>
      </c>
      <c r="I2031" s="2606"/>
      <c r="J2031" s="2635"/>
      <c r="K2031" s="2647"/>
      <c r="L2031" s="2604">
        <v>2120</v>
      </c>
      <c r="M2031" s="2606"/>
      <c r="N2031" s="149"/>
      <c r="O2031" s="86"/>
      <c r="P2031" s="1817" t="e">
        <f>INDEX(#REF!,MATCH(F2031,#REF!,0),2)</f>
        <v>#REF!</v>
      </c>
      <c r="Q2031" s="11"/>
      <c r="R2031" s="11"/>
      <c r="S2031" s="11"/>
      <c r="T2031" s="11"/>
      <c r="U2031" s="11"/>
      <c r="V2031" s="11"/>
      <c r="W2031" s="4"/>
      <c r="X2031" s="11"/>
      <c r="Y2031" s="11"/>
      <c r="Z2031" s="11"/>
      <c r="AA2031" s="11"/>
      <c r="AB2031" s="11"/>
      <c r="AC2031" s="11"/>
      <c r="AD2031" s="11"/>
      <c r="AE2031" s="11"/>
      <c r="AF2031" s="11"/>
      <c r="AG2031" s="11"/>
      <c r="AH2031" s="11"/>
      <c r="AI2031" s="11"/>
      <c r="AJ2031" s="11"/>
      <c r="AK2031" s="11"/>
      <c r="AL2031" s="11"/>
      <c r="AM2031" s="11"/>
      <c r="AN2031" s="11"/>
      <c r="AO2031" s="11"/>
      <c r="AP2031" s="11"/>
      <c r="AQ2031" s="11"/>
      <c r="AR2031" s="11"/>
      <c r="AS2031" s="11"/>
      <c r="AT2031" s="11"/>
      <c r="AU2031" s="11"/>
      <c r="AV2031" s="11"/>
    </row>
    <row r="2032" spans="1:48">
      <c r="A2032" s="412"/>
      <c r="B2032" s="173" t="s">
        <v>1248</v>
      </c>
      <c r="C2032" s="173" t="s">
        <v>652</v>
      </c>
      <c r="D2032" s="1604"/>
      <c r="E2032" s="2251" t="s">
        <v>1921</v>
      </c>
      <c r="F2032" s="370">
        <v>1228</v>
      </c>
      <c r="G2032" s="562"/>
      <c r="H2032" s="2651"/>
      <c r="I2032" s="2651">
        <v>250</v>
      </c>
      <c r="J2032" s="2636"/>
      <c r="K2032" s="2593"/>
      <c r="L2032" s="2594"/>
      <c r="M2032" s="2594"/>
      <c r="N2032" s="73"/>
      <c r="O2032" s="86"/>
      <c r="P2032" s="1817" t="e">
        <f>INDEX(#REF!,MATCH(F2032,#REF!,0),2)</f>
        <v>#REF!</v>
      </c>
      <c r="Q2032" s="1779"/>
      <c r="R2032" s="1779"/>
      <c r="S2032" s="1779"/>
      <c r="T2032" s="1779"/>
      <c r="U2032" s="1779"/>
      <c r="V2032" s="1779"/>
      <c r="W2032" s="43"/>
      <c r="X2032" s="1779"/>
      <c r="Y2032" s="1779"/>
      <c r="Z2032" s="1779"/>
      <c r="AA2032" s="1779"/>
      <c r="AB2032" s="1779"/>
      <c r="AC2032" s="1779"/>
      <c r="AD2032" s="1779"/>
      <c r="AE2032" s="1779"/>
      <c r="AF2032" s="1779"/>
      <c r="AG2032" s="1779"/>
      <c r="AH2032" s="1779"/>
      <c r="AI2032" s="1779"/>
      <c r="AJ2032" s="1779"/>
      <c r="AK2032" s="1779"/>
      <c r="AL2032" s="1779"/>
      <c r="AM2032" s="1779"/>
      <c r="AN2032" s="1779"/>
      <c r="AO2032" s="1779"/>
      <c r="AP2032" s="1779"/>
      <c r="AQ2032" s="1779"/>
      <c r="AR2032" s="1779"/>
      <c r="AS2032" s="1779"/>
      <c r="AT2032" s="1779"/>
      <c r="AU2032" s="1779"/>
      <c r="AV2032" s="1779"/>
    </row>
    <row r="2033" spans="1:48" ht="33.75">
      <c r="A2033" s="205"/>
      <c r="B2033" s="173" t="s">
        <v>1248</v>
      </c>
      <c r="C2033" s="173" t="s">
        <v>652</v>
      </c>
      <c r="D2033" s="1622"/>
      <c r="E2033" s="2259" t="s">
        <v>1921</v>
      </c>
      <c r="F2033" s="370">
        <v>1228</v>
      </c>
      <c r="G2033" s="1466" t="s">
        <v>2167</v>
      </c>
      <c r="H2033" s="2592"/>
      <c r="I2033" s="2636">
        <v>720</v>
      </c>
      <c r="J2033" s="2636"/>
      <c r="K2033" s="2593"/>
      <c r="L2033" s="2594"/>
      <c r="M2033" s="2592">
        <v>720</v>
      </c>
      <c r="N2033" s="73"/>
      <c r="O2033" s="86"/>
      <c r="P2033" s="1817" t="e">
        <f>INDEX(#REF!,MATCH(F2033,#REF!,0),2)</f>
        <v>#REF!</v>
      </c>
      <c r="Q2033" s="11"/>
      <c r="R2033" s="11"/>
      <c r="S2033" s="11"/>
      <c r="T2033" s="11"/>
      <c r="U2033" s="11"/>
      <c r="V2033" s="11"/>
      <c r="W2033" s="4"/>
      <c r="X2033" s="11"/>
      <c r="Y2033" s="11"/>
      <c r="Z2033" s="11"/>
      <c r="AA2033" s="11"/>
      <c r="AB2033" s="11"/>
      <c r="AC2033" s="11"/>
      <c r="AD2033" s="11"/>
      <c r="AE2033" s="11"/>
      <c r="AF2033" s="11"/>
      <c r="AG2033" s="11"/>
      <c r="AH2033" s="11"/>
      <c r="AI2033" s="11"/>
      <c r="AJ2033" s="11"/>
      <c r="AK2033" s="11"/>
      <c r="AL2033" s="11"/>
      <c r="AM2033" s="11"/>
      <c r="AN2033" s="11"/>
      <c r="AO2033" s="11"/>
      <c r="AP2033" s="11"/>
      <c r="AQ2033" s="11"/>
      <c r="AR2033" s="11"/>
      <c r="AS2033" s="11"/>
      <c r="AT2033" s="11"/>
      <c r="AU2033" s="11"/>
      <c r="AV2033" s="11"/>
    </row>
    <row r="2034" spans="1:48" ht="22.5">
      <c r="A2034" s="205"/>
      <c r="B2034" s="173" t="s">
        <v>1248</v>
      </c>
      <c r="C2034" s="173" t="s">
        <v>652</v>
      </c>
      <c r="D2034" s="1622"/>
      <c r="E2034" s="2259" t="s">
        <v>1921</v>
      </c>
      <c r="F2034" s="370">
        <v>1228</v>
      </c>
      <c r="G2034" s="206" t="s">
        <v>3524</v>
      </c>
      <c r="H2034" s="2592"/>
      <c r="I2034" s="2636">
        <v>750</v>
      </c>
      <c r="J2034" s="2636"/>
      <c r="K2034" s="2593"/>
      <c r="L2034" s="2594"/>
      <c r="M2034" s="2592">
        <v>1400</v>
      </c>
      <c r="N2034" s="73"/>
      <c r="O2034" s="86"/>
      <c r="P2034" s="1817" t="e">
        <f>INDEX(#REF!,MATCH(F2034,#REF!,0),2)</f>
        <v>#REF!</v>
      </c>
      <c r="Q2034" s="1779"/>
      <c r="R2034" s="1779"/>
      <c r="S2034" s="1779"/>
      <c r="T2034" s="1779"/>
      <c r="U2034" s="1779"/>
      <c r="V2034" s="1779"/>
      <c r="W2034" s="43"/>
      <c r="X2034" s="1779"/>
      <c r="Y2034" s="1779"/>
      <c r="Z2034" s="1779"/>
      <c r="AA2034" s="1779"/>
      <c r="AB2034" s="1779"/>
      <c r="AC2034" s="1779"/>
      <c r="AD2034" s="1779"/>
      <c r="AE2034" s="1779"/>
      <c r="AF2034" s="1779"/>
      <c r="AG2034" s="1779"/>
      <c r="AH2034" s="1779"/>
      <c r="AI2034" s="1779"/>
      <c r="AJ2034" s="1779"/>
      <c r="AK2034" s="1779"/>
      <c r="AL2034" s="1779"/>
      <c r="AM2034" s="1779"/>
      <c r="AN2034" s="1779"/>
      <c r="AO2034" s="1779"/>
      <c r="AP2034" s="1779"/>
      <c r="AQ2034" s="1779"/>
      <c r="AR2034" s="1779"/>
      <c r="AS2034" s="1779"/>
      <c r="AT2034" s="1779"/>
      <c r="AU2034" s="1779"/>
      <c r="AV2034" s="1779"/>
    </row>
    <row r="2035" spans="1:48" ht="22.5">
      <c r="A2035" s="211"/>
      <c r="B2035" s="211" t="s">
        <v>1248</v>
      </c>
      <c r="C2035" s="211" t="s">
        <v>507</v>
      </c>
      <c r="D2035" s="1623">
        <v>1030</v>
      </c>
      <c r="E2035" s="2297" t="s">
        <v>1921</v>
      </c>
      <c r="F2035" s="387">
        <v>2121</v>
      </c>
      <c r="G2035" s="213" t="s">
        <v>981</v>
      </c>
      <c r="H2035" s="2604">
        <v>0</v>
      </c>
      <c r="I2035" s="2606"/>
      <c r="J2035" s="2635"/>
      <c r="K2035" s="2647"/>
      <c r="L2035" s="2606">
        <v>0</v>
      </c>
      <c r="M2035" s="2606"/>
      <c r="N2035" s="73"/>
      <c r="O2035" s="86"/>
      <c r="P2035" s="1817" t="e">
        <f>INDEX(#REF!,MATCH(F2035,#REF!,0),2)</f>
        <v>#REF!</v>
      </c>
      <c r="Q2035" s="11"/>
      <c r="R2035" s="11"/>
      <c r="S2035" s="11"/>
      <c r="T2035" s="11"/>
      <c r="U2035" s="11"/>
      <c r="V2035" s="11"/>
      <c r="W2035" s="4"/>
      <c r="X2035" s="11"/>
      <c r="Y2035" s="11"/>
      <c r="Z2035" s="11"/>
      <c r="AA2035" s="11"/>
      <c r="AB2035" s="11"/>
      <c r="AC2035" s="11"/>
      <c r="AD2035" s="11"/>
      <c r="AE2035" s="11"/>
      <c r="AF2035" s="11"/>
      <c r="AG2035" s="11"/>
      <c r="AH2035" s="11"/>
      <c r="AI2035" s="11"/>
      <c r="AJ2035" s="11"/>
      <c r="AK2035" s="11"/>
      <c r="AL2035" s="11"/>
      <c r="AM2035" s="11"/>
      <c r="AN2035" s="11"/>
      <c r="AO2035" s="11"/>
      <c r="AP2035" s="11"/>
      <c r="AQ2035" s="11"/>
      <c r="AR2035" s="11"/>
      <c r="AS2035" s="11"/>
      <c r="AT2035" s="11"/>
      <c r="AU2035" s="11"/>
      <c r="AV2035" s="11"/>
    </row>
    <row r="2036" spans="1:48">
      <c r="A2036" s="205"/>
      <c r="B2036" s="205" t="s">
        <v>1248</v>
      </c>
      <c r="C2036" s="205" t="s">
        <v>507</v>
      </c>
      <c r="D2036" s="1622"/>
      <c r="E2036" s="2259" t="s">
        <v>1921</v>
      </c>
      <c r="F2036" s="368">
        <v>2121</v>
      </c>
      <c r="G2036" s="330"/>
      <c r="H2036" s="2592"/>
      <c r="I2036" s="2636"/>
      <c r="J2036" s="2636"/>
      <c r="K2036" s="2593"/>
      <c r="L2036" s="2594"/>
      <c r="M2036" s="2594"/>
      <c r="N2036" s="73"/>
      <c r="O2036" s="86"/>
      <c r="P2036" s="1817" t="e">
        <f>INDEX(#REF!,MATCH(F2036,#REF!,0),2)</f>
        <v>#REF!</v>
      </c>
      <c r="Q2036" s="1779"/>
      <c r="R2036" s="1779"/>
      <c r="S2036" s="1779"/>
      <c r="T2036" s="1779"/>
      <c r="U2036" s="1779"/>
      <c r="V2036" s="1779"/>
      <c r="W2036" s="43"/>
      <c r="X2036" s="1779"/>
      <c r="Y2036" s="1779"/>
      <c r="Z2036" s="1779"/>
      <c r="AA2036" s="1779"/>
      <c r="AB2036" s="1779"/>
      <c r="AC2036" s="1779"/>
      <c r="AD2036" s="1779"/>
      <c r="AE2036" s="1779"/>
      <c r="AF2036" s="1779"/>
      <c r="AG2036" s="1779"/>
      <c r="AH2036" s="1779"/>
      <c r="AI2036" s="1779"/>
      <c r="AJ2036" s="1779"/>
      <c r="AK2036" s="1779"/>
      <c r="AL2036" s="1779"/>
      <c r="AM2036" s="1779"/>
      <c r="AN2036" s="1779"/>
      <c r="AO2036" s="1779"/>
      <c r="AP2036" s="1779"/>
      <c r="AQ2036" s="1779"/>
      <c r="AR2036" s="1779"/>
      <c r="AS2036" s="1779"/>
      <c r="AT2036" s="1779"/>
      <c r="AU2036" s="1779"/>
      <c r="AV2036" s="1779"/>
    </row>
    <row r="2037" spans="1:48" ht="22.5">
      <c r="A2037" s="211"/>
      <c r="B2037" s="211" t="s">
        <v>1248</v>
      </c>
      <c r="C2037" s="211" t="s">
        <v>507</v>
      </c>
      <c r="D2037" s="1623">
        <v>1030</v>
      </c>
      <c r="E2037" s="2297" t="s">
        <v>1921</v>
      </c>
      <c r="F2037" s="387">
        <v>2122</v>
      </c>
      <c r="G2037" s="213" t="s">
        <v>890</v>
      </c>
      <c r="H2037" s="2604">
        <v>1000</v>
      </c>
      <c r="I2037" s="2606"/>
      <c r="J2037" s="2635"/>
      <c r="K2037" s="2647"/>
      <c r="L2037" s="2604">
        <v>500</v>
      </c>
      <c r="M2037" s="2604"/>
      <c r="N2037" s="73"/>
      <c r="O2037" s="86"/>
      <c r="P2037" s="1817" t="e">
        <f>INDEX(#REF!,MATCH(F2037,#REF!,0),2)</f>
        <v>#REF!</v>
      </c>
      <c r="Q2037" s="1779"/>
      <c r="R2037" s="1779"/>
      <c r="S2037" s="1779"/>
      <c r="T2037" s="1779"/>
      <c r="U2037" s="1779"/>
      <c r="V2037" s="1779"/>
      <c r="W2037" s="43"/>
      <c r="X2037" s="1779"/>
      <c r="Y2037" s="1779"/>
      <c r="Z2037" s="1779"/>
      <c r="AA2037" s="1779"/>
      <c r="AB2037" s="1779"/>
      <c r="AC2037" s="1779"/>
      <c r="AD2037" s="1779"/>
      <c r="AE2037" s="1779"/>
      <c r="AF2037" s="1779"/>
      <c r="AG2037" s="1779"/>
      <c r="AH2037" s="1779"/>
      <c r="AI2037" s="1779"/>
      <c r="AJ2037" s="1779"/>
      <c r="AK2037" s="1779"/>
      <c r="AL2037" s="1779"/>
      <c r="AM2037" s="1779"/>
      <c r="AN2037" s="1779"/>
      <c r="AO2037" s="1779"/>
      <c r="AP2037" s="1779"/>
      <c r="AQ2037" s="1779"/>
      <c r="AR2037" s="1779"/>
      <c r="AS2037" s="1779"/>
      <c r="AT2037" s="1779"/>
      <c r="AU2037" s="1779"/>
      <c r="AV2037" s="1779"/>
    </row>
    <row r="2038" spans="1:48" ht="22.5">
      <c r="A2038" s="205"/>
      <c r="B2038" s="205" t="s">
        <v>1248</v>
      </c>
      <c r="C2038" s="205" t="s">
        <v>507</v>
      </c>
      <c r="D2038" s="1622"/>
      <c r="E2038" s="2259" t="s">
        <v>1921</v>
      </c>
      <c r="F2038" s="368">
        <v>2122</v>
      </c>
      <c r="G2038" s="323" t="s">
        <v>1057</v>
      </c>
      <c r="H2038" s="2592"/>
      <c r="I2038" s="2636">
        <v>1000</v>
      </c>
      <c r="J2038" s="2636"/>
      <c r="K2038" s="2593"/>
      <c r="L2038" s="2592"/>
      <c r="M2038" s="2592">
        <v>500</v>
      </c>
      <c r="N2038" s="154" t="s">
        <v>3525</v>
      </c>
      <c r="O2038" s="86"/>
      <c r="P2038" s="1817" t="e">
        <f>INDEX(#REF!,MATCH(F2038,#REF!,0),2)</f>
        <v>#REF!</v>
      </c>
      <c r="Q2038" s="1779"/>
      <c r="R2038" s="1779"/>
      <c r="S2038" s="1779"/>
      <c r="T2038" s="1779"/>
      <c r="U2038" s="1779"/>
      <c r="V2038" s="1779"/>
      <c r="W2038" s="43"/>
      <c r="X2038" s="1779"/>
      <c r="Y2038" s="1779"/>
      <c r="Z2038" s="1779"/>
      <c r="AA2038" s="1779"/>
      <c r="AB2038" s="1779"/>
      <c r="AC2038" s="1779"/>
      <c r="AD2038" s="1779"/>
      <c r="AE2038" s="1779"/>
      <c r="AF2038" s="1779"/>
      <c r="AG2038" s="1779"/>
      <c r="AH2038" s="1779"/>
      <c r="AI2038" s="1779"/>
      <c r="AJ2038" s="1779"/>
      <c r="AK2038" s="1779"/>
      <c r="AL2038" s="1779"/>
      <c r="AM2038" s="1779"/>
      <c r="AN2038" s="1779"/>
      <c r="AO2038" s="1779"/>
      <c r="AP2038" s="1779"/>
      <c r="AQ2038" s="1779"/>
      <c r="AR2038" s="1779"/>
      <c r="AS2038" s="1779"/>
      <c r="AT2038" s="1779"/>
      <c r="AU2038" s="1779"/>
      <c r="AV2038" s="1779"/>
    </row>
    <row r="2039" spans="1:48">
      <c r="A2039" s="211"/>
      <c r="B2039" s="211" t="s">
        <v>1248</v>
      </c>
      <c r="C2039" s="211" t="s">
        <v>507</v>
      </c>
      <c r="D2039" s="1623">
        <v>1030</v>
      </c>
      <c r="E2039" s="2297" t="s">
        <v>1921</v>
      </c>
      <c r="F2039" s="387">
        <v>2210</v>
      </c>
      <c r="G2039" s="213" t="s">
        <v>879</v>
      </c>
      <c r="H2039" s="2604">
        <v>504</v>
      </c>
      <c r="I2039" s="2606"/>
      <c r="J2039" s="2635"/>
      <c r="K2039" s="2647"/>
      <c r="L2039" s="2604">
        <v>877.19999999999993</v>
      </c>
      <c r="M2039" s="2604"/>
      <c r="N2039" s="73"/>
      <c r="O2039" s="86"/>
      <c r="P2039" s="1817" t="e">
        <f>INDEX(#REF!,MATCH(F2039,#REF!,0),2)</f>
        <v>#REF!</v>
      </c>
      <c r="Q2039" s="1779"/>
      <c r="R2039" s="1779"/>
      <c r="S2039" s="1779"/>
      <c r="T2039" s="1779"/>
      <c r="U2039" s="1779"/>
      <c r="V2039" s="1779"/>
      <c r="W2039" s="43"/>
      <c r="X2039" s="1779"/>
      <c r="Y2039" s="1779"/>
      <c r="Z2039" s="1779"/>
      <c r="AA2039" s="1779"/>
      <c r="AB2039" s="1779"/>
      <c r="AC2039" s="1779"/>
      <c r="AD2039" s="1779"/>
      <c r="AE2039" s="1779"/>
      <c r="AF2039" s="1779"/>
      <c r="AG2039" s="1779"/>
      <c r="AH2039" s="1779"/>
      <c r="AI2039" s="1779"/>
      <c r="AJ2039" s="1779"/>
      <c r="AK2039" s="1779"/>
      <c r="AL2039" s="1779"/>
      <c r="AM2039" s="1779"/>
      <c r="AN2039" s="1779"/>
      <c r="AO2039" s="1779"/>
      <c r="AP2039" s="1779"/>
      <c r="AQ2039" s="1779"/>
      <c r="AR2039" s="1779"/>
      <c r="AS2039" s="1779"/>
      <c r="AT2039" s="1779"/>
      <c r="AU2039" s="1779"/>
      <c r="AV2039" s="1779"/>
    </row>
    <row r="2040" spans="1:48">
      <c r="A2040" s="205"/>
      <c r="B2040" s="205" t="s">
        <v>1248</v>
      </c>
      <c r="C2040" s="205" t="s">
        <v>507</v>
      </c>
      <c r="D2040" s="1622"/>
      <c r="E2040" s="2259" t="s">
        <v>1921</v>
      </c>
      <c r="F2040" s="368">
        <v>2210</v>
      </c>
      <c r="G2040" s="2590" t="s">
        <v>3526</v>
      </c>
      <c r="H2040" s="2592"/>
      <c r="I2040" s="2636">
        <v>204</v>
      </c>
      <c r="J2040" s="2636"/>
      <c r="K2040" s="2593"/>
      <c r="L2040" s="2592"/>
      <c r="M2040" s="2592">
        <v>577.19999999999993</v>
      </c>
      <c r="N2040" s="73"/>
      <c r="O2040" s="86"/>
      <c r="P2040" s="1817" t="e">
        <f>INDEX(#REF!,MATCH(F2040,#REF!,0),2)</f>
        <v>#REF!</v>
      </c>
      <c r="Q2040" s="1779"/>
      <c r="R2040" s="1779"/>
      <c r="S2040" s="1779"/>
      <c r="T2040" s="1779"/>
      <c r="U2040" s="1779"/>
      <c r="V2040" s="1779"/>
      <c r="W2040" s="43"/>
      <c r="X2040" s="1779"/>
      <c r="Y2040" s="1779"/>
      <c r="Z2040" s="1779"/>
      <c r="AA2040" s="1779"/>
      <c r="AB2040" s="1779"/>
      <c r="AC2040" s="1779"/>
      <c r="AD2040" s="1779"/>
      <c r="AE2040" s="1779"/>
      <c r="AF2040" s="1779"/>
      <c r="AG2040" s="1779"/>
      <c r="AH2040" s="1779"/>
      <c r="AI2040" s="1779"/>
      <c r="AJ2040" s="1779"/>
      <c r="AK2040" s="1779"/>
      <c r="AL2040" s="1779"/>
      <c r="AM2040" s="1779"/>
      <c r="AN2040" s="1779"/>
      <c r="AO2040" s="1779"/>
      <c r="AP2040" s="1779"/>
      <c r="AQ2040" s="1779"/>
      <c r="AR2040" s="1779"/>
      <c r="AS2040" s="1779"/>
      <c r="AT2040" s="1779"/>
      <c r="AU2040" s="1779"/>
      <c r="AV2040" s="1779"/>
    </row>
    <row r="2041" spans="1:48">
      <c r="A2041" s="412"/>
      <c r="B2041" s="205" t="s">
        <v>1248</v>
      </c>
      <c r="C2041" s="205" t="s">
        <v>507</v>
      </c>
      <c r="D2041" s="1622"/>
      <c r="E2041" s="2259" t="s">
        <v>1921</v>
      </c>
      <c r="F2041" s="368">
        <v>2210</v>
      </c>
      <c r="G2041" s="323" t="s">
        <v>2168</v>
      </c>
      <c r="H2041" s="2651"/>
      <c r="I2041" s="2651">
        <v>300</v>
      </c>
      <c r="J2041" s="2636"/>
      <c r="K2041" s="2593"/>
      <c r="L2041" s="2592"/>
      <c r="M2041" s="2592">
        <v>300</v>
      </c>
      <c r="N2041" s="73"/>
      <c r="O2041" s="86"/>
      <c r="P2041" s="1817" t="e">
        <f>INDEX(#REF!,MATCH(F2041,#REF!,0),2)</f>
        <v>#REF!</v>
      </c>
      <c r="Q2041" s="1779"/>
      <c r="R2041" s="1779"/>
      <c r="S2041" s="1779"/>
      <c r="T2041" s="1779"/>
      <c r="U2041" s="1779"/>
      <c r="V2041" s="1779"/>
      <c r="W2041" s="43"/>
      <c r="X2041" s="1779"/>
      <c r="Y2041" s="1779"/>
      <c r="Z2041" s="1779"/>
      <c r="AA2041" s="1779"/>
      <c r="AB2041" s="1779"/>
      <c r="AC2041" s="1779"/>
      <c r="AD2041" s="1779"/>
      <c r="AE2041" s="1779"/>
      <c r="AF2041" s="1779"/>
      <c r="AG2041" s="1779"/>
      <c r="AH2041" s="1779"/>
      <c r="AI2041" s="1779"/>
      <c r="AJ2041" s="1779"/>
      <c r="AK2041" s="1779"/>
      <c r="AL2041" s="1779"/>
      <c r="AM2041" s="1779"/>
      <c r="AN2041" s="1779"/>
      <c r="AO2041" s="1779"/>
      <c r="AP2041" s="1779"/>
      <c r="AQ2041" s="1779"/>
      <c r="AR2041" s="1779"/>
      <c r="AS2041" s="1779"/>
      <c r="AT2041" s="1779"/>
      <c r="AU2041" s="1779"/>
      <c r="AV2041" s="1779"/>
    </row>
    <row r="2042" spans="1:48">
      <c r="A2042" s="211"/>
      <c r="B2042" s="211" t="s">
        <v>1248</v>
      </c>
      <c r="C2042" s="211" t="s">
        <v>507</v>
      </c>
      <c r="D2042" s="1623">
        <v>1030</v>
      </c>
      <c r="E2042" s="2297" t="s">
        <v>1921</v>
      </c>
      <c r="F2042" s="387">
        <v>2235</v>
      </c>
      <c r="G2042" s="213" t="s">
        <v>1570</v>
      </c>
      <c r="H2042" s="2604">
        <v>1040</v>
      </c>
      <c r="I2042" s="2635"/>
      <c r="J2042" s="2635"/>
      <c r="K2042" s="2647"/>
      <c r="L2042" s="2604">
        <v>1350</v>
      </c>
      <c r="M2042" s="2604"/>
      <c r="N2042" s="73"/>
      <c r="O2042" s="86"/>
      <c r="P2042" s="1817" t="e">
        <f>INDEX(#REF!,MATCH(F2042,#REF!,0),2)</f>
        <v>#REF!</v>
      </c>
    </row>
    <row r="2043" spans="1:48" ht="33.75">
      <c r="A2043" s="205"/>
      <c r="B2043" s="205" t="s">
        <v>1248</v>
      </c>
      <c r="C2043" s="205" t="s">
        <v>507</v>
      </c>
      <c r="D2043" s="1622"/>
      <c r="E2043" s="2259" t="s">
        <v>1921</v>
      </c>
      <c r="F2043" s="368">
        <v>2235</v>
      </c>
      <c r="G2043" s="2590" t="s">
        <v>3527</v>
      </c>
      <c r="H2043" s="2592"/>
      <c r="I2043" s="2636">
        <v>1040</v>
      </c>
      <c r="J2043" s="2636"/>
      <c r="K2043" s="2593"/>
      <c r="L2043" s="2592"/>
      <c r="M2043" s="2592">
        <v>1350</v>
      </c>
      <c r="N2043" s="154" t="s">
        <v>3528</v>
      </c>
      <c r="O2043" s="86"/>
      <c r="P2043" s="1817" t="e">
        <f>INDEX(#REF!,MATCH(F2043,#REF!,0),2)</f>
        <v>#REF!</v>
      </c>
      <c r="Q2043" s="1779"/>
      <c r="R2043" s="1779"/>
      <c r="S2043" s="1779"/>
      <c r="T2043" s="1779"/>
      <c r="U2043" s="1779"/>
      <c r="V2043" s="1779"/>
      <c r="W2043" s="43"/>
      <c r="X2043" s="1779"/>
      <c r="Y2043" s="1779"/>
      <c r="Z2043" s="1779"/>
      <c r="AA2043" s="1779"/>
      <c r="AB2043" s="1779"/>
      <c r="AC2043" s="1779"/>
      <c r="AD2043" s="1779"/>
      <c r="AE2043" s="1779"/>
      <c r="AF2043" s="1779"/>
      <c r="AG2043" s="1779"/>
      <c r="AH2043" s="1779"/>
      <c r="AI2043" s="1779"/>
      <c r="AJ2043" s="1779"/>
      <c r="AK2043" s="1779"/>
      <c r="AL2043" s="1779"/>
      <c r="AM2043" s="1779"/>
      <c r="AN2043" s="1779"/>
      <c r="AO2043" s="1779"/>
      <c r="AP2043" s="1779"/>
      <c r="AQ2043" s="1779"/>
      <c r="AR2043" s="1779"/>
      <c r="AS2043" s="1779"/>
      <c r="AT2043" s="1779"/>
      <c r="AU2043" s="1779"/>
      <c r="AV2043" s="1779"/>
    </row>
    <row r="2044" spans="1:48" ht="33.75">
      <c r="A2044" s="211"/>
      <c r="B2044" s="211" t="s">
        <v>1248</v>
      </c>
      <c r="C2044" s="211" t="s">
        <v>507</v>
      </c>
      <c r="D2044" s="1623">
        <v>1030</v>
      </c>
      <c r="E2044" s="2297" t="s">
        <v>1921</v>
      </c>
      <c r="F2044" s="387">
        <v>2239</v>
      </c>
      <c r="G2044" s="213" t="s">
        <v>237</v>
      </c>
      <c r="H2044" s="2604">
        <v>890</v>
      </c>
      <c r="I2044" s="2635"/>
      <c r="J2044" s="2635"/>
      <c r="K2044" s="2647"/>
      <c r="L2044" s="2604">
        <v>840</v>
      </c>
      <c r="M2044" s="2606"/>
      <c r="N2044" s="73"/>
      <c r="O2044" s="86"/>
      <c r="P2044" s="1817" t="e">
        <f>INDEX(#REF!,MATCH(F2044,#REF!,0),2)</f>
        <v>#REF!</v>
      </c>
      <c r="Q2044" s="1779"/>
      <c r="R2044" s="1779"/>
      <c r="S2044" s="1779"/>
      <c r="T2044" s="1779"/>
      <c r="U2044" s="1779"/>
      <c r="V2044" s="1779"/>
      <c r="W2044" s="43"/>
      <c r="X2044" s="1779"/>
      <c r="Y2044" s="1779"/>
      <c r="Z2044" s="1779"/>
      <c r="AA2044" s="1779"/>
      <c r="AB2044" s="1779"/>
      <c r="AC2044" s="1779"/>
      <c r="AD2044" s="1779"/>
      <c r="AE2044" s="1779"/>
      <c r="AF2044" s="1779"/>
      <c r="AG2044" s="1779"/>
      <c r="AH2044" s="1779"/>
      <c r="AI2044" s="1779"/>
      <c r="AJ2044" s="1779"/>
      <c r="AK2044" s="1779"/>
      <c r="AL2044" s="1779"/>
      <c r="AM2044" s="1779"/>
      <c r="AN2044" s="1779"/>
      <c r="AO2044" s="1779"/>
      <c r="AP2044" s="1779"/>
      <c r="AQ2044" s="1779"/>
      <c r="AR2044" s="1779"/>
      <c r="AS2044" s="1779"/>
      <c r="AT2044" s="1779"/>
      <c r="AU2044" s="1779"/>
      <c r="AV2044" s="1779"/>
    </row>
    <row r="2045" spans="1:48" ht="22.5">
      <c r="A2045" s="205"/>
      <c r="B2045" s="205" t="s">
        <v>1248</v>
      </c>
      <c r="C2045" s="205" t="s">
        <v>507</v>
      </c>
      <c r="D2045" s="1622"/>
      <c r="E2045" s="2259" t="s">
        <v>1921</v>
      </c>
      <c r="F2045" s="368">
        <v>2239</v>
      </c>
      <c r="G2045" s="1529" t="s">
        <v>2169</v>
      </c>
      <c r="H2045" s="2592"/>
      <c r="I2045" s="2636">
        <v>240</v>
      </c>
      <c r="J2045" s="2636"/>
      <c r="K2045" s="2593"/>
      <c r="L2045" s="2594"/>
      <c r="M2045" s="2592">
        <v>240</v>
      </c>
      <c r="N2045" s="73"/>
      <c r="O2045" s="86"/>
      <c r="P2045" s="1817" t="e">
        <f>INDEX(#REF!,MATCH(F2045,#REF!,0),2)</f>
        <v>#REF!</v>
      </c>
      <c r="Q2045" s="1779"/>
      <c r="R2045" s="1779"/>
      <c r="S2045" s="1779"/>
      <c r="T2045" s="1779"/>
      <c r="U2045" s="1779"/>
      <c r="V2045" s="1779"/>
      <c r="W2045" s="43"/>
      <c r="X2045" s="1779"/>
      <c r="Y2045" s="1779"/>
      <c r="Z2045" s="1779"/>
      <c r="AA2045" s="1779"/>
      <c r="AB2045" s="1779"/>
      <c r="AC2045" s="1779"/>
      <c r="AD2045" s="1779"/>
      <c r="AE2045" s="1779"/>
      <c r="AF2045" s="1779"/>
      <c r="AG2045" s="1779"/>
      <c r="AH2045" s="1779"/>
      <c r="AI2045" s="1779"/>
      <c r="AJ2045" s="1779"/>
      <c r="AK2045" s="1779"/>
      <c r="AL2045" s="1779"/>
      <c r="AM2045" s="1779"/>
      <c r="AN2045" s="1779"/>
      <c r="AO2045" s="1779"/>
      <c r="AP2045" s="1779"/>
      <c r="AQ2045" s="1779"/>
      <c r="AR2045" s="1779"/>
      <c r="AS2045" s="1779"/>
      <c r="AT2045" s="1779"/>
      <c r="AU2045" s="1779"/>
      <c r="AV2045" s="1779"/>
    </row>
    <row r="2046" spans="1:48" ht="22.5">
      <c r="A2046" s="762"/>
      <c r="B2046" s="762" t="s">
        <v>1248</v>
      </c>
      <c r="C2046" s="205" t="s">
        <v>507</v>
      </c>
      <c r="D2046" s="1622"/>
      <c r="E2046" s="2259" t="s">
        <v>1921</v>
      </c>
      <c r="F2046" s="505">
        <v>2239</v>
      </c>
      <c r="G2046" s="2590" t="s">
        <v>3529</v>
      </c>
      <c r="H2046" s="2594"/>
      <c r="I2046" s="2636">
        <v>350</v>
      </c>
      <c r="J2046" s="2636"/>
      <c r="K2046" s="2593"/>
      <c r="L2046" s="2594"/>
      <c r="M2046" s="2592">
        <v>300</v>
      </c>
      <c r="N2046" s="149"/>
      <c r="O2046" s="86"/>
      <c r="P2046" s="1817" t="e">
        <f>INDEX(#REF!,MATCH(F2046,#REF!,0),2)</f>
        <v>#REF!</v>
      </c>
      <c r="Q2046" s="1779"/>
      <c r="R2046" s="1779"/>
      <c r="S2046" s="1779"/>
      <c r="T2046" s="1779"/>
      <c r="U2046" s="1779"/>
      <c r="V2046" s="1779"/>
      <c r="W2046" s="43"/>
      <c r="X2046" s="1779"/>
      <c r="Y2046" s="1779"/>
      <c r="Z2046" s="1779"/>
      <c r="AA2046" s="1779"/>
      <c r="AB2046" s="1779"/>
      <c r="AC2046" s="1779"/>
      <c r="AD2046" s="1779"/>
      <c r="AE2046" s="1779"/>
      <c r="AF2046" s="1779"/>
      <c r="AG2046" s="1779"/>
      <c r="AH2046" s="1779"/>
      <c r="AI2046" s="1779"/>
      <c r="AJ2046" s="1779"/>
      <c r="AK2046" s="1779"/>
      <c r="AL2046" s="1779"/>
      <c r="AM2046" s="1779"/>
      <c r="AN2046" s="1779"/>
      <c r="AO2046" s="1779"/>
      <c r="AP2046" s="1779"/>
      <c r="AQ2046" s="1779"/>
      <c r="AR2046" s="1779"/>
      <c r="AS2046" s="1779"/>
      <c r="AT2046" s="1779"/>
      <c r="AU2046" s="1779"/>
      <c r="AV2046" s="1779"/>
    </row>
    <row r="2047" spans="1:48" ht="22.5">
      <c r="A2047" s="412"/>
      <c r="B2047" s="205" t="s">
        <v>1248</v>
      </c>
      <c r="C2047" s="205" t="s">
        <v>507</v>
      </c>
      <c r="D2047" s="1622"/>
      <c r="E2047" s="2259" t="s">
        <v>1921</v>
      </c>
      <c r="F2047" s="368">
        <v>2239</v>
      </c>
      <c r="G2047" s="2590" t="s">
        <v>2170</v>
      </c>
      <c r="H2047" s="2651"/>
      <c r="I2047" s="2651">
        <v>300</v>
      </c>
      <c r="J2047" s="2636"/>
      <c r="K2047" s="2593"/>
      <c r="L2047" s="2594"/>
      <c r="M2047" s="2592">
        <v>300</v>
      </c>
      <c r="N2047" s="149"/>
      <c r="O2047" s="86"/>
      <c r="P2047" s="1817" t="e">
        <f>INDEX(#REF!,MATCH(F2047,#REF!,0),2)</f>
        <v>#REF!</v>
      </c>
      <c r="Q2047" s="1779"/>
      <c r="R2047" s="1779"/>
      <c r="S2047" s="1779"/>
      <c r="T2047" s="1779"/>
      <c r="U2047" s="1779"/>
      <c r="V2047" s="1779"/>
      <c r="W2047" s="43"/>
      <c r="X2047" s="1779"/>
      <c r="Y2047" s="1779"/>
      <c r="Z2047" s="1779"/>
      <c r="AA2047" s="1779"/>
      <c r="AB2047" s="1779"/>
      <c r="AC2047" s="1779"/>
      <c r="AD2047" s="1779"/>
      <c r="AE2047" s="1779"/>
      <c r="AF2047" s="1779"/>
      <c r="AG2047" s="1779"/>
      <c r="AH2047" s="1779"/>
      <c r="AI2047" s="1779"/>
      <c r="AJ2047" s="1779"/>
      <c r="AK2047" s="1779"/>
      <c r="AL2047" s="1779"/>
      <c r="AM2047" s="1779"/>
      <c r="AN2047" s="1779"/>
      <c r="AO2047" s="1779"/>
      <c r="AP2047" s="1779"/>
      <c r="AQ2047" s="1779"/>
      <c r="AR2047" s="1779"/>
      <c r="AS2047" s="1779"/>
      <c r="AT2047" s="1779"/>
      <c r="AU2047" s="1779"/>
      <c r="AV2047" s="1779"/>
    </row>
    <row r="2048" spans="1:48">
      <c r="A2048" s="211"/>
      <c r="B2048" s="211" t="s">
        <v>1248</v>
      </c>
      <c r="C2048" s="211" t="s">
        <v>505</v>
      </c>
      <c r="D2048" s="1623">
        <v>1030</v>
      </c>
      <c r="E2048" s="2297" t="s">
        <v>1921</v>
      </c>
      <c r="F2048" s="387">
        <v>2243</v>
      </c>
      <c r="G2048" s="213" t="s">
        <v>279</v>
      </c>
      <c r="H2048" s="2604">
        <v>50</v>
      </c>
      <c r="I2048" s="2606"/>
      <c r="J2048" s="2635"/>
      <c r="K2048" s="2647"/>
      <c r="L2048" s="2604">
        <v>50</v>
      </c>
      <c r="M2048" s="2604"/>
      <c r="N2048" s="73"/>
      <c r="O2048" s="86"/>
      <c r="P2048" s="1817" t="e">
        <f>INDEX(#REF!,MATCH(F2048,#REF!,0),2)</f>
        <v>#REF!</v>
      </c>
      <c r="Q2048" s="1779"/>
      <c r="R2048" s="1779"/>
      <c r="S2048" s="1779"/>
      <c r="T2048" s="1779"/>
      <c r="U2048" s="1779"/>
      <c r="V2048" s="1779"/>
      <c r="W2048" s="43"/>
      <c r="X2048" s="1779"/>
      <c r="Y2048" s="1779"/>
      <c r="Z2048" s="1779"/>
      <c r="AA2048" s="1779"/>
      <c r="AB2048" s="1779"/>
      <c r="AC2048" s="1779"/>
      <c r="AD2048" s="1779"/>
      <c r="AE2048" s="1779"/>
      <c r="AF2048" s="1779"/>
      <c r="AG2048" s="1779"/>
      <c r="AH2048" s="1779"/>
      <c r="AI2048" s="1779"/>
      <c r="AJ2048" s="1779"/>
      <c r="AK2048" s="1779"/>
      <c r="AL2048" s="1779"/>
      <c r="AM2048" s="1779"/>
      <c r="AN2048" s="1779"/>
      <c r="AO2048" s="1779"/>
      <c r="AP2048" s="1779"/>
      <c r="AQ2048" s="1779"/>
      <c r="AR2048" s="1779"/>
      <c r="AS2048" s="1779"/>
      <c r="AT2048" s="1779"/>
      <c r="AU2048" s="1779"/>
      <c r="AV2048" s="1779"/>
    </row>
    <row r="2049" spans="1:48">
      <c r="A2049" s="205"/>
      <c r="B2049" s="205" t="s">
        <v>1248</v>
      </c>
      <c r="C2049" s="205" t="s">
        <v>505</v>
      </c>
      <c r="D2049" s="1622"/>
      <c r="E2049" s="2259" t="s">
        <v>1921</v>
      </c>
      <c r="F2049" s="368">
        <v>2243</v>
      </c>
      <c r="G2049" s="206" t="s">
        <v>405</v>
      </c>
      <c r="H2049" s="2592"/>
      <c r="I2049" s="2636">
        <v>50</v>
      </c>
      <c r="J2049" s="2636"/>
      <c r="K2049" s="2593"/>
      <c r="L2049" s="2592"/>
      <c r="M2049" s="2592">
        <v>50</v>
      </c>
      <c r="N2049" s="149"/>
      <c r="O2049" s="86"/>
      <c r="P2049" s="1817" t="e">
        <f>INDEX(#REF!,MATCH(F2049,#REF!,0),2)</f>
        <v>#REF!</v>
      </c>
      <c r="Q2049" s="11"/>
      <c r="R2049" s="11"/>
      <c r="S2049" s="11"/>
      <c r="T2049" s="11"/>
      <c r="U2049" s="11"/>
      <c r="V2049" s="11"/>
      <c r="W2049" s="4"/>
      <c r="X2049" s="11"/>
      <c r="Y2049" s="11"/>
      <c r="Z2049" s="11"/>
      <c r="AA2049" s="11"/>
      <c r="AB2049" s="11"/>
      <c r="AC2049" s="11"/>
      <c r="AD2049" s="11"/>
      <c r="AE2049" s="11"/>
      <c r="AF2049" s="11"/>
      <c r="AG2049" s="11"/>
      <c r="AH2049" s="11"/>
      <c r="AI2049" s="11"/>
      <c r="AJ2049" s="11"/>
      <c r="AK2049" s="11"/>
      <c r="AL2049" s="11"/>
      <c r="AM2049" s="11"/>
      <c r="AN2049" s="11"/>
      <c r="AO2049" s="11"/>
      <c r="AP2049" s="11"/>
      <c r="AQ2049" s="11"/>
      <c r="AR2049" s="11"/>
      <c r="AS2049" s="11"/>
      <c r="AT2049" s="11"/>
      <c r="AU2049" s="11"/>
      <c r="AV2049" s="11"/>
    </row>
    <row r="2050" spans="1:48">
      <c r="A2050" s="211"/>
      <c r="B2050" s="211" t="s">
        <v>1248</v>
      </c>
      <c r="C2050" s="211" t="s">
        <v>507</v>
      </c>
      <c r="D2050" s="1623">
        <v>1030</v>
      </c>
      <c r="E2050" s="2297" t="s">
        <v>1921</v>
      </c>
      <c r="F2050" s="387">
        <v>2311</v>
      </c>
      <c r="G2050" s="213" t="s">
        <v>245</v>
      </c>
      <c r="H2050" s="2604">
        <v>1050</v>
      </c>
      <c r="I2050" s="2635"/>
      <c r="J2050" s="2635"/>
      <c r="K2050" s="2647"/>
      <c r="L2050" s="2604">
        <v>650</v>
      </c>
      <c r="M2050" s="2604"/>
      <c r="N2050" s="335"/>
      <c r="O2050" s="86"/>
      <c r="P2050" s="1817" t="e">
        <f>INDEX(#REF!,MATCH(F2050,#REF!,0),2)</f>
        <v>#REF!</v>
      </c>
      <c r="Q2050" s="11"/>
      <c r="R2050" s="11"/>
      <c r="S2050" s="11"/>
      <c r="T2050" s="11"/>
      <c r="U2050" s="11"/>
      <c r="V2050" s="11"/>
      <c r="W2050" s="4"/>
      <c r="X2050" s="11"/>
      <c r="Y2050" s="11"/>
      <c r="Z2050" s="11"/>
      <c r="AA2050" s="11"/>
      <c r="AB2050" s="11"/>
      <c r="AC2050" s="11"/>
      <c r="AD2050" s="11"/>
      <c r="AE2050" s="11"/>
      <c r="AF2050" s="11"/>
      <c r="AG2050" s="11"/>
      <c r="AH2050" s="11"/>
      <c r="AI2050" s="11"/>
      <c r="AJ2050" s="11"/>
      <c r="AK2050" s="11"/>
      <c r="AL2050" s="11"/>
      <c r="AM2050" s="11"/>
      <c r="AN2050" s="11"/>
      <c r="AO2050" s="11"/>
      <c r="AP2050" s="11"/>
      <c r="AQ2050" s="11"/>
      <c r="AR2050" s="11"/>
      <c r="AS2050" s="11"/>
      <c r="AT2050" s="11"/>
      <c r="AU2050" s="11"/>
      <c r="AV2050" s="11"/>
    </row>
    <row r="2051" spans="1:48">
      <c r="A2051" s="205"/>
      <c r="B2051" s="205" t="s">
        <v>1248</v>
      </c>
      <c r="C2051" s="205" t="s">
        <v>507</v>
      </c>
      <c r="D2051" s="1622"/>
      <c r="E2051" s="2259" t="s">
        <v>1921</v>
      </c>
      <c r="F2051" s="368">
        <v>2311</v>
      </c>
      <c r="G2051" s="206" t="s">
        <v>406</v>
      </c>
      <c r="H2051" s="2592"/>
      <c r="I2051" s="2636">
        <v>150</v>
      </c>
      <c r="J2051" s="2636"/>
      <c r="K2051" s="2593"/>
      <c r="L2051" s="2592"/>
      <c r="M2051" s="2592">
        <v>150</v>
      </c>
      <c r="N2051" s="286"/>
      <c r="O2051" s="86"/>
      <c r="P2051" s="1817" t="e">
        <f>INDEX(#REF!,MATCH(F2051,#REF!,0),2)</f>
        <v>#REF!</v>
      </c>
      <c r="Q2051" s="11"/>
      <c r="R2051" s="11"/>
      <c r="S2051" s="11"/>
      <c r="T2051" s="11"/>
      <c r="U2051" s="11"/>
      <c r="V2051" s="11"/>
      <c r="W2051" s="4"/>
      <c r="X2051" s="11"/>
      <c r="Y2051" s="11"/>
      <c r="Z2051" s="11"/>
      <c r="AA2051" s="11"/>
      <c r="AB2051" s="11"/>
      <c r="AC2051" s="11"/>
      <c r="AD2051" s="11"/>
      <c r="AE2051" s="11"/>
      <c r="AF2051" s="11"/>
      <c r="AG2051" s="11"/>
      <c r="AH2051" s="11"/>
      <c r="AI2051" s="11"/>
      <c r="AJ2051" s="11"/>
      <c r="AK2051" s="11"/>
      <c r="AL2051" s="11"/>
      <c r="AM2051" s="11"/>
      <c r="AN2051" s="11"/>
      <c r="AO2051" s="11"/>
      <c r="AP2051" s="11"/>
      <c r="AQ2051" s="11"/>
      <c r="AR2051" s="11"/>
      <c r="AS2051" s="11"/>
      <c r="AT2051" s="11"/>
      <c r="AU2051" s="11"/>
      <c r="AV2051" s="11"/>
    </row>
    <row r="2052" spans="1:48" ht="22.5">
      <c r="A2052" s="205"/>
      <c r="B2052" s="205" t="s">
        <v>1248</v>
      </c>
      <c r="C2052" s="205" t="s">
        <v>507</v>
      </c>
      <c r="D2052" s="1622"/>
      <c r="E2052" s="2259" t="s">
        <v>1921</v>
      </c>
      <c r="F2052" s="368">
        <v>2311</v>
      </c>
      <c r="G2052" s="212" t="s">
        <v>475</v>
      </c>
      <c r="H2052" s="2592"/>
      <c r="I2052" s="2636">
        <v>400</v>
      </c>
      <c r="J2052" s="2636"/>
      <c r="K2052" s="2593"/>
      <c r="L2052" s="2592"/>
      <c r="M2052" s="2592">
        <v>500</v>
      </c>
      <c r="N2052" s="154" t="s">
        <v>3530</v>
      </c>
      <c r="O2052" s="86"/>
      <c r="P2052" s="1817" t="e">
        <f>INDEX(#REF!,MATCH(F2052,#REF!,0),2)</f>
        <v>#REF!</v>
      </c>
      <c r="Q2052" s="11"/>
      <c r="R2052" s="11"/>
      <c r="S2052" s="11"/>
      <c r="T2052" s="11"/>
      <c r="U2052" s="11"/>
      <c r="V2052" s="11"/>
      <c r="W2052" s="4"/>
      <c r="X2052" s="11"/>
      <c r="Y2052" s="11"/>
      <c r="Z2052" s="11"/>
      <c r="AA2052" s="11"/>
      <c r="AB2052" s="11"/>
      <c r="AC2052" s="11"/>
      <c r="AD2052" s="11"/>
      <c r="AE2052" s="11"/>
      <c r="AF2052" s="11"/>
      <c r="AG2052" s="11"/>
      <c r="AH2052" s="11"/>
      <c r="AI2052" s="11"/>
      <c r="AJ2052" s="11"/>
      <c r="AK2052" s="11"/>
      <c r="AL2052" s="11"/>
      <c r="AM2052" s="11"/>
      <c r="AN2052" s="11"/>
      <c r="AO2052" s="11"/>
      <c r="AP2052" s="11"/>
      <c r="AQ2052" s="11"/>
      <c r="AR2052" s="11"/>
      <c r="AS2052" s="11"/>
      <c r="AT2052" s="11"/>
      <c r="AU2052" s="11"/>
      <c r="AV2052" s="11"/>
    </row>
    <row r="2053" spans="1:48">
      <c r="A2053" s="205"/>
      <c r="B2053" s="205" t="s">
        <v>1248</v>
      </c>
      <c r="C2053" s="205" t="s">
        <v>507</v>
      </c>
      <c r="D2053" s="1622"/>
      <c r="E2053" s="2259" t="s">
        <v>1921</v>
      </c>
      <c r="F2053" s="368">
        <v>2311</v>
      </c>
      <c r="G2053" s="206" t="s">
        <v>271</v>
      </c>
      <c r="H2053" s="2592"/>
      <c r="I2053" s="2636">
        <v>500</v>
      </c>
      <c r="J2053" s="2636"/>
      <c r="K2053" s="2593"/>
      <c r="L2053" s="2594"/>
      <c r="M2053" s="2594"/>
      <c r="N2053" s="286"/>
      <c r="O2053" s="86"/>
      <c r="P2053" s="1817" t="e">
        <f>INDEX(#REF!,MATCH(F2053,#REF!,0),2)</f>
        <v>#REF!</v>
      </c>
      <c r="Q2053" s="11"/>
      <c r="R2053" s="11"/>
      <c r="S2053" s="11"/>
      <c r="T2053" s="11"/>
      <c r="U2053" s="11"/>
      <c r="V2053" s="11"/>
      <c r="W2053" s="4"/>
      <c r="X2053" s="11"/>
      <c r="Y2053" s="11"/>
      <c r="Z2053" s="11"/>
      <c r="AA2053" s="11"/>
      <c r="AB2053" s="11"/>
      <c r="AC2053" s="11"/>
      <c r="AD2053" s="11"/>
      <c r="AE2053" s="11"/>
      <c r="AF2053" s="11"/>
      <c r="AG2053" s="11"/>
      <c r="AH2053" s="11"/>
      <c r="AI2053" s="11"/>
      <c r="AJ2053" s="11"/>
      <c r="AK2053" s="11"/>
      <c r="AL2053" s="11"/>
      <c r="AM2053" s="11"/>
      <c r="AN2053" s="11"/>
      <c r="AO2053" s="11"/>
      <c r="AP2053" s="11"/>
      <c r="AQ2053" s="11"/>
      <c r="AR2053" s="11"/>
      <c r="AS2053" s="11"/>
      <c r="AT2053" s="11"/>
      <c r="AU2053" s="11"/>
      <c r="AV2053" s="11"/>
    </row>
    <row r="2054" spans="1:48">
      <c r="A2054" s="211"/>
      <c r="B2054" s="211" t="s">
        <v>1248</v>
      </c>
      <c r="C2054" s="211" t="s">
        <v>507</v>
      </c>
      <c r="D2054" s="1623">
        <v>1030</v>
      </c>
      <c r="E2054" s="2297" t="s">
        <v>1921</v>
      </c>
      <c r="F2054" s="387">
        <v>2312</v>
      </c>
      <c r="G2054" s="213" t="s">
        <v>363</v>
      </c>
      <c r="H2054" s="2604">
        <v>1450</v>
      </c>
      <c r="I2054" s="2635"/>
      <c r="J2054" s="2635"/>
      <c r="K2054" s="2647"/>
      <c r="L2054" s="2604">
        <v>500</v>
      </c>
      <c r="M2054" s="2606"/>
      <c r="N2054" s="149"/>
      <c r="O2054" s="86"/>
      <c r="P2054" s="1817" t="e">
        <f>INDEX(#REF!,MATCH(F2054,#REF!,0),2)</f>
        <v>#REF!</v>
      </c>
      <c r="Q2054" s="11"/>
      <c r="R2054" s="11"/>
      <c r="S2054" s="11"/>
      <c r="T2054" s="11"/>
      <c r="U2054" s="11"/>
      <c r="V2054" s="11"/>
      <c r="W2054" s="4"/>
      <c r="X2054" s="11"/>
      <c r="Y2054" s="11"/>
      <c r="Z2054" s="11"/>
      <c r="AA2054" s="11"/>
      <c r="AB2054" s="11"/>
      <c r="AC2054" s="11"/>
      <c r="AD2054" s="11"/>
      <c r="AE2054" s="11"/>
      <c r="AF2054" s="11"/>
      <c r="AG2054" s="11"/>
      <c r="AH2054" s="11"/>
      <c r="AI2054" s="11"/>
      <c r="AJ2054" s="11"/>
      <c r="AK2054" s="11"/>
      <c r="AL2054" s="11"/>
      <c r="AM2054" s="11"/>
      <c r="AN2054" s="11"/>
      <c r="AO2054" s="11"/>
      <c r="AP2054" s="11"/>
      <c r="AQ2054" s="11"/>
      <c r="AR2054" s="11"/>
      <c r="AS2054" s="11"/>
      <c r="AT2054" s="11"/>
      <c r="AU2054" s="11"/>
      <c r="AV2054" s="11"/>
    </row>
    <row r="2055" spans="1:48">
      <c r="A2055" s="325"/>
      <c r="B2055" s="205" t="s">
        <v>1248</v>
      </c>
      <c r="C2055" s="205" t="s">
        <v>507</v>
      </c>
      <c r="D2055" s="1622"/>
      <c r="E2055" s="2259" t="s">
        <v>1921</v>
      </c>
      <c r="F2055" s="368">
        <v>2312</v>
      </c>
      <c r="G2055" s="1529" t="s">
        <v>2171</v>
      </c>
      <c r="H2055" s="2592"/>
      <c r="I2055" s="2636">
        <v>250</v>
      </c>
      <c r="J2055" s="2636"/>
      <c r="K2055" s="2593"/>
      <c r="L2055" s="2594"/>
      <c r="M2055" s="2594"/>
      <c r="N2055" s="73"/>
      <c r="O2055" s="86"/>
      <c r="P2055" s="1817" t="e">
        <f>INDEX(#REF!,MATCH(F2055,#REF!,0),2)</f>
        <v>#REF!</v>
      </c>
      <c r="Q2055" s="1779"/>
      <c r="R2055" s="1779"/>
      <c r="S2055" s="1779"/>
      <c r="T2055" s="1779"/>
      <c r="U2055" s="1779"/>
      <c r="V2055" s="1779"/>
      <c r="W2055" s="43"/>
      <c r="X2055" s="1779"/>
      <c r="Y2055" s="1779"/>
      <c r="Z2055" s="1779"/>
      <c r="AA2055" s="1779"/>
      <c r="AB2055" s="1779"/>
      <c r="AC2055" s="1779"/>
      <c r="AD2055" s="1779"/>
      <c r="AE2055" s="1779"/>
      <c r="AF2055" s="1779"/>
      <c r="AG2055" s="1779"/>
      <c r="AH2055" s="1779"/>
      <c r="AI2055" s="1779"/>
      <c r="AJ2055" s="1779"/>
      <c r="AK2055" s="1779"/>
      <c r="AL2055" s="1779"/>
      <c r="AM2055" s="1779"/>
      <c r="AN2055" s="1779"/>
      <c r="AO2055" s="1779"/>
      <c r="AP2055" s="1779"/>
      <c r="AQ2055" s="1779"/>
      <c r="AR2055" s="1779"/>
      <c r="AS2055" s="1779"/>
      <c r="AT2055" s="1779"/>
      <c r="AU2055" s="1779"/>
      <c r="AV2055" s="1779"/>
    </row>
    <row r="2056" spans="1:48">
      <c r="A2056" s="325"/>
      <c r="B2056" s="205" t="s">
        <v>1248</v>
      </c>
      <c r="C2056" s="205" t="s">
        <v>507</v>
      </c>
      <c r="D2056" s="1622"/>
      <c r="E2056" s="2259" t="s">
        <v>1921</v>
      </c>
      <c r="F2056" s="368">
        <v>2312</v>
      </c>
      <c r="G2056" s="2590" t="s">
        <v>3531</v>
      </c>
      <c r="H2056" s="2592"/>
      <c r="I2056" s="2636">
        <v>700</v>
      </c>
      <c r="J2056" s="2636"/>
      <c r="K2056" s="2593"/>
      <c r="L2056" s="2594"/>
      <c r="M2056" s="2592">
        <v>350</v>
      </c>
      <c r="N2056" s="149"/>
      <c r="O2056" s="86"/>
      <c r="P2056" s="1817" t="e">
        <f>INDEX(#REF!,MATCH(F2056,#REF!,0),2)</f>
        <v>#REF!</v>
      </c>
      <c r="Q2056" s="11"/>
      <c r="R2056" s="11"/>
      <c r="S2056" s="11"/>
      <c r="T2056" s="11"/>
      <c r="U2056" s="11"/>
      <c r="V2056" s="11"/>
      <c r="W2056" s="4"/>
      <c r="X2056" s="11"/>
      <c r="Y2056" s="11"/>
      <c r="Z2056" s="11"/>
      <c r="AA2056" s="11"/>
      <c r="AB2056" s="11"/>
      <c r="AC2056" s="11"/>
      <c r="AD2056" s="11"/>
      <c r="AE2056" s="11"/>
      <c r="AF2056" s="11"/>
      <c r="AG2056" s="11"/>
      <c r="AH2056" s="11"/>
      <c r="AI2056" s="11"/>
      <c r="AJ2056" s="11"/>
      <c r="AK2056" s="11"/>
      <c r="AL2056" s="11"/>
      <c r="AM2056" s="11"/>
      <c r="AN2056" s="11"/>
      <c r="AO2056" s="11"/>
      <c r="AP2056" s="11"/>
      <c r="AQ2056" s="11"/>
      <c r="AR2056" s="11"/>
      <c r="AS2056" s="11"/>
      <c r="AT2056" s="11"/>
      <c r="AU2056" s="11"/>
      <c r="AV2056" s="11"/>
    </row>
    <row r="2057" spans="1:48">
      <c r="A2057" s="1465"/>
      <c r="B2057" s="205" t="s">
        <v>1248</v>
      </c>
      <c r="C2057" s="205" t="s">
        <v>507</v>
      </c>
      <c r="D2057" s="1622"/>
      <c r="E2057" s="2259" t="s">
        <v>1921</v>
      </c>
      <c r="F2057" s="1527">
        <v>2312</v>
      </c>
      <c r="G2057" s="2590" t="s">
        <v>852</v>
      </c>
      <c r="H2057" s="2592"/>
      <c r="I2057" s="2636">
        <v>500</v>
      </c>
      <c r="J2057" s="2636"/>
      <c r="K2057" s="2593"/>
      <c r="L2057" s="2594"/>
      <c r="M2057" s="2592">
        <v>150</v>
      </c>
      <c r="N2057" s="149"/>
      <c r="O2057" s="86"/>
      <c r="P2057" s="1817" t="e">
        <f>INDEX(#REF!,MATCH(F2057,#REF!,0),2)</f>
        <v>#REF!</v>
      </c>
      <c r="Q2057" s="1779"/>
      <c r="R2057" s="1779"/>
      <c r="S2057" s="1779"/>
      <c r="T2057" s="1779"/>
      <c r="U2057" s="1779"/>
      <c r="V2057" s="1779"/>
      <c r="W2057" s="43"/>
      <c r="X2057" s="1779"/>
      <c r="Y2057" s="1779"/>
      <c r="Z2057" s="1779"/>
      <c r="AA2057" s="1779"/>
      <c r="AB2057" s="1779"/>
      <c r="AC2057" s="1779"/>
      <c r="AD2057" s="1779"/>
      <c r="AE2057" s="1779"/>
      <c r="AF2057" s="1779"/>
      <c r="AG2057" s="1779"/>
      <c r="AH2057" s="1779"/>
      <c r="AI2057" s="1779"/>
      <c r="AJ2057" s="1779"/>
      <c r="AK2057" s="1779"/>
      <c r="AL2057" s="1779"/>
      <c r="AM2057" s="1779"/>
      <c r="AN2057" s="1779"/>
      <c r="AO2057" s="1779"/>
      <c r="AP2057" s="1779"/>
      <c r="AQ2057" s="1779"/>
      <c r="AR2057" s="1779"/>
      <c r="AS2057" s="1779"/>
      <c r="AT2057" s="1779"/>
      <c r="AU2057" s="1779"/>
      <c r="AV2057" s="1779"/>
    </row>
    <row r="2058" spans="1:48">
      <c r="A2058" s="211"/>
      <c r="B2058" s="211" t="s">
        <v>1248</v>
      </c>
      <c r="C2058" s="211" t="s">
        <v>505</v>
      </c>
      <c r="D2058" s="1623">
        <v>1030</v>
      </c>
      <c r="E2058" s="2297" t="s">
        <v>1921</v>
      </c>
      <c r="F2058" s="387">
        <v>2322</v>
      </c>
      <c r="G2058" s="213" t="s">
        <v>289</v>
      </c>
      <c r="H2058" s="2604">
        <v>2124</v>
      </c>
      <c r="I2058" s="2635"/>
      <c r="J2058" s="2635"/>
      <c r="K2058" s="2647"/>
      <c r="L2058" s="2604">
        <v>2124</v>
      </c>
      <c r="M2058" s="2604"/>
      <c r="N2058" s="149"/>
      <c r="O2058" s="86"/>
      <c r="P2058" s="1817" t="e">
        <f>INDEX(#REF!,MATCH(F2058,#REF!,0),2)</f>
        <v>#REF!</v>
      </c>
      <c r="Q2058" s="11"/>
      <c r="R2058" s="11"/>
      <c r="S2058" s="11"/>
      <c r="T2058" s="11"/>
      <c r="U2058" s="11"/>
      <c r="V2058" s="11"/>
      <c r="W2058" s="4"/>
      <c r="X2058" s="11"/>
      <c r="Y2058" s="11"/>
      <c r="Z2058" s="11"/>
      <c r="AA2058" s="11"/>
      <c r="AB2058" s="11"/>
      <c r="AC2058" s="11"/>
      <c r="AD2058" s="11"/>
      <c r="AE2058" s="11"/>
      <c r="AF2058" s="11"/>
      <c r="AG2058" s="11"/>
      <c r="AH2058" s="11"/>
      <c r="AI2058" s="11"/>
      <c r="AJ2058" s="11"/>
      <c r="AK2058" s="11"/>
      <c r="AL2058" s="11"/>
      <c r="AM2058" s="11"/>
      <c r="AN2058" s="11"/>
      <c r="AO2058" s="11"/>
      <c r="AP2058" s="11"/>
      <c r="AQ2058" s="11"/>
      <c r="AR2058" s="11"/>
      <c r="AS2058" s="11"/>
      <c r="AT2058" s="11"/>
      <c r="AU2058" s="11"/>
      <c r="AV2058" s="11"/>
    </row>
    <row r="2059" spans="1:48" ht="22.5">
      <c r="A2059" s="205"/>
      <c r="B2059" s="205" t="s">
        <v>1248</v>
      </c>
      <c r="C2059" s="205" t="s">
        <v>505</v>
      </c>
      <c r="D2059" s="1622"/>
      <c r="E2059" s="2259" t="s">
        <v>1921</v>
      </c>
      <c r="F2059" s="368">
        <v>2322</v>
      </c>
      <c r="G2059" s="2590" t="s">
        <v>2172</v>
      </c>
      <c r="H2059" s="2592"/>
      <c r="I2059" s="2636">
        <v>2124</v>
      </c>
      <c r="J2059" s="2636"/>
      <c r="K2059" s="2593"/>
      <c r="L2059" s="2592"/>
      <c r="M2059" s="2592">
        <v>2124</v>
      </c>
      <c r="N2059" s="149"/>
      <c r="O2059" s="86"/>
      <c r="P2059" s="1817" t="e">
        <f>INDEX(#REF!,MATCH(F2059,#REF!,0),2)</f>
        <v>#REF!</v>
      </c>
      <c r="Q2059" s="1779"/>
      <c r="R2059" s="1779"/>
      <c r="S2059" s="1779"/>
      <c r="T2059" s="1779"/>
      <c r="U2059" s="1779"/>
      <c r="V2059" s="1779"/>
      <c r="W2059" s="43"/>
      <c r="X2059" s="1779"/>
      <c r="Y2059" s="1779"/>
      <c r="Z2059" s="1779"/>
      <c r="AA2059" s="1779"/>
      <c r="AB2059" s="1779"/>
      <c r="AC2059" s="1779"/>
      <c r="AD2059" s="1779"/>
      <c r="AE2059" s="1779"/>
      <c r="AF2059" s="1779"/>
      <c r="AG2059" s="1779"/>
      <c r="AH2059" s="1779"/>
      <c r="AI2059" s="1779"/>
      <c r="AJ2059" s="1779"/>
      <c r="AK2059" s="1779"/>
      <c r="AL2059" s="1779"/>
      <c r="AM2059" s="1779"/>
      <c r="AN2059" s="1779"/>
      <c r="AO2059" s="1779"/>
      <c r="AP2059" s="1779"/>
      <c r="AQ2059" s="1779"/>
      <c r="AR2059" s="1779"/>
      <c r="AS2059" s="1779"/>
    </row>
    <row r="2060" spans="1:48" ht="11.45" customHeight="1">
      <c r="A2060" s="211"/>
      <c r="B2060" s="211" t="s">
        <v>1248</v>
      </c>
      <c r="C2060" s="211" t="s">
        <v>505</v>
      </c>
      <c r="D2060" s="1623">
        <v>1030</v>
      </c>
      <c r="E2060" s="2297" t="s">
        <v>1921</v>
      </c>
      <c r="F2060" s="387">
        <v>2390</v>
      </c>
      <c r="G2060" s="213" t="s">
        <v>253</v>
      </c>
      <c r="H2060" s="2604">
        <v>50</v>
      </c>
      <c r="I2060" s="2635"/>
      <c r="J2060" s="2635"/>
      <c r="K2060" s="2647"/>
      <c r="L2060" s="2604">
        <v>50</v>
      </c>
      <c r="M2060" s="2604"/>
      <c r="N2060" s="149"/>
      <c r="O2060" s="86"/>
      <c r="P2060" s="1817" t="e">
        <f>INDEX(#REF!,MATCH(F2060,#REF!,0),2)</f>
        <v>#REF!</v>
      </c>
      <c r="Q2060" s="11"/>
      <c r="R2060" s="11"/>
      <c r="S2060" s="11"/>
      <c r="T2060" s="11"/>
      <c r="U2060" s="11"/>
      <c r="V2060" s="11"/>
      <c r="W2060" s="4"/>
      <c r="X2060" s="11"/>
      <c r="Y2060" s="11"/>
      <c r="Z2060" s="11"/>
      <c r="AA2060" s="11"/>
      <c r="AB2060" s="11"/>
      <c r="AC2060" s="11"/>
      <c r="AD2060" s="11"/>
      <c r="AE2060" s="11"/>
      <c r="AF2060" s="11"/>
      <c r="AG2060" s="11"/>
      <c r="AH2060" s="11"/>
      <c r="AI2060" s="11"/>
      <c r="AJ2060" s="11"/>
      <c r="AK2060" s="11"/>
      <c r="AL2060" s="11"/>
      <c r="AM2060" s="11"/>
      <c r="AN2060" s="11"/>
      <c r="AO2060" s="11"/>
      <c r="AP2060" s="11"/>
      <c r="AQ2060" s="11"/>
      <c r="AR2060" s="11"/>
      <c r="AS2060" s="11"/>
      <c r="AT2060" s="11"/>
      <c r="AU2060" s="11"/>
      <c r="AV2060" s="11"/>
    </row>
    <row r="2061" spans="1:48" ht="12" customHeight="1">
      <c r="A2061" s="205"/>
      <c r="B2061" s="205" t="s">
        <v>1248</v>
      </c>
      <c r="C2061" s="205" t="s">
        <v>505</v>
      </c>
      <c r="D2061" s="1622"/>
      <c r="E2061" s="2259" t="s">
        <v>1921</v>
      </c>
      <c r="F2061" s="368">
        <v>2390</v>
      </c>
      <c r="G2061" s="298" t="s">
        <v>872</v>
      </c>
      <c r="H2061" s="2592"/>
      <c r="I2061" s="2636">
        <v>50</v>
      </c>
      <c r="J2061" s="2636"/>
      <c r="K2061" s="2593"/>
      <c r="L2061" s="2592"/>
      <c r="M2061" s="2592">
        <v>50</v>
      </c>
      <c r="N2061" s="149"/>
      <c r="O2061" s="86"/>
      <c r="P2061" s="1817" t="e">
        <f>INDEX(#REF!,MATCH(F2061,#REF!,0),2)</f>
        <v>#REF!</v>
      </c>
      <c r="Q2061" s="1779"/>
      <c r="R2061" s="1779"/>
      <c r="S2061" s="1779"/>
      <c r="T2061" s="1779"/>
      <c r="U2061" s="1779"/>
      <c r="V2061" s="1779"/>
      <c r="W2061" s="43"/>
      <c r="X2061" s="1779"/>
      <c r="Y2061" s="1779"/>
      <c r="Z2061" s="1779"/>
      <c r="AA2061" s="1779"/>
      <c r="AB2061" s="1779"/>
      <c r="AC2061" s="1779"/>
      <c r="AD2061" s="1779"/>
      <c r="AE2061" s="1779"/>
      <c r="AF2061" s="1779"/>
      <c r="AG2061" s="1779"/>
      <c r="AH2061" s="1779"/>
      <c r="AI2061" s="1779"/>
      <c r="AJ2061" s="1779"/>
      <c r="AK2061" s="1779"/>
      <c r="AL2061" s="1779"/>
      <c r="AM2061" s="1779"/>
      <c r="AN2061" s="1779"/>
      <c r="AO2061" s="1779"/>
      <c r="AP2061" s="1779"/>
      <c r="AQ2061" s="1779"/>
      <c r="AR2061" s="1779"/>
      <c r="AS2061" s="1779"/>
      <c r="AT2061" s="1779"/>
      <c r="AU2061" s="1779"/>
      <c r="AV2061" s="1779"/>
    </row>
    <row r="2062" spans="1:48" ht="35.450000000000003" customHeight="1">
      <c r="A2062" s="211"/>
      <c r="B2062" s="211" t="s">
        <v>1250</v>
      </c>
      <c r="C2062" s="211" t="s">
        <v>509</v>
      </c>
      <c r="D2062" s="1623">
        <v>1030</v>
      </c>
      <c r="E2062" s="2297" t="s">
        <v>1921</v>
      </c>
      <c r="F2062" s="387">
        <v>5238</v>
      </c>
      <c r="G2062" s="213" t="s">
        <v>257</v>
      </c>
      <c r="H2062" s="2604">
        <v>0</v>
      </c>
      <c r="I2062" s="2635"/>
      <c r="J2062" s="2635"/>
      <c r="K2062" s="2647"/>
      <c r="L2062" s="2604">
        <v>0</v>
      </c>
      <c r="M2062" s="2604"/>
      <c r="N2062" s="149"/>
      <c r="O2062" s="86"/>
      <c r="P2062" s="1817" t="e">
        <f>INDEX(#REF!,MATCH(F2062,#REF!,0),2)</f>
        <v>#REF!</v>
      </c>
      <c r="Q2062" s="1779"/>
      <c r="R2062" s="1779"/>
      <c r="S2062" s="1779"/>
      <c r="T2062" s="1779"/>
      <c r="U2062" s="1779"/>
      <c r="V2062" s="1779"/>
      <c r="W2062" s="43"/>
      <c r="X2062" s="1779"/>
      <c r="Y2062" s="1779"/>
      <c r="Z2062" s="1779"/>
      <c r="AA2062" s="1779"/>
      <c r="AB2062" s="1779"/>
      <c r="AC2062" s="1779"/>
      <c r="AD2062" s="1779"/>
      <c r="AE2062" s="1779"/>
      <c r="AF2062" s="1779"/>
      <c r="AG2062" s="1779"/>
      <c r="AH2062" s="1779"/>
      <c r="AI2062" s="1779"/>
      <c r="AJ2062" s="1779"/>
      <c r="AK2062" s="1779"/>
      <c r="AL2062" s="1779"/>
      <c r="AM2062" s="1779"/>
      <c r="AN2062" s="1779"/>
      <c r="AO2062" s="1779"/>
      <c r="AP2062" s="1779"/>
      <c r="AQ2062" s="1779"/>
      <c r="AR2062" s="1779"/>
      <c r="AS2062" s="1779"/>
      <c r="AT2062" s="1779"/>
      <c r="AU2062" s="1779"/>
      <c r="AV2062" s="1779"/>
    </row>
    <row r="2063" spans="1:48" ht="16.899999999999999" customHeight="1">
      <c r="A2063" s="205"/>
      <c r="B2063" s="205" t="s">
        <v>1250</v>
      </c>
      <c r="C2063" s="205" t="s">
        <v>509</v>
      </c>
      <c r="D2063" s="1622"/>
      <c r="E2063" s="2259" t="s">
        <v>1921</v>
      </c>
      <c r="F2063" s="368">
        <v>5238</v>
      </c>
      <c r="G2063" s="1071" t="s">
        <v>1530</v>
      </c>
      <c r="H2063" s="2592"/>
      <c r="I2063" s="2592"/>
      <c r="J2063" s="2592"/>
      <c r="K2063" s="2647"/>
      <c r="L2063" s="2652"/>
      <c r="M2063" s="2594"/>
      <c r="N2063" s="149"/>
      <c r="O2063" s="86"/>
      <c r="P2063" s="1817" t="e">
        <f>INDEX(#REF!,MATCH(F2063,#REF!,0),2)</f>
        <v>#REF!</v>
      </c>
      <c r="Q2063" s="1779"/>
      <c r="R2063" s="1779"/>
      <c r="S2063" s="1779"/>
      <c r="T2063" s="1779"/>
      <c r="U2063" s="1779"/>
      <c r="V2063" s="1779"/>
      <c r="W2063" s="43"/>
      <c r="X2063" s="1779"/>
      <c r="Y2063" s="1779"/>
      <c r="Z2063" s="1779"/>
      <c r="AA2063" s="1779"/>
      <c r="AB2063" s="1779"/>
      <c r="AC2063" s="1779"/>
      <c r="AD2063" s="1779"/>
      <c r="AE2063" s="1779"/>
      <c r="AF2063" s="1779"/>
      <c r="AG2063" s="1779"/>
      <c r="AH2063" s="1779"/>
      <c r="AI2063" s="1779"/>
      <c r="AJ2063" s="1779"/>
      <c r="AK2063" s="1779"/>
      <c r="AL2063" s="1779"/>
      <c r="AM2063" s="1779"/>
      <c r="AN2063" s="1779"/>
      <c r="AO2063" s="1779"/>
      <c r="AP2063" s="1779"/>
      <c r="AQ2063" s="1779"/>
      <c r="AR2063" s="1779"/>
      <c r="AS2063" s="1779"/>
      <c r="AT2063" s="1779"/>
      <c r="AU2063" s="1779"/>
      <c r="AV2063" s="1779"/>
    </row>
    <row r="2064" spans="1:48" ht="16.899999999999999" customHeight="1">
      <c r="A2064" s="506"/>
      <c r="B2064" s="506" t="s">
        <v>663</v>
      </c>
      <c r="C2064" s="506" t="s">
        <v>652</v>
      </c>
      <c r="D2064" s="1624" t="s">
        <v>1777</v>
      </c>
      <c r="E2064" s="2232" t="s">
        <v>1931</v>
      </c>
      <c r="F2064" s="540">
        <v>1119</v>
      </c>
      <c r="G2064" s="411" t="s">
        <v>224</v>
      </c>
      <c r="H2064" s="579">
        <v>213403.00161663565</v>
      </c>
      <c r="I2064" s="619"/>
      <c r="J2064" s="2520">
        <v>167811.32</v>
      </c>
      <c r="K2064" s="695"/>
      <c r="L2064" s="579">
        <v>252287.69600000008</v>
      </c>
      <c r="M2064" s="579"/>
      <c r="N2064" s="73"/>
      <c r="O2064" s="86"/>
      <c r="P2064" s="1817" t="e">
        <f>INDEX(#REF!,MATCH(F2064,#REF!,0),2)</f>
        <v>#REF!</v>
      </c>
      <c r="Q2064" s="1779"/>
      <c r="R2064" s="1779"/>
      <c r="S2064" s="1779"/>
      <c r="T2064" s="1779"/>
      <c r="U2064" s="1779"/>
      <c r="V2064" s="1779"/>
      <c r="W2064" s="43"/>
      <c r="X2064" s="1779"/>
      <c r="Y2064" s="1779"/>
      <c r="Z2064" s="1779"/>
      <c r="AA2064" s="1779"/>
      <c r="AB2064" s="1779"/>
      <c r="AC2064" s="1779"/>
      <c r="AD2064" s="1779"/>
      <c r="AE2064" s="1779"/>
      <c r="AF2064" s="1779"/>
      <c r="AG2064" s="1779"/>
      <c r="AH2064" s="1779"/>
      <c r="AI2064" s="1779"/>
      <c r="AJ2064" s="1779"/>
      <c r="AK2064" s="1779"/>
      <c r="AL2064" s="1779"/>
      <c r="AM2064" s="1779"/>
      <c r="AN2064" s="1779"/>
      <c r="AO2064" s="1779"/>
      <c r="AP2064" s="1779"/>
      <c r="AQ2064" s="1779"/>
      <c r="AR2064" s="1779"/>
      <c r="AS2064" s="1779"/>
      <c r="AT2064" s="1779"/>
      <c r="AU2064" s="1779"/>
      <c r="AV2064" s="1779"/>
    </row>
    <row r="2065" spans="1:48" ht="16.899999999999999" customHeight="1">
      <c r="A2065" s="412"/>
      <c r="B2065" s="412" t="s">
        <v>663</v>
      </c>
      <c r="C2065" s="412" t="s">
        <v>652</v>
      </c>
      <c r="D2065" s="1625"/>
      <c r="E2065" s="2224" t="s">
        <v>1931</v>
      </c>
      <c r="F2065" s="505">
        <v>1119</v>
      </c>
      <c r="G2065" s="516" t="s">
        <v>663</v>
      </c>
      <c r="H2065" s="419"/>
      <c r="I2065" s="419">
        <v>237104</v>
      </c>
      <c r="J2065" s="511"/>
      <c r="K2065" s="543"/>
      <c r="L2065" s="419"/>
      <c r="M2065" s="419">
        <v>252287.69600000008</v>
      </c>
      <c r="N2065" s="73"/>
      <c r="O2065" s="86"/>
      <c r="P2065" s="1817" t="e">
        <f>INDEX(#REF!,MATCH(F2065,#REF!,0),2)</f>
        <v>#REF!</v>
      </c>
      <c r="Q2065" s="1779"/>
      <c r="R2065" s="1779"/>
      <c r="S2065" s="1779"/>
      <c r="T2065" s="1779"/>
      <c r="U2065" s="1779"/>
      <c r="V2065" s="1779"/>
      <c r="W2065" s="43"/>
      <c r="X2065" s="1779"/>
      <c r="Y2065" s="1779"/>
      <c r="Z2065" s="1779"/>
      <c r="AA2065" s="1779"/>
      <c r="AB2065" s="1779"/>
      <c r="AC2065" s="1779"/>
      <c r="AD2065" s="1779"/>
      <c r="AE2065" s="1779"/>
      <c r="AF2065" s="1779"/>
      <c r="AG2065" s="1779"/>
      <c r="AH2065" s="1779"/>
      <c r="AI2065" s="1779"/>
      <c r="AJ2065" s="1779"/>
      <c r="AK2065" s="1779"/>
      <c r="AL2065" s="1779"/>
      <c r="AM2065" s="1779"/>
      <c r="AN2065" s="1779"/>
      <c r="AO2065" s="1779"/>
      <c r="AP2065" s="1779"/>
      <c r="AQ2065" s="1779"/>
      <c r="AR2065" s="1779"/>
      <c r="AS2065" s="1779"/>
      <c r="AT2065" s="1779"/>
      <c r="AU2065" s="1779"/>
      <c r="AV2065" s="1779"/>
    </row>
    <row r="2066" spans="1:48" ht="11.45" customHeight="1">
      <c r="A2066" s="1370"/>
      <c r="B2066" s="412" t="s">
        <v>663</v>
      </c>
      <c r="C2066" s="412" t="s">
        <v>652</v>
      </c>
      <c r="D2066" s="1625"/>
      <c r="E2066" s="2224" t="s">
        <v>1931</v>
      </c>
      <c r="F2066" s="505">
        <v>1119</v>
      </c>
      <c r="G2066" s="1411" t="s">
        <v>1957</v>
      </c>
      <c r="H2066" s="1372"/>
      <c r="I2066" s="1372"/>
      <c r="J2066" s="1373"/>
      <c r="K2066" s="1393"/>
      <c r="L2066" s="1372"/>
      <c r="M2066" s="1372"/>
      <c r="N2066" s="73"/>
      <c r="O2066" s="86"/>
      <c r="P2066" s="1817" t="e">
        <f>INDEX(#REF!,MATCH(F2066,#REF!,0),2)</f>
        <v>#REF!</v>
      </c>
      <c r="Q2066" s="1779"/>
      <c r="R2066" s="1779"/>
      <c r="S2066" s="1779"/>
      <c r="T2066" s="1779"/>
      <c r="U2066" s="1779"/>
      <c r="V2066" s="1779"/>
      <c r="W2066" s="43"/>
      <c r="X2066" s="1779"/>
      <c r="Y2066" s="1779"/>
      <c r="Z2066" s="1779"/>
      <c r="AA2066" s="1779"/>
      <c r="AB2066" s="1779"/>
      <c r="AC2066" s="1779"/>
      <c r="AD2066" s="1779"/>
      <c r="AE2066" s="1779"/>
      <c r="AF2066" s="1779"/>
      <c r="AG2066" s="1779"/>
      <c r="AH2066" s="1779"/>
      <c r="AI2066" s="1779"/>
      <c r="AJ2066" s="1779"/>
      <c r="AK2066" s="1779"/>
      <c r="AL2066" s="1779"/>
      <c r="AM2066" s="1779"/>
      <c r="AN2066" s="1779"/>
      <c r="AO2066" s="1779"/>
      <c r="AP2066" s="1779"/>
      <c r="AQ2066" s="1779"/>
      <c r="AR2066" s="1779"/>
      <c r="AS2066" s="1779"/>
      <c r="AT2066" s="1779"/>
      <c r="AU2066" s="1779"/>
      <c r="AV2066" s="1779"/>
    </row>
    <row r="2067" spans="1:48" ht="24" customHeight="1">
      <c r="A2067" s="1370"/>
      <c r="B2067" s="412" t="s">
        <v>663</v>
      </c>
      <c r="C2067" s="412" t="s">
        <v>652</v>
      </c>
      <c r="D2067" s="1625"/>
      <c r="E2067" s="2224" t="s">
        <v>1931</v>
      </c>
      <c r="F2067" s="505">
        <v>1119</v>
      </c>
      <c r="G2067" s="1411" t="s">
        <v>3108</v>
      </c>
      <c r="H2067" s="1372"/>
      <c r="I2067" s="1372">
        <v>-2500</v>
      </c>
      <c r="J2067" s="1373"/>
      <c r="K2067" s="1393"/>
      <c r="L2067" s="1372"/>
      <c r="M2067" s="1372"/>
      <c r="N2067" s="73"/>
      <c r="O2067" s="86"/>
      <c r="P2067" s="1817" t="e">
        <f>INDEX(#REF!,MATCH(F2067,#REF!,0),2)</f>
        <v>#REF!</v>
      </c>
      <c r="Q2067" s="1779"/>
      <c r="R2067" s="1779"/>
      <c r="S2067" s="1779"/>
      <c r="T2067" s="1779"/>
      <c r="U2067" s="1779"/>
      <c r="V2067" s="1779"/>
      <c r="W2067" s="43"/>
      <c r="X2067" s="1779"/>
      <c r="Y2067" s="1779"/>
      <c r="Z2067" s="1779"/>
      <c r="AA2067" s="1779"/>
      <c r="AB2067" s="1779"/>
      <c r="AC2067" s="1779"/>
      <c r="AD2067" s="1779"/>
      <c r="AE2067" s="1779"/>
      <c r="AF2067" s="1779"/>
      <c r="AG2067" s="1779"/>
      <c r="AH2067" s="1779"/>
      <c r="AI2067" s="1779"/>
      <c r="AJ2067" s="1779"/>
      <c r="AK2067" s="1779"/>
      <c r="AL2067" s="1779"/>
      <c r="AM2067" s="1779"/>
      <c r="AN2067" s="1779"/>
      <c r="AO2067" s="1779"/>
      <c r="AP2067" s="1779"/>
      <c r="AQ2067" s="1779"/>
      <c r="AR2067" s="1779"/>
      <c r="AS2067" s="1779"/>
      <c r="AT2067" s="1779"/>
      <c r="AU2067" s="1779"/>
      <c r="AV2067" s="1779"/>
    </row>
    <row r="2068" spans="1:48" ht="11.45" customHeight="1">
      <c r="A2068" s="1370"/>
      <c r="B2068" s="412" t="s">
        <v>663</v>
      </c>
      <c r="C2068" s="412" t="s">
        <v>652</v>
      </c>
      <c r="D2068" s="1625"/>
      <c r="E2068" s="2224" t="s">
        <v>1931</v>
      </c>
      <c r="F2068" s="505">
        <v>1119</v>
      </c>
      <c r="G2068" s="1411" t="s">
        <v>3235</v>
      </c>
      <c r="H2068" s="1372"/>
      <c r="I2068" s="1372">
        <v>-9000</v>
      </c>
      <c r="J2068" s="1373"/>
      <c r="K2068" s="1393"/>
      <c r="L2068" s="1372"/>
      <c r="M2068" s="1372"/>
      <c r="N2068" s="73"/>
      <c r="O2068" s="86"/>
      <c r="P2068" s="1817" t="e">
        <f>INDEX(#REF!,MATCH(F2068,#REF!,0),2)</f>
        <v>#REF!</v>
      </c>
      <c r="Q2068" s="1779"/>
      <c r="R2068" s="1779"/>
      <c r="S2068" s="1779"/>
      <c r="T2068" s="1779"/>
      <c r="U2068" s="1779"/>
      <c r="V2068" s="1779"/>
      <c r="W2068" s="43"/>
      <c r="X2068" s="1779"/>
      <c r="Y2068" s="1779"/>
      <c r="Z2068" s="1779"/>
      <c r="AA2068" s="1779"/>
      <c r="AB2068" s="1779"/>
      <c r="AC2068" s="1779"/>
      <c r="AD2068" s="1779"/>
      <c r="AE2068" s="1779"/>
      <c r="AF2068" s="1779"/>
      <c r="AG2068" s="1779"/>
      <c r="AH2068" s="1779"/>
      <c r="AI2068" s="1779"/>
      <c r="AJ2068" s="1779"/>
      <c r="AK2068" s="1779"/>
      <c r="AL2068" s="1779"/>
      <c r="AM2068" s="1779"/>
      <c r="AN2068" s="1779"/>
      <c r="AO2068" s="1779"/>
      <c r="AP2068" s="1779"/>
      <c r="AQ2068" s="1779"/>
      <c r="AR2068" s="1779"/>
      <c r="AS2068" s="1779"/>
      <c r="AT2068" s="1779"/>
      <c r="AU2068" s="1779"/>
      <c r="AV2068" s="1779"/>
    </row>
    <row r="2069" spans="1:48" ht="20.45" customHeight="1">
      <c r="A2069" s="1370"/>
      <c r="B2069" s="412" t="s">
        <v>663</v>
      </c>
      <c r="C2069" s="412" t="s">
        <v>652</v>
      </c>
      <c r="D2069" s="1625"/>
      <c r="E2069" s="2224" t="s">
        <v>1931</v>
      </c>
      <c r="F2069" s="505">
        <v>1119</v>
      </c>
      <c r="G2069" s="1411" t="s">
        <v>1961</v>
      </c>
      <c r="H2069" s="1372"/>
      <c r="I2069" s="1372"/>
      <c r="J2069" s="1373"/>
      <c r="K2069" s="1393"/>
      <c r="L2069" s="1372"/>
      <c r="M2069" s="1372"/>
      <c r="N2069" s="73"/>
      <c r="O2069" s="86"/>
      <c r="P2069" s="1817" t="e">
        <f>INDEX(#REF!,MATCH(F2069,#REF!,0),2)</f>
        <v>#REF!</v>
      </c>
      <c r="Q2069" s="1779"/>
      <c r="R2069" s="1779"/>
      <c r="S2069" s="1779"/>
      <c r="T2069" s="1779"/>
      <c r="U2069" s="1779"/>
      <c r="V2069" s="1779"/>
      <c r="W2069" s="43"/>
      <c r="X2069" s="1779"/>
      <c r="Y2069" s="1779"/>
      <c r="Z2069" s="1779"/>
      <c r="AA2069" s="1779"/>
      <c r="AB2069" s="1779"/>
      <c r="AC2069" s="1779"/>
      <c r="AD2069" s="1779"/>
      <c r="AE2069" s="1779"/>
      <c r="AF2069" s="1779"/>
      <c r="AG2069" s="1779"/>
      <c r="AH2069" s="1779"/>
      <c r="AI2069" s="1779"/>
      <c r="AJ2069" s="1779"/>
      <c r="AK2069" s="1779"/>
      <c r="AL2069" s="1779"/>
      <c r="AM2069" s="1779"/>
      <c r="AN2069" s="1779"/>
      <c r="AO2069" s="1779"/>
      <c r="AP2069" s="1779"/>
      <c r="AQ2069" s="1779"/>
      <c r="AR2069" s="1779"/>
      <c r="AS2069" s="1779"/>
      <c r="AT2069" s="1779"/>
      <c r="AU2069" s="1779"/>
      <c r="AV2069" s="1779"/>
    </row>
    <row r="2070" spans="1:48" ht="20.45" customHeight="1">
      <c r="A2070" s="506"/>
      <c r="B2070" s="506" t="s">
        <v>512</v>
      </c>
      <c r="C2070" s="506" t="s">
        <v>506</v>
      </c>
      <c r="D2070" s="1624" t="s">
        <v>1777</v>
      </c>
      <c r="E2070" s="2223" t="s">
        <v>1931</v>
      </c>
      <c r="F2070" s="540">
        <v>1119</v>
      </c>
      <c r="G2070" s="411" t="s">
        <v>224</v>
      </c>
      <c r="H2070" s="696">
        <v>6738.99838336435</v>
      </c>
      <c r="I2070" s="619"/>
      <c r="J2070" s="2520"/>
      <c r="K2070" s="695"/>
      <c r="L2070" s="696">
        <v>8228</v>
      </c>
      <c r="M2070" s="579"/>
      <c r="N2070" s="73"/>
      <c r="O2070" s="86"/>
      <c r="P2070" s="1817" t="e">
        <f>INDEX(#REF!,MATCH(F2070,#REF!,0),2)</f>
        <v>#REF!</v>
      </c>
      <c r="Q2070" s="1779"/>
      <c r="R2070" s="1779"/>
      <c r="S2070" s="1779"/>
      <c r="T2070" s="1779"/>
      <c r="U2070" s="1779"/>
      <c r="V2070" s="1779"/>
      <c r="W2070" s="43"/>
      <c r="X2070" s="1779"/>
      <c r="Y2070" s="1779"/>
      <c r="Z2070" s="1779"/>
      <c r="AA2070" s="1779"/>
      <c r="AB2070" s="1779"/>
      <c r="AC2070" s="1779"/>
      <c r="AD2070" s="1779"/>
      <c r="AE2070" s="1779"/>
      <c r="AF2070" s="1779"/>
      <c r="AG2070" s="1779"/>
      <c r="AH2070" s="1779"/>
      <c r="AI2070" s="1779"/>
      <c r="AJ2070" s="1779"/>
      <c r="AK2070" s="1779"/>
      <c r="AL2070" s="1779"/>
      <c r="AM2070" s="1779"/>
      <c r="AN2070" s="1779"/>
      <c r="AO2070" s="1779"/>
      <c r="AP2070" s="1779"/>
      <c r="AQ2070" s="1779"/>
      <c r="AR2070" s="1779"/>
      <c r="AS2070" s="1779"/>
      <c r="AT2070" s="1779"/>
      <c r="AU2070" s="1779"/>
      <c r="AV2070" s="1779"/>
    </row>
    <row r="2071" spans="1:48" ht="11.45" customHeight="1">
      <c r="A2071" s="412"/>
      <c r="B2071" s="412" t="s">
        <v>512</v>
      </c>
      <c r="C2071" s="412" t="s">
        <v>506</v>
      </c>
      <c r="D2071" s="1625"/>
      <c r="E2071" s="2224" t="s">
        <v>1931</v>
      </c>
      <c r="F2071" s="505">
        <v>1119</v>
      </c>
      <c r="G2071" s="410" t="s">
        <v>407</v>
      </c>
      <c r="H2071" s="419"/>
      <c r="I2071" s="511">
        <v>6738.99838336435</v>
      </c>
      <c r="J2071" s="511"/>
      <c r="K2071" s="543"/>
      <c r="L2071" s="419"/>
      <c r="M2071" s="422">
        <v>8228</v>
      </c>
      <c r="N2071" s="73"/>
      <c r="O2071" s="86"/>
      <c r="P2071" s="1817" t="e">
        <f>INDEX(#REF!,MATCH(F2071,#REF!,0),2)</f>
        <v>#REF!</v>
      </c>
      <c r="Q2071" s="1779"/>
      <c r="R2071" s="1779"/>
      <c r="S2071" s="1779"/>
      <c r="T2071" s="1779"/>
      <c r="U2071" s="1779"/>
      <c r="V2071" s="1779"/>
      <c r="W2071" s="43"/>
      <c r="X2071" s="1779"/>
      <c r="Y2071" s="1779"/>
      <c r="Z2071" s="1779"/>
      <c r="AA2071" s="1779"/>
      <c r="AB2071" s="1779"/>
      <c r="AC2071" s="1779"/>
      <c r="AD2071" s="1779"/>
      <c r="AE2071" s="1779"/>
      <c r="AF2071" s="1779"/>
      <c r="AG2071" s="1779"/>
      <c r="AH2071" s="1779"/>
      <c r="AI2071" s="1779"/>
      <c r="AJ2071" s="1779"/>
      <c r="AK2071" s="1779"/>
      <c r="AL2071" s="1779"/>
      <c r="AM2071" s="1779"/>
      <c r="AN2071" s="1779"/>
      <c r="AO2071" s="1779"/>
      <c r="AP2071" s="1779"/>
      <c r="AQ2071" s="1779"/>
      <c r="AR2071" s="1779"/>
      <c r="AS2071" s="1779"/>
      <c r="AT2071" s="1779"/>
      <c r="AU2071" s="1779"/>
    </row>
    <row r="2072" spans="1:48" ht="24.6" customHeight="1">
      <c r="A2072" s="616"/>
      <c r="B2072" s="506" t="s">
        <v>663</v>
      </c>
      <c r="C2072" s="506" t="s">
        <v>652</v>
      </c>
      <c r="D2072" s="1624" t="s">
        <v>1777</v>
      </c>
      <c r="E2072" s="2223" t="s">
        <v>1931</v>
      </c>
      <c r="F2072" s="540">
        <v>1141</v>
      </c>
      <c r="G2072" s="411" t="s">
        <v>268</v>
      </c>
      <c r="H2072" s="579">
        <v>403</v>
      </c>
      <c r="I2072" s="604"/>
      <c r="J2072" s="2520">
        <v>402.19</v>
      </c>
      <c r="K2072" s="697"/>
      <c r="L2072" s="579">
        <v>200</v>
      </c>
      <c r="M2072" s="579"/>
      <c r="N2072" s="73"/>
      <c r="O2072" s="86"/>
      <c r="P2072" s="1817" t="e">
        <f>INDEX(#REF!,MATCH(F2072,#REF!,0),2)</f>
        <v>#REF!</v>
      </c>
      <c r="Q2072" s="1779"/>
      <c r="R2072" s="1779"/>
      <c r="S2072" s="1779"/>
      <c r="T2072" s="1779"/>
      <c r="U2072" s="1779"/>
      <c r="V2072" s="1779"/>
      <c r="W2072" s="43"/>
      <c r="X2072" s="1779"/>
      <c r="Y2072" s="1779"/>
      <c r="Z2072" s="1779"/>
      <c r="AA2072" s="1779"/>
      <c r="AB2072" s="1779"/>
      <c r="AC2072" s="1779"/>
      <c r="AD2072" s="1779"/>
      <c r="AE2072" s="1779"/>
      <c r="AF2072" s="1779"/>
      <c r="AG2072" s="1779"/>
      <c r="AH2072" s="1779"/>
      <c r="AI2072" s="1779"/>
      <c r="AJ2072" s="1779"/>
      <c r="AK2072" s="1779"/>
      <c r="AL2072" s="1779"/>
      <c r="AM2072" s="1779"/>
      <c r="AN2072" s="1779"/>
      <c r="AO2072" s="1779"/>
      <c r="AP2072" s="1779"/>
      <c r="AQ2072" s="1779"/>
      <c r="AR2072" s="1779"/>
      <c r="AS2072" s="1779"/>
      <c r="AT2072" s="1779"/>
      <c r="AU2072" s="1779"/>
    </row>
    <row r="2073" spans="1:48" ht="24.6" customHeight="1">
      <c r="A2073" s="412"/>
      <c r="B2073" s="412" t="s">
        <v>663</v>
      </c>
      <c r="C2073" s="412" t="s">
        <v>652</v>
      </c>
      <c r="D2073" s="1625"/>
      <c r="E2073" s="2224" t="s">
        <v>1931</v>
      </c>
      <c r="F2073" s="505">
        <v>1141</v>
      </c>
      <c r="G2073" s="516" t="s">
        <v>1959</v>
      </c>
      <c r="H2073" s="419"/>
      <c r="I2073" s="511">
        <v>200</v>
      </c>
      <c r="J2073" s="511"/>
      <c r="K2073" s="543"/>
      <c r="L2073" s="419"/>
      <c r="M2073" s="419">
        <v>200</v>
      </c>
      <c r="N2073" s="73"/>
      <c r="O2073" s="86"/>
      <c r="P2073" s="1817" t="e">
        <f>INDEX(#REF!,MATCH(F2073,#REF!,0),2)</f>
        <v>#REF!</v>
      </c>
      <c r="Q2073" s="1779"/>
      <c r="R2073" s="1779"/>
      <c r="S2073" s="1779"/>
      <c r="T2073" s="1779"/>
      <c r="U2073" s="1779"/>
      <c r="V2073" s="1779"/>
      <c r="W2073" s="43"/>
      <c r="X2073" s="1779"/>
      <c r="Y2073" s="1779"/>
      <c r="Z2073" s="1779"/>
      <c r="AA2073" s="1779"/>
      <c r="AB2073" s="1779"/>
      <c r="AC2073" s="1779"/>
      <c r="AD2073" s="1779"/>
      <c r="AE2073" s="1779"/>
      <c r="AF2073" s="1779"/>
      <c r="AG2073" s="1779"/>
      <c r="AH2073" s="1779"/>
      <c r="AI2073" s="1779"/>
      <c r="AJ2073" s="1779"/>
      <c r="AK2073" s="1779"/>
      <c r="AL2073" s="1779"/>
      <c r="AM2073" s="1779"/>
      <c r="AN2073" s="1779"/>
      <c r="AO2073" s="1779"/>
      <c r="AP2073" s="1779"/>
      <c r="AQ2073" s="1779"/>
      <c r="AR2073" s="1779"/>
      <c r="AS2073" s="1779"/>
      <c r="AT2073" s="1779"/>
      <c r="AU2073" s="1779"/>
    </row>
    <row r="2074" spans="1:48" ht="21" customHeight="1">
      <c r="A2074" s="616"/>
      <c r="B2074" s="506" t="s">
        <v>663</v>
      </c>
      <c r="C2074" s="506" t="s">
        <v>652</v>
      </c>
      <c r="D2074" s="1624" t="s">
        <v>1777</v>
      </c>
      <c r="E2074" s="2223" t="s">
        <v>1931</v>
      </c>
      <c r="F2074" s="540">
        <v>1142</v>
      </c>
      <c r="G2074" s="411" t="s">
        <v>225</v>
      </c>
      <c r="H2074" s="579">
        <v>10100</v>
      </c>
      <c r="I2074" s="604"/>
      <c r="J2074" s="2520">
        <v>9593.65</v>
      </c>
      <c r="K2074" s="697"/>
      <c r="L2074" s="579">
        <v>2000</v>
      </c>
      <c r="M2074" s="579"/>
      <c r="N2074" s="73"/>
      <c r="O2074" s="86"/>
      <c r="P2074" s="1817" t="e">
        <f>INDEX(#REF!,MATCH(F2074,#REF!,0),2)</f>
        <v>#REF!</v>
      </c>
      <c r="Q2074" s="1779"/>
      <c r="R2074" s="1779"/>
      <c r="S2074" s="1779"/>
      <c r="T2074" s="1779"/>
      <c r="U2074" s="1779"/>
      <c r="V2074" s="1779"/>
      <c r="W2074" s="43"/>
      <c r="X2074" s="1779"/>
      <c r="Y2074" s="1779"/>
      <c r="Z2074" s="1779"/>
      <c r="AA2074" s="1779"/>
      <c r="AB2074" s="1779"/>
      <c r="AC2074" s="1779"/>
      <c r="AD2074" s="1779"/>
      <c r="AE2074" s="1779"/>
      <c r="AF2074" s="1779"/>
      <c r="AG2074" s="1779"/>
      <c r="AH2074" s="1779"/>
      <c r="AI2074" s="1779"/>
      <c r="AJ2074" s="1779"/>
      <c r="AK2074" s="1779"/>
      <c r="AL2074" s="1779"/>
      <c r="AM2074" s="1779"/>
      <c r="AN2074" s="1779"/>
      <c r="AO2074" s="1779"/>
      <c r="AP2074" s="1779"/>
      <c r="AQ2074" s="1779"/>
      <c r="AR2074" s="1779"/>
      <c r="AS2074" s="1779"/>
      <c r="AT2074" s="1779"/>
      <c r="AU2074" s="1779"/>
      <c r="AV2074" s="1779"/>
    </row>
    <row r="2075" spans="1:48" ht="20.45" customHeight="1">
      <c r="A2075" s="412"/>
      <c r="B2075" s="412" t="s">
        <v>663</v>
      </c>
      <c r="C2075" s="412" t="s">
        <v>652</v>
      </c>
      <c r="D2075" s="1625"/>
      <c r="E2075" s="2224" t="s">
        <v>1931</v>
      </c>
      <c r="F2075" s="505">
        <v>1142</v>
      </c>
      <c r="G2075" s="516" t="s">
        <v>898</v>
      </c>
      <c r="H2075" s="419"/>
      <c r="I2075" s="511">
        <v>2000</v>
      </c>
      <c r="J2075" s="511"/>
      <c r="K2075" s="543"/>
      <c r="L2075" s="419"/>
      <c r="M2075" s="419">
        <v>2000</v>
      </c>
      <c r="N2075" s="73"/>
      <c r="O2075" s="86"/>
      <c r="P2075" s="1817" t="e">
        <f>INDEX(#REF!,MATCH(F2075,#REF!,0),2)</f>
        <v>#REF!</v>
      </c>
      <c r="Q2075" s="1779"/>
      <c r="R2075" s="1779"/>
      <c r="S2075" s="1779"/>
      <c r="T2075" s="1779"/>
      <c r="U2075" s="1779"/>
      <c r="V2075" s="1779"/>
      <c r="W2075" s="43"/>
      <c r="X2075" s="1779"/>
      <c r="Y2075" s="1779"/>
      <c r="Z2075" s="1779"/>
      <c r="AA2075" s="1779"/>
      <c r="AB2075" s="1779"/>
      <c r="AC2075" s="1779"/>
      <c r="AD2075" s="1779"/>
      <c r="AE2075" s="1779"/>
      <c r="AF2075" s="1779"/>
      <c r="AG2075" s="1779"/>
      <c r="AH2075" s="1779"/>
      <c r="AI2075" s="1779"/>
      <c r="AJ2075" s="1779"/>
      <c r="AK2075" s="1779"/>
      <c r="AL2075" s="1779"/>
      <c r="AM2075" s="1779"/>
      <c r="AN2075" s="1779"/>
      <c r="AO2075" s="1779"/>
      <c r="AP2075" s="1779"/>
      <c r="AQ2075" s="1779"/>
      <c r="AR2075" s="1779"/>
      <c r="AS2075" s="1779"/>
      <c r="AT2075" s="1779"/>
      <c r="AU2075" s="1779"/>
    </row>
    <row r="2076" spans="1:48" ht="11.45" customHeight="1">
      <c r="A2076" s="1370"/>
      <c r="B2076" s="412" t="s">
        <v>663</v>
      </c>
      <c r="C2076" s="412" t="s">
        <v>652</v>
      </c>
      <c r="D2076" s="1625"/>
      <c r="E2076" s="2224" t="s">
        <v>1931</v>
      </c>
      <c r="F2076" s="505">
        <v>1142</v>
      </c>
      <c r="G2076" s="1411" t="s">
        <v>1958</v>
      </c>
      <c r="H2076" s="1372"/>
      <c r="I2076" s="1373"/>
      <c r="J2076" s="1373"/>
      <c r="K2076" s="1393"/>
      <c r="L2076" s="1398"/>
      <c r="M2076" s="1398"/>
      <c r="N2076" s="73"/>
      <c r="O2076" s="86"/>
      <c r="P2076" s="1817" t="e">
        <f>INDEX(#REF!,MATCH(F2076,#REF!,0),2)</f>
        <v>#REF!</v>
      </c>
      <c r="Q2076" s="1779"/>
      <c r="R2076" s="1779"/>
      <c r="S2076" s="1779"/>
      <c r="T2076" s="1779"/>
      <c r="U2076" s="1779"/>
      <c r="V2076" s="1779"/>
      <c r="W2076" s="43"/>
      <c r="X2076" s="1779"/>
      <c r="Y2076" s="1779"/>
      <c r="Z2076" s="1779"/>
      <c r="AA2076" s="1779"/>
      <c r="AB2076" s="1779"/>
      <c r="AC2076" s="1779"/>
      <c r="AD2076" s="1779"/>
      <c r="AE2076" s="1779"/>
      <c r="AF2076" s="1779"/>
      <c r="AG2076" s="1779"/>
      <c r="AH2076" s="1779"/>
      <c r="AI2076" s="1779"/>
      <c r="AJ2076" s="1779"/>
      <c r="AK2076" s="1779"/>
      <c r="AL2076" s="1779"/>
      <c r="AM2076" s="1779"/>
      <c r="AN2076" s="1779"/>
      <c r="AO2076" s="1779"/>
      <c r="AP2076" s="1779"/>
      <c r="AQ2076" s="1779"/>
      <c r="AR2076" s="1779"/>
      <c r="AS2076" s="1779"/>
      <c r="AT2076" s="1779"/>
      <c r="AU2076" s="1779"/>
      <c r="AV2076" s="1779"/>
    </row>
    <row r="2077" spans="1:48" ht="11.45" customHeight="1">
      <c r="A2077" s="1370"/>
      <c r="B2077" s="412" t="s">
        <v>663</v>
      </c>
      <c r="C2077" s="412" t="s">
        <v>652</v>
      </c>
      <c r="D2077" s="1625"/>
      <c r="E2077" s="2224" t="s">
        <v>1931</v>
      </c>
      <c r="F2077" s="505">
        <v>1142</v>
      </c>
      <c r="G2077" s="1411" t="s">
        <v>1960</v>
      </c>
      <c r="H2077" s="1372"/>
      <c r="I2077" s="1373"/>
      <c r="J2077" s="1373"/>
      <c r="K2077" s="1393"/>
      <c r="L2077" s="1398"/>
      <c r="M2077" s="1398"/>
      <c r="N2077" s="73"/>
      <c r="O2077" s="86"/>
      <c r="P2077" s="1817" t="e">
        <f>INDEX(#REF!,MATCH(F2077,#REF!,0),2)</f>
        <v>#REF!</v>
      </c>
      <c r="Q2077" s="1779"/>
      <c r="R2077" s="1779"/>
      <c r="S2077" s="1779"/>
      <c r="T2077" s="1779"/>
      <c r="U2077" s="1779"/>
      <c r="V2077" s="1779"/>
      <c r="W2077" s="43"/>
      <c r="X2077" s="1779"/>
      <c r="Y2077" s="1779"/>
      <c r="Z2077" s="1779"/>
      <c r="AA2077" s="1779"/>
      <c r="AB2077" s="1779"/>
      <c r="AC2077" s="1779"/>
      <c r="AD2077" s="1779"/>
      <c r="AE2077" s="1779"/>
      <c r="AF2077" s="1779"/>
      <c r="AG2077" s="1779"/>
      <c r="AH2077" s="1779"/>
      <c r="AI2077" s="1779"/>
      <c r="AJ2077" s="1779"/>
      <c r="AK2077" s="1779"/>
      <c r="AL2077" s="1779"/>
      <c r="AM2077" s="1779"/>
      <c r="AN2077" s="1779"/>
      <c r="AO2077" s="1779"/>
      <c r="AP2077" s="1779"/>
      <c r="AQ2077" s="1779"/>
      <c r="AR2077" s="1779"/>
      <c r="AS2077" s="1779"/>
      <c r="AT2077" s="1779"/>
      <c r="AU2077" s="1779"/>
      <c r="AV2077" s="1779"/>
    </row>
    <row r="2078" spans="1:48" ht="21.6" customHeight="1">
      <c r="A2078" s="616"/>
      <c r="B2078" s="506" t="s">
        <v>663</v>
      </c>
      <c r="C2078" s="506" t="s">
        <v>652</v>
      </c>
      <c r="D2078" s="1624" t="s">
        <v>1777</v>
      </c>
      <c r="E2078" s="2223" t="s">
        <v>1931</v>
      </c>
      <c r="F2078" s="540">
        <v>1146</v>
      </c>
      <c r="G2078" s="411" t="s">
        <v>226</v>
      </c>
      <c r="H2078" s="579">
        <v>0</v>
      </c>
      <c r="I2078" s="604"/>
      <c r="J2078" s="2520" t="s">
        <v>2426</v>
      </c>
      <c r="K2078" s="697"/>
      <c r="L2078" s="619">
        <v>0</v>
      </c>
      <c r="M2078" s="619"/>
      <c r="N2078" s="73"/>
      <c r="O2078" s="86"/>
      <c r="P2078" s="1817" t="e">
        <f>INDEX(#REF!,MATCH(F2078,#REF!,0),2)</f>
        <v>#REF!</v>
      </c>
      <c r="Q2078" s="1779"/>
      <c r="R2078" s="1779"/>
      <c r="S2078" s="1779"/>
      <c r="T2078" s="1779"/>
      <c r="U2078" s="1779"/>
      <c r="V2078" s="1779"/>
      <c r="W2078" s="43"/>
      <c r="X2078" s="1779"/>
      <c r="Y2078" s="1779"/>
      <c r="Z2078" s="1779"/>
      <c r="AA2078" s="1779"/>
      <c r="AB2078" s="1779"/>
      <c r="AC2078" s="1779"/>
      <c r="AD2078" s="1779"/>
      <c r="AE2078" s="1779"/>
      <c r="AF2078" s="1779"/>
      <c r="AG2078" s="1779"/>
      <c r="AH2078" s="1779"/>
      <c r="AI2078" s="1779"/>
      <c r="AJ2078" s="1779"/>
      <c r="AK2078" s="1779"/>
      <c r="AL2078" s="1779"/>
      <c r="AM2078" s="1779"/>
      <c r="AN2078" s="1779"/>
      <c r="AO2078" s="1779"/>
      <c r="AP2078" s="1779"/>
      <c r="AQ2078" s="1779"/>
      <c r="AR2078" s="1779"/>
      <c r="AS2078" s="1779"/>
      <c r="AT2078" s="1779"/>
      <c r="AU2078" s="1779"/>
      <c r="AV2078" s="1779"/>
    </row>
    <row r="2079" spans="1:48" ht="11.45" customHeight="1">
      <c r="A2079" s="412"/>
      <c r="B2079" s="412" t="s">
        <v>663</v>
      </c>
      <c r="C2079" s="412" t="s">
        <v>652</v>
      </c>
      <c r="D2079" s="1625"/>
      <c r="E2079" s="2224" t="s">
        <v>1931</v>
      </c>
      <c r="F2079" s="505">
        <v>1146</v>
      </c>
      <c r="G2079" s="516"/>
      <c r="H2079" s="419"/>
      <c r="I2079" s="419"/>
      <c r="J2079" s="511"/>
      <c r="K2079" s="543"/>
      <c r="L2079" s="420"/>
      <c r="M2079" s="420"/>
      <c r="N2079" s="73"/>
      <c r="O2079" s="86"/>
      <c r="P2079" s="1817" t="e">
        <f>INDEX(#REF!,MATCH(F2079,#REF!,0),2)</f>
        <v>#REF!</v>
      </c>
      <c r="Q2079" s="1779"/>
      <c r="R2079" s="1779"/>
      <c r="S2079" s="1779"/>
      <c r="T2079" s="1779"/>
      <c r="U2079" s="1779"/>
      <c r="V2079" s="1779"/>
      <c r="W2079" s="43"/>
      <c r="X2079" s="1779"/>
      <c r="Y2079" s="1779"/>
      <c r="Z2079" s="1779"/>
      <c r="AA2079" s="1779"/>
      <c r="AB2079" s="1779"/>
      <c r="AC2079" s="1779"/>
      <c r="AD2079" s="1779"/>
      <c r="AE2079" s="1779"/>
      <c r="AF2079" s="1779"/>
      <c r="AG2079" s="1779"/>
      <c r="AH2079" s="1779"/>
      <c r="AI2079" s="1779"/>
      <c r="AJ2079" s="1779"/>
      <c r="AK2079" s="1779"/>
      <c r="AL2079" s="1779"/>
      <c r="AM2079" s="1779"/>
      <c r="AN2079" s="1779"/>
      <c r="AO2079" s="1779"/>
      <c r="AP2079" s="1779"/>
      <c r="AQ2079" s="1779"/>
      <c r="AR2079" s="1779"/>
      <c r="AS2079" s="1779"/>
      <c r="AT2079" s="1779"/>
      <c r="AU2079" s="1779"/>
      <c r="AV2079" s="1779"/>
    </row>
    <row r="2080" spans="1:48" ht="21.75" customHeight="1">
      <c r="A2080" s="616"/>
      <c r="B2080" s="506" t="s">
        <v>663</v>
      </c>
      <c r="C2080" s="506" t="s">
        <v>652</v>
      </c>
      <c r="D2080" s="1624" t="s">
        <v>1777</v>
      </c>
      <c r="E2080" s="2223" t="s">
        <v>1931</v>
      </c>
      <c r="F2080" s="540">
        <v>1147</v>
      </c>
      <c r="G2080" s="411" t="s">
        <v>226</v>
      </c>
      <c r="H2080" s="579">
        <v>23480</v>
      </c>
      <c r="I2080" s="604"/>
      <c r="J2080" s="2520">
        <v>10791.07</v>
      </c>
      <c r="K2080" s="697"/>
      <c r="L2080" s="579">
        <v>25702.555999999975</v>
      </c>
      <c r="M2080" s="579"/>
      <c r="N2080" s="73"/>
      <c r="O2080" s="86"/>
      <c r="P2080" s="1817" t="e">
        <f>INDEX(#REF!,MATCH(F2080,#REF!,0),2)</f>
        <v>#REF!</v>
      </c>
      <c r="Q2080" s="1779"/>
      <c r="R2080" s="1779"/>
      <c r="S2080" s="1779"/>
      <c r="T2080" s="1779"/>
      <c r="U2080" s="1779"/>
      <c r="V2080" s="1779"/>
      <c r="W2080" s="43"/>
      <c r="X2080" s="1779"/>
      <c r="Y2080" s="1779"/>
      <c r="Z2080" s="1779"/>
      <c r="AA2080" s="1779"/>
      <c r="AB2080" s="1779"/>
      <c r="AC2080" s="1779"/>
      <c r="AD2080" s="1779"/>
      <c r="AE2080" s="1779"/>
      <c r="AF2080" s="1779"/>
      <c r="AG2080" s="1779"/>
      <c r="AH2080" s="1779"/>
      <c r="AI2080" s="1779"/>
      <c r="AJ2080" s="1779"/>
      <c r="AK2080" s="1779"/>
      <c r="AL2080" s="1779"/>
      <c r="AM2080" s="1779"/>
      <c r="AN2080" s="1779"/>
      <c r="AO2080" s="1779"/>
      <c r="AP2080" s="1779"/>
      <c r="AQ2080" s="1779"/>
      <c r="AR2080" s="1779"/>
      <c r="AS2080" s="1779"/>
      <c r="AT2080" s="1779"/>
      <c r="AU2080" s="1779"/>
      <c r="AV2080" s="1779"/>
    </row>
    <row r="2081" spans="1:48" ht="11.45" customHeight="1">
      <c r="A2081" s="412"/>
      <c r="B2081" s="412" t="s">
        <v>663</v>
      </c>
      <c r="C2081" s="412" t="s">
        <v>652</v>
      </c>
      <c r="D2081" s="1625"/>
      <c r="E2081" s="2224" t="s">
        <v>1931</v>
      </c>
      <c r="F2081" s="505">
        <v>1147</v>
      </c>
      <c r="G2081" s="516" t="s">
        <v>663</v>
      </c>
      <c r="H2081" s="419"/>
      <c r="I2081" s="419">
        <v>24182.799999999999</v>
      </c>
      <c r="J2081" s="511"/>
      <c r="K2081" s="543"/>
      <c r="L2081" s="419"/>
      <c r="M2081" s="419">
        <v>25702.555999999975</v>
      </c>
      <c r="N2081" s="73"/>
      <c r="O2081" s="86"/>
      <c r="P2081" s="1817" t="e">
        <f>INDEX(#REF!,MATCH(F2081,#REF!,0),2)</f>
        <v>#REF!</v>
      </c>
      <c r="Q2081" s="1779"/>
      <c r="R2081" s="1779"/>
      <c r="S2081" s="1779"/>
      <c r="T2081" s="1779"/>
      <c r="U2081" s="1779"/>
      <c r="V2081" s="1779"/>
      <c r="W2081" s="43"/>
      <c r="X2081" s="1779"/>
      <c r="Y2081" s="1779"/>
      <c r="Z2081" s="1779"/>
      <c r="AA2081" s="1779"/>
      <c r="AB2081" s="1779"/>
      <c r="AC2081" s="1779"/>
      <c r="AD2081" s="1779"/>
      <c r="AE2081" s="1779"/>
      <c r="AF2081" s="1779"/>
      <c r="AG2081" s="1779"/>
      <c r="AH2081" s="1779"/>
      <c r="AI2081" s="1779"/>
      <c r="AJ2081" s="1779"/>
      <c r="AK2081" s="1779"/>
      <c r="AL2081" s="1779"/>
      <c r="AM2081" s="1779"/>
      <c r="AN2081" s="1779"/>
      <c r="AO2081" s="1779"/>
      <c r="AP2081" s="1779"/>
      <c r="AQ2081" s="1779"/>
      <c r="AR2081" s="1779"/>
      <c r="AS2081" s="1779"/>
      <c r="AT2081" s="1779"/>
      <c r="AU2081" s="1779"/>
      <c r="AV2081" s="1779"/>
    </row>
    <row r="2082" spans="1:48" ht="25.9" customHeight="1">
      <c r="A2082" s="412"/>
      <c r="B2082" s="412" t="s">
        <v>663</v>
      </c>
      <c r="C2082" s="412" t="s">
        <v>652</v>
      </c>
      <c r="D2082" s="1625"/>
      <c r="E2082" s="2224" t="s">
        <v>1931</v>
      </c>
      <c r="F2082" s="505">
        <v>1147</v>
      </c>
      <c r="G2082" s="1411" t="s">
        <v>1962</v>
      </c>
      <c r="H2082" s="419"/>
      <c r="I2082" s="419"/>
      <c r="J2082" s="511"/>
      <c r="K2082" s="543"/>
      <c r="L2082" s="419"/>
      <c r="M2082" s="419"/>
      <c r="N2082" s="73"/>
      <c r="O2082" s="86"/>
      <c r="P2082" s="1817" t="e">
        <f>INDEX(#REF!,MATCH(F2082,#REF!,0),2)</f>
        <v>#REF!</v>
      </c>
      <c r="Q2082" s="1779"/>
      <c r="R2082" s="1779"/>
      <c r="S2082" s="1779"/>
      <c r="T2082" s="1779"/>
      <c r="U2082" s="1779"/>
      <c r="V2082" s="1779"/>
      <c r="W2082" s="43"/>
      <c r="X2082" s="1779"/>
      <c r="Y2082" s="1779"/>
      <c r="Z2082" s="1779"/>
      <c r="AA2082" s="1779"/>
      <c r="AB2082" s="1779"/>
      <c r="AC2082" s="1779"/>
      <c r="AD2082" s="1779"/>
      <c r="AE2082" s="1779"/>
      <c r="AF2082" s="1779"/>
      <c r="AG2082" s="1779"/>
      <c r="AH2082" s="1779"/>
      <c r="AI2082" s="1779"/>
      <c r="AJ2082" s="1779"/>
      <c r="AK2082" s="1779"/>
      <c r="AL2082" s="1779"/>
      <c r="AM2082" s="1779"/>
      <c r="AN2082" s="1779"/>
      <c r="AO2082" s="1779"/>
      <c r="AP2082" s="1779"/>
      <c r="AQ2082" s="1779"/>
      <c r="AR2082" s="1779"/>
      <c r="AS2082" s="1779"/>
      <c r="AT2082" s="1779"/>
      <c r="AU2082" s="1779"/>
      <c r="AV2082" s="1779"/>
    </row>
    <row r="2083" spans="1:48" ht="25.9" customHeight="1">
      <c r="A2083" s="616"/>
      <c r="B2083" s="506" t="s">
        <v>663</v>
      </c>
      <c r="C2083" s="506" t="s">
        <v>659</v>
      </c>
      <c r="D2083" s="1624" t="s">
        <v>1777</v>
      </c>
      <c r="E2083" s="2223" t="s">
        <v>1931</v>
      </c>
      <c r="F2083" s="540">
        <v>1148</v>
      </c>
      <c r="G2083" s="411" t="s">
        <v>227</v>
      </c>
      <c r="H2083" s="579">
        <v>2600</v>
      </c>
      <c r="I2083" s="619"/>
      <c r="J2083" s="2520">
        <v>2600</v>
      </c>
      <c r="K2083" s="698"/>
      <c r="L2083" s="579">
        <v>0</v>
      </c>
      <c r="M2083" s="579"/>
      <c r="N2083" s="73"/>
      <c r="O2083" s="86"/>
      <c r="P2083" s="1817" t="e">
        <f>INDEX(#REF!,MATCH(F2083,#REF!,0),2)</f>
        <v>#REF!</v>
      </c>
      <c r="Q2083" s="1779"/>
      <c r="R2083" s="1779"/>
      <c r="S2083" s="1779"/>
      <c r="T2083" s="1779"/>
      <c r="U2083" s="1779"/>
      <c r="V2083" s="1779"/>
      <c r="W2083" s="43"/>
      <c r="X2083" s="1779"/>
      <c r="Y2083" s="1779"/>
      <c r="Z2083" s="1779"/>
      <c r="AA2083" s="1779"/>
      <c r="AB2083" s="1779"/>
      <c r="AC2083" s="1779"/>
      <c r="AD2083" s="1779"/>
      <c r="AE2083" s="1779"/>
      <c r="AF2083" s="1779"/>
      <c r="AG2083" s="1779"/>
      <c r="AH2083" s="1779"/>
      <c r="AI2083" s="1779"/>
      <c r="AJ2083" s="1779"/>
      <c r="AK2083" s="1779"/>
      <c r="AL2083" s="1779"/>
      <c r="AM2083" s="1779"/>
      <c r="AN2083" s="1779"/>
      <c r="AO2083" s="1779"/>
      <c r="AP2083" s="1779"/>
      <c r="AQ2083" s="1779"/>
      <c r="AR2083" s="1779"/>
      <c r="AS2083" s="1779"/>
      <c r="AT2083" s="1779"/>
      <c r="AU2083" s="1779"/>
      <c r="AV2083" s="1779"/>
    </row>
    <row r="2084" spans="1:48" ht="25.9" customHeight="1">
      <c r="A2084" s="412"/>
      <c r="B2084" s="412" t="s">
        <v>663</v>
      </c>
      <c r="C2084" s="412" t="s">
        <v>659</v>
      </c>
      <c r="D2084" s="1625"/>
      <c r="E2084" s="2224" t="s">
        <v>1931</v>
      </c>
      <c r="F2084" s="505">
        <v>1148</v>
      </c>
      <c r="G2084" s="516" t="s">
        <v>2047</v>
      </c>
      <c r="H2084" s="419"/>
      <c r="I2084" s="419"/>
      <c r="J2084" s="511"/>
      <c r="K2084" s="698"/>
      <c r="L2084" s="419"/>
      <c r="M2084" s="419"/>
      <c r="N2084" s="73"/>
      <c r="O2084" s="86"/>
      <c r="P2084" s="1817" t="e">
        <f>INDEX(#REF!,MATCH(F2084,#REF!,0),2)</f>
        <v>#REF!</v>
      </c>
      <c r="Q2084" s="1779"/>
      <c r="R2084" s="1779"/>
      <c r="S2084" s="1779"/>
      <c r="T2084" s="1779"/>
      <c r="U2084" s="1779"/>
      <c r="V2084" s="1779"/>
      <c r="W2084" s="43"/>
      <c r="X2084" s="1779"/>
      <c r="Y2084" s="1779"/>
      <c r="Z2084" s="1779"/>
      <c r="AA2084" s="1779"/>
      <c r="AB2084" s="1779"/>
      <c r="AC2084" s="1779"/>
      <c r="AD2084" s="1779"/>
      <c r="AE2084" s="1779"/>
      <c r="AF2084" s="1779"/>
      <c r="AG2084" s="1779"/>
      <c r="AH2084" s="1779"/>
      <c r="AI2084" s="1779"/>
      <c r="AJ2084" s="1779"/>
      <c r="AK2084" s="1779"/>
      <c r="AL2084" s="1779"/>
      <c r="AM2084" s="1779"/>
      <c r="AN2084" s="1779"/>
      <c r="AO2084" s="1779"/>
      <c r="AP2084" s="1779"/>
      <c r="AQ2084" s="1779"/>
      <c r="AR2084" s="1779"/>
      <c r="AS2084" s="1779"/>
      <c r="AT2084" s="1779"/>
      <c r="AU2084" s="1779"/>
      <c r="AV2084" s="1779"/>
    </row>
    <row r="2085" spans="1:48" ht="11.45" customHeight="1">
      <c r="A2085" s="506"/>
      <c r="B2085" s="506" t="s">
        <v>1084</v>
      </c>
      <c r="C2085" s="506" t="s">
        <v>567</v>
      </c>
      <c r="D2085" s="1624" t="s">
        <v>1777</v>
      </c>
      <c r="E2085" s="2223" t="s">
        <v>1931</v>
      </c>
      <c r="F2085" s="540">
        <v>1150</v>
      </c>
      <c r="G2085" s="411" t="s">
        <v>408</v>
      </c>
      <c r="H2085" s="579">
        <v>12961</v>
      </c>
      <c r="I2085" s="579"/>
      <c r="J2085" s="2520">
        <v>12960.02</v>
      </c>
      <c r="K2085" s="695"/>
      <c r="L2085" s="579">
        <v>9000</v>
      </c>
      <c r="M2085" s="579"/>
      <c r="N2085" s="73"/>
      <c r="O2085" s="86"/>
      <c r="P2085" s="1817" t="e">
        <f>INDEX(#REF!,MATCH(F2085,#REF!,0),2)</f>
        <v>#REF!</v>
      </c>
      <c r="Q2085" s="1779"/>
      <c r="R2085" s="1779"/>
      <c r="S2085" s="1779"/>
      <c r="T2085" s="1779"/>
      <c r="U2085" s="1779"/>
      <c r="V2085" s="1779"/>
      <c r="W2085" s="43"/>
      <c r="X2085" s="1779"/>
      <c r="Y2085" s="1779"/>
      <c r="Z2085" s="1779"/>
      <c r="AA2085" s="1779"/>
      <c r="AB2085" s="1779"/>
      <c r="AC2085" s="1779"/>
      <c r="AD2085" s="1779"/>
      <c r="AE2085" s="1779"/>
      <c r="AF2085" s="1779"/>
      <c r="AG2085" s="1779"/>
      <c r="AH2085" s="1779"/>
      <c r="AI2085" s="1779"/>
      <c r="AJ2085" s="1779"/>
      <c r="AK2085" s="1779"/>
      <c r="AL2085" s="1779"/>
      <c r="AM2085" s="1779"/>
      <c r="AN2085" s="1779"/>
      <c r="AO2085" s="1779"/>
      <c r="AP2085" s="1779"/>
      <c r="AQ2085" s="1779"/>
      <c r="AR2085" s="1779"/>
      <c r="AS2085" s="1779"/>
      <c r="AT2085" s="1779"/>
      <c r="AU2085" s="1779"/>
      <c r="AV2085" s="1779"/>
    </row>
    <row r="2086" spans="1:48" ht="22.9" customHeight="1">
      <c r="A2086" s="412"/>
      <c r="B2086" s="412" t="s">
        <v>1084</v>
      </c>
      <c r="C2086" s="412" t="s">
        <v>567</v>
      </c>
      <c r="D2086" s="1625"/>
      <c r="E2086" s="2224" t="s">
        <v>1931</v>
      </c>
      <c r="F2086" s="505">
        <v>1150</v>
      </c>
      <c r="G2086" s="410" t="s">
        <v>2921</v>
      </c>
      <c r="H2086" s="419"/>
      <c r="I2086" s="419">
        <v>9000</v>
      </c>
      <c r="J2086" s="511"/>
      <c r="K2086" s="543"/>
      <c r="L2086" s="419"/>
      <c r="M2086" s="419">
        <v>9000</v>
      </c>
      <c r="N2086" s="1526"/>
      <c r="O2086" s="86"/>
      <c r="P2086" s="1817" t="e">
        <f>INDEX(#REF!,MATCH(F2086,#REF!,0),2)</f>
        <v>#REF!</v>
      </c>
      <c r="Q2086" s="1779"/>
      <c r="R2086" s="1779"/>
      <c r="S2086" s="1779"/>
      <c r="T2086" s="1779"/>
      <c r="U2086" s="1779"/>
      <c r="V2086" s="1779"/>
      <c r="W2086" s="43"/>
      <c r="X2086" s="1779"/>
      <c r="Y2086" s="1779"/>
      <c r="Z2086" s="1779"/>
      <c r="AA2086" s="1779"/>
      <c r="AB2086" s="1779"/>
      <c r="AC2086" s="1779"/>
      <c r="AD2086" s="1779"/>
      <c r="AE2086" s="1779"/>
      <c r="AF2086" s="1779"/>
      <c r="AG2086" s="1779"/>
      <c r="AH2086" s="1779"/>
      <c r="AI2086" s="1779"/>
      <c r="AJ2086" s="1779"/>
      <c r="AK2086" s="1779"/>
      <c r="AL2086" s="1779"/>
      <c r="AM2086" s="1779"/>
      <c r="AN2086" s="1779"/>
      <c r="AO2086" s="1779"/>
      <c r="AP2086" s="1779"/>
      <c r="AQ2086" s="1779"/>
      <c r="AR2086" s="1779"/>
      <c r="AS2086" s="1779"/>
      <c r="AT2086" s="1779"/>
      <c r="AU2086" s="1779"/>
      <c r="AV2086" s="1779"/>
    </row>
    <row r="2087" spans="1:48" ht="11.45" customHeight="1">
      <c r="A2087" s="1370"/>
      <c r="B2087" s="412" t="s">
        <v>1084</v>
      </c>
      <c r="C2087" s="412" t="s">
        <v>567</v>
      </c>
      <c r="D2087" s="1625"/>
      <c r="E2087" s="2224" t="s">
        <v>1931</v>
      </c>
      <c r="F2087" s="505">
        <v>1150</v>
      </c>
      <c r="G2087" s="1411" t="s">
        <v>1957</v>
      </c>
      <c r="H2087" s="1375"/>
      <c r="I2087" s="1375"/>
      <c r="J2087" s="1379"/>
      <c r="K2087" s="1380"/>
      <c r="L2087" s="1377"/>
      <c r="M2087" s="1968"/>
      <c r="N2087" s="1526"/>
      <c r="O2087" s="86"/>
      <c r="P2087" s="1817" t="e">
        <f>INDEX(#REF!,MATCH(F2087,#REF!,0),2)</f>
        <v>#REF!</v>
      </c>
      <c r="Q2087" s="1779"/>
      <c r="R2087" s="1779"/>
      <c r="S2087" s="1779"/>
      <c r="T2087" s="1779"/>
      <c r="U2087" s="1779"/>
      <c r="V2087" s="1779"/>
      <c r="W2087" s="43"/>
      <c r="X2087" s="1779"/>
      <c r="Y2087" s="1779"/>
      <c r="Z2087" s="1779"/>
      <c r="AA2087" s="1779"/>
      <c r="AB2087" s="1779"/>
      <c r="AC2087" s="1779"/>
      <c r="AD2087" s="1779"/>
      <c r="AE2087" s="1779"/>
      <c r="AF2087" s="1779"/>
      <c r="AG2087" s="1779"/>
      <c r="AH2087" s="1779"/>
      <c r="AI2087" s="1779"/>
      <c r="AJ2087" s="1779"/>
      <c r="AK2087" s="1779"/>
      <c r="AL2087" s="1779"/>
      <c r="AM2087" s="1779"/>
      <c r="AN2087" s="1779"/>
      <c r="AO2087" s="1779"/>
      <c r="AP2087" s="1779"/>
      <c r="AQ2087" s="1779"/>
      <c r="AR2087" s="1779"/>
      <c r="AS2087" s="1779"/>
      <c r="AT2087" s="1779"/>
      <c r="AU2087" s="1779"/>
      <c r="AV2087" s="1779"/>
    </row>
    <row r="2088" spans="1:48" ht="10.9" customHeight="1">
      <c r="A2088" s="1370"/>
      <c r="B2088" s="412" t="s">
        <v>1084</v>
      </c>
      <c r="C2088" s="412" t="s">
        <v>567</v>
      </c>
      <c r="D2088" s="1625"/>
      <c r="E2088" s="2224" t="s">
        <v>1931</v>
      </c>
      <c r="F2088" s="505">
        <v>1150</v>
      </c>
      <c r="G2088" s="1411" t="s">
        <v>1961</v>
      </c>
      <c r="H2088" s="1375"/>
      <c r="I2088" s="1375"/>
      <c r="J2088" s="1379"/>
      <c r="K2088" s="1380"/>
      <c r="L2088" s="1377"/>
      <c r="M2088" s="1968"/>
      <c r="N2088" s="1526"/>
      <c r="O2088" s="86"/>
      <c r="P2088" s="1817" t="e">
        <f>INDEX(#REF!,MATCH(F2088,#REF!,0),2)</f>
        <v>#REF!</v>
      </c>
      <c r="Q2088" s="1779"/>
      <c r="R2088" s="1779"/>
      <c r="S2088" s="1779"/>
      <c r="T2088" s="1779"/>
      <c r="U2088" s="1779"/>
      <c r="V2088" s="1779"/>
      <c r="W2088" s="43"/>
      <c r="X2088" s="1779"/>
      <c r="Y2088" s="1779"/>
      <c r="Z2088" s="1779"/>
      <c r="AA2088" s="1779"/>
      <c r="AB2088" s="1779"/>
      <c r="AC2088" s="1779"/>
      <c r="AD2088" s="1779"/>
      <c r="AE2088" s="1779"/>
      <c r="AF2088" s="1779"/>
      <c r="AG2088" s="1779"/>
      <c r="AH2088" s="1779"/>
      <c r="AI2088" s="1779"/>
      <c r="AJ2088" s="1779"/>
      <c r="AK2088" s="1779"/>
      <c r="AL2088" s="1779"/>
      <c r="AM2088" s="1779"/>
      <c r="AN2088" s="1779"/>
      <c r="AO2088" s="1779"/>
      <c r="AP2088" s="1779"/>
      <c r="AQ2088" s="1779"/>
      <c r="AR2088" s="1779"/>
      <c r="AS2088" s="1779"/>
      <c r="AT2088" s="1779"/>
      <c r="AU2088" s="1779"/>
      <c r="AV2088" s="1779"/>
    </row>
    <row r="2089" spans="1:48" ht="13.9" customHeight="1">
      <c r="A2089" s="506"/>
      <c r="B2089" s="506" t="s">
        <v>663</v>
      </c>
      <c r="C2089" s="506" t="s">
        <v>652</v>
      </c>
      <c r="D2089" s="1624" t="s">
        <v>1777</v>
      </c>
      <c r="E2089" s="2223" t="s">
        <v>1931</v>
      </c>
      <c r="F2089" s="540">
        <v>1170</v>
      </c>
      <c r="G2089" s="411" t="s">
        <v>724</v>
      </c>
      <c r="H2089" s="541">
        <v>480</v>
      </c>
      <c r="I2089" s="620"/>
      <c r="J2089" s="2520">
        <v>105</v>
      </c>
      <c r="K2089" s="458"/>
      <c r="L2089" s="541">
        <v>450</v>
      </c>
      <c r="M2089" s="541"/>
      <c r="N2089" s="73"/>
      <c r="O2089" s="86"/>
      <c r="P2089" s="1817" t="e">
        <f>INDEX(#REF!,MATCH(F2089,#REF!,0),2)</f>
        <v>#REF!</v>
      </c>
      <c r="Q2089" s="1795"/>
      <c r="R2089" s="1795"/>
      <c r="S2089" s="1795"/>
      <c r="T2089" s="1795"/>
      <c r="U2089" s="1795"/>
      <c r="V2089" s="1795"/>
      <c r="W2089" s="1796"/>
      <c r="X2089" s="1795"/>
      <c r="Y2089" s="1795"/>
      <c r="Z2089" s="1795"/>
      <c r="AA2089" s="1795"/>
      <c r="AB2089" s="1795"/>
      <c r="AC2089" s="1795"/>
      <c r="AD2089" s="1795"/>
      <c r="AE2089" s="1795"/>
      <c r="AF2089" s="1795"/>
      <c r="AG2089" s="1795"/>
      <c r="AH2089" s="1795"/>
      <c r="AI2089" s="1795"/>
      <c r="AJ2089" s="1795"/>
      <c r="AK2089" s="1795"/>
      <c r="AL2089" s="1795"/>
      <c r="AM2089" s="1795"/>
      <c r="AN2089" s="1795"/>
      <c r="AO2089" s="1795"/>
      <c r="AP2089" s="1795"/>
      <c r="AQ2089" s="1795"/>
      <c r="AR2089" s="1795"/>
      <c r="AS2089" s="1795"/>
      <c r="AT2089" s="1795"/>
      <c r="AU2089" s="1795"/>
      <c r="AV2089" s="1795"/>
    </row>
    <row r="2090" spans="1:48" ht="11.45" customHeight="1">
      <c r="A2090" s="412"/>
      <c r="B2090" s="412" t="s">
        <v>663</v>
      </c>
      <c r="C2090" s="412" t="s">
        <v>652</v>
      </c>
      <c r="D2090" s="1625"/>
      <c r="E2090" s="2224" t="s">
        <v>1931</v>
      </c>
      <c r="F2090" s="505">
        <v>1170</v>
      </c>
      <c r="G2090" s="516" t="s">
        <v>3841</v>
      </c>
      <c r="H2090" s="456"/>
      <c r="I2090" s="441">
        <v>480</v>
      </c>
      <c r="J2090" s="441"/>
      <c r="K2090" s="421"/>
      <c r="L2090" s="433"/>
      <c r="M2090" s="433">
        <v>450</v>
      </c>
      <c r="N2090" s="73"/>
      <c r="O2090" s="86"/>
      <c r="P2090" s="1817" t="e">
        <f>INDEX(#REF!,MATCH(F2090,#REF!,0),2)</f>
        <v>#REF!</v>
      </c>
      <c r="Q2090" s="1795"/>
      <c r="R2090" s="1795"/>
      <c r="S2090" s="1795"/>
      <c r="T2090" s="1795"/>
      <c r="U2090" s="1795"/>
      <c r="V2090" s="1795"/>
      <c r="W2090" s="1796"/>
      <c r="X2090" s="1795"/>
      <c r="Y2090" s="1795"/>
      <c r="Z2090" s="1795"/>
      <c r="AA2090" s="1795"/>
      <c r="AB2090" s="1795"/>
      <c r="AC2090" s="1795"/>
      <c r="AD2090" s="1795"/>
      <c r="AE2090" s="1795"/>
      <c r="AF2090" s="1795"/>
      <c r="AG2090" s="1795"/>
      <c r="AH2090" s="1795"/>
      <c r="AI2090" s="1795"/>
      <c r="AJ2090" s="1795"/>
      <c r="AK2090" s="1795"/>
      <c r="AL2090" s="1795"/>
      <c r="AM2090" s="1795"/>
      <c r="AN2090" s="1795"/>
      <c r="AO2090" s="1795"/>
      <c r="AP2090" s="1795"/>
      <c r="AQ2090" s="1795"/>
      <c r="AR2090" s="1795"/>
      <c r="AS2090" s="1795"/>
      <c r="AT2090" s="1795"/>
      <c r="AU2090" s="1795"/>
      <c r="AV2090" s="1795"/>
    </row>
    <row r="2091" spans="1:48" ht="20.45" customHeight="1">
      <c r="A2091" s="506"/>
      <c r="B2091" s="506" t="s">
        <v>512</v>
      </c>
      <c r="C2091" s="506" t="s">
        <v>506</v>
      </c>
      <c r="D2091" s="1624" t="s">
        <v>1777</v>
      </c>
      <c r="E2091" s="2223" t="s">
        <v>1931</v>
      </c>
      <c r="F2091" s="540">
        <v>1210</v>
      </c>
      <c r="G2091" s="411" t="s">
        <v>774</v>
      </c>
      <c r="H2091" s="696">
        <v>1590</v>
      </c>
      <c r="I2091" s="619"/>
      <c r="J2091" s="604"/>
      <c r="K2091" s="695"/>
      <c r="L2091" s="696">
        <v>1940</v>
      </c>
      <c r="M2091" s="579"/>
      <c r="N2091" s="73"/>
      <c r="O2091" s="86"/>
      <c r="P2091" s="1817" t="e">
        <f>INDEX(#REF!,MATCH(F2091,#REF!,0),2)</f>
        <v>#REF!</v>
      </c>
      <c r="Q2091" s="1779"/>
      <c r="R2091" s="1779"/>
      <c r="S2091" s="1779"/>
      <c r="T2091" s="1779"/>
      <c r="U2091" s="1779"/>
      <c r="V2091" s="1779"/>
      <c r="W2091" s="43"/>
      <c r="X2091" s="1779"/>
      <c r="Y2091" s="1779"/>
      <c r="Z2091" s="1779"/>
      <c r="AA2091" s="1779"/>
      <c r="AB2091" s="1779"/>
      <c r="AC2091" s="1779"/>
      <c r="AD2091" s="1779"/>
      <c r="AE2091" s="1779"/>
      <c r="AF2091" s="1779"/>
      <c r="AG2091" s="1779"/>
      <c r="AH2091" s="1779"/>
      <c r="AI2091" s="1779"/>
      <c r="AJ2091" s="1779"/>
      <c r="AK2091" s="1779"/>
      <c r="AL2091" s="1779"/>
      <c r="AM2091" s="1779"/>
      <c r="AN2091" s="1779"/>
      <c r="AO2091" s="1779"/>
      <c r="AP2091" s="1779"/>
      <c r="AQ2091" s="1779"/>
      <c r="AR2091" s="1779"/>
      <c r="AS2091" s="1779"/>
      <c r="AT2091" s="1779"/>
      <c r="AU2091" s="1779"/>
      <c r="AV2091" s="1779"/>
    </row>
    <row r="2092" spans="1:48" ht="11.45" customHeight="1">
      <c r="A2092" s="417"/>
      <c r="B2092" s="417" t="s">
        <v>512</v>
      </c>
      <c r="C2092" s="417" t="s">
        <v>506</v>
      </c>
      <c r="D2092" s="1626"/>
      <c r="E2092" s="2270" t="s">
        <v>1931</v>
      </c>
      <c r="F2092" s="699">
        <v>1210</v>
      </c>
      <c r="G2092" s="588" t="s">
        <v>773</v>
      </c>
      <c r="H2092" s="700"/>
      <c r="I2092" s="534">
        <v>1590</v>
      </c>
      <c r="J2092" s="701"/>
      <c r="K2092" s="695"/>
      <c r="L2092" s="700"/>
      <c r="M2092" s="422">
        <v>1940</v>
      </c>
      <c r="N2092" s="73"/>
      <c r="O2092" s="86"/>
      <c r="P2092" s="1817" t="e">
        <f>INDEX(#REF!,MATCH(F2092,#REF!,0),2)</f>
        <v>#REF!</v>
      </c>
      <c r="Q2092" s="1779"/>
      <c r="R2092" s="1779"/>
      <c r="S2092" s="1779"/>
      <c r="T2092" s="1779"/>
      <c r="U2092" s="1779"/>
      <c r="V2092" s="1779"/>
      <c r="W2092" s="43"/>
      <c r="X2092" s="1779"/>
      <c r="Y2092" s="1779"/>
      <c r="Z2092" s="1779"/>
      <c r="AA2092" s="1779"/>
      <c r="AB2092" s="1779"/>
      <c r="AC2092" s="1779"/>
      <c r="AD2092" s="1779"/>
      <c r="AE2092" s="1779"/>
      <c r="AF2092" s="1779"/>
      <c r="AG2092" s="1779"/>
      <c r="AH2092" s="1779"/>
      <c r="AI2092" s="1779"/>
      <c r="AJ2092" s="1779"/>
      <c r="AK2092" s="1779"/>
      <c r="AL2092" s="1779"/>
      <c r="AM2092" s="1779"/>
      <c r="AN2092" s="1779"/>
      <c r="AO2092" s="1779"/>
      <c r="AP2092" s="1779"/>
      <c r="AQ2092" s="1779"/>
      <c r="AR2092" s="1779"/>
      <c r="AS2092" s="1779"/>
      <c r="AT2092" s="1779"/>
      <c r="AU2092" s="1779"/>
      <c r="AV2092" s="1779"/>
    </row>
    <row r="2093" spans="1:48" ht="22.9" customHeight="1">
      <c r="A2093" s="506"/>
      <c r="B2093" s="506" t="s">
        <v>663</v>
      </c>
      <c r="C2093" s="506" t="s">
        <v>652</v>
      </c>
      <c r="D2093" s="1624" t="s">
        <v>1777</v>
      </c>
      <c r="E2093" s="2223" t="s">
        <v>1931</v>
      </c>
      <c r="F2093" s="540">
        <v>1210</v>
      </c>
      <c r="G2093" s="411" t="s">
        <v>228</v>
      </c>
      <c r="H2093" s="579">
        <v>65454</v>
      </c>
      <c r="I2093" s="619"/>
      <c r="J2093" s="2520">
        <v>43304.57</v>
      </c>
      <c r="K2093" s="695"/>
      <c r="L2093" s="579">
        <v>67912.29960114602</v>
      </c>
      <c r="M2093" s="579"/>
      <c r="N2093" s="73"/>
      <c r="O2093" s="86"/>
      <c r="P2093" s="1817" t="e">
        <f>INDEX(#REF!,MATCH(F2093,#REF!,0),2)</f>
        <v>#REF!</v>
      </c>
      <c r="Q2093" s="1779"/>
      <c r="R2093" s="1779"/>
      <c r="S2093" s="1779"/>
      <c r="T2093" s="1779"/>
      <c r="U2093" s="1779"/>
      <c r="V2093" s="1779"/>
      <c r="W2093" s="43"/>
      <c r="X2093" s="1779"/>
      <c r="Y2093" s="1779"/>
      <c r="Z2093" s="1779"/>
      <c r="AA2093" s="1779"/>
      <c r="AB2093" s="1779"/>
      <c r="AC2093" s="1779"/>
      <c r="AD2093" s="1779"/>
      <c r="AE2093" s="1779"/>
      <c r="AF2093" s="1779"/>
      <c r="AG2093" s="1779"/>
      <c r="AH2093" s="1779"/>
      <c r="AI2093" s="1779"/>
      <c r="AJ2093" s="1779"/>
      <c r="AK2093" s="1779"/>
      <c r="AL2093" s="1779"/>
      <c r="AM2093" s="1779"/>
      <c r="AN2093" s="1779"/>
      <c r="AO2093" s="1779"/>
      <c r="AP2093" s="1779"/>
      <c r="AQ2093" s="1779"/>
      <c r="AR2093" s="1779"/>
      <c r="AS2093" s="1779"/>
      <c r="AT2093" s="1779"/>
      <c r="AU2093" s="1779"/>
      <c r="AV2093" s="1779"/>
    </row>
    <row r="2094" spans="1:48">
      <c r="A2094" s="417"/>
      <c r="B2094" s="417" t="s">
        <v>663</v>
      </c>
      <c r="C2094" s="417" t="s">
        <v>652</v>
      </c>
      <c r="D2094" s="1626"/>
      <c r="E2094" s="2270" t="s">
        <v>1931</v>
      </c>
      <c r="F2094" s="699">
        <v>1210</v>
      </c>
      <c r="G2094" s="516" t="s">
        <v>663</v>
      </c>
      <c r="H2094" s="700"/>
      <c r="I2094" s="534">
        <v>63863.60806980003</v>
      </c>
      <c r="J2094" s="701"/>
      <c r="K2094" s="695"/>
      <c r="L2094" s="700"/>
      <c r="M2094" s="534">
        <v>67912.29960114602</v>
      </c>
      <c r="N2094" s="73"/>
      <c r="O2094" s="86"/>
      <c r="P2094" s="1817" t="e">
        <f>INDEX(#REF!,MATCH(F2094,#REF!,0),2)</f>
        <v>#REF!</v>
      </c>
      <c r="Q2094" s="11"/>
      <c r="R2094" s="11"/>
      <c r="S2094" s="11"/>
      <c r="T2094" s="11"/>
      <c r="U2094" s="11"/>
      <c r="V2094" s="11"/>
      <c r="W2094" s="4"/>
      <c r="X2094" s="11"/>
      <c r="Y2094" s="11"/>
      <c r="Z2094" s="11"/>
      <c r="AA2094" s="11"/>
      <c r="AB2094" s="11"/>
      <c r="AC2094" s="11"/>
      <c r="AD2094" s="11"/>
      <c r="AE2094" s="11"/>
      <c r="AF2094" s="11"/>
      <c r="AG2094" s="11"/>
      <c r="AH2094" s="11"/>
      <c r="AI2094" s="11"/>
      <c r="AJ2094" s="11"/>
      <c r="AK2094" s="11"/>
      <c r="AL2094" s="11"/>
      <c r="AM2094" s="11"/>
      <c r="AN2094" s="11"/>
      <c r="AO2094" s="11"/>
      <c r="AP2094" s="11"/>
      <c r="AQ2094" s="11"/>
      <c r="AR2094" s="11"/>
      <c r="AS2094" s="11"/>
      <c r="AT2094" s="11"/>
      <c r="AU2094" s="11"/>
      <c r="AV2094" s="11"/>
    </row>
    <row r="2095" spans="1:48">
      <c r="A2095" s="506"/>
      <c r="B2095" s="506" t="s">
        <v>663</v>
      </c>
      <c r="C2095" s="506" t="s">
        <v>652</v>
      </c>
      <c r="D2095" s="1624" t="s">
        <v>1777</v>
      </c>
      <c r="E2095" s="2223" t="s">
        <v>1931</v>
      </c>
      <c r="F2095" s="540">
        <v>1221</v>
      </c>
      <c r="G2095" s="411" t="s">
        <v>409</v>
      </c>
      <c r="H2095" s="579">
        <v>10616.086950200001</v>
      </c>
      <c r="I2095" s="619"/>
      <c r="J2095" s="2520">
        <v>8633.24</v>
      </c>
      <c r="K2095" s="695"/>
      <c r="L2095" s="579">
        <v>11289.636824253988</v>
      </c>
      <c r="M2095" s="579"/>
      <c r="N2095" s="73"/>
      <c r="O2095" s="86"/>
      <c r="P2095" s="1817" t="e">
        <f>INDEX(#REF!,MATCH(F2095,#REF!,0),2)</f>
        <v>#REF!</v>
      </c>
      <c r="Q2095" s="43"/>
      <c r="R2095" s="43"/>
      <c r="S2095" s="43"/>
      <c r="T2095" s="43"/>
      <c r="U2095" s="43"/>
      <c r="V2095" s="43"/>
      <c r="W2095" s="43"/>
      <c r="X2095" s="43"/>
      <c r="Y2095" s="43"/>
      <c r="Z2095" s="43"/>
      <c r="AA2095" s="43"/>
      <c r="AB2095" s="43"/>
      <c r="AC2095" s="43"/>
      <c r="AD2095" s="43"/>
      <c r="AE2095" s="43"/>
      <c r="AF2095" s="43"/>
      <c r="AG2095" s="43"/>
      <c r="AH2095" s="1775"/>
      <c r="AI2095" s="43"/>
      <c r="AJ2095" s="11"/>
      <c r="AK2095" s="11"/>
      <c r="AL2095" s="11"/>
      <c r="AM2095" s="11"/>
      <c r="AN2095" s="11"/>
      <c r="AO2095" s="11"/>
      <c r="AP2095" s="11"/>
      <c r="AQ2095" s="11"/>
      <c r="AR2095" s="11"/>
      <c r="AS2095" s="11"/>
      <c r="AT2095" s="11"/>
      <c r="AU2095" s="11"/>
      <c r="AV2095" s="11"/>
    </row>
    <row r="2096" spans="1:48" ht="11.45" customHeight="1">
      <c r="A2096" s="417"/>
      <c r="B2096" s="417" t="s">
        <v>663</v>
      </c>
      <c r="C2096" s="417" t="s">
        <v>652</v>
      </c>
      <c r="D2096" s="1626"/>
      <c r="E2096" s="2270" t="s">
        <v>1931</v>
      </c>
      <c r="F2096" s="699">
        <v>1221</v>
      </c>
      <c r="G2096" s="516" t="s">
        <v>663</v>
      </c>
      <c r="H2096" s="700"/>
      <c r="I2096" s="534">
        <v>10616.086950200001</v>
      </c>
      <c r="J2096" s="701"/>
      <c r="K2096" s="695"/>
      <c r="L2096" s="700"/>
      <c r="M2096" s="534">
        <v>11289.636824253988</v>
      </c>
      <c r="N2096" s="73"/>
      <c r="O2096" s="86"/>
      <c r="P2096" s="1817" t="e">
        <f>INDEX(#REF!,MATCH(F2096,#REF!,0),2)</f>
        <v>#REF!</v>
      </c>
      <c r="Q2096" s="1779"/>
      <c r="R2096" s="1779"/>
      <c r="S2096" s="1779"/>
      <c r="T2096" s="1779"/>
      <c r="U2096" s="1779"/>
      <c r="V2096" s="1779"/>
      <c r="W2096" s="43"/>
      <c r="X2096" s="1779"/>
      <c r="Y2096" s="1779"/>
      <c r="Z2096" s="1779"/>
      <c r="AA2096" s="1779"/>
      <c r="AB2096" s="1779"/>
      <c r="AC2096" s="1779"/>
      <c r="AD2096" s="1779"/>
      <c r="AE2096" s="1779"/>
      <c r="AF2096" s="1779"/>
      <c r="AG2096" s="1779"/>
      <c r="AH2096" s="1779"/>
      <c r="AI2096" s="1779"/>
      <c r="AJ2096" s="1779"/>
      <c r="AK2096" s="1779"/>
      <c r="AL2096" s="1779"/>
      <c r="AM2096" s="1779"/>
      <c r="AN2096" s="1779"/>
      <c r="AO2096" s="1779"/>
      <c r="AP2096" s="1779"/>
      <c r="AQ2096" s="1779"/>
      <c r="AR2096" s="1779"/>
      <c r="AS2096" s="1779"/>
      <c r="AT2096" s="1779"/>
      <c r="AU2096" s="1779"/>
      <c r="AV2096" s="1779"/>
    </row>
    <row r="2097" spans="1:48" ht="12.6" customHeight="1">
      <c r="A2097" s="1412"/>
      <c r="B2097" s="417" t="s">
        <v>663</v>
      </c>
      <c r="C2097" s="417" t="s">
        <v>652</v>
      </c>
      <c r="D2097" s="1626"/>
      <c r="E2097" s="2270" t="s">
        <v>1931</v>
      </c>
      <c r="F2097" s="699">
        <v>1221</v>
      </c>
      <c r="G2097" s="1411" t="s">
        <v>1962</v>
      </c>
      <c r="H2097" s="1413"/>
      <c r="I2097" s="1414"/>
      <c r="J2097" s="1415"/>
      <c r="K2097" s="1416"/>
      <c r="L2097" s="1413"/>
      <c r="M2097" s="1414"/>
      <c r="N2097" s="73"/>
      <c r="O2097" s="86"/>
      <c r="P2097" s="1817" t="e">
        <f>INDEX(#REF!,MATCH(F2097,#REF!,0),2)</f>
        <v>#REF!</v>
      </c>
      <c r="Q2097" s="1779"/>
      <c r="R2097" s="1779"/>
      <c r="S2097" s="1779"/>
      <c r="T2097" s="1779"/>
      <c r="U2097" s="1779"/>
      <c r="V2097" s="1779"/>
      <c r="W2097" s="43"/>
      <c r="X2097" s="1779"/>
      <c r="Y2097" s="1779"/>
      <c r="Z2097" s="1779"/>
      <c r="AA2097" s="1779"/>
      <c r="AB2097" s="1779"/>
      <c r="AC2097" s="1779"/>
      <c r="AD2097" s="1779"/>
      <c r="AE2097" s="1779"/>
      <c r="AF2097" s="1779"/>
      <c r="AG2097" s="1779"/>
      <c r="AH2097" s="1779"/>
      <c r="AI2097" s="1779"/>
      <c r="AJ2097" s="1779"/>
      <c r="AK2097" s="1779"/>
      <c r="AL2097" s="1779"/>
      <c r="AM2097" s="1779"/>
      <c r="AN2097" s="1779"/>
      <c r="AO2097" s="1779"/>
      <c r="AP2097" s="1779"/>
      <c r="AQ2097" s="1779"/>
      <c r="AR2097" s="1779"/>
      <c r="AS2097" s="1779"/>
      <c r="AT2097" s="1779"/>
      <c r="AU2097" s="1779"/>
      <c r="AV2097" s="1779"/>
    </row>
    <row r="2098" spans="1:48" ht="18" customHeight="1">
      <c r="A2098" s="506"/>
      <c r="B2098" s="506" t="s">
        <v>663</v>
      </c>
      <c r="C2098" s="506" t="s">
        <v>652</v>
      </c>
      <c r="D2098" s="1589" t="s">
        <v>1777</v>
      </c>
      <c r="E2098" s="2223" t="s">
        <v>1931</v>
      </c>
      <c r="F2098" s="540">
        <v>1227</v>
      </c>
      <c r="G2098" s="411" t="s">
        <v>1257</v>
      </c>
      <c r="H2098" s="541">
        <v>0</v>
      </c>
      <c r="I2098" s="541"/>
      <c r="J2098" s="2520" t="s">
        <v>2426</v>
      </c>
      <c r="K2098" s="458"/>
      <c r="L2098" s="541">
        <v>0</v>
      </c>
      <c r="M2098" s="541"/>
      <c r="N2098" s="73"/>
      <c r="O2098" s="86"/>
      <c r="P2098" s="1817" t="e">
        <f>INDEX(#REF!,MATCH(F2098,#REF!,0),2)</f>
        <v>#REF!</v>
      </c>
      <c r="Q2098" s="1779"/>
      <c r="R2098" s="1779"/>
      <c r="S2098" s="1779"/>
      <c r="T2098" s="1779"/>
      <c r="U2098" s="1779"/>
      <c r="V2098" s="1779"/>
      <c r="W2098" s="43"/>
      <c r="X2098" s="1779"/>
      <c r="Y2098" s="1779"/>
      <c r="Z2098" s="1779"/>
      <c r="AA2098" s="1779"/>
      <c r="AB2098" s="1779"/>
      <c r="AC2098" s="1779"/>
      <c r="AD2098" s="1779"/>
      <c r="AE2098" s="1779"/>
      <c r="AF2098" s="1779"/>
      <c r="AG2098" s="1779"/>
      <c r="AH2098" s="1779"/>
      <c r="AI2098" s="1779"/>
      <c r="AJ2098" s="1779"/>
      <c r="AK2098" s="1779"/>
      <c r="AL2098" s="1779"/>
      <c r="AM2098" s="1779"/>
      <c r="AN2098" s="1779"/>
      <c r="AO2098" s="1779"/>
      <c r="AP2098" s="1779"/>
      <c r="AQ2098" s="1779"/>
      <c r="AR2098" s="1779"/>
      <c r="AS2098" s="1779"/>
      <c r="AT2098" s="1779"/>
      <c r="AU2098" s="1779"/>
      <c r="AV2098" s="1779"/>
    </row>
    <row r="2099" spans="1:48" ht="37.9" customHeight="1">
      <c r="A2099" s="412"/>
      <c r="B2099" s="412" t="s">
        <v>663</v>
      </c>
      <c r="C2099" s="412" t="s">
        <v>652</v>
      </c>
      <c r="D2099" s="1590"/>
      <c r="E2099" s="2224" t="s">
        <v>1931</v>
      </c>
      <c r="F2099" s="505">
        <v>1227</v>
      </c>
      <c r="G2099" s="549" t="s">
        <v>1842</v>
      </c>
      <c r="H2099" s="550"/>
      <c r="I2099" s="550"/>
      <c r="J2099" s="551"/>
      <c r="K2099" s="558"/>
      <c r="L2099" s="550"/>
      <c r="M2099" s="550"/>
      <c r="N2099" s="73"/>
      <c r="O2099" s="86"/>
      <c r="P2099" s="1817" t="e">
        <f>INDEX(#REF!,MATCH(F2099,#REF!,0),2)</f>
        <v>#REF!</v>
      </c>
      <c r="Q2099" s="1779"/>
      <c r="R2099" s="1779"/>
      <c r="S2099" s="1779"/>
      <c r="T2099" s="1779"/>
      <c r="U2099" s="1779"/>
      <c r="V2099" s="1779"/>
      <c r="W2099" s="43"/>
      <c r="X2099" s="1779"/>
      <c r="Y2099" s="1779"/>
      <c r="Z2099" s="1779"/>
      <c r="AA2099" s="1779"/>
      <c r="AB2099" s="1779"/>
      <c r="AC2099" s="1779"/>
      <c r="AD2099" s="1779"/>
      <c r="AE2099" s="1779"/>
      <c r="AF2099" s="1779"/>
      <c r="AG2099" s="1779"/>
      <c r="AH2099" s="1779"/>
      <c r="AI2099" s="1779"/>
      <c r="AJ2099" s="1779"/>
      <c r="AK2099" s="1779"/>
      <c r="AL2099" s="1779"/>
      <c r="AM2099" s="1779"/>
      <c r="AN2099" s="1779"/>
      <c r="AO2099" s="1779"/>
      <c r="AP2099" s="1779"/>
      <c r="AQ2099" s="1779"/>
      <c r="AR2099" s="1779"/>
      <c r="AS2099" s="1779"/>
      <c r="AT2099" s="1779"/>
      <c r="AU2099" s="1779"/>
      <c r="AV2099" s="1779"/>
    </row>
    <row r="2100" spans="1:48" ht="37.9" customHeight="1">
      <c r="A2100" s="506"/>
      <c r="B2100" s="506" t="s">
        <v>1248</v>
      </c>
      <c r="C2100" s="506" t="s">
        <v>652</v>
      </c>
      <c r="D2100" s="1624" t="s">
        <v>1777</v>
      </c>
      <c r="E2100" s="2223" t="s">
        <v>1931</v>
      </c>
      <c r="F2100" s="540">
        <v>1228</v>
      </c>
      <c r="G2100" s="411" t="s">
        <v>235</v>
      </c>
      <c r="H2100" s="579">
        <v>3100</v>
      </c>
      <c r="I2100" s="619"/>
      <c r="J2100" s="2520">
        <v>450.2</v>
      </c>
      <c r="K2100" s="695"/>
      <c r="L2100" s="579">
        <v>3000</v>
      </c>
      <c r="M2100" s="579"/>
      <c r="N2100" s="73"/>
      <c r="O2100" s="86"/>
      <c r="P2100" s="1817" t="e">
        <f>INDEX(#REF!,MATCH(F2100,#REF!,0),2)</f>
        <v>#REF!</v>
      </c>
      <c r="Q2100" s="1779"/>
      <c r="R2100" s="1779"/>
      <c r="S2100" s="1779"/>
      <c r="T2100" s="1779"/>
      <c r="U2100" s="1779"/>
      <c r="V2100" s="1779"/>
      <c r="W2100" s="43"/>
      <c r="X2100" s="1779"/>
      <c r="Y2100" s="1779"/>
      <c r="Z2100" s="1779"/>
      <c r="AA2100" s="1779"/>
      <c r="AB2100" s="1779"/>
      <c r="AC2100" s="1779"/>
      <c r="AD2100" s="1779"/>
      <c r="AE2100" s="1779"/>
      <c r="AF2100" s="1779"/>
      <c r="AG2100" s="1779"/>
      <c r="AH2100" s="1779"/>
      <c r="AI2100" s="1779"/>
      <c r="AJ2100" s="1779"/>
      <c r="AK2100" s="1779"/>
      <c r="AL2100" s="1779"/>
      <c r="AM2100" s="1779"/>
      <c r="AN2100" s="1779"/>
      <c r="AO2100" s="1779"/>
      <c r="AP2100" s="1779"/>
      <c r="AQ2100" s="1779"/>
      <c r="AR2100" s="1779"/>
      <c r="AS2100" s="1779"/>
      <c r="AT2100" s="1779"/>
      <c r="AU2100" s="1779"/>
      <c r="AV2100" s="1779"/>
    </row>
    <row r="2101" spans="1:48" ht="11.45" customHeight="1">
      <c r="A2101" s="412"/>
      <c r="B2101" s="412" t="s">
        <v>1248</v>
      </c>
      <c r="C2101" s="412" t="s">
        <v>652</v>
      </c>
      <c r="D2101" s="1625"/>
      <c r="E2101" s="2224" t="s">
        <v>1931</v>
      </c>
      <c r="F2101" s="505">
        <v>1228</v>
      </c>
      <c r="G2101" s="410" t="s">
        <v>410</v>
      </c>
      <c r="H2101" s="419"/>
      <c r="I2101" s="420">
        <v>600</v>
      </c>
      <c r="J2101" s="511"/>
      <c r="K2101" s="543"/>
      <c r="L2101" s="419"/>
      <c r="M2101" s="419">
        <v>600</v>
      </c>
      <c r="N2101" s="73"/>
      <c r="O2101" s="86"/>
      <c r="P2101" s="1817" t="e">
        <f>INDEX(#REF!,MATCH(F2101,#REF!,0),2)</f>
        <v>#REF!</v>
      </c>
      <c r="Q2101" s="1779"/>
      <c r="R2101" s="1779"/>
      <c r="S2101" s="1779"/>
      <c r="T2101" s="1779"/>
      <c r="U2101" s="1779"/>
      <c r="V2101" s="1779"/>
      <c r="W2101" s="43"/>
      <c r="X2101" s="1779"/>
      <c r="Y2101" s="1779"/>
      <c r="Z2101" s="1779"/>
      <c r="AA2101" s="1779"/>
      <c r="AB2101" s="1779"/>
      <c r="AC2101" s="1779"/>
      <c r="AD2101" s="1779"/>
      <c r="AE2101" s="1779"/>
      <c r="AF2101" s="1779"/>
      <c r="AG2101" s="1779"/>
      <c r="AH2101" s="1779"/>
      <c r="AI2101" s="1779"/>
      <c r="AJ2101" s="1779"/>
      <c r="AK2101" s="1779"/>
      <c r="AL2101" s="1779"/>
      <c r="AM2101" s="1779"/>
      <c r="AN2101" s="1779"/>
      <c r="AO2101" s="1779"/>
      <c r="AP2101" s="1779"/>
      <c r="AQ2101" s="1779"/>
      <c r="AR2101" s="1779"/>
      <c r="AS2101" s="1779"/>
      <c r="AT2101" s="1779"/>
      <c r="AU2101" s="1779"/>
      <c r="AV2101" s="1779"/>
    </row>
    <row r="2102" spans="1:48" ht="11.45" customHeight="1">
      <c r="A2102" s="412"/>
      <c r="B2102" s="412" t="s">
        <v>1248</v>
      </c>
      <c r="C2102" s="412" t="s">
        <v>652</v>
      </c>
      <c r="D2102" s="1625"/>
      <c r="E2102" s="2224" t="s">
        <v>1931</v>
      </c>
      <c r="F2102" s="505">
        <v>1228</v>
      </c>
      <c r="G2102" s="410" t="s">
        <v>649</v>
      </c>
      <c r="H2102" s="626"/>
      <c r="I2102" s="703">
        <v>400</v>
      </c>
      <c r="J2102" s="511"/>
      <c r="K2102" s="543"/>
      <c r="L2102" s="702"/>
      <c r="M2102" s="419">
        <v>100</v>
      </c>
      <c r="N2102" s="73"/>
      <c r="O2102" s="86"/>
      <c r="P2102" s="1817" t="e">
        <f>INDEX(#REF!,MATCH(F2102,#REF!,0),2)</f>
        <v>#REF!</v>
      </c>
      <c r="Q2102" s="1779"/>
      <c r="R2102" s="1779"/>
      <c r="S2102" s="1779"/>
      <c r="T2102" s="1779"/>
      <c r="U2102" s="1779"/>
      <c r="V2102" s="1779"/>
      <c r="W2102" s="43"/>
      <c r="X2102" s="1779"/>
      <c r="Y2102" s="1779"/>
      <c r="Z2102" s="1779"/>
      <c r="AA2102" s="1779"/>
      <c r="AB2102" s="1779"/>
      <c r="AC2102" s="1779"/>
      <c r="AD2102" s="1779"/>
      <c r="AE2102" s="1779"/>
      <c r="AF2102" s="1779"/>
      <c r="AG2102" s="1779"/>
      <c r="AH2102" s="1779"/>
      <c r="AI2102" s="1779"/>
      <c r="AJ2102" s="1779"/>
      <c r="AK2102" s="1779"/>
      <c r="AL2102" s="1779"/>
      <c r="AM2102" s="1779"/>
      <c r="AN2102" s="1779"/>
      <c r="AO2102" s="1779"/>
      <c r="AP2102" s="1779"/>
      <c r="AQ2102" s="1779"/>
      <c r="AR2102" s="1779"/>
      <c r="AS2102" s="1779"/>
      <c r="AT2102" s="1779"/>
      <c r="AU2102" s="1779"/>
      <c r="AV2102" s="1779"/>
    </row>
    <row r="2103" spans="1:48" ht="18" customHeight="1">
      <c r="A2103" s="417"/>
      <c r="B2103" s="412" t="s">
        <v>1248</v>
      </c>
      <c r="C2103" s="412" t="s">
        <v>652</v>
      </c>
      <c r="D2103" s="1626"/>
      <c r="E2103" s="2270" t="s">
        <v>1931</v>
      </c>
      <c r="F2103" s="505">
        <v>1228</v>
      </c>
      <c r="G2103" s="2844" t="s">
        <v>3843</v>
      </c>
      <c r="H2103" s="704"/>
      <c r="I2103" s="705">
        <v>2100</v>
      </c>
      <c r="J2103" s="701"/>
      <c r="K2103" s="695"/>
      <c r="L2103" s="700"/>
      <c r="M2103" s="700">
        <v>2300</v>
      </c>
      <c r="N2103" s="154" t="s">
        <v>5766</v>
      </c>
      <c r="O2103" s="86"/>
      <c r="P2103" s="1817" t="e">
        <f>INDEX(#REF!,MATCH(F2103,#REF!,0),2)</f>
        <v>#REF!</v>
      </c>
      <c r="Q2103" s="1779"/>
      <c r="R2103" s="1779"/>
      <c r="S2103" s="1779"/>
      <c r="T2103" s="1779"/>
      <c r="U2103" s="1779"/>
      <c r="V2103" s="1779"/>
      <c r="W2103" s="43"/>
      <c r="X2103" s="1779"/>
      <c r="Y2103" s="1779"/>
      <c r="Z2103" s="1779"/>
      <c r="AA2103" s="1779"/>
      <c r="AB2103" s="1779"/>
      <c r="AC2103" s="1779"/>
      <c r="AD2103" s="1779"/>
      <c r="AE2103" s="1779"/>
      <c r="AF2103" s="1779"/>
      <c r="AG2103" s="1779"/>
      <c r="AH2103" s="1779"/>
      <c r="AI2103" s="1779"/>
      <c r="AJ2103" s="1779"/>
      <c r="AK2103" s="1779"/>
      <c r="AL2103" s="1779"/>
      <c r="AM2103" s="1779"/>
      <c r="AN2103" s="1779"/>
      <c r="AO2103" s="1779"/>
      <c r="AP2103" s="1779"/>
      <c r="AQ2103" s="1779"/>
      <c r="AR2103" s="1779"/>
      <c r="AS2103" s="1779"/>
      <c r="AT2103" s="1779"/>
      <c r="AU2103" s="1779"/>
      <c r="AV2103" s="1779"/>
    </row>
    <row r="2104" spans="1:48" ht="11.45" customHeight="1">
      <c r="A2104" s="1349"/>
      <c r="B2104" s="412" t="s">
        <v>1248</v>
      </c>
      <c r="C2104" s="412" t="s">
        <v>652</v>
      </c>
      <c r="D2104" s="1626"/>
      <c r="E2104" s="2270" t="s">
        <v>1931</v>
      </c>
      <c r="F2104" s="505">
        <v>1228</v>
      </c>
      <c r="G2104" s="549" t="s">
        <v>1842</v>
      </c>
      <c r="H2104" s="1352"/>
      <c r="I2104" s="1353"/>
      <c r="J2104" s="1350"/>
      <c r="K2104" s="1351"/>
      <c r="L2104" s="1499"/>
      <c r="M2104" s="1499"/>
      <c r="N2104" s="73"/>
      <c r="O2104" s="86"/>
      <c r="P2104" s="1817" t="e">
        <f>INDEX(#REF!,MATCH(F2104,#REF!,0),2)</f>
        <v>#REF!</v>
      </c>
      <c r="Q2104" s="1779"/>
      <c r="R2104" s="1779"/>
      <c r="S2104" s="1779"/>
      <c r="T2104" s="1779"/>
      <c r="U2104" s="1779"/>
      <c r="V2104" s="1779"/>
      <c r="W2104" s="43"/>
      <c r="X2104" s="1779"/>
      <c r="Y2104" s="1779"/>
      <c r="Z2104" s="1779"/>
      <c r="AA2104" s="1779"/>
      <c r="AB2104" s="1779"/>
      <c r="AC2104" s="1779"/>
      <c r="AD2104" s="1779"/>
      <c r="AE2104" s="1779"/>
      <c r="AF2104" s="1779"/>
      <c r="AG2104" s="1779"/>
      <c r="AH2104" s="1779"/>
      <c r="AI2104" s="1779"/>
      <c r="AJ2104" s="1779"/>
      <c r="AK2104" s="1779"/>
      <c r="AL2104" s="1779"/>
      <c r="AM2104" s="1779"/>
      <c r="AN2104" s="1779"/>
      <c r="AO2104" s="1779"/>
      <c r="AP2104" s="1779"/>
      <c r="AQ2104" s="1779"/>
      <c r="AR2104" s="1779"/>
      <c r="AS2104" s="1779"/>
      <c r="AT2104" s="1779"/>
      <c r="AU2104" s="1779"/>
      <c r="AV2104" s="1779"/>
    </row>
    <row r="2105" spans="1:48" ht="11.45" customHeight="1">
      <c r="A2105" s="506"/>
      <c r="B2105" s="506" t="s">
        <v>1248</v>
      </c>
      <c r="C2105" s="506" t="s">
        <v>505</v>
      </c>
      <c r="D2105" s="1624" t="s">
        <v>1777</v>
      </c>
      <c r="E2105" s="2223" t="s">
        <v>1931</v>
      </c>
      <c r="F2105" s="540">
        <v>2111</v>
      </c>
      <c r="G2105" s="411" t="s">
        <v>926</v>
      </c>
      <c r="H2105" s="579">
        <v>500</v>
      </c>
      <c r="I2105" s="619"/>
      <c r="J2105" s="2520">
        <v>0</v>
      </c>
      <c r="K2105" s="698"/>
      <c r="L2105" s="579">
        <v>500</v>
      </c>
      <c r="M2105" s="579"/>
      <c r="N2105" s="73"/>
      <c r="O2105" s="86"/>
      <c r="P2105" s="1817" t="e">
        <f>INDEX(#REF!,MATCH(F2105,#REF!,0),2)</f>
        <v>#REF!</v>
      </c>
      <c r="Q2105" s="1779"/>
      <c r="R2105" s="1779"/>
      <c r="S2105" s="1779"/>
      <c r="T2105" s="1779"/>
      <c r="U2105" s="1779"/>
      <c r="V2105" s="1779"/>
      <c r="W2105" s="43"/>
      <c r="X2105" s="1779"/>
      <c r="Y2105" s="1779"/>
      <c r="Z2105" s="1779"/>
      <c r="AA2105" s="1779"/>
      <c r="AB2105" s="1779"/>
      <c r="AC2105" s="1779"/>
      <c r="AD2105" s="1779"/>
      <c r="AE2105" s="1779"/>
      <c r="AF2105" s="1779"/>
      <c r="AG2105" s="1779"/>
      <c r="AH2105" s="1779"/>
      <c r="AI2105" s="1779"/>
      <c r="AJ2105" s="1779"/>
      <c r="AK2105" s="1779"/>
      <c r="AL2105" s="1779"/>
      <c r="AM2105" s="1779"/>
      <c r="AN2105" s="1779"/>
      <c r="AO2105" s="1779"/>
      <c r="AP2105" s="1779"/>
      <c r="AQ2105" s="1779"/>
      <c r="AR2105" s="1779"/>
      <c r="AS2105" s="1779"/>
      <c r="AT2105" s="1779"/>
      <c r="AU2105" s="1779"/>
      <c r="AV2105" s="1779"/>
    </row>
    <row r="2106" spans="1:48" ht="11.45" customHeight="1">
      <c r="A2106" s="412"/>
      <c r="B2106" s="412" t="s">
        <v>1248</v>
      </c>
      <c r="C2106" s="412" t="s">
        <v>505</v>
      </c>
      <c r="D2106" s="1625"/>
      <c r="E2106" s="2224" t="s">
        <v>1931</v>
      </c>
      <c r="F2106" s="505">
        <v>2111</v>
      </c>
      <c r="G2106" s="410"/>
      <c r="H2106" s="626"/>
      <c r="I2106" s="511">
        <v>500</v>
      </c>
      <c r="J2106" s="511"/>
      <c r="K2106" s="543"/>
      <c r="L2106" s="702"/>
      <c r="M2106" s="419">
        <v>500</v>
      </c>
      <c r="N2106" s="73"/>
      <c r="O2106" s="86"/>
      <c r="P2106" s="1817" t="e">
        <f>INDEX(#REF!,MATCH(F2106,#REF!,0),2)</f>
        <v>#REF!</v>
      </c>
      <c r="Q2106" s="1779"/>
      <c r="R2106" s="1779"/>
      <c r="S2106" s="1779"/>
      <c r="T2106" s="1779"/>
      <c r="U2106" s="1779"/>
      <c r="V2106" s="1779"/>
      <c r="W2106" s="43"/>
      <c r="X2106" s="1779"/>
      <c r="Y2106" s="1779"/>
      <c r="Z2106" s="1779"/>
      <c r="AA2106" s="1779"/>
      <c r="AB2106" s="1779"/>
      <c r="AC2106" s="1779"/>
      <c r="AD2106" s="1779"/>
      <c r="AE2106" s="1779"/>
      <c r="AF2106" s="1779"/>
      <c r="AG2106" s="1779"/>
      <c r="AH2106" s="1779"/>
      <c r="AI2106" s="1779"/>
      <c r="AJ2106" s="1779"/>
      <c r="AK2106" s="1779"/>
      <c r="AL2106" s="1779"/>
      <c r="AM2106" s="1779"/>
      <c r="AN2106" s="1779"/>
      <c r="AO2106" s="1779"/>
      <c r="AP2106" s="1779"/>
      <c r="AQ2106" s="1779"/>
      <c r="AR2106" s="1779"/>
      <c r="AS2106" s="1779"/>
      <c r="AT2106" s="1779"/>
      <c r="AU2106" s="1779"/>
      <c r="AV2106" s="1779"/>
    </row>
    <row r="2107" spans="1:48" ht="11.45" customHeight="1">
      <c r="A2107" s="506"/>
      <c r="B2107" s="506" t="s">
        <v>1248</v>
      </c>
      <c r="C2107" s="506" t="s">
        <v>505</v>
      </c>
      <c r="D2107" s="1624" t="s">
        <v>1777</v>
      </c>
      <c r="E2107" s="2223" t="s">
        <v>1931</v>
      </c>
      <c r="F2107" s="540">
        <v>2112</v>
      </c>
      <c r="G2107" s="411" t="s">
        <v>927</v>
      </c>
      <c r="H2107" s="579">
        <v>500</v>
      </c>
      <c r="I2107" s="604"/>
      <c r="J2107" s="2520">
        <v>0</v>
      </c>
      <c r="K2107" s="698"/>
      <c r="L2107" s="579">
        <v>500</v>
      </c>
      <c r="M2107" s="579"/>
      <c r="N2107" s="73"/>
      <c r="O2107" s="86"/>
      <c r="P2107" s="1817" t="e">
        <f>INDEX(#REF!,MATCH(F2107,#REF!,0),2)</f>
        <v>#REF!</v>
      </c>
      <c r="Q2107" s="1779"/>
      <c r="R2107" s="1779"/>
      <c r="S2107" s="1779"/>
      <c r="T2107" s="1779"/>
      <c r="U2107" s="1779"/>
      <c r="V2107" s="1779"/>
      <c r="W2107" s="43"/>
      <c r="X2107" s="1779"/>
      <c r="Y2107" s="1779"/>
      <c r="Z2107" s="1779"/>
      <c r="AA2107" s="1779"/>
      <c r="AB2107" s="1779"/>
      <c r="AC2107" s="1779"/>
      <c r="AD2107" s="1779"/>
      <c r="AE2107" s="1779"/>
      <c r="AF2107" s="1779"/>
      <c r="AG2107" s="1779"/>
      <c r="AH2107" s="1779"/>
      <c r="AI2107" s="1779"/>
      <c r="AJ2107" s="1779"/>
      <c r="AK2107" s="1779"/>
      <c r="AL2107" s="1779"/>
      <c r="AM2107" s="1779"/>
      <c r="AN2107" s="1779"/>
      <c r="AO2107" s="1779"/>
      <c r="AP2107" s="1779"/>
      <c r="AQ2107" s="1779"/>
      <c r="AR2107" s="1779"/>
      <c r="AS2107" s="1779"/>
      <c r="AT2107" s="1779"/>
      <c r="AU2107" s="1779"/>
      <c r="AV2107" s="1779"/>
    </row>
    <row r="2108" spans="1:48" ht="21" customHeight="1">
      <c r="A2108" s="412"/>
      <c r="B2108" s="412" t="s">
        <v>1248</v>
      </c>
      <c r="C2108" s="412" t="s">
        <v>505</v>
      </c>
      <c r="D2108" s="1625"/>
      <c r="E2108" s="2224" t="s">
        <v>1931</v>
      </c>
      <c r="F2108" s="505">
        <v>2112</v>
      </c>
      <c r="G2108" s="410" t="s">
        <v>929</v>
      </c>
      <c r="H2108" s="626"/>
      <c r="I2108" s="511">
        <v>500</v>
      </c>
      <c r="J2108" s="511"/>
      <c r="K2108" s="543"/>
      <c r="L2108" s="702"/>
      <c r="M2108" s="419">
        <v>500</v>
      </c>
      <c r="N2108" s="73"/>
      <c r="O2108" s="86"/>
      <c r="P2108" s="1817" t="e">
        <f>INDEX(#REF!,MATCH(F2108,#REF!,0),2)</f>
        <v>#REF!</v>
      </c>
      <c r="Q2108" s="1796"/>
      <c r="R2108" s="1796"/>
      <c r="S2108" s="1796"/>
      <c r="T2108" s="1796"/>
      <c r="U2108" s="1796"/>
      <c r="V2108" s="1796"/>
      <c r="W2108" s="1796"/>
      <c r="X2108" s="1796"/>
      <c r="Y2108" s="1796"/>
      <c r="Z2108" s="1796"/>
      <c r="AA2108" s="1796"/>
      <c r="AB2108" s="1796"/>
      <c r="AC2108" s="1796"/>
      <c r="AD2108" s="1796"/>
      <c r="AE2108" s="1796"/>
      <c r="AF2108" s="1796"/>
      <c r="AG2108" s="1796"/>
      <c r="AH2108" s="1796"/>
      <c r="AI2108" s="1796"/>
      <c r="AJ2108" s="1796"/>
      <c r="AK2108" s="1796"/>
      <c r="AL2108" s="1796"/>
      <c r="AM2108" s="1796"/>
      <c r="AN2108" s="1796"/>
      <c r="AO2108" s="1796"/>
      <c r="AP2108" s="1796"/>
      <c r="AQ2108" s="1796"/>
      <c r="AR2108" s="1796"/>
      <c r="AS2108" s="1796"/>
      <c r="AT2108" s="1796"/>
      <c r="AU2108" s="1796"/>
      <c r="AV2108" s="1796"/>
    </row>
    <row r="2109" spans="1:48" ht="11.45" customHeight="1">
      <c r="A2109" s="506"/>
      <c r="B2109" s="506" t="s">
        <v>1248</v>
      </c>
      <c r="C2109" s="506" t="s">
        <v>505</v>
      </c>
      <c r="D2109" s="1624" t="s">
        <v>1777</v>
      </c>
      <c r="E2109" s="2223" t="s">
        <v>1931</v>
      </c>
      <c r="F2109" s="540">
        <v>2121</v>
      </c>
      <c r="G2109" s="411" t="s">
        <v>915</v>
      </c>
      <c r="H2109" s="579">
        <v>0</v>
      </c>
      <c r="I2109" s="604"/>
      <c r="J2109" s="2520" t="s">
        <v>2426</v>
      </c>
      <c r="K2109" s="698"/>
      <c r="L2109" s="619">
        <v>0</v>
      </c>
      <c r="M2109" s="619"/>
      <c r="N2109" s="73"/>
      <c r="O2109" s="86"/>
      <c r="P2109" s="1817" t="e">
        <f>INDEX(#REF!,MATCH(F2109,#REF!,0),2)</f>
        <v>#REF!</v>
      </c>
      <c r="Q2109" s="1779"/>
      <c r="R2109" s="1779"/>
      <c r="S2109" s="1779"/>
      <c r="T2109" s="1779"/>
      <c r="U2109" s="1779"/>
      <c r="V2109" s="1779"/>
      <c r="W2109" s="43"/>
      <c r="X2109" s="1779"/>
      <c r="Y2109" s="1779"/>
      <c r="Z2109" s="1779"/>
      <c r="AA2109" s="1779"/>
      <c r="AB2109" s="1779"/>
      <c r="AC2109" s="1779"/>
      <c r="AD2109" s="1779"/>
      <c r="AE2109" s="1779"/>
      <c r="AF2109" s="1779"/>
      <c r="AG2109" s="1779"/>
      <c r="AH2109" s="1779"/>
      <c r="AI2109" s="1779"/>
      <c r="AJ2109" s="1779"/>
      <c r="AK2109" s="1779"/>
      <c r="AL2109" s="1779"/>
      <c r="AM2109" s="1779"/>
      <c r="AN2109" s="1779"/>
      <c r="AO2109" s="1779"/>
      <c r="AP2109" s="1779"/>
      <c r="AQ2109" s="1779"/>
      <c r="AR2109" s="1779"/>
      <c r="AS2109" s="1779"/>
      <c r="AT2109" s="1779"/>
      <c r="AU2109" s="1779"/>
      <c r="AV2109" s="1779"/>
    </row>
    <row r="2110" spans="1:48" ht="21" customHeight="1">
      <c r="A2110" s="412"/>
      <c r="B2110" s="412" t="s">
        <v>1248</v>
      </c>
      <c r="C2110" s="412" t="s">
        <v>505</v>
      </c>
      <c r="D2110" s="1625"/>
      <c r="E2110" s="2224" t="s">
        <v>1931</v>
      </c>
      <c r="F2110" s="505">
        <v>2121</v>
      </c>
      <c r="G2110" s="410" t="s">
        <v>411</v>
      </c>
      <c r="H2110" s="626"/>
      <c r="I2110" s="511"/>
      <c r="J2110" s="511"/>
      <c r="K2110" s="543"/>
      <c r="L2110" s="626"/>
      <c r="M2110" s="420"/>
      <c r="N2110" s="73"/>
      <c r="O2110" s="86"/>
      <c r="P2110" s="1817" t="e">
        <f>INDEX(#REF!,MATCH(F2110,#REF!,0),2)</f>
        <v>#REF!</v>
      </c>
      <c r="Q2110" s="1796"/>
      <c r="R2110" s="1796"/>
      <c r="S2110" s="1796"/>
      <c r="T2110" s="1796"/>
      <c r="U2110" s="1796"/>
      <c r="V2110" s="1796"/>
      <c r="W2110" s="1796"/>
      <c r="X2110" s="1796"/>
      <c r="Y2110" s="1796"/>
      <c r="Z2110" s="1796"/>
      <c r="AA2110" s="1796"/>
      <c r="AB2110" s="1796"/>
      <c r="AC2110" s="1796"/>
      <c r="AD2110" s="1796"/>
      <c r="AE2110" s="1796"/>
      <c r="AF2110" s="1796"/>
      <c r="AG2110" s="1796"/>
      <c r="AH2110" s="1796"/>
      <c r="AI2110" s="1796"/>
      <c r="AJ2110" s="1796"/>
      <c r="AK2110" s="1796"/>
      <c r="AL2110" s="1796"/>
      <c r="AM2110" s="1796"/>
      <c r="AN2110" s="1796"/>
      <c r="AO2110" s="1796"/>
      <c r="AP2110" s="1796"/>
      <c r="AQ2110" s="1796"/>
      <c r="AR2110" s="1796"/>
      <c r="AS2110" s="1796"/>
      <c r="AT2110" s="1796"/>
      <c r="AU2110" s="1796"/>
      <c r="AV2110" s="1796"/>
    </row>
    <row r="2111" spans="1:48" ht="11.45" customHeight="1">
      <c r="A2111" s="506"/>
      <c r="B2111" s="506" t="s">
        <v>1248</v>
      </c>
      <c r="C2111" s="506" t="s">
        <v>505</v>
      </c>
      <c r="D2111" s="1624" t="s">
        <v>1777</v>
      </c>
      <c r="E2111" s="2223" t="s">
        <v>1931</v>
      </c>
      <c r="F2111" s="540">
        <v>2122</v>
      </c>
      <c r="G2111" s="411" t="s">
        <v>928</v>
      </c>
      <c r="H2111" s="579">
        <v>0</v>
      </c>
      <c r="I2111" s="604"/>
      <c r="J2111" s="2520" t="s">
        <v>2426</v>
      </c>
      <c r="K2111" s="698"/>
      <c r="L2111" s="619">
        <v>0</v>
      </c>
      <c r="M2111" s="619"/>
      <c r="N2111" s="73"/>
      <c r="O2111" s="86"/>
      <c r="P2111" s="1817" t="e">
        <f>INDEX(#REF!,MATCH(F2111,#REF!,0),2)</f>
        <v>#REF!</v>
      </c>
      <c r="Q2111" s="1779"/>
      <c r="R2111" s="1779"/>
      <c r="S2111" s="1779"/>
      <c r="T2111" s="1779"/>
      <c r="U2111" s="1779"/>
      <c r="V2111" s="1779"/>
      <c r="W2111" s="43"/>
      <c r="X2111" s="1779"/>
      <c r="Y2111" s="1779"/>
      <c r="Z2111" s="1779"/>
      <c r="AA2111" s="1779"/>
      <c r="AB2111" s="1779"/>
      <c r="AC2111" s="1779"/>
      <c r="AD2111" s="1779"/>
      <c r="AE2111" s="1779"/>
      <c r="AF2111" s="1779"/>
      <c r="AG2111" s="1779"/>
      <c r="AH2111" s="1779"/>
      <c r="AI2111" s="1779"/>
      <c r="AJ2111" s="1779"/>
      <c r="AK2111" s="1779"/>
      <c r="AL2111" s="1779"/>
      <c r="AM2111" s="1779"/>
      <c r="AN2111" s="1779"/>
      <c r="AO2111" s="1779"/>
      <c r="AP2111" s="1779"/>
      <c r="AQ2111" s="1779"/>
      <c r="AR2111" s="1779"/>
      <c r="AS2111" s="1779"/>
      <c r="AT2111" s="1779"/>
      <c r="AU2111" s="1779"/>
      <c r="AV2111" s="1779"/>
    </row>
    <row r="2112" spans="1:48" ht="18.600000000000001" customHeight="1">
      <c r="A2112" s="412"/>
      <c r="B2112" s="412" t="s">
        <v>1248</v>
      </c>
      <c r="C2112" s="412" t="s">
        <v>505</v>
      </c>
      <c r="D2112" s="1625"/>
      <c r="E2112" s="2224" t="s">
        <v>1931</v>
      </c>
      <c r="F2112" s="505">
        <v>2122</v>
      </c>
      <c r="G2112" s="410"/>
      <c r="H2112" s="626"/>
      <c r="I2112" s="511"/>
      <c r="J2112" s="511"/>
      <c r="K2112" s="543"/>
      <c r="L2112" s="626"/>
      <c r="M2112" s="420"/>
      <c r="N2112" s="73"/>
      <c r="O2112" s="86"/>
      <c r="P2112" s="1817" t="e">
        <f>INDEX(#REF!,MATCH(F2112,#REF!,0),2)</f>
        <v>#REF!</v>
      </c>
      <c r="Q2112" s="1796"/>
      <c r="R2112" s="1796"/>
      <c r="S2112" s="1796"/>
      <c r="T2112" s="1796"/>
      <c r="U2112" s="1796"/>
      <c r="V2112" s="1796"/>
      <c r="W2112" s="1796"/>
      <c r="X2112" s="1796"/>
      <c r="Y2112" s="1796"/>
      <c r="Z2112" s="1796"/>
      <c r="AA2112" s="1796"/>
      <c r="AB2112" s="1796"/>
      <c r="AC2112" s="1796"/>
      <c r="AD2112" s="1796"/>
      <c r="AE2112" s="1796"/>
      <c r="AF2112" s="1796"/>
      <c r="AG2112" s="1796"/>
      <c r="AH2112" s="1796"/>
      <c r="AI2112" s="1796"/>
      <c r="AJ2112" s="1796"/>
      <c r="AK2112" s="1796"/>
      <c r="AL2112" s="1796"/>
      <c r="AM2112" s="1796"/>
      <c r="AN2112" s="1796"/>
      <c r="AO2112" s="1796"/>
      <c r="AP2112" s="1796"/>
      <c r="AQ2112" s="1796"/>
      <c r="AR2112" s="1796"/>
      <c r="AS2112" s="1796"/>
      <c r="AT2112" s="1796"/>
      <c r="AU2112" s="1796"/>
      <c r="AV2112" s="1796"/>
    </row>
    <row r="2113" spans="1:48" ht="11.45" customHeight="1">
      <c r="A2113" s="506"/>
      <c r="B2113" s="506" t="s">
        <v>1248</v>
      </c>
      <c r="C2113" s="506" t="s">
        <v>507</v>
      </c>
      <c r="D2113" s="1624" t="s">
        <v>1777</v>
      </c>
      <c r="E2113" s="2223" t="s">
        <v>1931</v>
      </c>
      <c r="F2113" s="540">
        <v>2210</v>
      </c>
      <c r="G2113" s="411" t="s">
        <v>879</v>
      </c>
      <c r="H2113" s="579">
        <v>250</v>
      </c>
      <c r="I2113" s="604"/>
      <c r="J2113" s="2520">
        <v>182.67</v>
      </c>
      <c r="K2113" s="695"/>
      <c r="L2113" s="579">
        <v>250</v>
      </c>
      <c r="M2113" s="579"/>
      <c r="N2113" s="73"/>
      <c r="O2113" s="86"/>
      <c r="P2113" s="1817" t="e">
        <f>INDEX(#REF!,MATCH(F2113,#REF!,0),2)</f>
        <v>#REF!</v>
      </c>
      <c r="Q2113" s="1779"/>
      <c r="R2113" s="1779"/>
      <c r="S2113" s="1779"/>
      <c r="T2113" s="1779"/>
      <c r="U2113" s="1779"/>
      <c r="V2113" s="1779"/>
      <c r="W2113" s="43"/>
      <c r="X2113" s="1779"/>
      <c r="Y2113" s="1779"/>
      <c r="Z2113" s="1779"/>
      <c r="AA2113" s="1779"/>
      <c r="AB2113" s="1779"/>
      <c r="AC2113" s="1779"/>
      <c r="AD2113" s="1779"/>
      <c r="AE2113" s="1779"/>
      <c r="AF2113" s="1779"/>
      <c r="AG2113" s="1779"/>
      <c r="AH2113" s="1779"/>
      <c r="AI2113" s="1779"/>
      <c r="AJ2113" s="1779"/>
      <c r="AK2113" s="1779"/>
      <c r="AL2113" s="1779"/>
      <c r="AM2113" s="1779"/>
      <c r="AN2113" s="1779"/>
      <c r="AO2113" s="1779"/>
      <c r="AP2113" s="1779"/>
      <c r="AQ2113" s="1779"/>
      <c r="AR2113" s="1779"/>
      <c r="AS2113" s="1779"/>
      <c r="AT2113" s="1779"/>
      <c r="AU2113" s="1779"/>
      <c r="AV2113" s="1779"/>
    </row>
    <row r="2114" spans="1:48" ht="18.600000000000001" customHeight="1">
      <c r="A2114" s="412"/>
      <c r="B2114" s="412" t="s">
        <v>1248</v>
      </c>
      <c r="C2114" s="412" t="s">
        <v>507</v>
      </c>
      <c r="D2114" s="1625"/>
      <c r="E2114" s="2224" t="s">
        <v>1931</v>
      </c>
      <c r="F2114" s="505">
        <v>2210</v>
      </c>
      <c r="G2114" s="2774" t="s">
        <v>3846</v>
      </c>
      <c r="H2114" s="626"/>
      <c r="I2114" s="511">
        <v>200</v>
      </c>
      <c r="J2114" s="511"/>
      <c r="K2114" s="543"/>
      <c r="L2114" s="702"/>
      <c r="M2114" s="419">
        <v>200</v>
      </c>
      <c r="N2114" s="73"/>
      <c r="O2114" s="86"/>
      <c r="P2114" s="1817" t="e">
        <f>INDEX(#REF!,MATCH(F2114,#REF!,0),2)</f>
        <v>#REF!</v>
      </c>
      <c r="Q2114" s="1796"/>
      <c r="R2114" s="1796"/>
      <c r="S2114" s="1796"/>
      <c r="T2114" s="1796"/>
      <c r="U2114" s="1796"/>
      <c r="V2114" s="1796"/>
      <c r="W2114" s="1796"/>
      <c r="X2114" s="1796"/>
      <c r="Y2114" s="1796"/>
      <c r="Z2114" s="1796"/>
      <c r="AA2114" s="1796"/>
      <c r="AB2114" s="1796"/>
      <c r="AC2114" s="1796"/>
      <c r="AD2114" s="1796"/>
      <c r="AE2114" s="1796"/>
      <c r="AF2114" s="1796"/>
      <c r="AG2114" s="1796"/>
      <c r="AH2114" s="1796"/>
      <c r="AI2114" s="1796"/>
      <c r="AJ2114" s="1796"/>
      <c r="AK2114" s="1796"/>
      <c r="AL2114" s="1796"/>
      <c r="AM2114" s="1796"/>
      <c r="AN2114" s="1796"/>
      <c r="AO2114" s="1796"/>
      <c r="AP2114" s="1796"/>
      <c r="AQ2114" s="1796"/>
      <c r="AR2114" s="1796"/>
      <c r="AS2114" s="1796"/>
      <c r="AT2114" s="1796"/>
      <c r="AU2114" s="1796"/>
      <c r="AV2114" s="1796"/>
    </row>
    <row r="2115" spans="1:48" ht="11.45" customHeight="1">
      <c r="A2115" s="412"/>
      <c r="B2115" s="412" t="s">
        <v>1248</v>
      </c>
      <c r="C2115" s="412" t="s">
        <v>507</v>
      </c>
      <c r="D2115" s="1625"/>
      <c r="E2115" s="2224" t="s">
        <v>1931</v>
      </c>
      <c r="F2115" s="505">
        <v>2210</v>
      </c>
      <c r="G2115" s="410" t="s">
        <v>930</v>
      </c>
      <c r="H2115" s="626"/>
      <c r="I2115" s="511">
        <v>50</v>
      </c>
      <c r="J2115" s="511"/>
      <c r="K2115" s="543"/>
      <c r="L2115" s="702"/>
      <c r="M2115" s="419">
        <v>50</v>
      </c>
      <c r="N2115" s="73"/>
      <c r="O2115" s="86"/>
      <c r="P2115" s="1817" t="e">
        <f>INDEX(#REF!,MATCH(F2115,#REF!,0),2)</f>
        <v>#REF!</v>
      </c>
      <c r="Q2115" s="1779"/>
      <c r="R2115" s="1779"/>
      <c r="S2115" s="1779"/>
      <c r="T2115" s="1779"/>
      <c r="U2115" s="1779"/>
      <c r="V2115" s="1779"/>
      <c r="W2115" s="43"/>
      <c r="X2115" s="1779"/>
      <c r="Y2115" s="1779"/>
      <c r="Z2115" s="1779"/>
      <c r="AA2115" s="1779"/>
      <c r="AB2115" s="1779"/>
      <c r="AC2115" s="1779"/>
      <c r="AD2115" s="1779"/>
      <c r="AE2115" s="1779"/>
      <c r="AF2115" s="1779"/>
      <c r="AG2115" s="1779"/>
      <c r="AH2115" s="1779"/>
      <c r="AI2115" s="1779"/>
      <c r="AJ2115" s="1779"/>
      <c r="AK2115" s="1779"/>
      <c r="AL2115" s="1779"/>
      <c r="AM2115" s="1779"/>
      <c r="AN2115" s="1779"/>
      <c r="AO2115" s="1779"/>
      <c r="AP2115" s="1779"/>
      <c r="AQ2115" s="1779"/>
      <c r="AR2115" s="1779"/>
      <c r="AS2115" s="1779"/>
      <c r="AT2115" s="1779"/>
      <c r="AU2115" s="1779"/>
      <c r="AV2115" s="1779"/>
    </row>
    <row r="2116" spans="1:48" ht="13.9" customHeight="1">
      <c r="A2116" s="506"/>
      <c r="B2116" s="506" t="s">
        <v>1248</v>
      </c>
      <c r="C2116" s="506" t="s">
        <v>505</v>
      </c>
      <c r="D2116" s="1624" t="s">
        <v>1777</v>
      </c>
      <c r="E2116" s="2223" t="s">
        <v>1931</v>
      </c>
      <c r="F2116" s="540">
        <v>2231</v>
      </c>
      <c r="G2116" s="411" t="s">
        <v>5765</v>
      </c>
      <c r="H2116" s="579">
        <v>2000</v>
      </c>
      <c r="I2116" s="619"/>
      <c r="J2116" s="2520">
        <v>0</v>
      </c>
      <c r="K2116" s="695"/>
      <c r="L2116" s="579">
        <v>0</v>
      </c>
      <c r="M2116" s="619"/>
      <c r="N2116" s="2845"/>
      <c r="O2116" s="86"/>
      <c r="P2116" s="1817" t="e">
        <f>INDEX(#REF!,MATCH(F2116,#REF!,0),2)</f>
        <v>#REF!</v>
      </c>
      <c r="Q2116" s="1796"/>
      <c r="R2116" s="1796"/>
      <c r="S2116" s="1796"/>
      <c r="T2116" s="1796"/>
      <c r="U2116" s="1796"/>
      <c r="V2116" s="1796"/>
      <c r="W2116" s="1796"/>
      <c r="X2116" s="1796"/>
      <c r="Y2116" s="1796"/>
      <c r="Z2116" s="1796"/>
      <c r="AA2116" s="1796"/>
      <c r="AB2116" s="1796"/>
      <c r="AC2116" s="1796"/>
      <c r="AD2116" s="1796"/>
      <c r="AE2116" s="1796"/>
      <c r="AF2116" s="1796"/>
      <c r="AG2116" s="1796"/>
      <c r="AH2116" s="1796"/>
      <c r="AI2116" s="1796"/>
      <c r="AJ2116" s="1796"/>
      <c r="AK2116" s="1796"/>
      <c r="AL2116" s="1796"/>
      <c r="AM2116" s="1796"/>
      <c r="AN2116" s="1796"/>
      <c r="AO2116" s="1796"/>
      <c r="AP2116" s="1796"/>
      <c r="AQ2116" s="1796"/>
      <c r="AR2116" s="1796"/>
      <c r="AS2116" s="1796"/>
      <c r="AT2116" s="1796"/>
      <c r="AU2116" s="1796"/>
      <c r="AV2116" s="1796"/>
    </row>
    <row r="2117" spans="1:48" ht="24" customHeight="1">
      <c r="A2117" s="412"/>
      <c r="B2117" s="412" t="s">
        <v>1248</v>
      </c>
      <c r="C2117" s="412" t="s">
        <v>505</v>
      </c>
      <c r="D2117" s="1625"/>
      <c r="E2117" s="2224" t="s">
        <v>1931</v>
      </c>
      <c r="F2117" s="505">
        <v>2231</v>
      </c>
      <c r="G2117" s="410"/>
      <c r="H2117" s="626"/>
      <c r="I2117" s="703"/>
      <c r="J2117" s="511"/>
      <c r="K2117" s="543"/>
      <c r="L2117" s="626"/>
      <c r="M2117" s="419"/>
      <c r="N2117" s="73"/>
      <c r="O2117" s="86"/>
      <c r="P2117" s="1817" t="e">
        <f>INDEX(#REF!,MATCH(F2117,#REF!,0),2)</f>
        <v>#REF!</v>
      </c>
      <c r="Q2117" s="1779"/>
      <c r="R2117" s="1779"/>
      <c r="S2117" s="1779"/>
      <c r="T2117" s="1779"/>
      <c r="U2117" s="1779"/>
      <c r="V2117" s="1779"/>
      <c r="W2117" s="43"/>
      <c r="X2117" s="1779"/>
      <c r="Y2117" s="1779"/>
      <c r="Z2117" s="1779"/>
      <c r="AA2117" s="1779"/>
      <c r="AB2117" s="1779"/>
      <c r="AC2117" s="1779"/>
      <c r="AD2117" s="1779"/>
      <c r="AE2117" s="1779"/>
      <c r="AF2117" s="1779"/>
      <c r="AG2117" s="1779"/>
      <c r="AH2117" s="1779"/>
      <c r="AI2117" s="1779"/>
      <c r="AJ2117" s="1779"/>
      <c r="AK2117" s="1779"/>
      <c r="AL2117" s="1779"/>
      <c r="AM2117" s="1779"/>
      <c r="AN2117" s="1779"/>
      <c r="AO2117" s="1779"/>
      <c r="AP2117" s="1779"/>
      <c r="AQ2117" s="1779"/>
      <c r="AR2117" s="1779"/>
      <c r="AS2117" s="1779"/>
      <c r="AT2117" s="1779"/>
      <c r="AU2117" s="1779"/>
      <c r="AV2117" s="1779"/>
    </row>
    <row r="2118" spans="1:48" ht="49.5" customHeight="1">
      <c r="A2118" s="506"/>
      <c r="B2118" s="506" t="s">
        <v>1248</v>
      </c>
      <c r="C2118" s="506" t="s">
        <v>505</v>
      </c>
      <c r="D2118" s="1624" t="s">
        <v>1777</v>
      </c>
      <c r="E2118" s="2223" t="s">
        <v>1931</v>
      </c>
      <c r="F2118" s="540">
        <v>2233</v>
      </c>
      <c r="G2118" s="411" t="s">
        <v>373</v>
      </c>
      <c r="H2118" s="579">
        <v>10900</v>
      </c>
      <c r="I2118" s="619"/>
      <c r="J2118" s="2520">
        <v>5631.31</v>
      </c>
      <c r="K2118" s="695"/>
      <c r="L2118" s="579">
        <v>12900</v>
      </c>
      <c r="M2118" s="619"/>
      <c r="N2118" s="2845" t="s">
        <v>3847</v>
      </c>
      <c r="O2118" s="86"/>
      <c r="P2118" s="1817" t="e">
        <f>INDEX(#REF!,MATCH(F2118,#REF!,0),2)</f>
        <v>#REF!</v>
      </c>
      <c r="Q2118" s="1779"/>
      <c r="R2118" s="1779"/>
      <c r="S2118" s="1779"/>
      <c r="T2118" s="1779"/>
      <c r="U2118" s="1779"/>
      <c r="V2118" s="1779"/>
      <c r="W2118" s="43"/>
      <c r="X2118" s="1779"/>
      <c r="Y2118" s="1779"/>
      <c r="Z2118" s="1779"/>
      <c r="AA2118" s="1779"/>
      <c r="AB2118" s="1779"/>
      <c r="AC2118" s="1779"/>
      <c r="AD2118" s="1779"/>
      <c r="AE2118" s="1779"/>
      <c r="AF2118" s="1779"/>
      <c r="AG2118" s="1779"/>
      <c r="AH2118" s="1779"/>
      <c r="AI2118" s="1779"/>
      <c r="AJ2118" s="1779"/>
      <c r="AK2118" s="1779"/>
      <c r="AL2118" s="1779"/>
      <c r="AM2118" s="1779"/>
      <c r="AN2118" s="1779"/>
      <c r="AO2118" s="1779"/>
      <c r="AP2118" s="1779"/>
      <c r="AQ2118" s="1779"/>
      <c r="AR2118" s="1779"/>
      <c r="AS2118" s="1779"/>
      <c r="AT2118" s="1779"/>
      <c r="AU2118" s="1779"/>
      <c r="AV2118" s="1779"/>
    </row>
    <row r="2119" spans="1:48" ht="11.45" customHeight="1">
      <c r="A2119" s="412"/>
      <c r="B2119" s="412" t="s">
        <v>1248</v>
      </c>
      <c r="C2119" s="412" t="s">
        <v>505</v>
      </c>
      <c r="D2119" s="1625"/>
      <c r="E2119" s="2224" t="s">
        <v>1931</v>
      </c>
      <c r="F2119" s="505">
        <v>2233</v>
      </c>
      <c r="G2119" s="410" t="s">
        <v>412</v>
      </c>
      <c r="H2119" s="626"/>
      <c r="I2119" s="703">
        <v>400</v>
      </c>
      <c r="J2119" s="511"/>
      <c r="K2119" s="543"/>
      <c r="L2119" s="626"/>
      <c r="M2119" s="419">
        <v>400</v>
      </c>
      <c r="N2119" s="73"/>
      <c r="O2119" s="86"/>
      <c r="P2119" s="1817" t="e">
        <f>INDEX(#REF!,MATCH(F2119,#REF!,0),2)</f>
        <v>#REF!</v>
      </c>
      <c r="Q2119" s="1779"/>
      <c r="R2119" s="1779"/>
      <c r="S2119" s="1779"/>
      <c r="T2119" s="1779"/>
      <c r="U2119" s="1779"/>
      <c r="V2119" s="1779"/>
      <c r="W2119" s="43"/>
      <c r="X2119" s="1779"/>
      <c r="Y2119" s="1779"/>
      <c r="Z2119" s="1779"/>
      <c r="AA2119" s="1779"/>
      <c r="AB2119" s="1779"/>
      <c r="AC2119" s="1779"/>
      <c r="AD2119" s="1779"/>
      <c r="AE2119" s="1779"/>
      <c r="AF2119" s="1779"/>
      <c r="AG2119" s="1779"/>
      <c r="AH2119" s="1779"/>
      <c r="AI2119" s="1779"/>
      <c r="AJ2119" s="1779"/>
      <c r="AK2119" s="1779"/>
      <c r="AL2119" s="1779"/>
      <c r="AM2119" s="1779"/>
      <c r="AN2119" s="1779"/>
      <c r="AO2119" s="1779"/>
      <c r="AP2119" s="1779"/>
      <c r="AQ2119" s="1779"/>
      <c r="AR2119" s="1779"/>
      <c r="AS2119" s="1779"/>
      <c r="AT2119" s="1779"/>
      <c r="AU2119" s="1779"/>
      <c r="AV2119" s="1779"/>
    </row>
    <row r="2120" spans="1:48" ht="14.45" customHeight="1">
      <c r="A2120" s="412" t="s">
        <v>932</v>
      </c>
      <c r="B2120" s="412" t="s">
        <v>1248</v>
      </c>
      <c r="C2120" s="412" t="s">
        <v>505</v>
      </c>
      <c r="D2120" s="1625"/>
      <c r="E2120" s="2224" t="s">
        <v>1931</v>
      </c>
      <c r="F2120" s="505">
        <v>2233</v>
      </c>
      <c r="G2120" s="410" t="s">
        <v>1316</v>
      </c>
      <c r="H2120" s="626"/>
      <c r="I2120" s="703">
        <v>1500</v>
      </c>
      <c r="J2120" s="511"/>
      <c r="K2120" s="543"/>
      <c r="L2120" s="626"/>
      <c r="M2120" s="419">
        <v>1500</v>
      </c>
      <c r="N2120" s="73"/>
      <c r="O2120" s="86"/>
      <c r="P2120" s="1817" t="e">
        <f>INDEX(#REF!,MATCH(F2120,#REF!,0),2)</f>
        <v>#REF!</v>
      </c>
      <c r="Q2120" s="1779"/>
      <c r="R2120" s="1779"/>
      <c r="S2120" s="1779"/>
      <c r="T2120" s="1779"/>
      <c r="U2120" s="1779"/>
      <c r="V2120" s="1779"/>
      <c r="W2120" s="43"/>
      <c r="X2120" s="1779"/>
      <c r="Y2120" s="1779"/>
      <c r="Z2120" s="1779"/>
      <c r="AA2120" s="1779"/>
      <c r="AB2120" s="1779"/>
      <c r="AC2120" s="1779"/>
      <c r="AD2120" s="1779"/>
      <c r="AE2120" s="1779"/>
      <c r="AF2120" s="1779"/>
      <c r="AG2120" s="1779"/>
      <c r="AH2120" s="1779"/>
      <c r="AI2120" s="1779"/>
      <c r="AJ2120" s="1779"/>
      <c r="AK2120" s="1779"/>
      <c r="AL2120" s="1779"/>
      <c r="AM2120" s="1779"/>
      <c r="AN2120" s="1779"/>
      <c r="AO2120" s="1779"/>
      <c r="AP2120" s="1779"/>
      <c r="AQ2120" s="1779"/>
      <c r="AR2120" s="1779"/>
      <c r="AS2120" s="1779"/>
      <c r="AT2120" s="1779"/>
      <c r="AU2120" s="1779"/>
      <c r="AV2120" s="1779"/>
    </row>
    <row r="2121" spans="1:48" ht="22.9" customHeight="1">
      <c r="A2121" s="412"/>
      <c r="B2121" s="412" t="s">
        <v>1248</v>
      </c>
      <c r="C2121" s="412" t="s">
        <v>505</v>
      </c>
      <c r="D2121" s="1625"/>
      <c r="E2121" s="2224" t="s">
        <v>1931</v>
      </c>
      <c r="F2121" s="505">
        <v>2233</v>
      </c>
      <c r="G2121" s="410" t="s">
        <v>1317</v>
      </c>
      <c r="H2121" s="626"/>
      <c r="I2121" s="703">
        <v>1000</v>
      </c>
      <c r="J2121" s="511"/>
      <c r="K2121" s="543"/>
      <c r="L2121" s="626"/>
      <c r="M2121" s="419">
        <v>1000</v>
      </c>
      <c r="N2121" s="73"/>
      <c r="O2121" s="86"/>
      <c r="P2121" s="1817" t="e">
        <f>INDEX(#REF!,MATCH(F2121,#REF!,0),2)</f>
        <v>#REF!</v>
      </c>
      <c r="Q2121" s="1779"/>
      <c r="R2121" s="1779"/>
      <c r="S2121" s="1779"/>
      <c r="T2121" s="1779"/>
      <c r="U2121" s="1779"/>
      <c r="V2121" s="1779"/>
      <c r="W2121" s="43"/>
      <c r="X2121" s="1779"/>
      <c r="Y2121" s="1779"/>
      <c r="Z2121" s="1779"/>
      <c r="AA2121" s="1779"/>
      <c r="AB2121" s="1779"/>
      <c r="AC2121" s="1779"/>
      <c r="AD2121" s="1779"/>
      <c r="AE2121" s="1779"/>
      <c r="AF2121" s="1779"/>
      <c r="AG2121" s="1779"/>
      <c r="AH2121" s="1779"/>
      <c r="AI2121" s="1779"/>
      <c r="AJ2121" s="1779"/>
      <c r="AK2121" s="1779"/>
      <c r="AL2121" s="1779"/>
      <c r="AM2121" s="1779"/>
      <c r="AN2121" s="1779"/>
      <c r="AO2121" s="1779"/>
      <c r="AP2121" s="1779"/>
      <c r="AQ2121" s="1779"/>
      <c r="AR2121" s="1779"/>
      <c r="AS2121" s="1779"/>
      <c r="AT2121" s="1779"/>
      <c r="AU2121" s="1779"/>
      <c r="AV2121" s="1779"/>
    </row>
    <row r="2122" spans="1:48" ht="11.45" customHeight="1">
      <c r="A2122" s="412"/>
      <c r="B2122" s="412" t="s">
        <v>1248</v>
      </c>
      <c r="C2122" s="412" t="s">
        <v>505</v>
      </c>
      <c r="D2122" s="1625"/>
      <c r="E2122" s="2224" t="s">
        <v>1931</v>
      </c>
      <c r="F2122" s="505">
        <v>2233</v>
      </c>
      <c r="G2122" s="2774" t="s">
        <v>931</v>
      </c>
      <c r="H2122" s="626"/>
      <c r="I2122" s="703">
        <v>8000</v>
      </c>
      <c r="J2122" s="511"/>
      <c r="K2122" s="543"/>
      <c r="L2122" s="626"/>
      <c r="M2122" s="419">
        <v>10000</v>
      </c>
      <c r="N2122" s="73"/>
      <c r="O2122" s="86"/>
      <c r="P2122" s="1817" t="e">
        <f>INDEX(#REF!,MATCH(F2122,#REF!,0),2)</f>
        <v>#REF!</v>
      </c>
      <c r="Q2122" s="1779"/>
      <c r="R2122" s="1779"/>
      <c r="S2122" s="1779"/>
      <c r="T2122" s="1779"/>
      <c r="U2122" s="1779"/>
      <c r="V2122" s="1779"/>
      <c r="W2122" s="43"/>
      <c r="X2122" s="1779"/>
      <c r="Y2122" s="1779"/>
      <c r="Z2122" s="1779"/>
      <c r="AA2122" s="1779"/>
      <c r="AB2122" s="1779"/>
      <c r="AC2122" s="1779"/>
      <c r="AD2122" s="1779"/>
      <c r="AE2122" s="1779"/>
      <c r="AF2122" s="1779"/>
      <c r="AG2122" s="1779"/>
      <c r="AH2122" s="1779"/>
      <c r="AI2122" s="1779"/>
      <c r="AJ2122" s="1779"/>
      <c r="AK2122" s="1779"/>
      <c r="AL2122" s="1779"/>
      <c r="AM2122" s="1779"/>
      <c r="AN2122" s="1779"/>
      <c r="AO2122" s="1779"/>
      <c r="AP2122" s="1779"/>
      <c r="AQ2122" s="1779"/>
      <c r="AR2122" s="1779"/>
      <c r="AS2122" s="1779"/>
      <c r="AT2122" s="1779"/>
      <c r="AU2122" s="1779"/>
      <c r="AV2122" s="1779"/>
    </row>
    <row r="2123" spans="1:48" ht="11.45" customHeight="1">
      <c r="A2123" s="506"/>
      <c r="B2123" s="506" t="s">
        <v>1248</v>
      </c>
      <c r="C2123" s="506" t="s">
        <v>505</v>
      </c>
      <c r="D2123" s="1624" t="s">
        <v>1777</v>
      </c>
      <c r="E2123" s="2223" t="s">
        <v>1931</v>
      </c>
      <c r="F2123" s="540">
        <v>2234</v>
      </c>
      <c r="G2123" s="411" t="s">
        <v>235</v>
      </c>
      <c r="H2123" s="579">
        <v>1120</v>
      </c>
      <c r="I2123" s="619"/>
      <c r="J2123" s="2520">
        <v>507.4</v>
      </c>
      <c r="K2123" s="695"/>
      <c r="L2123" s="579">
        <v>1120</v>
      </c>
      <c r="M2123" s="579"/>
      <c r="N2123" s="73"/>
      <c r="O2123" s="86"/>
      <c r="P2123" s="1817" t="e">
        <f>INDEX(#REF!,MATCH(F2123,#REF!,0),2)</f>
        <v>#REF!</v>
      </c>
      <c r="Q2123" s="1779"/>
      <c r="R2123" s="1779"/>
      <c r="S2123" s="1779"/>
      <c r="T2123" s="1779"/>
      <c r="U2123" s="1779"/>
      <c r="V2123" s="1779"/>
      <c r="W2123" s="43"/>
      <c r="X2123" s="1779"/>
      <c r="Y2123" s="1779"/>
      <c r="Z2123" s="1779"/>
      <c r="AA2123" s="1779"/>
      <c r="AB2123" s="1779"/>
      <c r="AC2123" s="1779"/>
      <c r="AD2123" s="1779"/>
      <c r="AE2123" s="1779"/>
      <c r="AF2123" s="1779"/>
      <c r="AG2123" s="1779"/>
      <c r="AH2123" s="1779"/>
      <c r="AI2123" s="1779"/>
      <c r="AJ2123" s="1779"/>
      <c r="AK2123" s="1779"/>
      <c r="AL2123" s="1779"/>
      <c r="AM2123" s="1779"/>
      <c r="AN2123" s="1779"/>
      <c r="AO2123" s="1779"/>
      <c r="AP2123" s="1779"/>
      <c r="AQ2123" s="1779"/>
      <c r="AR2123" s="1779"/>
      <c r="AS2123" s="1779"/>
      <c r="AT2123" s="1779"/>
      <c r="AU2123" s="1779"/>
      <c r="AV2123" s="1779"/>
    </row>
    <row r="2124" spans="1:48" ht="30.6" customHeight="1">
      <c r="A2124" s="412"/>
      <c r="B2124" s="412" t="s">
        <v>1248</v>
      </c>
      <c r="C2124" s="412" t="s">
        <v>505</v>
      </c>
      <c r="D2124" s="1625"/>
      <c r="E2124" s="2224" t="s">
        <v>1931</v>
      </c>
      <c r="F2124" s="505">
        <v>2234</v>
      </c>
      <c r="G2124" s="410" t="s">
        <v>736</v>
      </c>
      <c r="H2124" s="626"/>
      <c r="I2124" s="703">
        <v>1120</v>
      </c>
      <c r="J2124" s="511"/>
      <c r="K2124" s="543"/>
      <c r="L2124" s="419"/>
      <c r="M2124" s="419">
        <v>1120</v>
      </c>
      <c r="N2124" s="73"/>
      <c r="O2124" s="86"/>
      <c r="P2124" s="1817" t="e">
        <f>INDEX(#REF!,MATCH(F2124,#REF!,0),2)</f>
        <v>#REF!</v>
      </c>
      <c r="Q2124" s="1779"/>
      <c r="R2124" s="1779"/>
      <c r="S2124" s="1779"/>
      <c r="T2124" s="1779"/>
      <c r="U2124" s="1779"/>
      <c r="V2124" s="1779"/>
      <c r="W2124" s="43"/>
      <c r="X2124" s="1779"/>
      <c r="Y2124" s="1779"/>
      <c r="Z2124" s="1779"/>
      <c r="AA2124" s="1779"/>
      <c r="AB2124" s="1779"/>
      <c r="AC2124" s="1779"/>
      <c r="AD2124" s="1779"/>
      <c r="AE2124" s="1779"/>
      <c r="AF2124" s="1779"/>
      <c r="AG2124" s="1779"/>
      <c r="AH2124" s="1779"/>
      <c r="AI2124" s="1779"/>
      <c r="AJ2124" s="1779"/>
      <c r="AK2124" s="1779"/>
      <c r="AL2124" s="1779"/>
      <c r="AM2124" s="1779"/>
      <c r="AN2124" s="1779"/>
      <c r="AO2124" s="1779"/>
      <c r="AP2124" s="1779"/>
      <c r="AQ2124" s="1779"/>
      <c r="AR2124" s="1779"/>
      <c r="AS2124" s="1779"/>
      <c r="AT2124" s="1779"/>
      <c r="AU2124" s="1779"/>
      <c r="AV2124" s="1779"/>
    </row>
    <row r="2125" spans="1:48" ht="14.45" customHeight="1">
      <c r="A2125" s="506"/>
      <c r="B2125" s="506" t="s">
        <v>1248</v>
      </c>
      <c r="C2125" s="506" t="s">
        <v>505</v>
      </c>
      <c r="D2125" s="1624" t="s">
        <v>1777</v>
      </c>
      <c r="E2125" s="2223" t="s">
        <v>1931</v>
      </c>
      <c r="F2125" s="540">
        <v>2235</v>
      </c>
      <c r="G2125" s="411" t="s">
        <v>2431</v>
      </c>
      <c r="H2125" s="579">
        <v>400</v>
      </c>
      <c r="I2125" s="619"/>
      <c r="J2125" s="2520" t="s">
        <v>2426</v>
      </c>
      <c r="K2125" s="695"/>
      <c r="L2125" s="579">
        <v>400</v>
      </c>
      <c r="M2125" s="579"/>
      <c r="N2125" s="73"/>
      <c r="O2125" s="86"/>
      <c r="P2125" s="1817" t="e">
        <f>INDEX(#REF!,MATCH(F2125,#REF!,0),2)</f>
        <v>#REF!</v>
      </c>
      <c r="Q2125" s="1779"/>
      <c r="R2125" s="1779"/>
      <c r="S2125" s="1779"/>
      <c r="T2125" s="1779"/>
      <c r="U2125" s="1779"/>
      <c r="V2125" s="1779"/>
      <c r="W2125" s="43"/>
      <c r="X2125" s="1779"/>
      <c r="Y2125" s="1779"/>
      <c r="Z2125" s="1779"/>
      <c r="AA2125" s="1779"/>
      <c r="AB2125" s="1779"/>
      <c r="AC2125" s="1779"/>
      <c r="AD2125" s="1779"/>
      <c r="AE2125" s="1779"/>
      <c r="AF2125" s="1779"/>
      <c r="AG2125" s="1779"/>
      <c r="AH2125" s="1779"/>
      <c r="AI2125" s="1779"/>
      <c r="AJ2125" s="1779"/>
      <c r="AK2125" s="1779"/>
      <c r="AL2125" s="1779"/>
      <c r="AM2125" s="1779"/>
      <c r="AN2125" s="1779"/>
      <c r="AO2125" s="1779"/>
      <c r="AP2125" s="1779"/>
      <c r="AQ2125" s="1779"/>
      <c r="AR2125" s="1779"/>
      <c r="AS2125" s="1779"/>
      <c r="AT2125" s="1779"/>
      <c r="AU2125" s="1779"/>
      <c r="AV2125" s="1779"/>
    </row>
    <row r="2126" spans="1:48" ht="21" customHeight="1">
      <c r="A2126" s="412"/>
      <c r="B2126" s="412" t="s">
        <v>1248</v>
      </c>
      <c r="C2126" s="412" t="s">
        <v>507</v>
      </c>
      <c r="D2126" s="1625"/>
      <c r="E2126" s="2224" t="s">
        <v>1931</v>
      </c>
      <c r="F2126" s="505">
        <v>2235</v>
      </c>
      <c r="G2126" s="410" t="s">
        <v>418</v>
      </c>
      <c r="H2126" s="626"/>
      <c r="I2126" s="419">
        <v>400</v>
      </c>
      <c r="J2126" s="511"/>
      <c r="K2126" s="543"/>
      <c r="L2126" s="702"/>
      <c r="M2126" s="419">
        <v>400</v>
      </c>
      <c r="N2126" s="2847"/>
      <c r="O2126" s="86"/>
      <c r="P2126" s="1817" t="e">
        <f>INDEX(#REF!,MATCH(F2126,#REF!,0),2)</f>
        <v>#REF!</v>
      </c>
      <c r="Q2126" s="1779"/>
      <c r="R2126" s="1779"/>
      <c r="S2126" s="1779"/>
      <c r="T2126" s="1779"/>
      <c r="U2126" s="1779"/>
      <c r="V2126" s="1779"/>
      <c r="W2126" s="43"/>
      <c r="X2126" s="1779"/>
      <c r="Y2126" s="1779"/>
      <c r="Z2126" s="1779"/>
      <c r="AA2126" s="1779"/>
      <c r="AB2126" s="1779"/>
      <c r="AC2126" s="1779"/>
      <c r="AD2126" s="1779"/>
      <c r="AE2126" s="1779"/>
      <c r="AF2126" s="1779"/>
      <c r="AG2126" s="1779"/>
      <c r="AH2126" s="1779"/>
      <c r="AI2126" s="1779"/>
      <c r="AJ2126" s="1779"/>
      <c r="AK2126" s="1779"/>
      <c r="AL2126" s="1779"/>
      <c r="AM2126" s="1779"/>
      <c r="AN2126" s="1779"/>
      <c r="AO2126" s="1779"/>
      <c r="AP2126" s="1779"/>
      <c r="AQ2126" s="1779"/>
      <c r="AR2126" s="1779"/>
      <c r="AS2126" s="1779"/>
      <c r="AT2126" s="1779"/>
      <c r="AU2126" s="1779"/>
      <c r="AV2126" s="1779"/>
    </row>
    <row r="2127" spans="1:48" ht="11.45" customHeight="1">
      <c r="A2127" s="506"/>
      <c r="B2127" s="506" t="s">
        <v>1248</v>
      </c>
      <c r="C2127" s="506" t="s">
        <v>507</v>
      </c>
      <c r="D2127" s="1624" t="s">
        <v>1777</v>
      </c>
      <c r="E2127" s="2223" t="s">
        <v>1931</v>
      </c>
      <c r="F2127" s="540">
        <v>2239</v>
      </c>
      <c r="G2127" s="411" t="s">
        <v>262</v>
      </c>
      <c r="H2127" s="579">
        <v>18300</v>
      </c>
      <c r="I2127" s="604"/>
      <c r="J2127" s="2520"/>
      <c r="K2127" s="695"/>
      <c r="L2127" s="579">
        <v>15800</v>
      </c>
      <c r="M2127" s="619"/>
      <c r="N2127" s="241"/>
      <c r="O2127" s="86"/>
      <c r="P2127" s="1817" t="e">
        <f>INDEX(#REF!,MATCH(F2127,#REF!,0),2)</f>
        <v>#REF!</v>
      </c>
      <c r="Q2127" s="1779"/>
      <c r="R2127" s="1779"/>
      <c r="S2127" s="1779"/>
      <c r="T2127" s="1779"/>
      <c r="U2127" s="1779"/>
      <c r="V2127" s="1779"/>
      <c r="W2127" s="43"/>
      <c r="X2127" s="1779"/>
      <c r="Y2127" s="1779"/>
      <c r="Z2127" s="1779"/>
      <c r="AA2127" s="1779"/>
      <c r="AB2127" s="1779"/>
      <c r="AC2127" s="1779"/>
      <c r="AD2127" s="1779"/>
      <c r="AE2127" s="1779"/>
      <c r="AF2127" s="1779"/>
      <c r="AG2127" s="1779"/>
      <c r="AH2127" s="1779"/>
      <c r="AI2127" s="1779"/>
      <c r="AJ2127" s="1779"/>
      <c r="AK2127" s="1779"/>
      <c r="AL2127" s="1779"/>
      <c r="AM2127" s="1779"/>
      <c r="AN2127" s="1779"/>
      <c r="AO2127" s="1779"/>
      <c r="AP2127" s="1779"/>
      <c r="AQ2127" s="1779"/>
      <c r="AR2127" s="1779"/>
      <c r="AS2127" s="1779"/>
      <c r="AT2127" s="1779"/>
      <c r="AU2127" s="1779"/>
      <c r="AV2127" s="1779"/>
    </row>
    <row r="2128" spans="1:48" ht="13.15" customHeight="1">
      <c r="A2128" s="412" t="s">
        <v>836</v>
      </c>
      <c r="B2128" s="412" t="s">
        <v>1248</v>
      </c>
      <c r="C2128" s="412" t="s">
        <v>507</v>
      </c>
      <c r="D2128" s="1625"/>
      <c r="E2128" s="2224" t="s">
        <v>1931</v>
      </c>
      <c r="F2128" s="505">
        <v>2239</v>
      </c>
      <c r="G2128" s="410" t="s">
        <v>835</v>
      </c>
      <c r="H2128" s="626"/>
      <c r="I2128" s="511">
        <v>3700</v>
      </c>
      <c r="J2128" s="511"/>
      <c r="K2128" s="543"/>
      <c r="L2128" s="626"/>
      <c r="M2128" s="419">
        <v>3700</v>
      </c>
      <c r="N2128" s="241"/>
      <c r="O2128" s="86"/>
      <c r="P2128" s="1817" t="e">
        <f>INDEX(#REF!,MATCH(F2128,#REF!,0),2)</f>
        <v>#REF!</v>
      </c>
      <c r="Q2128" s="1779"/>
      <c r="R2128" s="1779"/>
      <c r="S2128" s="1779"/>
      <c r="T2128" s="1779"/>
      <c r="U2128" s="1779"/>
      <c r="V2128" s="1779"/>
      <c r="W2128" s="43"/>
      <c r="X2128" s="1779"/>
      <c r="Y2128" s="1779"/>
      <c r="Z2128" s="1779"/>
      <c r="AA2128" s="1779"/>
      <c r="AB2128" s="1779"/>
      <c r="AC2128" s="1779"/>
      <c r="AD2128" s="1779"/>
      <c r="AE2128" s="1779"/>
      <c r="AF2128" s="1779"/>
      <c r="AG2128" s="1779"/>
      <c r="AH2128" s="1779"/>
      <c r="AI2128" s="1779"/>
      <c r="AJ2128" s="1779"/>
      <c r="AK2128" s="1779"/>
      <c r="AL2128" s="1779"/>
      <c r="AM2128" s="1779"/>
      <c r="AN2128" s="1779"/>
      <c r="AO2128" s="1779"/>
      <c r="AP2128" s="1779"/>
      <c r="AQ2128" s="1779"/>
      <c r="AR2128" s="1779"/>
      <c r="AS2128" s="1779"/>
      <c r="AT2128" s="1779"/>
      <c r="AU2128" s="1779"/>
      <c r="AV2128" s="1779"/>
    </row>
    <row r="2129" spans="1:48" ht="13.15" customHeight="1">
      <c r="A2129" s="412"/>
      <c r="B2129" s="412" t="s">
        <v>1248</v>
      </c>
      <c r="C2129" s="412" t="s">
        <v>507</v>
      </c>
      <c r="D2129" s="1625"/>
      <c r="E2129" s="2224" t="s">
        <v>1931</v>
      </c>
      <c r="F2129" s="505">
        <v>2239</v>
      </c>
      <c r="G2129" s="410" t="s">
        <v>1025</v>
      </c>
      <c r="H2129" s="626"/>
      <c r="I2129" s="511">
        <v>600</v>
      </c>
      <c r="J2129" s="511"/>
      <c r="K2129" s="543"/>
      <c r="L2129" s="626"/>
      <c r="M2129" s="419">
        <v>600</v>
      </c>
      <c r="N2129" s="241"/>
      <c r="O2129" s="86"/>
      <c r="P2129" s="1817" t="e">
        <f>INDEX(#REF!,MATCH(F2129,#REF!,0),2)</f>
        <v>#REF!</v>
      </c>
      <c r="Q2129" s="1779"/>
      <c r="R2129" s="1779"/>
      <c r="S2129" s="1779"/>
      <c r="T2129" s="1779"/>
      <c r="U2129" s="1779"/>
      <c r="V2129" s="1779"/>
      <c r="W2129" s="43"/>
      <c r="X2129" s="1779"/>
      <c r="Y2129" s="1779"/>
      <c r="Z2129" s="1779"/>
      <c r="AA2129" s="1779"/>
      <c r="AB2129" s="1779"/>
      <c r="AC2129" s="1779"/>
      <c r="AD2129" s="1779"/>
      <c r="AE2129" s="1779"/>
      <c r="AF2129" s="1779"/>
      <c r="AG2129" s="1779"/>
      <c r="AH2129" s="1779"/>
      <c r="AI2129" s="1779"/>
      <c r="AJ2129" s="1779"/>
      <c r="AK2129" s="1779"/>
      <c r="AL2129" s="1779"/>
      <c r="AM2129" s="1779"/>
      <c r="AN2129" s="1779"/>
      <c r="AO2129" s="1779"/>
      <c r="AP2129" s="1779"/>
      <c r="AQ2129" s="1779"/>
      <c r="AR2129" s="1779"/>
      <c r="AS2129" s="1779"/>
      <c r="AT2129" s="1779"/>
      <c r="AU2129" s="1779"/>
      <c r="AV2129" s="1779"/>
    </row>
    <row r="2130" spans="1:48" ht="16.149999999999999" customHeight="1">
      <c r="A2130" s="412" t="s">
        <v>836</v>
      </c>
      <c r="B2130" s="412" t="s">
        <v>1248</v>
      </c>
      <c r="C2130" s="412" t="s">
        <v>507</v>
      </c>
      <c r="D2130" s="1625"/>
      <c r="E2130" s="2224" t="s">
        <v>1931</v>
      </c>
      <c r="F2130" s="505">
        <v>2239</v>
      </c>
      <c r="G2130" s="410" t="s">
        <v>1026</v>
      </c>
      <c r="H2130" s="626"/>
      <c r="I2130" s="511">
        <v>500</v>
      </c>
      <c r="J2130" s="511"/>
      <c r="K2130" s="543"/>
      <c r="L2130" s="626"/>
      <c r="M2130" s="419">
        <v>500</v>
      </c>
      <c r="N2130" s="241"/>
      <c r="O2130" s="86"/>
      <c r="P2130" s="1817" t="e">
        <f>INDEX(#REF!,MATCH(F2130,#REF!,0),2)</f>
        <v>#REF!</v>
      </c>
      <c r="Q2130" s="1779"/>
      <c r="R2130" s="1779"/>
      <c r="S2130" s="1779"/>
      <c r="T2130" s="1779"/>
      <c r="U2130" s="1779"/>
      <c r="V2130" s="1779"/>
      <c r="W2130" s="43"/>
      <c r="X2130" s="1779"/>
      <c r="Y2130" s="1779"/>
      <c r="Z2130" s="1779"/>
      <c r="AA2130" s="1779"/>
      <c r="AB2130" s="1779"/>
      <c r="AC2130" s="1779"/>
      <c r="AD2130" s="1779"/>
      <c r="AE2130" s="1779"/>
      <c r="AF2130" s="1779"/>
      <c r="AG2130" s="1779"/>
      <c r="AH2130" s="1779"/>
      <c r="AI2130" s="1779"/>
      <c r="AJ2130" s="1779"/>
      <c r="AK2130" s="1779"/>
      <c r="AL2130" s="1779"/>
      <c r="AM2130" s="1779"/>
      <c r="AN2130" s="1779"/>
      <c r="AO2130" s="1779"/>
      <c r="AP2130" s="1779"/>
      <c r="AQ2130" s="1779"/>
      <c r="AR2130" s="1779"/>
      <c r="AS2130" s="1779"/>
      <c r="AT2130" s="1779"/>
      <c r="AU2130" s="1779"/>
      <c r="AV2130" s="1779"/>
    </row>
    <row r="2131" spans="1:48" ht="14.45" customHeight="1">
      <c r="A2131" s="412"/>
      <c r="B2131" s="412" t="s">
        <v>1248</v>
      </c>
      <c r="C2131" s="412" t="s">
        <v>507</v>
      </c>
      <c r="D2131" s="1625"/>
      <c r="E2131" s="2224" t="s">
        <v>1931</v>
      </c>
      <c r="F2131" s="505">
        <v>2239</v>
      </c>
      <c r="G2131" s="410" t="s">
        <v>650</v>
      </c>
      <c r="H2131" s="626"/>
      <c r="I2131" s="511">
        <v>300</v>
      </c>
      <c r="J2131" s="511"/>
      <c r="K2131" s="543"/>
      <c r="L2131" s="626"/>
      <c r="M2131" s="419">
        <v>300</v>
      </c>
      <c r="N2131" s="241"/>
      <c r="O2131" s="86"/>
      <c r="P2131" s="1817" t="e">
        <f>INDEX(#REF!,MATCH(F2131,#REF!,0),2)</f>
        <v>#REF!</v>
      </c>
      <c r="Q2131" s="1779"/>
      <c r="R2131" s="1779"/>
      <c r="S2131" s="1779"/>
      <c r="T2131" s="1779"/>
      <c r="U2131" s="1779"/>
      <c r="V2131" s="1779"/>
      <c r="W2131" s="43"/>
      <c r="X2131" s="1779"/>
      <c r="Y2131" s="1779"/>
      <c r="Z2131" s="1779"/>
      <c r="AA2131" s="1779"/>
      <c r="AB2131" s="1779"/>
      <c r="AC2131" s="1779"/>
      <c r="AD2131" s="1779"/>
      <c r="AE2131" s="1779"/>
      <c r="AF2131" s="1779"/>
      <c r="AG2131" s="1779"/>
      <c r="AH2131" s="1779"/>
      <c r="AI2131" s="1779"/>
      <c r="AJ2131" s="1779"/>
      <c r="AK2131" s="1779"/>
      <c r="AL2131" s="1779"/>
      <c r="AM2131" s="1779"/>
      <c r="AN2131" s="1779"/>
      <c r="AO2131" s="1779"/>
      <c r="AP2131" s="1779"/>
      <c r="AQ2131" s="1779"/>
      <c r="AR2131" s="1779"/>
      <c r="AS2131" s="1779"/>
      <c r="AT2131" s="1779"/>
      <c r="AU2131" s="1779"/>
      <c r="AV2131" s="1779"/>
    </row>
    <row r="2132" spans="1:48" ht="24" customHeight="1">
      <c r="A2132" s="412" t="s">
        <v>836</v>
      </c>
      <c r="B2132" s="412" t="s">
        <v>1248</v>
      </c>
      <c r="C2132" s="412" t="s">
        <v>507</v>
      </c>
      <c r="D2132" s="1625"/>
      <c r="E2132" s="2224" t="s">
        <v>1931</v>
      </c>
      <c r="F2132" s="505">
        <v>2239</v>
      </c>
      <c r="G2132" s="410" t="s">
        <v>651</v>
      </c>
      <c r="H2132" s="626"/>
      <c r="I2132" s="511">
        <v>2000</v>
      </c>
      <c r="J2132" s="511"/>
      <c r="K2132" s="543"/>
      <c r="L2132" s="626"/>
      <c r="M2132" s="419">
        <v>2000</v>
      </c>
      <c r="N2132" s="241"/>
      <c r="O2132" s="86"/>
      <c r="P2132" s="1817" t="e">
        <f>INDEX(#REF!,MATCH(F2132,#REF!,0),2)</f>
        <v>#REF!</v>
      </c>
      <c r="Q2132" s="1779"/>
      <c r="R2132" s="1779"/>
      <c r="S2132" s="1779"/>
      <c r="T2132" s="1779"/>
      <c r="U2132" s="1779"/>
      <c r="V2132" s="1779"/>
      <c r="W2132" s="43"/>
      <c r="X2132" s="1779"/>
      <c r="Y2132" s="1779"/>
      <c r="Z2132" s="1779"/>
      <c r="AA2132" s="1779"/>
      <c r="AB2132" s="1779"/>
      <c r="AC2132" s="1779"/>
      <c r="AD2132" s="1779"/>
      <c r="AE2132" s="1779"/>
      <c r="AF2132" s="1779"/>
      <c r="AG2132" s="1779"/>
      <c r="AH2132" s="1779"/>
      <c r="AI2132" s="1779"/>
      <c r="AJ2132" s="1779"/>
      <c r="AK2132" s="1779"/>
      <c r="AL2132" s="1779"/>
      <c r="AM2132" s="1779"/>
      <c r="AN2132" s="1779"/>
      <c r="AO2132" s="1779"/>
      <c r="AP2132" s="1779"/>
      <c r="AQ2132" s="1779"/>
      <c r="AR2132" s="1779"/>
      <c r="AS2132" s="1779"/>
      <c r="AT2132" s="1779"/>
      <c r="AU2132" s="1779"/>
      <c r="AV2132" s="1779"/>
    </row>
    <row r="2133" spans="1:48" ht="14.45" customHeight="1">
      <c r="A2133" s="412"/>
      <c r="B2133" s="412" t="s">
        <v>1248</v>
      </c>
      <c r="C2133" s="412" t="s">
        <v>507</v>
      </c>
      <c r="D2133" s="1625"/>
      <c r="E2133" s="2224" t="s">
        <v>1931</v>
      </c>
      <c r="F2133" s="505">
        <v>2239</v>
      </c>
      <c r="G2133" s="410" t="s">
        <v>837</v>
      </c>
      <c r="H2133" s="626"/>
      <c r="I2133" s="511">
        <v>600</v>
      </c>
      <c r="J2133" s="511"/>
      <c r="K2133" s="543"/>
      <c r="L2133" s="626"/>
      <c r="M2133" s="419">
        <v>600</v>
      </c>
      <c r="N2133" s="241"/>
      <c r="O2133" s="86"/>
      <c r="P2133" s="1817" t="e">
        <f>INDEX(#REF!,MATCH(F2133,#REF!,0),2)</f>
        <v>#REF!</v>
      </c>
      <c r="Q2133" s="1779"/>
      <c r="R2133" s="1779"/>
      <c r="S2133" s="1779"/>
      <c r="T2133" s="1779"/>
      <c r="U2133" s="1779"/>
      <c r="V2133" s="1779"/>
      <c r="W2133" s="43"/>
      <c r="X2133" s="1779"/>
      <c r="Y2133" s="1779"/>
      <c r="Z2133" s="1779"/>
      <c r="AA2133" s="1779"/>
      <c r="AB2133" s="1779"/>
      <c r="AC2133" s="1779"/>
      <c r="AD2133" s="1779"/>
      <c r="AE2133" s="1779"/>
      <c r="AF2133" s="1779"/>
      <c r="AG2133" s="1779"/>
      <c r="AH2133" s="1779"/>
      <c r="AI2133" s="1779"/>
      <c r="AJ2133" s="1779"/>
      <c r="AK2133" s="1779"/>
      <c r="AL2133" s="1779"/>
      <c r="AM2133" s="1779"/>
      <c r="AN2133" s="1779"/>
      <c r="AO2133" s="1779"/>
      <c r="AP2133" s="1779"/>
      <c r="AQ2133" s="1779"/>
      <c r="AR2133" s="1779"/>
      <c r="AS2133" s="1779"/>
      <c r="AT2133" s="1779"/>
      <c r="AU2133" s="1779"/>
      <c r="AV2133" s="1779"/>
    </row>
    <row r="2134" spans="1:48" ht="27.6" customHeight="1">
      <c r="A2134" s="412" t="s">
        <v>841</v>
      </c>
      <c r="B2134" s="412" t="s">
        <v>1248</v>
      </c>
      <c r="C2134" s="412" t="s">
        <v>567</v>
      </c>
      <c r="D2134" s="1625"/>
      <c r="E2134" s="2224" t="s">
        <v>1931</v>
      </c>
      <c r="F2134" s="505">
        <v>2239</v>
      </c>
      <c r="G2134" s="410" t="s">
        <v>739</v>
      </c>
      <c r="H2134" s="626"/>
      <c r="I2134" s="511">
        <v>2000</v>
      </c>
      <c r="J2134" s="511"/>
      <c r="K2134" s="543"/>
      <c r="L2134" s="626"/>
      <c r="M2134" s="419">
        <v>1500</v>
      </c>
      <c r="N2134" s="241"/>
      <c r="O2134" s="86"/>
      <c r="P2134" s="1817" t="e">
        <f>INDEX(#REF!,MATCH(F2134,#REF!,0),2)</f>
        <v>#REF!</v>
      </c>
      <c r="Q2134" s="1779"/>
      <c r="R2134" s="1779"/>
      <c r="S2134" s="1779"/>
      <c r="T2134" s="1779"/>
      <c r="U2134" s="1779"/>
      <c r="V2134" s="1779"/>
      <c r="W2134" s="43"/>
      <c r="X2134" s="1779"/>
      <c r="Y2134" s="1779"/>
      <c r="Z2134" s="1779"/>
      <c r="AA2134" s="1779"/>
      <c r="AB2134" s="1779"/>
      <c r="AC2134" s="1779"/>
      <c r="AD2134" s="1779"/>
      <c r="AE2134" s="1779"/>
      <c r="AF2134" s="1779"/>
      <c r="AG2134" s="1779"/>
      <c r="AH2134" s="1779"/>
      <c r="AI2134" s="1779"/>
      <c r="AJ2134" s="1779"/>
      <c r="AK2134" s="1779"/>
      <c r="AL2134" s="1779"/>
      <c r="AM2134" s="1779"/>
      <c r="AN2134" s="1779"/>
      <c r="AO2134" s="1779"/>
      <c r="AP2134" s="1779"/>
      <c r="AQ2134" s="1779"/>
      <c r="AR2134" s="1779"/>
      <c r="AS2134" s="1779"/>
      <c r="AT2134" s="1779"/>
      <c r="AU2134" s="1779"/>
      <c r="AV2134" s="1779"/>
    </row>
    <row r="2135" spans="1:48" ht="23.45" customHeight="1">
      <c r="A2135" s="412" t="s">
        <v>738</v>
      </c>
      <c r="B2135" s="412" t="s">
        <v>1248</v>
      </c>
      <c r="C2135" s="412" t="s">
        <v>567</v>
      </c>
      <c r="D2135" s="1625"/>
      <c r="E2135" s="2224" t="s">
        <v>1931</v>
      </c>
      <c r="F2135" s="505">
        <v>2239</v>
      </c>
      <c r="G2135" s="410" t="s">
        <v>1027</v>
      </c>
      <c r="H2135" s="626"/>
      <c r="I2135" s="511">
        <v>600</v>
      </c>
      <c r="J2135" s="511"/>
      <c r="K2135" s="543"/>
      <c r="L2135" s="626"/>
      <c r="M2135" s="419">
        <v>600</v>
      </c>
      <c r="N2135" s="241"/>
      <c r="O2135" s="86"/>
      <c r="P2135" s="1817" t="e">
        <f>INDEX(#REF!,MATCH(F2135,#REF!,0),2)</f>
        <v>#REF!</v>
      </c>
      <c r="Q2135" s="11"/>
      <c r="R2135" s="11"/>
      <c r="S2135" s="11"/>
      <c r="T2135" s="11"/>
      <c r="U2135" s="11"/>
      <c r="V2135" s="11"/>
      <c r="W2135" s="4"/>
      <c r="X2135" s="11"/>
      <c r="Y2135" s="11"/>
      <c r="Z2135" s="11"/>
      <c r="AA2135" s="11"/>
      <c r="AB2135" s="11"/>
      <c r="AC2135" s="11"/>
      <c r="AD2135" s="11"/>
      <c r="AE2135" s="11"/>
      <c r="AF2135" s="11"/>
      <c r="AG2135" s="11"/>
      <c r="AH2135" s="1779"/>
      <c r="AI2135" s="1779"/>
      <c r="AJ2135" s="1779"/>
      <c r="AK2135" s="1779"/>
      <c r="AL2135" s="1779"/>
      <c r="AM2135" s="1779"/>
      <c r="AN2135" s="1779"/>
      <c r="AO2135" s="1779"/>
      <c r="AP2135" s="1779"/>
      <c r="AQ2135" s="1779"/>
      <c r="AR2135" s="1779"/>
      <c r="AS2135" s="1779"/>
      <c r="AT2135" s="1779"/>
      <c r="AU2135" s="1779"/>
      <c r="AV2135" s="1779"/>
    </row>
    <row r="2136" spans="1:48" ht="36" customHeight="1">
      <c r="A2136" s="412"/>
      <c r="B2136" s="412" t="s">
        <v>1248</v>
      </c>
      <c r="C2136" s="412" t="s">
        <v>567</v>
      </c>
      <c r="D2136" s="1625"/>
      <c r="E2136" s="2224" t="s">
        <v>1931</v>
      </c>
      <c r="F2136" s="505">
        <v>2239</v>
      </c>
      <c r="G2136" s="410" t="s">
        <v>842</v>
      </c>
      <c r="H2136" s="626"/>
      <c r="I2136" s="511">
        <v>5000</v>
      </c>
      <c r="J2136" s="511">
        <v>2332</v>
      </c>
      <c r="K2136" s="543"/>
      <c r="L2136" s="626"/>
      <c r="M2136" s="1479">
        <v>5000</v>
      </c>
      <c r="N2136" s="241"/>
      <c r="O2136" s="86"/>
      <c r="P2136" s="1817" t="e">
        <f>INDEX(#REF!,MATCH(F2136,#REF!,0),2)</f>
        <v>#REF!</v>
      </c>
      <c r="Q2136" s="11"/>
      <c r="R2136" s="11"/>
      <c r="S2136" s="11"/>
      <c r="T2136" s="11"/>
      <c r="U2136" s="11"/>
      <c r="V2136" s="11"/>
      <c r="W2136" s="4"/>
      <c r="X2136" s="11"/>
      <c r="Y2136" s="11"/>
      <c r="Z2136" s="11"/>
      <c r="AA2136" s="11"/>
      <c r="AB2136" s="11"/>
      <c r="AC2136" s="11"/>
      <c r="AD2136" s="11"/>
      <c r="AE2136" s="11"/>
      <c r="AF2136" s="11"/>
      <c r="AG2136" s="11"/>
      <c r="AH2136" s="1779"/>
      <c r="AI2136" s="1779"/>
      <c r="AJ2136" s="1779"/>
      <c r="AK2136" s="1779"/>
      <c r="AL2136" s="1779"/>
      <c r="AM2136" s="1779"/>
      <c r="AN2136" s="1779"/>
      <c r="AO2136" s="1779"/>
      <c r="AP2136" s="1779"/>
      <c r="AQ2136" s="1779"/>
      <c r="AR2136" s="1779"/>
      <c r="AS2136" s="1779"/>
      <c r="AT2136" s="1779"/>
      <c r="AU2136" s="1779"/>
      <c r="AV2136" s="1779"/>
    </row>
    <row r="2137" spans="1:48" ht="29.45" customHeight="1">
      <c r="A2137" s="412" t="s">
        <v>844</v>
      </c>
      <c r="B2137" s="412" t="s">
        <v>1248</v>
      </c>
      <c r="C2137" s="412" t="s">
        <v>567</v>
      </c>
      <c r="D2137" s="1625"/>
      <c r="E2137" s="2271" t="s">
        <v>1931</v>
      </c>
      <c r="F2137" s="699">
        <v>2239</v>
      </c>
      <c r="G2137" s="1884" t="s">
        <v>2680</v>
      </c>
      <c r="H2137" s="1937"/>
      <c r="I2137" s="1916">
        <v>3000</v>
      </c>
      <c r="J2137" s="1916"/>
      <c r="K2137" s="1917"/>
      <c r="L2137" s="1937"/>
      <c r="M2137" s="1892">
        <v>1000</v>
      </c>
      <c r="N2137" s="241"/>
      <c r="O2137" s="86"/>
      <c r="P2137" s="1817" t="e">
        <f>INDEX(#REF!,MATCH(F2137,#REF!,0),2)</f>
        <v>#REF!</v>
      </c>
      <c r="Q2137" s="11"/>
      <c r="R2137" s="11"/>
      <c r="S2137" s="11"/>
      <c r="T2137" s="11"/>
      <c r="U2137" s="11"/>
      <c r="V2137" s="11"/>
      <c r="W2137" s="4"/>
      <c r="X2137" s="11"/>
      <c r="Y2137" s="11"/>
      <c r="Z2137" s="11"/>
      <c r="AA2137" s="11"/>
      <c r="AB2137" s="11"/>
      <c r="AC2137" s="11"/>
      <c r="AD2137" s="11"/>
      <c r="AE2137" s="11"/>
      <c r="AF2137" s="11"/>
      <c r="AG2137" s="11"/>
      <c r="AH2137" s="1779"/>
      <c r="AI2137" s="1779"/>
      <c r="AJ2137" s="1779"/>
      <c r="AK2137" s="1779"/>
      <c r="AL2137" s="1779"/>
      <c r="AM2137" s="1779"/>
      <c r="AN2137" s="1779"/>
      <c r="AO2137" s="1779"/>
      <c r="AP2137" s="1779"/>
      <c r="AQ2137" s="1779"/>
      <c r="AR2137" s="1779"/>
      <c r="AS2137" s="1779"/>
      <c r="AT2137" s="1779"/>
      <c r="AU2137" s="1779"/>
      <c r="AV2137" s="1779"/>
    </row>
    <row r="2138" spans="1:48" ht="22.9" customHeight="1">
      <c r="A2138" s="506" t="s">
        <v>935</v>
      </c>
      <c r="B2138" s="506" t="s">
        <v>1084</v>
      </c>
      <c r="C2138" s="506" t="s">
        <v>567</v>
      </c>
      <c r="D2138" s="1624" t="s">
        <v>1777</v>
      </c>
      <c r="E2138" s="2223" t="s">
        <v>1931</v>
      </c>
      <c r="F2138" s="507">
        <v>2239</v>
      </c>
      <c r="G2138" s="411" t="s">
        <v>416</v>
      </c>
      <c r="H2138" s="706">
        <v>106750</v>
      </c>
      <c r="I2138" s="579"/>
      <c r="J2138" s="2520">
        <v>144910.64000000001</v>
      </c>
      <c r="K2138" s="695"/>
      <c r="L2138" s="706">
        <v>130000</v>
      </c>
      <c r="M2138" s="619"/>
      <c r="N2138" s="2846" t="s">
        <v>3848</v>
      </c>
      <c r="O2138" s="86"/>
      <c r="P2138" s="1817" t="e">
        <f>INDEX(#REF!,MATCH(F2138,#REF!,0),2)</f>
        <v>#REF!</v>
      </c>
      <c r="Q2138" s="1779"/>
      <c r="R2138" s="1779"/>
      <c r="S2138" s="1779"/>
      <c r="T2138" s="1779"/>
      <c r="U2138" s="1779"/>
      <c r="V2138" s="1779"/>
      <c r="W2138" s="43"/>
      <c r="X2138" s="1779"/>
      <c r="Y2138" s="1779"/>
      <c r="Z2138" s="1779"/>
      <c r="AA2138" s="1779"/>
      <c r="AB2138" s="1779"/>
      <c r="AC2138" s="1779"/>
      <c r="AD2138" s="1779"/>
      <c r="AE2138" s="1779"/>
      <c r="AF2138" s="1779"/>
      <c r="AG2138" s="1779"/>
      <c r="AH2138" s="1779"/>
      <c r="AI2138" s="1779"/>
      <c r="AJ2138" s="1779"/>
      <c r="AK2138" s="1779"/>
      <c r="AL2138" s="1779"/>
      <c r="AM2138" s="1779"/>
      <c r="AN2138" s="1779"/>
      <c r="AO2138" s="1779"/>
      <c r="AP2138" s="1779"/>
      <c r="AQ2138" s="1779"/>
      <c r="AR2138" s="1779"/>
      <c r="AS2138" s="1779"/>
      <c r="AT2138" s="1779"/>
      <c r="AU2138" s="1779"/>
      <c r="AV2138" s="1779"/>
    </row>
    <row r="2139" spans="1:48" ht="11.45" customHeight="1">
      <c r="A2139" s="412" t="s">
        <v>839</v>
      </c>
      <c r="B2139" s="412" t="s">
        <v>1084</v>
      </c>
      <c r="C2139" s="412" t="s">
        <v>567</v>
      </c>
      <c r="D2139" s="1625"/>
      <c r="E2139" s="2272" t="s">
        <v>1931</v>
      </c>
      <c r="F2139" s="707">
        <v>2239</v>
      </c>
      <c r="G2139" s="708" t="s">
        <v>3102</v>
      </c>
      <c r="H2139" s="626"/>
      <c r="I2139" s="709">
        <v>85000</v>
      </c>
      <c r="J2139" s="511"/>
      <c r="K2139" s="543"/>
      <c r="L2139" s="702"/>
      <c r="M2139" s="2848">
        <v>113000</v>
      </c>
      <c r="N2139" s="2847" t="s">
        <v>3849</v>
      </c>
      <c r="O2139" s="86"/>
      <c r="P2139" s="1817" t="e">
        <f>INDEX(#REF!,MATCH(F2139,#REF!,0),2)</f>
        <v>#REF!</v>
      </c>
      <c r="Q2139" s="1779"/>
      <c r="R2139" s="1779"/>
      <c r="S2139" s="1779"/>
      <c r="T2139" s="1779"/>
      <c r="U2139" s="1779"/>
      <c r="V2139" s="1779"/>
      <c r="W2139" s="43"/>
      <c r="X2139" s="1779"/>
      <c r="Y2139" s="1779"/>
      <c r="Z2139" s="1779"/>
      <c r="AA2139" s="1779"/>
      <c r="AB2139" s="1779"/>
      <c r="AC2139" s="1779"/>
      <c r="AD2139" s="1779"/>
      <c r="AE2139" s="1779"/>
      <c r="AF2139" s="1779"/>
      <c r="AG2139" s="1779"/>
      <c r="AH2139" s="1779"/>
      <c r="AI2139" s="1779"/>
      <c r="AJ2139" s="1779"/>
      <c r="AK2139" s="1779"/>
      <c r="AL2139" s="1779"/>
      <c r="AM2139" s="1779"/>
      <c r="AN2139" s="1779"/>
      <c r="AO2139" s="1779"/>
      <c r="AP2139" s="1779"/>
      <c r="AQ2139" s="1779"/>
      <c r="AR2139" s="1779"/>
      <c r="AS2139" s="1779"/>
      <c r="AT2139" s="1779"/>
      <c r="AU2139" s="1779"/>
      <c r="AV2139" s="1779"/>
    </row>
    <row r="2140" spans="1:48" ht="21" customHeight="1">
      <c r="A2140" s="412" t="s">
        <v>839</v>
      </c>
      <c r="B2140" s="412" t="s">
        <v>1084</v>
      </c>
      <c r="C2140" s="412" t="s">
        <v>567</v>
      </c>
      <c r="D2140" s="1625"/>
      <c r="E2140" s="2272" t="s">
        <v>1931</v>
      </c>
      <c r="F2140" s="707">
        <v>2239</v>
      </c>
      <c r="G2140" s="2366" t="s">
        <v>3233</v>
      </c>
      <c r="H2140" s="1937"/>
      <c r="I2140" s="2367">
        <v>17000</v>
      </c>
      <c r="J2140" s="1916"/>
      <c r="K2140" s="1917"/>
      <c r="L2140" s="1918"/>
      <c r="M2140" s="2069">
        <v>17000</v>
      </c>
      <c r="N2140" s="241"/>
      <c r="O2140" s="86"/>
      <c r="P2140" s="1817" t="e">
        <f>INDEX(#REF!,MATCH(F2140,#REF!,0),2)</f>
        <v>#REF!</v>
      </c>
      <c r="Q2140" s="1779"/>
      <c r="R2140" s="1779"/>
      <c r="S2140" s="1779"/>
      <c r="T2140" s="1779"/>
      <c r="U2140" s="1779"/>
      <c r="V2140" s="1779"/>
      <c r="W2140" s="43"/>
      <c r="X2140" s="1779"/>
      <c r="Y2140" s="1779"/>
      <c r="Z2140" s="1779"/>
      <c r="AA2140" s="1779"/>
      <c r="AB2140" s="1779"/>
      <c r="AC2140" s="1779"/>
      <c r="AD2140" s="1779"/>
      <c r="AE2140" s="1779"/>
      <c r="AF2140" s="1779"/>
      <c r="AG2140" s="1779"/>
      <c r="AH2140" s="1779"/>
      <c r="AI2140" s="1779"/>
      <c r="AJ2140" s="1779"/>
      <c r="AK2140" s="1779"/>
      <c r="AL2140" s="1779"/>
      <c r="AM2140" s="1779"/>
      <c r="AN2140" s="1779"/>
      <c r="AO2140" s="1779"/>
      <c r="AP2140" s="1779"/>
      <c r="AQ2140" s="1779"/>
      <c r="AR2140" s="1779"/>
      <c r="AS2140" s="1779"/>
      <c r="AT2140" s="1779"/>
      <c r="AU2140" s="1779"/>
      <c r="AV2140" s="1779"/>
    </row>
    <row r="2141" spans="1:48" ht="20.45" customHeight="1">
      <c r="A2141" s="412" t="s">
        <v>839</v>
      </c>
      <c r="B2141" s="412" t="s">
        <v>1084</v>
      </c>
      <c r="C2141" s="412" t="s">
        <v>567</v>
      </c>
      <c r="D2141" s="1625"/>
      <c r="E2141" s="2272" t="s">
        <v>1931</v>
      </c>
      <c r="F2141" s="707">
        <v>2239</v>
      </c>
      <c r="G2141" s="2366" t="s">
        <v>3235</v>
      </c>
      <c r="H2141" s="1937"/>
      <c r="I2141" s="2367">
        <v>9000</v>
      </c>
      <c r="J2141" s="1916"/>
      <c r="K2141" s="1917"/>
      <c r="L2141" s="1918"/>
      <c r="M2141" s="2069"/>
      <c r="N2141" s="2433"/>
      <c r="O2141" s="86"/>
      <c r="P2141" s="1817" t="e">
        <f>INDEX(#REF!,MATCH(F2141,#REF!,0),2)</f>
        <v>#REF!</v>
      </c>
      <c r="Q2141" s="1779"/>
      <c r="R2141" s="1779"/>
      <c r="S2141" s="1779"/>
      <c r="T2141" s="1779"/>
      <c r="U2141" s="1779"/>
      <c r="V2141" s="1779"/>
      <c r="W2141" s="43"/>
      <c r="X2141" s="1779"/>
      <c r="Y2141" s="1779"/>
      <c r="Z2141" s="1779"/>
      <c r="AA2141" s="1779"/>
      <c r="AB2141" s="1779"/>
      <c r="AC2141" s="1779"/>
      <c r="AD2141" s="1779"/>
      <c r="AE2141" s="1779"/>
      <c r="AF2141" s="1779"/>
      <c r="AG2141" s="1779"/>
      <c r="AH2141" s="1779"/>
      <c r="AI2141" s="1779"/>
      <c r="AJ2141" s="1779"/>
      <c r="AK2141" s="1779"/>
      <c r="AL2141" s="1779"/>
      <c r="AM2141" s="1779"/>
      <c r="AN2141" s="1779"/>
      <c r="AO2141" s="1779"/>
      <c r="AP2141" s="1779"/>
      <c r="AQ2141" s="1779"/>
      <c r="AR2141" s="1779"/>
      <c r="AS2141" s="1779"/>
      <c r="AT2141" s="1779"/>
      <c r="AU2141" s="1779"/>
      <c r="AV2141" s="1779"/>
    </row>
    <row r="2142" spans="1:48" ht="49.15" customHeight="1">
      <c r="A2142" s="710" t="s">
        <v>737</v>
      </c>
      <c r="B2142" s="711" t="s">
        <v>1084</v>
      </c>
      <c r="C2142" s="711" t="s">
        <v>567</v>
      </c>
      <c r="D2142" s="1627"/>
      <c r="E2142" s="2273" t="s">
        <v>1931</v>
      </c>
      <c r="F2142" s="712">
        <v>2239</v>
      </c>
      <c r="G2142" s="713" t="s">
        <v>417</v>
      </c>
      <c r="H2142" s="3000">
        <v>30500</v>
      </c>
      <c r="I2142" s="714"/>
      <c r="J2142" s="714"/>
      <c r="K2142" s="715"/>
      <c r="L2142" s="3000">
        <v>49500</v>
      </c>
      <c r="M2142" s="3000"/>
      <c r="N2142" s="2847" t="s">
        <v>3922</v>
      </c>
      <c r="O2142" s="86"/>
      <c r="P2142" s="1817" t="e">
        <f>INDEX(#REF!,MATCH(F2142,#REF!,0),2)</f>
        <v>#REF!</v>
      </c>
      <c r="Q2142" s="1779"/>
      <c r="R2142" s="1779"/>
      <c r="S2142" s="1779"/>
      <c r="T2142" s="1779"/>
      <c r="U2142" s="1779"/>
      <c r="V2142" s="1779"/>
      <c r="W2142" s="43"/>
      <c r="X2142" s="1779"/>
      <c r="Y2142" s="1779"/>
      <c r="Z2142" s="1779"/>
      <c r="AA2142" s="1779"/>
      <c r="AB2142" s="1779"/>
      <c r="AC2142" s="1779"/>
      <c r="AD2142" s="1779"/>
      <c r="AE2142" s="1779"/>
      <c r="AF2142" s="1779"/>
      <c r="AG2142" s="1779"/>
      <c r="AH2142" s="1779"/>
      <c r="AI2142" s="1779"/>
      <c r="AJ2142" s="1779"/>
      <c r="AK2142" s="1779"/>
      <c r="AL2142" s="1779"/>
      <c r="AM2142" s="1779"/>
      <c r="AN2142" s="1779"/>
      <c r="AO2142" s="1779"/>
      <c r="AP2142" s="1779"/>
      <c r="AQ2142" s="1779"/>
      <c r="AR2142" s="1779"/>
      <c r="AS2142" s="1779"/>
      <c r="AT2142" s="1779"/>
      <c r="AU2142" s="1779"/>
      <c r="AV2142" s="1779"/>
    </row>
    <row r="2143" spans="1:48" ht="27" customHeight="1">
      <c r="A2143" s="412" t="s">
        <v>840</v>
      </c>
      <c r="B2143" s="412" t="s">
        <v>1084</v>
      </c>
      <c r="C2143" s="412" t="s">
        <v>567</v>
      </c>
      <c r="D2143" s="1625"/>
      <c r="E2143" s="2224" t="s">
        <v>1931</v>
      </c>
      <c r="F2143" s="505">
        <v>2239</v>
      </c>
      <c r="G2143" s="2774" t="s">
        <v>3923</v>
      </c>
      <c r="H2143" s="702"/>
      <c r="I2143" s="703">
        <v>3000</v>
      </c>
      <c r="J2143" s="511"/>
      <c r="K2143" s="543"/>
      <c r="L2143" s="626"/>
      <c r="M2143" s="419">
        <v>3000</v>
      </c>
      <c r="N2143" s="241"/>
      <c r="O2143" s="86"/>
      <c r="P2143" s="1817" t="e">
        <f>INDEX(#REF!,MATCH(F2143,#REF!,0),2)</f>
        <v>#REF!</v>
      </c>
      <c r="Q2143" s="1779"/>
      <c r="R2143" s="1779"/>
      <c r="S2143" s="1779"/>
      <c r="T2143" s="1779"/>
      <c r="U2143" s="1779"/>
      <c r="V2143" s="1779"/>
      <c r="W2143" s="43"/>
      <c r="X2143" s="1779"/>
      <c r="Y2143" s="1779"/>
      <c r="Z2143" s="1779"/>
      <c r="AA2143" s="1779"/>
      <c r="AB2143" s="1779"/>
      <c r="AC2143" s="1779"/>
      <c r="AD2143" s="1779"/>
      <c r="AE2143" s="1779"/>
      <c r="AF2143" s="1779"/>
      <c r="AG2143" s="1779"/>
      <c r="AH2143" s="1779"/>
      <c r="AI2143" s="1779"/>
      <c r="AJ2143" s="1779"/>
      <c r="AK2143" s="1779"/>
      <c r="AL2143" s="1779"/>
      <c r="AM2143" s="1779"/>
      <c r="AN2143" s="1779"/>
      <c r="AO2143" s="1779"/>
      <c r="AP2143" s="1779"/>
      <c r="AQ2143" s="1779"/>
      <c r="AR2143" s="1779"/>
      <c r="AS2143" s="1779"/>
      <c r="AT2143" s="1779"/>
      <c r="AU2143" s="1779"/>
      <c r="AV2143" s="1779"/>
    </row>
    <row r="2144" spans="1:48" ht="16.149999999999999" customHeight="1">
      <c r="A2144" s="412" t="s">
        <v>840</v>
      </c>
      <c r="B2144" s="412" t="s">
        <v>1084</v>
      </c>
      <c r="C2144" s="412" t="s">
        <v>567</v>
      </c>
      <c r="D2144" s="1625"/>
      <c r="E2144" s="2224" t="s">
        <v>1931</v>
      </c>
      <c r="F2144" s="505">
        <v>2239</v>
      </c>
      <c r="G2144" s="2774" t="s">
        <v>3924</v>
      </c>
      <c r="H2144" s="702"/>
      <c r="I2144" s="703">
        <v>2500</v>
      </c>
      <c r="J2144" s="511"/>
      <c r="K2144" s="543"/>
      <c r="L2144" s="626"/>
      <c r="M2144" s="419">
        <v>2500</v>
      </c>
      <c r="N2144" s="2847"/>
      <c r="O2144" s="86"/>
      <c r="P2144" s="1817" t="e">
        <f>INDEX(#REF!,MATCH(F2144,#REF!,0),2)</f>
        <v>#REF!</v>
      </c>
      <c r="Q2144" s="1779"/>
      <c r="R2144" s="1779"/>
      <c r="S2144" s="1779"/>
      <c r="T2144" s="1779"/>
      <c r="U2144" s="1779"/>
      <c r="V2144" s="1779"/>
      <c r="W2144" s="43"/>
      <c r="X2144" s="1779"/>
      <c r="Y2144" s="1779"/>
      <c r="Z2144" s="1779"/>
      <c r="AA2144" s="1779"/>
      <c r="AB2144" s="1779"/>
      <c r="AC2144" s="1779"/>
      <c r="AD2144" s="1779"/>
      <c r="AE2144" s="1779"/>
      <c r="AF2144" s="1779"/>
      <c r="AG2144" s="1779"/>
      <c r="AH2144" s="1779"/>
      <c r="AI2144" s="1779"/>
      <c r="AJ2144" s="1779"/>
      <c r="AK2144" s="1779"/>
      <c r="AL2144" s="1779"/>
      <c r="AM2144" s="1779"/>
      <c r="AN2144" s="1779"/>
      <c r="AO2144" s="1779"/>
      <c r="AP2144" s="1779"/>
      <c r="AQ2144" s="1779"/>
      <c r="AR2144" s="1779"/>
      <c r="AS2144" s="1779"/>
      <c r="AT2144" s="1779"/>
      <c r="AU2144" s="1779"/>
      <c r="AV2144" s="1779"/>
    </row>
    <row r="2145" spans="1:48" ht="16.5" customHeight="1">
      <c r="A2145" s="412" t="s">
        <v>840</v>
      </c>
      <c r="B2145" s="412" t="s">
        <v>1084</v>
      </c>
      <c r="C2145" s="412" t="s">
        <v>567</v>
      </c>
      <c r="D2145" s="1625"/>
      <c r="E2145" s="2224" t="s">
        <v>1931</v>
      </c>
      <c r="F2145" s="505">
        <v>2239</v>
      </c>
      <c r="G2145" s="2774" t="s">
        <v>3925</v>
      </c>
      <c r="H2145" s="702"/>
      <c r="I2145" s="511">
        <v>10000</v>
      </c>
      <c r="J2145" s="511"/>
      <c r="K2145" s="543"/>
      <c r="L2145" s="626"/>
      <c r="M2145" s="419">
        <v>13000</v>
      </c>
      <c r="N2145" s="2847"/>
      <c r="O2145" s="86"/>
      <c r="P2145" s="1817"/>
      <c r="Q2145" s="1779"/>
      <c r="R2145" s="1779"/>
      <c r="S2145" s="1779"/>
      <c r="T2145" s="1779"/>
      <c r="U2145" s="1779"/>
      <c r="V2145" s="1779"/>
      <c r="W2145" s="43"/>
      <c r="X2145" s="1779"/>
      <c r="Y2145" s="1779"/>
      <c r="Z2145" s="1779"/>
      <c r="AA2145" s="1779"/>
      <c r="AB2145" s="1779"/>
      <c r="AC2145" s="1779"/>
      <c r="AD2145" s="1779"/>
      <c r="AE2145" s="1779"/>
      <c r="AF2145" s="1779"/>
      <c r="AG2145" s="1779"/>
      <c r="AH2145" s="1779"/>
      <c r="AI2145" s="1779"/>
      <c r="AJ2145" s="1779"/>
      <c r="AK2145" s="1779"/>
      <c r="AL2145" s="1779"/>
      <c r="AM2145" s="1779"/>
      <c r="AN2145" s="1779"/>
      <c r="AO2145" s="1779"/>
      <c r="AP2145" s="1779"/>
      <c r="AQ2145" s="1779"/>
      <c r="AR2145" s="1779"/>
      <c r="AS2145" s="1779"/>
      <c r="AT2145" s="1779"/>
      <c r="AU2145" s="1779"/>
      <c r="AV2145" s="1779"/>
    </row>
    <row r="2146" spans="1:48" ht="21.6" customHeight="1">
      <c r="A2146" s="412" t="s">
        <v>840</v>
      </c>
      <c r="B2146" s="412" t="s">
        <v>1084</v>
      </c>
      <c r="C2146" s="412" t="s">
        <v>567</v>
      </c>
      <c r="D2146" s="1625"/>
      <c r="E2146" s="2224" t="s">
        <v>1931</v>
      </c>
      <c r="F2146" s="505">
        <v>2239</v>
      </c>
      <c r="G2146" s="2774" t="s">
        <v>6153</v>
      </c>
      <c r="H2146" s="702"/>
      <c r="I2146" s="511"/>
      <c r="J2146" s="511"/>
      <c r="K2146" s="543"/>
      <c r="L2146" s="626"/>
      <c r="M2146" s="419">
        <v>13000</v>
      </c>
      <c r="N2146" s="2846" t="s">
        <v>3929</v>
      </c>
      <c r="O2146" s="86"/>
      <c r="P2146" s="1817" t="e">
        <f>INDEX(#REF!,MATCH(F2146,#REF!,0),2)</f>
        <v>#REF!</v>
      </c>
      <c r="Q2146" s="1779"/>
      <c r="R2146" s="1779"/>
      <c r="S2146" s="1779"/>
      <c r="T2146" s="1779"/>
      <c r="U2146" s="1779"/>
      <c r="V2146" s="1779"/>
      <c r="W2146" s="43"/>
      <c r="X2146" s="1779"/>
      <c r="Y2146" s="1779"/>
      <c r="Z2146" s="1779"/>
      <c r="AA2146" s="1779"/>
      <c r="AB2146" s="1779"/>
      <c r="AC2146" s="1779"/>
      <c r="AD2146" s="1779"/>
      <c r="AE2146" s="1779"/>
      <c r="AF2146" s="1779"/>
      <c r="AG2146" s="1779"/>
      <c r="AH2146" s="1779"/>
      <c r="AI2146" s="1779"/>
      <c r="AJ2146" s="1779"/>
      <c r="AK2146" s="1779"/>
      <c r="AL2146" s="1779"/>
      <c r="AM2146" s="1779"/>
      <c r="AN2146" s="1779"/>
      <c r="AO2146" s="1779"/>
      <c r="AP2146" s="1779"/>
      <c r="AQ2146" s="1779"/>
      <c r="AR2146" s="1779"/>
      <c r="AS2146" s="1779"/>
      <c r="AT2146" s="1779"/>
      <c r="AU2146" s="1779"/>
      <c r="AV2146" s="1779"/>
    </row>
    <row r="2147" spans="1:48" ht="32.450000000000003" customHeight="1">
      <c r="A2147" s="412" t="s">
        <v>840</v>
      </c>
      <c r="B2147" s="412" t="s">
        <v>1084</v>
      </c>
      <c r="C2147" s="412" t="s">
        <v>567</v>
      </c>
      <c r="D2147" s="1625"/>
      <c r="E2147" s="2224" t="s">
        <v>1931</v>
      </c>
      <c r="F2147" s="505">
        <v>2239</v>
      </c>
      <c r="G2147" s="2774" t="s">
        <v>3927</v>
      </c>
      <c r="H2147" s="3002"/>
      <c r="I2147" s="511">
        <v>10000</v>
      </c>
      <c r="J2147" s="2776"/>
      <c r="K2147" s="2777"/>
      <c r="L2147" s="2999"/>
      <c r="M2147" s="2779">
        <v>13000</v>
      </c>
      <c r="N2147" s="2847"/>
      <c r="O2147" s="86"/>
      <c r="P2147" s="1817" t="e">
        <f>INDEX(#REF!,MATCH(F2147,#REF!,0),2)</f>
        <v>#REF!</v>
      </c>
      <c r="Q2147" s="1779"/>
      <c r="R2147" s="1779"/>
      <c r="S2147" s="1779"/>
      <c r="T2147" s="1779"/>
      <c r="U2147" s="1779"/>
      <c r="V2147" s="1779"/>
      <c r="W2147" s="43"/>
      <c r="X2147" s="1779"/>
      <c r="Y2147" s="1779"/>
      <c r="Z2147" s="1779"/>
      <c r="AA2147" s="1779"/>
      <c r="AB2147" s="1779"/>
      <c r="AC2147" s="1779"/>
      <c r="AD2147" s="1779"/>
      <c r="AE2147" s="1779"/>
      <c r="AF2147" s="1779"/>
      <c r="AG2147" s="1779"/>
      <c r="AH2147" s="1779"/>
      <c r="AI2147" s="1779"/>
      <c r="AJ2147" s="1779"/>
      <c r="AK2147" s="1779"/>
      <c r="AL2147" s="1779"/>
      <c r="AM2147" s="1779"/>
      <c r="AN2147" s="1779"/>
      <c r="AO2147" s="1779"/>
      <c r="AP2147" s="1779"/>
      <c r="AQ2147" s="1779"/>
      <c r="AR2147" s="1779"/>
      <c r="AS2147" s="1779"/>
      <c r="AT2147" s="1779"/>
      <c r="AU2147" s="1779"/>
      <c r="AV2147" s="1779"/>
    </row>
    <row r="2148" spans="1:48" ht="21.6" customHeight="1">
      <c r="A2148" s="412" t="s">
        <v>840</v>
      </c>
      <c r="B2148" s="412" t="s">
        <v>1084</v>
      </c>
      <c r="C2148" s="412" t="s">
        <v>567</v>
      </c>
      <c r="D2148" s="1625"/>
      <c r="E2148" s="2224" t="s">
        <v>1931</v>
      </c>
      <c r="F2148" s="505">
        <v>2239</v>
      </c>
      <c r="G2148" s="2774" t="s">
        <v>3928</v>
      </c>
      <c r="H2148" s="702"/>
      <c r="I2148" s="511">
        <v>5000</v>
      </c>
      <c r="J2148" s="511"/>
      <c r="K2148" s="543"/>
      <c r="L2148" s="626"/>
      <c r="M2148" s="419">
        <v>5000</v>
      </c>
      <c r="N2148" s="2847"/>
      <c r="O2148" s="86"/>
      <c r="P2148" s="1817" t="e">
        <f>INDEX(#REF!,MATCH(F2148,#REF!,0),2)</f>
        <v>#REF!</v>
      </c>
      <c r="Q2148" s="1779"/>
      <c r="R2148" s="1779"/>
      <c r="S2148" s="1779"/>
      <c r="T2148" s="1779"/>
      <c r="U2148" s="1779"/>
      <c r="V2148" s="1779"/>
      <c r="W2148" s="43"/>
      <c r="X2148" s="1779"/>
      <c r="Y2148" s="1779"/>
      <c r="Z2148" s="1779"/>
      <c r="AA2148" s="1779"/>
      <c r="AB2148" s="1779"/>
      <c r="AC2148" s="1779"/>
      <c r="AD2148" s="1779"/>
      <c r="AE2148" s="1779"/>
      <c r="AF2148" s="1779"/>
      <c r="AG2148" s="1779"/>
      <c r="AH2148" s="1779"/>
      <c r="AI2148" s="1779"/>
      <c r="AJ2148" s="1779"/>
      <c r="AK2148" s="1779"/>
      <c r="AL2148" s="1779"/>
      <c r="AM2148" s="1779"/>
      <c r="AN2148" s="1779"/>
      <c r="AO2148" s="1779"/>
      <c r="AP2148" s="1779"/>
      <c r="AQ2148" s="1779"/>
      <c r="AR2148" s="1779"/>
      <c r="AS2148" s="1779"/>
      <c r="AT2148" s="1779"/>
      <c r="AU2148" s="1779"/>
      <c r="AV2148" s="1779"/>
    </row>
    <row r="2149" spans="1:48" ht="21.6" customHeight="1">
      <c r="A2149" s="711"/>
      <c r="B2149" s="711" t="s">
        <v>1084</v>
      </c>
      <c r="C2149" s="711" t="s">
        <v>567</v>
      </c>
      <c r="D2149" s="1627"/>
      <c r="E2149" s="2273" t="s">
        <v>1931</v>
      </c>
      <c r="F2149" s="712">
        <v>2239</v>
      </c>
      <c r="G2149" s="713" t="s">
        <v>845</v>
      </c>
      <c r="H2149" s="3000">
        <v>5400</v>
      </c>
      <c r="I2149" s="714"/>
      <c r="J2149" s="714"/>
      <c r="K2149" s="715"/>
      <c r="L2149" s="3000">
        <v>6000</v>
      </c>
      <c r="M2149" s="3000"/>
      <c r="N2149" s="2847"/>
      <c r="O2149" s="86"/>
      <c r="P2149" s="1817" t="e">
        <f>INDEX(#REF!,MATCH(F2149,#REF!,0),2)</f>
        <v>#REF!</v>
      </c>
      <c r="Q2149" s="1779"/>
      <c r="R2149" s="1779"/>
      <c r="S2149" s="1779"/>
      <c r="T2149" s="1779"/>
      <c r="U2149" s="1779"/>
      <c r="V2149" s="1779"/>
      <c r="W2149" s="43"/>
      <c r="X2149" s="1779"/>
      <c r="Y2149" s="1779"/>
      <c r="Z2149" s="1779"/>
      <c r="AA2149" s="1779"/>
      <c r="AB2149" s="1779"/>
      <c r="AC2149" s="1779"/>
      <c r="AD2149" s="1779"/>
      <c r="AE2149" s="1779"/>
      <c r="AF2149" s="1779"/>
      <c r="AG2149" s="1779"/>
      <c r="AH2149" s="1779"/>
      <c r="AI2149" s="1779"/>
      <c r="AJ2149" s="1779"/>
      <c r="AK2149" s="1779"/>
      <c r="AL2149" s="1779"/>
      <c r="AM2149" s="1779"/>
      <c r="AN2149" s="1779"/>
      <c r="AO2149" s="1779"/>
      <c r="AP2149" s="1779"/>
      <c r="AQ2149" s="1779"/>
      <c r="AR2149" s="1779"/>
      <c r="AS2149" s="1779"/>
      <c r="AT2149" s="1779"/>
      <c r="AU2149" s="1779"/>
      <c r="AV2149" s="1779"/>
    </row>
    <row r="2150" spans="1:48" ht="21.6" customHeight="1">
      <c r="A2150" s="412" t="s">
        <v>843</v>
      </c>
      <c r="B2150" s="412" t="s">
        <v>1084</v>
      </c>
      <c r="C2150" s="412" t="s">
        <v>567</v>
      </c>
      <c r="D2150" s="1628"/>
      <c r="E2150" s="2224" t="s">
        <v>1931</v>
      </c>
      <c r="F2150" s="505">
        <v>2239</v>
      </c>
      <c r="G2150" s="3001" t="s">
        <v>3933</v>
      </c>
      <c r="H2150" s="1546"/>
      <c r="I2150" s="1485">
        <v>200</v>
      </c>
      <c r="J2150" s="1485"/>
      <c r="K2150" s="1541"/>
      <c r="L2150" s="1546"/>
      <c r="M2150" s="1479">
        <v>200</v>
      </c>
      <c r="N2150" s="2847"/>
      <c r="O2150" s="86"/>
      <c r="P2150" s="1817" t="e">
        <f>INDEX(#REF!,MATCH(F2150,#REF!,0),2)</f>
        <v>#REF!</v>
      </c>
      <c r="Q2150" s="1779"/>
      <c r="R2150" s="1779"/>
      <c r="S2150" s="1779"/>
      <c r="T2150" s="1779"/>
      <c r="U2150" s="1779"/>
      <c r="V2150" s="1779"/>
      <c r="W2150" s="43"/>
      <c r="X2150" s="1779"/>
      <c r="Y2150" s="1779"/>
      <c r="Z2150" s="1779"/>
      <c r="AA2150" s="1779"/>
      <c r="AB2150" s="1779"/>
      <c r="AC2150" s="1779"/>
      <c r="AD2150" s="1779"/>
      <c r="AE2150" s="1779"/>
      <c r="AF2150" s="1779"/>
      <c r="AG2150" s="1779"/>
      <c r="AH2150" s="1779"/>
      <c r="AI2150" s="1779"/>
      <c r="AJ2150" s="1779"/>
      <c r="AK2150" s="1779"/>
      <c r="AL2150" s="1779"/>
      <c r="AM2150" s="1779"/>
      <c r="AN2150" s="1779"/>
      <c r="AO2150" s="1779"/>
      <c r="AP2150" s="1779"/>
      <c r="AQ2150" s="1779"/>
      <c r="AR2150" s="1779"/>
      <c r="AS2150" s="1779"/>
      <c r="AT2150" s="1779"/>
      <c r="AU2150" s="1779"/>
      <c r="AV2150" s="1779"/>
    </row>
    <row r="2151" spans="1:48" ht="21.6" customHeight="1">
      <c r="A2151" s="412" t="s">
        <v>843</v>
      </c>
      <c r="B2151" s="412" t="s">
        <v>1084</v>
      </c>
      <c r="C2151" s="412" t="s">
        <v>567</v>
      </c>
      <c r="D2151" s="1628"/>
      <c r="E2151" s="2224" t="s">
        <v>1931</v>
      </c>
      <c r="F2151" s="505">
        <v>2239</v>
      </c>
      <c r="G2151" s="2774" t="s">
        <v>3930</v>
      </c>
      <c r="H2151" s="1540"/>
      <c r="I2151" s="1485">
        <v>200</v>
      </c>
      <c r="J2151" s="1485"/>
      <c r="K2151" s="1541"/>
      <c r="L2151" s="1546"/>
      <c r="M2151" s="1479">
        <v>1900</v>
      </c>
      <c r="N2151" s="2847"/>
      <c r="O2151" s="86"/>
      <c r="P2151" s="1817" t="e">
        <f>INDEX(#REF!,MATCH(F2151,#REF!,0),2)</f>
        <v>#REF!</v>
      </c>
      <c r="Q2151" s="1779"/>
      <c r="R2151" s="1779"/>
      <c r="S2151" s="1779"/>
      <c r="T2151" s="1779"/>
      <c r="U2151" s="1779"/>
      <c r="V2151" s="1779"/>
      <c r="W2151" s="43"/>
      <c r="X2151" s="1779"/>
      <c r="Y2151" s="1779"/>
      <c r="Z2151" s="1779"/>
      <c r="AA2151" s="1779"/>
      <c r="AB2151" s="1779"/>
      <c r="AC2151" s="1779"/>
      <c r="AD2151" s="1779"/>
      <c r="AE2151" s="1779"/>
      <c r="AF2151" s="1779"/>
      <c r="AG2151" s="1779"/>
      <c r="AH2151" s="1779"/>
      <c r="AI2151" s="1779"/>
      <c r="AJ2151" s="1779"/>
      <c r="AK2151" s="1779"/>
      <c r="AL2151" s="1779"/>
      <c r="AM2151" s="1779"/>
      <c r="AN2151" s="1779"/>
      <c r="AO2151" s="1779"/>
      <c r="AP2151" s="1779"/>
      <c r="AQ2151" s="1779"/>
      <c r="AR2151" s="1779"/>
      <c r="AS2151" s="1779"/>
      <c r="AT2151" s="1779"/>
      <c r="AU2151" s="1779"/>
      <c r="AV2151" s="1779"/>
    </row>
    <row r="2152" spans="1:48" ht="21.6" customHeight="1">
      <c r="A2152" s="412" t="s">
        <v>843</v>
      </c>
      <c r="B2152" s="412" t="s">
        <v>1084</v>
      </c>
      <c r="C2152" s="412" t="s">
        <v>567</v>
      </c>
      <c r="D2152" s="1628"/>
      <c r="E2152" s="2224" t="s">
        <v>1931</v>
      </c>
      <c r="F2152" s="505">
        <v>2239</v>
      </c>
      <c r="G2152" s="2774" t="s">
        <v>3932</v>
      </c>
      <c r="H2152" s="1540"/>
      <c r="I2152" s="1485">
        <v>200</v>
      </c>
      <c r="J2152" s="1485"/>
      <c r="K2152" s="1541"/>
      <c r="L2152" s="1546"/>
      <c r="M2152" s="1479">
        <v>1500</v>
      </c>
      <c r="N2152" s="2847"/>
      <c r="O2152" s="86"/>
      <c r="P2152" s="1817" t="e">
        <f>INDEX(#REF!,MATCH(F2152,#REF!,0),2)</f>
        <v>#REF!</v>
      </c>
      <c r="Q2152" s="1779"/>
      <c r="R2152" s="1779"/>
      <c r="S2152" s="1779"/>
      <c r="T2152" s="1779"/>
      <c r="U2152" s="1779"/>
      <c r="V2152" s="1779"/>
      <c r="W2152" s="43"/>
      <c r="X2152" s="1779"/>
      <c r="Y2152" s="1779"/>
      <c r="Z2152" s="1779"/>
      <c r="AA2152" s="1779"/>
      <c r="AB2152" s="1779"/>
      <c r="AC2152" s="1779"/>
      <c r="AD2152" s="1779"/>
      <c r="AE2152" s="1779"/>
      <c r="AF2152" s="1779"/>
      <c r="AG2152" s="1779"/>
      <c r="AH2152" s="1779"/>
      <c r="AI2152" s="1779"/>
      <c r="AJ2152" s="1779"/>
      <c r="AK2152" s="1779"/>
      <c r="AL2152" s="1779"/>
      <c r="AM2152" s="1779"/>
      <c r="AN2152" s="1779"/>
      <c r="AO2152" s="1779"/>
      <c r="AP2152" s="1779"/>
      <c r="AQ2152" s="1779"/>
      <c r="AR2152" s="1779"/>
      <c r="AS2152" s="1779"/>
      <c r="AT2152" s="1779"/>
      <c r="AU2152" s="1779"/>
      <c r="AV2152" s="1779"/>
    </row>
    <row r="2153" spans="1:48" ht="21.6" customHeight="1">
      <c r="A2153" s="412" t="s">
        <v>843</v>
      </c>
      <c r="B2153" s="412" t="s">
        <v>1084</v>
      </c>
      <c r="C2153" s="412" t="s">
        <v>567</v>
      </c>
      <c r="D2153" s="1628"/>
      <c r="E2153" s="2224" t="s">
        <v>1931</v>
      </c>
      <c r="F2153" s="505">
        <v>2239</v>
      </c>
      <c r="G2153" s="2774" t="s">
        <v>3934</v>
      </c>
      <c r="H2153" s="1540"/>
      <c r="I2153" s="1485">
        <v>200</v>
      </c>
      <c r="J2153" s="1485"/>
      <c r="K2153" s="1541"/>
      <c r="L2153" s="1546"/>
      <c r="M2153" s="1479">
        <v>500</v>
      </c>
      <c r="N2153" s="2847"/>
      <c r="O2153" s="86"/>
      <c r="P2153" s="1817"/>
      <c r="Q2153" s="1779"/>
      <c r="R2153" s="1779"/>
      <c r="S2153" s="1779"/>
      <c r="T2153" s="1779"/>
      <c r="U2153" s="1779"/>
      <c r="V2153" s="1779"/>
      <c r="W2153" s="43"/>
      <c r="X2153" s="1779"/>
      <c r="Y2153" s="1779"/>
      <c r="Z2153" s="1779"/>
      <c r="AA2153" s="1779"/>
      <c r="AB2153" s="1779"/>
      <c r="AC2153" s="1779"/>
      <c r="AD2153" s="1779"/>
      <c r="AE2153" s="1779"/>
      <c r="AF2153" s="1779"/>
      <c r="AG2153" s="1779"/>
      <c r="AH2153" s="1779"/>
      <c r="AI2153" s="1779"/>
      <c r="AJ2153" s="1779"/>
      <c r="AK2153" s="1779"/>
      <c r="AL2153" s="1779"/>
      <c r="AM2153" s="1779"/>
      <c r="AN2153" s="1779"/>
      <c r="AO2153" s="1779"/>
      <c r="AP2153" s="1779"/>
      <c r="AQ2153" s="1779"/>
      <c r="AR2153" s="1779"/>
      <c r="AS2153" s="1779"/>
      <c r="AT2153" s="1779"/>
      <c r="AU2153" s="1779"/>
      <c r="AV2153" s="1779"/>
    </row>
    <row r="2154" spans="1:48" ht="21.6" customHeight="1">
      <c r="A2154" s="412" t="s">
        <v>843</v>
      </c>
      <c r="B2154" s="412" t="s">
        <v>1084</v>
      </c>
      <c r="C2154" s="412" t="s">
        <v>567</v>
      </c>
      <c r="D2154" s="1628"/>
      <c r="E2154" s="2224" t="s">
        <v>1931</v>
      </c>
      <c r="F2154" s="505">
        <v>2239</v>
      </c>
      <c r="G2154" s="2774" t="s">
        <v>3931</v>
      </c>
      <c r="H2154" s="1540"/>
      <c r="I2154" s="1485">
        <v>1500</v>
      </c>
      <c r="J2154" s="1485"/>
      <c r="K2154" s="1541"/>
      <c r="L2154" s="1546"/>
      <c r="M2154" s="1479">
        <v>700</v>
      </c>
      <c r="N2154" s="2847"/>
      <c r="O2154" s="86"/>
      <c r="P2154" s="1817"/>
      <c r="Q2154" s="1779"/>
      <c r="R2154" s="1779"/>
      <c r="S2154" s="1779"/>
      <c r="T2154" s="1779"/>
      <c r="U2154" s="1779"/>
      <c r="V2154" s="1779"/>
      <c r="W2154" s="43"/>
      <c r="X2154" s="1779"/>
      <c r="Y2154" s="1779"/>
      <c r="Z2154" s="1779"/>
      <c r="AA2154" s="1779"/>
      <c r="AB2154" s="1779"/>
      <c r="AC2154" s="1779"/>
      <c r="AD2154" s="1779"/>
      <c r="AE2154" s="1779"/>
      <c r="AF2154" s="1779"/>
      <c r="AG2154" s="1779"/>
      <c r="AH2154" s="1779"/>
      <c r="AI2154" s="1779"/>
      <c r="AJ2154" s="1779"/>
      <c r="AK2154" s="1779"/>
      <c r="AL2154" s="1779"/>
      <c r="AM2154" s="1779"/>
      <c r="AN2154" s="1779"/>
      <c r="AO2154" s="1779"/>
      <c r="AP2154" s="1779"/>
      <c r="AQ2154" s="1779"/>
      <c r="AR2154" s="1779"/>
      <c r="AS2154" s="1779"/>
      <c r="AT2154" s="1779"/>
      <c r="AU2154" s="1779"/>
      <c r="AV2154" s="1779"/>
    </row>
    <row r="2155" spans="1:48" ht="21.6" customHeight="1">
      <c r="A2155" s="412" t="s">
        <v>843</v>
      </c>
      <c r="B2155" s="412" t="s">
        <v>1084</v>
      </c>
      <c r="C2155" s="412" t="s">
        <v>567</v>
      </c>
      <c r="D2155" s="1628"/>
      <c r="E2155" s="2224" t="s">
        <v>1931</v>
      </c>
      <c r="F2155" s="505">
        <v>2239</v>
      </c>
      <c r="G2155" s="2774" t="s">
        <v>3935</v>
      </c>
      <c r="H2155" s="2999"/>
      <c r="I2155" s="2776"/>
      <c r="J2155" s="2776"/>
      <c r="K2155" s="2777"/>
      <c r="L2155" s="3002"/>
      <c r="M2155" s="2779">
        <v>400</v>
      </c>
      <c r="N2155" s="2847"/>
      <c r="O2155" s="86"/>
      <c r="P2155" s="1817"/>
      <c r="Q2155" s="1779"/>
      <c r="R2155" s="1779"/>
      <c r="S2155" s="1779"/>
      <c r="T2155" s="1779"/>
      <c r="U2155" s="1779"/>
      <c r="V2155" s="1779"/>
      <c r="W2155" s="43"/>
      <c r="X2155" s="1779"/>
      <c r="Y2155" s="1779"/>
      <c r="Z2155" s="1779"/>
      <c r="AA2155" s="1779"/>
      <c r="AB2155" s="1779"/>
      <c r="AC2155" s="1779"/>
      <c r="AD2155" s="1779"/>
      <c r="AE2155" s="1779"/>
      <c r="AF2155" s="1779"/>
      <c r="AG2155" s="1779"/>
      <c r="AH2155" s="1779"/>
      <c r="AI2155" s="1779"/>
      <c r="AJ2155" s="1779"/>
      <c r="AK2155" s="1779"/>
      <c r="AL2155" s="1779"/>
      <c r="AM2155" s="1779"/>
      <c r="AN2155" s="1779"/>
      <c r="AO2155" s="1779"/>
      <c r="AP2155" s="1779"/>
      <c r="AQ2155" s="1779"/>
      <c r="AR2155" s="1779"/>
      <c r="AS2155" s="1779"/>
      <c r="AT2155" s="1779"/>
      <c r="AU2155" s="1779"/>
      <c r="AV2155" s="1779"/>
    </row>
    <row r="2156" spans="1:48" ht="21.6" customHeight="1">
      <c r="A2156" s="412" t="s">
        <v>843</v>
      </c>
      <c r="B2156" s="412" t="s">
        <v>1084</v>
      </c>
      <c r="C2156" s="412" t="s">
        <v>567</v>
      </c>
      <c r="D2156" s="1628"/>
      <c r="E2156" s="2224" t="s">
        <v>1931</v>
      </c>
      <c r="F2156" s="505">
        <v>2239</v>
      </c>
      <c r="G2156" s="2774" t="s">
        <v>5127</v>
      </c>
      <c r="H2156" s="2999"/>
      <c r="I2156" s="2776"/>
      <c r="J2156" s="2776"/>
      <c r="K2156" s="2777"/>
      <c r="L2156" s="3002"/>
      <c r="M2156" s="2779">
        <v>200</v>
      </c>
      <c r="N2156" s="2847"/>
      <c r="O2156" s="86"/>
      <c r="P2156" s="1817" t="e">
        <f>INDEX(#REF!,MATCH(F2156,#REF!,0),2)</f>
        <v>#REF!</v>
      </c>
      <c r="Q2156" s="1779"/>
      <c r="R2156" s="1779"/>
      <c r="S2156" s="1779"/>
      <c r="T2156" s="1779"/>
      <c r="U2156" s="1779"/>
      <c r="V2156" s="1779"/>
      <c r="W2156" s="43"/>
      <c r="X2156" s="1779"/>
      <c r="Y2156" s="1779"/>
      <c r="Z2156" s="1779"/>
      <c r="AA2156" s="1779"/>
      <c r="AB2156" s="1779"/>
      <c r="AC2156" s="1779"/>
      <c r="AD2156" s="1779"/>
      <c r="AE2156" s="1779"/>
      <c r="AF2156" s="1779"/>
      <c r="AG2156" s="1779"/>
      <c r="AH2156" s="1779"/>
      <c r="AI2156" s="1779"/>
      <c r="AJ2156" s="1779"/>
      <c r="AK2156" s="1779"/>
      <c r="AL2156" s="1779"/>
      <c r="AM2156" s="1779"/>
      <c r="AN2156" s="1779"/>
      <c r="AO2156" s="1779"/>
      <c r="AP2156" s="1779"/>
      <c r="AQ2156" s="1779"/>
      <c r="AR2156" s="1779"/>
      <c r="AS2156" s="1779"/>
      <c r="AT2156" s="1779"/>
      <c r="AU2156" s="1779"/>
      <c r="AV2156" s="1779"/>
    </row>
    <row r="2157" spans="1:48" ht="21.6" customHeight="1">
      <c r="A2157" s="412" t="s">
        <v>843</v>
      </c>
      <c r="B2157" s="412" t="s">
        <v>1084</v>
      </c>
      <c r="C2157" s="412" t="s">
        <v>567</v>
      </c>
      <c r="D2157" s="1628"/>
      <c r="E2157" s="2224" t="s">
        <v>1931</v>
      </c>
      <c r="F2157" s="505">
        <v>2239</v>
      </c>
      <c r="G2157" s="2774" t="s">
        <v>5128</v>
      </c>
      <c r="H2157" s="2999"/>
      <c r="I2157" s="2776"/>
      <c r="J2157" s="2776"/>
      <c r="K2157" s="2777"/>
      <c r="L2157" s="3002"/>
      <c r="M2157" s="2779">
        <v>600</v>
      </c>
      <c r="N2157" s="2847"/>
      <c r="O2157" s="86"/>
      <c r="P2157" s="1817" t="e">
        <f>INDEX(#REF!,MATCH(F2157,#REF!,0),2)</f>
        <v>#REF!</v>
      </c>
      <c r="Q2157" s="1779"/>
      <c r="R2157" s="1779"/>
      <c r="S2157" s="1779"/>
      <c r="T2157" s="1779"/>
      <c r="U2157" s="1779"/>
      <c r="V2157" s="1779"/>
      <c r="W2157" s="43"/>
      <c r="X2157" s="1779"/>
      <c r="Y2157" s="1779"/>
      <c r="Z2157" s="1779"/>
      <c r="AA2157" s="1779"/>
      <c r="AB2157" s="1779"/>
      <c r="AC2157" s="1779"/>
      <c r="AD2157" s="1779"/>
      <c r="AE2157" s="1779"/>
      <c r="AF2157" s="1779"/>
      <c r="AG2157" s="1779"/>
      <c r="AH2157" s="1779"/>
      <c r="AI2157" s="1779"/>
      <c r="AJ2157" s="1779"/>
      <c r="AK2157" s="1779"/>
      <c r="AL2157" s="1779"/>
      <c r="AM2157" s="1779"/>
      <c r="AN2157" s="1779"/>
      <c r="AO2157" s="1779"/>
      <c r="AP2157" s="1779"/>
      <c r="AQ2157" s="1779"/>
      <c r="AR2157" s="1779"/>
      <c r="AS2157" s="1779"/>
      <c r="AT2157" s="1779"/>
      <c r="AU2157" s="1779"/>
      <c r="AV2157" s="1779"/>
    </row>
    <row r="2158" spans="1:48" ht="32.450000000000003" customHeight="1">
      <c r="A2158" s="412" t="s">
        <v>843</v>
      </c>
      <c r="B2158" s="412" t="s">
        <v>1084</v>
      </c>
      <c r="C2158" s="412" t="s">
        <v>567</v>
      </c>
      <c r="D2158" s="1628"/>
      <c r="E2158" s="2224" t="s">
        <v>1931</v>
      </c>
      <c r="F2158" s="505">
        <v>2239</v>
      </c>
      <c r="G2158" s="1529" t="s">
        <v>2067</v>
      </c>
      <c r="H2158" s="1540"/>
      <c r="I2158" s="1485">
        <v>300</v>
      </c>
      <c r="J2158" s="1485"/>
      <c r="K2158" s="1541"/>
      <c r="L2158" s="1546"/>
      <c r="M2158" s="1482"/>
      <c r="N2158" s="2847"/>
      <c r="O2158" s="86"/>
      <c r="P2158" s="1817" t="e">
        <f>INDEX(#REF!,MATCH(F2158,#REF!,0),2)</f>
        <v>#REF!</v>
      </c>
      <c r="Q2158" s="1779"/>
      <c r="R2158" s="1779"/>
      <c r="S2158" s="1779"/>
      <c r="T2158" s="1779"/>
      <c r="U2158" s="1779"/>
      <c r="V2158" s="1779"/>
      <c r="W2158" s="43"/>
      <c r="X2158" s="1779"/>
      <c r="Y2158" s="1779"/>
      <c r="Z2158" s="1779"/>
      <c r="AA2158" s="1779"/>
      <c r="AB2158" s="1779"/>
      <c r="AC2158" s="1779"/>
      <c r="AD2158" s="1779"/>
      <c r="AE2158" s="1779"/>
      <c r="AF2158" s="1779"/>
      <c r="AG2158" s="1779"/>
      <c r="AH2158" s="1779"/>
      <c r="AI2158" s="1779"/>
      <c r="AJ2158" s="1779"/>
      <c r="AK2158" s="1779"/>
      <c r="AL2158" s="1779"/>
      <c r="AM2158" s="1779"/>
      <c r="AN2158" s="1779"/>
      <c r="AO2158" s="1779"/>
      <c r="AP2158" s="1779"/>
      <c r="AQ2158" s="1779"/>
      <c r="AR2158" s="1779"/>
      <c r="AS2158" s="1779"/>
      <c r="AT2158" s="1779"/>
      <c r="AU2158" s="1779"/>
      <c r="AV2158" s="1779"/>
    </row>
    <row r="2159" spans="1:48" ht="31.15" customHeight="1">
      <c r="A2159" s="412" t="s">
        <v>843</v>
      </c>
      <c r="B2159" s="412" t="s">
        <v>1084</v>
      </c>
      <c r="C2159" s="412" t="s">
        <v>567</v>
      </c>
      <c r="D2159" s="1628"/>
      <c r="E2159" s="2224" t="s">
        <v>1931</v>
      </c>
      <c r="F2159" s="505">
        <v>2239</v>
      </c>
      <c r="G2159" s="1529" t="s">
        <v>2068</v>
      </c>
      <c r="H2159" s="1540"/>
      <c r="I2159" s="1485">
        <v>300</v>
      </c>
      <c r="J2159" s="1485"/>
      <c r="K2159" s="1541"/>
      <c r="L2159" s="1546"/>
      <c r="M2159" s="1482"/>
      <c r="N2159" s="2847"/>
      <c r="O2159" s="86"/>
      <c r="P2159" s="1817" t="e">
        <f>INDEX(#REF!,MATCH(F2159,#REF!,0),2)</f>
        <v>#REF!</v>
      </c>
      <c r="Q2159" s="1779"/>
      <c r="R2159" s="1779"/>
      <c r="S2159" s="1779"/>
      <c r="T2159" s="1779"/>
      <c r="U2159" s="1779"/>
      <c r="V2159" s="1779"/>
      <c r="W2159" s="43"/>
      <c r="X2159" s="1779"/>
      <c r="Y2159" s="1779"/>
      <c r="Z2159" s="1779"/>
      <c r="AA2159" s="1779"/>
      <c r="AB2159" s="1779"/>
      <c r="AC2159" s="1779"/>
      <c r="AD2159" s="1779"/>
      <c r="AE2159" s="1779"/>
      <c r="AF2159" s="1779"/>
      <c r="AG2159" s="1779"/>
      <c r="AH2159" s="1779"/>
      <c r="AI2159" s="1779"/>
      <c r="AJ2159" s="1779"/>
      <c r="AK2159" s="1779"/>
      <c r="AL2159" s="1779"/>
      <c r="AM2159" s="1779"/>
      <c r="AN2159" s="1779"/>
      <c r="AO2159" s="1779"/>
      <c r="AP2159" s="1779"/>
      <c r="AQ2159" s="1779"/>
      <c r="AR2159" s="1779"/>
      <c r="AS2159" s="1779"/>
      <c r="AT2159" s="1779"/>
      <c r="AU2159" s="1779"/>
      <c r="AV2159" s="1779"/>
    </row>
    <row r="2160" spans="1:48" ht="24" customHeight="1">
      <c r="A2160" s="412" t="s">
        <v>843</v>
      </c>
      <c r="B2160" s="412" t="s">
        <v>1084</v>
      </c>
      <c r="C2160" s="412" t="s">
        <v>567</v>
      </c>
      <c r="D2160" s="1628"/>
      <c r="E2160" s="2224" t="s">
        <v>1931</v>
      </c>
      <c r="F2160" s="505">
        <v>2239</v>
      </c>
      <c r="G2160" s="1529" t="s">
        <v>2065</v>
      </c>
      <c r="H2160" s="1540"/>
      <c r="I2160" s="1485">
        <v>200</v>
      </c>
      <c r="J2160" s="1485"/>
      <c r="K2160" s="1541"/>
      <c r="L2160" s="1546"/>
      <c r="M2160" s="1482"/>
      <c r="N2160" s="2847"/>
      <c r="O2160" s="86"/>
      <c r="P2160" s="1817" t="e">
        <f>INDEX(#REF!,MATCH(F2160,#REF!,0),2)</f>
        <v>#REF!</v>
      </c>
      <c r="Q2160" s="1779"/>
      <c r="R2160" s="1779"/>
      <c r="S2160" s="1779"/>
      <c r="T2160" s="1779"/>
      <c r="U2160" s="1779"/>
      <c r="V2160" s="1779"/>
      <c r="W2160" s="43"/>
      <c r="X2160" s="1779"/>
      <c r="Y2160" s="1779"/>
      <c r="Z2160" s="1779"/>
      <c r="AA2160" s="1779"/>
      <c r="AB2160" s="1779"/>
      <c r="AC2160" s="1779"/>
      <c r="AD2160" s="1779"/>
      <c r="AE2160" s="1779"/>
      <c r="AF2160" s="1779"/>
      <c r="AG2160" s="1779"/>
      <c r="AH2160" s="1779"/>
      <c r="AI2160" s="1779"/>
      <c r="AJ2160" s="1779"/>
      <c r="AK2160" s="1779"/>
      <c r="AL2160" s="1779"/>
      <c r="AM2160" s="1779"/>
      <c r="AN2160" s="1779"/>
      <c r="AO2160" s="1779"/>
      <c r="AP2160" s="1779"/>
      <c r="AQ2160" s="1779"/>
      <c r="AR2160" s="1779"/>
      <c r="AS2160" s="1779"/>
      <c r="AT2160" s="1779"/>
      <c r="AU2160" s="1779"/>
      <c r="AV2160" s="1779"/>
    </row>
    <row r="2161" spans="1:48" ht="24.6" customHeight="1">
      <c r="A2161" s="412" t="s">
        <v>843</v>
      </c>
      <c r="B2161" s="412" t="s">
        <v>1084</v>
      </c>
      <c r="C2161" s="412" t="s">
        <v>567</v>
      </c>
      <c r="D2161" s="1628"/>
      <c r="E2161" s="2224" t="s">
        <v>1931</v>
      </c>
      <c r="F2161" s="505">
        <v>2239</v>
      </c>
      <c r="G2161" s="1529" t="s">
        <v>2066</v>
      </c>
      <c r="H2161" s="1540"/>
      <c r="I2161" s="1485">
        <v>200</v>
      </c>
      <c r="J2161" s="1485"/>
      <c r="K2161" s="1541"/>
      <c r="L2161" s="1546"/>
      <c r="M2161" s="1482"/>
      <c r="N2161" s="2847"/>
      <c r="O2161" s="86"/>
      <c r="P2161" s="1817" t="e">
        <f>INDEX(#REF!,MATCH(F2161,#REF!,0),2)</f>
        <v>#REF!</v>
      </c>
      <c r="Q2161" s="1779"/>
      <c r="R2161" s="1779"/>
      <c r="S2161" s="1779"/>
      <c r="T2161" s="1779"/>
      <c r="U2161" s="1779"/>
      <c r="V2161" s="1779"/>
      <c r="W2161" s="43"/>
      <c r="X2161" s="1779"/>
      <c r="Y2161" s="1779"/>
      <c r="Z2161" s="1779"/>
      <c r="AA2161" s="1779"/>
      <c r="AB2161" s="1779"/>
      <c r="AC2161" s="1779"/>
      <c r="AD2161" s="1779"/>
      <c r="AE2161" s="1779"/>
      <c r="AF2161" s="1779"/>
      <c r="AG2161" s="1779"/>
      <c r="AH2161" s="1779"/>
      <c r="AI2161" s="1779"/>
      <c r="AJ2161" s="1779"/>
      <c r="AK2161" s="1779"/>
      <c r="AL2161" s="1779"/>
      <c r="AM2161" s="1779"/>
      <c r="AN2161" s="1779"/>
      <c r="AO2161" s="1779"/>
      <c r="AP2161" s="1779"/>
      <c r="AQ2161" s="1779"/>
      <c r="AR2161" s="1779"/>
      <c r="AS2161" s="1779"/>
      <c r="AT2161" s="1779"/>
      <c r="AU2161" s="1779"/>
      <c r="AV2161" s="1779"/>
    </row>
    <row r="2162" spans="1:48" ht="20.45" customHeight="1">
      <c r="A2162" s="412" t="s">
        <v>843</v>
      </c>
      <c r="B2162" s="412" t="s">
        <v>1084</v>
      </c>
      <c r="C2162" s="412" t="s">
        <v>567</v>
      </c>
      <c r="D2162" s="1628"/>
      <c r="E2162" s="2224" t="s">
        <v>1931</v>
      </c>
      <c r="F2162" s="505">
        <v>2239</v>
      </c>
      <c r="G2162" s="1529" t="s">
        <v>2069</v>
      </c>
      <c r="H2162" s="1540"/>
      <c r="I2162" s="1485">
        <v>600</v>
      </c>
      <c r="J2162" s="1485"/>
      <c r="K2162" s="1541"/>
      <c r="L2162" s="1546"/>
      <c r="M2162" s="1482"/>
      <c r="N2162" s="2847"/>
      <c r="O2162" s="86"/>
      <c r="P2162" s="1817" t="e">
        <f>INDEX(#REF!,MATCH(F2162,#REF!,0),2)</f>
        <v>#REF!</v>
      </c>
      <c r="Q2162" s="1779"/>
      <c r="R2162" s="1779"/>
      <c r="S2162" s="1779"/>
      <c r="T2162" s="1779"/>
      <c r="U2162" s="1779"/>
      <c r="V2162" s="1779"/>
      <c r="W2162" s="43"/>
      <c r="X2162" s="1779"/>
      <c r="Y2162" s="1779"/>
      <c r="Z2162" s="1779"/>
      <c r="AA2162" s="1779"/>
      <c r="AB2162" s="1779"/>
      <c r="AC2162" s="1779"/>
      <c r="AD2162" s="1779"/>
      <c r="AE2162" s="1779"/>
      <c r="AF2162" s="1779"/>
      <c r="AG2162" s="1779"/>
      <c r="AH2162" s="1779"/>
      <c r="AI2162" s="1779"/>
      <c r="AJ2162" s="1779"/>
      <c r="AK2162" s="1779"/>
      <c r="AL2162" s="1779"/>
      <c r="AM2162" s="1779"/>
      <c r="AN2162" s="1779"/>
      <c r="AO2162" s="1779"/>
      <c r="AP2162" s="1779"/>
      <c r="AQ2162" s="1779"/>
      <c r="AR2162" s="1779"/>
      <c r="AS2162" s="1779"/>
      <c r="AT2162" s="1779"/>
      <c r="AU2162" s="1779"/>
      <c r="AV2162" s="1779"/>
    </row>
    <row r="2163" spans="1:48" ht="30" customHeight="1">
      <c r="A2163" s="412" t="s">
        <v>843</v>
      </c>
      <c r="B2163" s="412" t="s">
        <v>1084</v>
      </c>
      <c r="C2163" s="412" t="s">
        <v>567</v>
      </c>
      <c r="D2163" s="1628"/>
      <c r="E2163" s="2224" t="s">
        <v>1931</v>
      </c>
      <c r="F2163" s="505">
        <v>2239</v>
      </c>
      <c r="G2163" s="1529" t="s">
        <v>2070</v>
      </c>
      <c r="H2163" s="1540"/>
      <c r="I2163" s="1485">
        <v>1500</v>
      </c>
      <c r="J2163" s="1485"/>
      <c r="K2163" s="1541"/>
      <c r="L2163" s="1546"/>
      <c r="M2163" s="1482"/>
      <c r="N2163" s="2847"/>
      <c r="O2163" s="86"/>
      <c r="P2163" s="1817" t="e">
        <f>INDEX(#REF!,MATCH(F2163,#REF!,0),2)</f>
        <v>#REF!</v>
      </c>
      <c r="Q2163" s="1779"/>
      <c r="R2163" s="1779"/>
      <c r="S2163" s="1779"/>
      <c r="T2163" s="1779"/>
      <c r="U2163" s="1779"/>
      <c r="V2163" s="1779"/>
      <c r="W2163" s="43"/>
      <c r="X2163" s="1779"/>
      <c r="Y2163" s="1779"/>
      <c r="Z2163" s="1779"/>
      <c r="AA2163" s="1779"/>
      <c r="AB2163" s="1779"/>
      <c r="AC2163" s="1779"/>
      <c r="AD2163" s="1779"/>
      <c r="AE2163" s="1779"/>
      <c r="AF2163" s="1779"/>
      <c r="AG2163" s="1779"/>
      <c r="AH2163" s="1779"/>
      <c r="AI2163" s="1779"/>
      <c r="AJ2163" s="1779"/>
      <c r="AK2163" s="1779"/>
      <c r="AL2163" s="1779"/>
      <c r="AM2163" s="1779"/>
      <c r="AN2163" s="1779"/>
      <c r="AO2163" s="1779"/>
      <c r="AP2163" s="1779"/>
      <c r="AQ2163" s="1779"/>
      <c r="AR2163" s="1779"/>
      <c r="AS2163" s="1779"/>
      <c r="AT2163" s="1779"/>
      <c r="AU2163" s="1779"/>
      <c r="AV2163" s="1779"/>
    </row>
    <row r="2164" spans="1:48" ht="30" customHeight="1">
      <c r="A2164" s="711"/>
      <c r="B2164" s="711" t="s">
        <v>1084</v>
      </c>
      <c r="C2164" s="711" t="s">
        <v>567</v>
      </c>
      <c r="D2164" s="1627"/>
      <c r="E2164" s="2273" t="s">
        <v>1931</v>
      </c>
      <c r="F2164" s="712">
        <v>2239</v>
      </c>
      <c r="G2164" s="713" t="s">
        <v>2390</v>
      </c>
      <c r="H2164" s="3000">
        <v>10000</v>
      </c>
      <c r="I2164" s="714"/>
      <c r="J2164" s="714"/>
      <c r="K2164" s="715"/>
      <c r="L2164" s="3000">
        <v>10000</v>
      </c>
      <c r="M2164" s="3000"/>
      <c r="N2164" s="2847"/>
      <c r="O2164" s="86"/>
      <c r="P2164" s="1817" t="e">
        <f>INDEX(#REF!,MATCH(F2164,#REF!,0),2)</f>
        <v>#REF!</v>
      </c>
      <c r="Q2164" s="1779"/>
      <c r="R2164" s="1779"/>
      <c r="S2164" s="1779"/>
      <c r="T2164" s="1779"/>
      <c r="U2164" s="1779"/>
      <c r="V2164" s="1779"/>
      <c r="W2164" s="43"/>
      <c r="X2164" s="1779"/>
      <c r="Y2164" s="1779"/>
      <c r="Z2164" s="1779"/>
      <c r="AA2164" s="1779"/>
      <c r="AB2164" s="1779"/>
      <c r="AC2164" s="1779"/>
      <c r="AD2164" s="1779"/>
      <c r="AE2164" s="1779"/>
      <c r="AF2164" s="1779"/>
      <c r="AG2164" s="1779"/>
      <c r="AH2164" s="1779"/>
      <c r="AI2164" s="1779"/>
      <c r="AJ2164" s="1779"/>
      <c r="AK2164" s="1779"/>
      <c r="AL2164" s="1779"/>
      <c r="AM2164" s="1779"/>
      <c r="AN2164" s="1779"/>
      <c r="AO2164" s="1779"/>
      <c r="AP2164" s="1779"/>
      <c r="AQ2164" s="1779"/>
      <c r="AR2164" s="1779"/>
      <c r="AS2164" s="1779"/>
      <c r="AT2164" s="1779"/>
      <c r="AU2164" s="1779"/>
      <c r="AV2164" s="1779"/>
    </row>
    <row r="2165" spans="1:48" ht="33.75" customHeight="1">
      <c r="A2165" s="412" t="s">
        <v>844</v>
      </c>
      <c r="B2165" s="412" t="s">
        <v>1084</v>
      </c>
      <c r="C2165" s="412" t="s">
        <v>567</v>
      </c>
      <c r="D2165" s="1625"/>
      <c r="E2165" s="2271" t="s">
        <v>1931</v>
      </c>
      <c r="F2165" s="699">
        <v>2239</v>
      </c>
      <c r="G2165" s="410" t="s">
        <v>2391</v>
      </c>
      <c r="H2165" s="626"/>
      <c r="I2165" s="511">
        <v>10000</v>
      </c>
      <c r="J2165" s="511"/>
      <c r="K2165" s="543"/>
      <c r="L2165" s="702"/>
      <c r="M2165" s="1576">
        <v>10000</v>
      </c>
      <c r="N2165" s="2847" t="s">
        <v>3936</v>
      </c>
      <c r="O2165" s="86"/>
      <c r="P2165" s="1817" t="e">
        <f>INDEX(#REF!,MATCH(F2165,#REF!,0),2)</f>
        <v>#REF!</v>
      </c>
      <c r="Q2165" s="1779"/>
      <c r="R2165" s="1779"/>
      <c r="S2165" s="1779"/>
      <c r="T2165" s="1779"/>
      <c r="U2165" s="1779"/>
      <c r="V2165" s="1779"/>
      <c r="W2165" s="43"/>
      <c r="X2165" s="1779"/>
      <c r="Y2165" s="1779"/>
      <c r="Z2165" s="1779"/>
      <c r="AA2165" s="1779"/>
      <c r="AB2165" s="1779"/>
      <c r="AC2165" s="1779"/>
      <c r="AD2165" s="1779"/>
      <c r="AE2165" s="1779"/>
      <c r="AF2165" s="1779"/>
      <c r="AG2165" s="1779"/>
      <c r="AH2165" s="1779"/>
      <c r="AI2165" s="1779"/>
      <c r="AJ2165" s="1779"/>
      <c r="AK2165" s="1779"/>
      <c r="AL2165" s="1779"/>
      <c r="AM2165" s="1779"/>
      <c r="AN2165" s="1779"/>
      <c r="AO2165" s="1779"/>
      <c r="AP2165" s="1779"/>
      <c r="AQ2165" s="1779"/>
      <c r="AR2165" s="1779"/>
      <c r="AS2165" s="1779"/>
      <c r="AT2165" s="1779"/>
      <c r="AU2165" s="1779"/>
      <c r="AV2165" s="1779"/>
    </row>
    <row r="2166" spans="1:48" ht="31.5" customHeight="1">
      <c r="A2166" s="506"/>
      <c r="B2166" s="506" t="s">
        <v>1248</v>
      </c>
      <c r="C2166" s="506" t="s">
        <v>507</v>
      </c>
      <c r="D2166" s="1624" t="s">
        <v>1777</v>
      </c>
      <c r="E2166" s="2223" t="s">
        <v>1931</v>
      </c>
      <c r="F2166" s="507">
        <v>2239</v>
      </c>
      <c r="G2166" s="411" t="s">
        <v>266</v>
      </c>
      <c r="H2166" s="579">
        <v>18900</v>
      </c>
      <c r="I2166" s="619"/>
      <c r="J2166" s="604"/>
      <c r="K2166" s="543"/>
      <c r="L2166" s="579">
        <v>17600</v>
      </c>
      <c r="M2166" s="579"/>
      <c r="N2166" s="2847"/>
      <c r="O2166" s="86"/>
      <c r="P2166" s="1817" t="e">
        <f>INDEX(#REF!,MATCH(F2166,#REF!,0),2)</f>
        <v>#REF!</v>
      </c>
      <c r="Q2166" s="1779"/>
      <c r="R2166" s="1779"/>
      <c r="S2166" s="1779"/>
      <c r="T2166" s="1779"/>
      <c r="U2166" s="1779"/>
      <c r="V2166" s="1779"/>
      <c r="W2166" s="43"/>
      <c r="X2166" s="1779"/>
      <c r="Y2166" s="1779"/>
      <c r="Z2166" s="1779"/>
      <c r="AA2166" s="1779"/>
      <c r="AB2166" s="1779"/>
      <c r="AC2166" s="1779"/>
      <c r="AD2166" s="1779"/>
      <c r="AE2166" s="1779"/>
      <c r="AF2166" s="1779"/>
      <c r="AG2166" s="1779"/>
      <c r="AH2166" s="1779"/>
      <c r="AI2166" s="1779"/>
      <c r="AJ2166" s="1779"/>
      <c r="AK2166" s="1779"/>
      <c r="AL2166" s="1779"/>
      <c r="AM2166" s="1779"/>
      <c r="AN2166" s="1779"/>
      <c r="AO2166" s="1779"/>
      <c r="AP2166" s="1779"/>
      <c r="AQ2166" s="1779"/>
      <c r="AR2166" s="1779"/>
      <c r="AS2166" s="1779"/>
      <c r="AT2166" s="1779"/>
      <c r="AU2166" s="1779"/>
      <c r="AV2166" s="1779"/>
    </row>
    <row r="2167" spans="1:48" ht="20.45" customHeight="1">
      <c r="A2167" s="412" t="s">
        <v>738</v>
      </c>
      <c r="B2167" s="412" t="s">
        <v>1248</v>
      </c>
      <c r="C2167" s="412" t="s">
        <v>507</v>
      </c>
      <c r="D2167" s="1625"/>
      <c r="E2167" s="2224" t="s">
        <v>1931</v>
      </c>
      <c r="F2167" s="505">
        <v>2239</v>
      </c>
      <c r="G2167" s="410" t="s">
        <v>1318</v>
      </c>
      <c r="H2167" s="626"/>
      <c r="I2167" s="419">
        <v>11000</v>
      </c>
      <c r="J2167" s="511"/>
      <c r="K2167" s="543"/>
      <c r="L2167" s="702"/>
      <c r="M2167" s="419">
        <v>10000</v>
      </c>
      <c r="N2167" s="2847"/>
      <c r="O2167" s="86"/>
      <c r="P2167" s="1817" t="e">
        <f>INDEX(#REF!,MATCH(F2167,#REF!,0),2)</f>
        <v>#REF!</v>
      </c>
      <c r="Q2167" s="1779"/>
      <c r="R2167" s="1779"/>
      <c r="S2167" s="1779"/>
      <c r="T2167" s="1779"/>
      <c r="U2167" s="1779"/>
      <c r="V2167" s="1779"/>
      <c r="W2167" s="43"/>
      <c r="X2167" s="1779"/>
      <c r="Y2167" s="1779"/>
      <c r="Z2167" s="1779"/>
      <c r="AA2167" s="1779"/>
      <c r="AB2167" s="1779"/>
      <c r="AC2167" s="1779"/>
      <c r="AD2167" s="1779"/>
      <c r="AE2167" s="1779"/>
      <c r="AF2167" s="1779"/>
      <c r="AG2167" s="1779"/>
      <c r="AH2167" s="1779"/>
      <c r="AI2167" s="1779"/>
      <c r="AJ2167" s="1779"/>
      <c r="AK2167" s="1779"/>
      <c r="AL2167" s="1779"/>
      <c r="AM2167" s="1779"/>
      <c r="AN2167" s="1779"/>
      <c r="AO2167" s="1779"/>
      <c r="AP2167" s="1779"/>
      <c r="AQ2167" s="1779"/>
      <c r="AR2167" s="1779"/>
      <c r="AS2167" s="1779"/>
      <c r="AT2167" s="1779"/>
      <c r="AU2167" s="1779"/>
      <c r="AV2167" s="1779"/>
    </row>
    <row r="2168" spans="1:48" ht="25.9" customHeight="1">
      <c r="A2168" s="1465"/>
      <c r="B2168" s="412" t="s">
        <v>1248</v>
      </c>
      <c r="C2168" s="412" t="s">
        <v>507</v>
      </c>
      <c r="D2168" s="1625"/>
      <c r="E2168" s="2224" t="s">
        <v>1931</v>
      </c>
      <c r="F2168" s="505">
        <v>2239</v>
      </c>
      <c r="G2168" s="1529" t="s">
        <v>3937</v>
      </c>
      <c r="H2168" s="1540"/>
      <c r="I2168" s="1479">
        <v>400</v>
      </c>
      <c r="J2168" s="1485"/>
      <c r="K2168" s="1541"/>
      <c r="L2168" s="1546"/>
      <c r="M2168" s="1479">
        <v>100</v>
      </c>
      <c r="N2168" s="2847"/>
      <c r="O2168" s="86"/>
      <c r="P2168" s="1817" t="e">
        <f>INDEX(#REF!,MATCH(F2168,#REF!,0),2)</f>
        <v>#REF!</v>
      </c>
      <c r="Q2168" s="11"/>
      <c r="R2168" s="11"/>
      <c r="S2168" s="11"/>
      <c r="T2168" s="11"/>
      <c r="U2168" s="11"/>
      <c r="V2168" s="11"/>
      <c r="W2168" s="4"/>
      <c r="X2168" s="11"/>
      <c r="Y2168" s="11"/>
      <c r="Z2168" s="11"/>
      <c r="AA2168" s="11"/>
      <c r="AB2168" s="11"/>
      <c r="AC2168" s="11"/>
      <c r="AD2168" s="11"/>
      <c r="AE2168" s="11"/>
      <c r="AF2168" s="11"/>
      <c r="AG2168" s="11"/>
      <c r="AH2168" s="11"/>
      <c r="AI2168" s="11"/>
      <c r="AJ2168" s="11"/>
      <c r="AK2168" s="11"/>
      <c r="AL2168" s="11"/>
      <c r="AM2168" s="11"/>
      <c r="AN2168" s="11"/>
      <c r="AO2168" s="11"/>
      <c r="AP2168" s="11"/>
      <c r="AQ2168" s="11"/>
      <c r="AR2168" s="11"/>
      <c r="AS2168" s="11"/>
      <c r="AT2168" s="11"/>
      <c r="AU2168" s="11"/>
      <c r="AV2168" s="11"/>
    </row>
    <row r="2169" spans="1:48" ht="24" customHeight="1">
      <c r="A2169" s="412"/>
      <c r="B2169" s="412" t="s">
        <v>1248</v>
      </c>
      <c r="C2169" s="412" t="s">
        <v>507</v>
      </c>
      <c r="D2169" s="1625"/>
      <c r="E2169" s="2224" t="s">
        <v>1931</v>
      </c>
      <c r="F2169" s="505">
        <v>2239</v>
      </c>
      <c r="G2169" s="410" t="s">
        <v>3938</v>
      </c>
      <c r="H2169" s="626"/>
      <c r="I2169" s="419">
        <v>1500</v>
      </c>
      <c r="J2169" s="511"/>
      <c r="K2169" s="543"/>
      <c r="L2169" s="702"/>
      <c r="M2169" s="419">
        <v>500</v>
      </c>
      <c r="N2169" s="2847"/>
      <c r="O2169" s="86"/>
      <c r="P2169" s="1817" t="e">
        <f>INDEX(#REF!,MATCH(F2169,#REF!,0),2)</f>
        <v>#REF!</v>
      </c>
      <c r="Q2169" s="11"/>
      <c r="R2169" s="11"/>
      <c r="S2169" s="11"/>
      <c r="T2169" s="11"/>
      <c r="U2169" s="11"/>
      <c r="V2169" s="11"/>
      <c r="W2169" s="4"/>
      <c r="X2169" s="11"/>
      <c r="Y2169" s="11"/>
      <c r="Z2169" s="11"/>
      <c r="AA2169" s="11"/>
      <c r="AB2169" s="11"/>
      <c r="AC2169" s="11"/>
      <c r="AD2169" s="11"/>
      <c r="AE2169" s="11"/>
      <c r="AF2169" s="11"/>
      <c r="AG2169" s="11"/>
      <c r="AH2169" s="11"/>
      <c r="AI2169" s="11"/>
      <c r="AJ2169" s="11"/>
      <c r="AK2169" s="11"/>
      <c r="AL2169" s="11"/>
      <c r="AM2169" s="11"/>
      <c r="AN2169" s="11"/>
      <c r="AO2169" s="11"/>
      <c r="AP2169" s="11"/>
      <c r="AQ2169" s="11"/>
      <c r="AR2169" s="11"/>
      <c r="AS2169" s="11"/>
      <c r="AT2169" s="11"/>
      <c r="AU2169" s="11"/>
      <c r="AV2169" s="11"/>
    </row>
    <row r="2170" spans="1:48" ht="53.45" customHeight="1">
      <c r="A2170" s="412"/>
      <c r="B2170" s="412" t="s">
        <v>1248</v>
      </c>
      <c r="C2170" s="412" t="s">
        <v>507</v>
      </c>
      <c r="D2170" s="1625"/>
      <c r="E2170" s="2224" t="s">
        <v>1931</v>
      </c>
      <c r="F2170" s="505">
        <v>2239</v>
      </c>
      <c r="G2170" s="410" t="s">
        <v>419</v>
      </c>
      <c r="H2170" s="626"/>
      <c r="I2170" s="419">
        <v>6700</v>
      </c>
      <c r="J2170" s="511"/>
      <c r="K2170" s="543"/>
      <c r="L2170" s="702"/>
      <c r="M2170" s="419">
        <v>6700</v>
      </c>
      <c r="N2170" s="2847"/>
      <c r="O2170" s="86"/>
      <c r="P2170" s="1817" t="e">
        <f>INDEX(#REF!,MATCH(F2170,#REF!,0),2)</f>
        <v>#REF!</v>
      </c>
      <c r="Q2170" s="1779"/>
      <c r="R2170" s="1779"/>
      <c r="S2170" s="1779"/>
      <c r="T2170" s="1779"/>
      <c r="U2170" s="1779"/>
      <c r="V2170" s="1779"/>
      <c r="W2170" s="43"/>
      <c r="X2170" s="1779"/>
      <c r="Y2170" s="1779"/>
      <c r="Z2170" s="1779"/>
      <c r="AA2170" s="1779"/>
      <c r="AB2170" s="1779"/>
      <c r="AC2170" s="1779"/>
      <c r="AD2170" s="1779"/>
      <c r="AE2170" s="1779"/>
      <c r="AF2170" s="1779"/>
      <c r="AG2170" s="1779"/>
      <c r="AH2170" s="1779"/>
      <c r="AI2170" s="1779"/>
      <c r="AJ2170" s="1779"/>
      <c r="AK2170" s="1779"/>
      <c r="AL2170" s="1779"/>
      <c r="AM2170" s="1779"/>
      <c r="AN2170" s="1779"/>
      <c r="AO2170" s="1779"/>
      <c r="AP2170" s="1779"/>
      <c r="AQ2170" s="1779"/>
      <c r="AR2170" s="1779"/>
      <c r="AS2170" s="1779"/>
      <c r="AT2170" s="1779"/>
      <c r="AU2170" s="1779"/>
      <c r="AV2170" s="1779"/>
    </row>
    <row r="2171" spans="1:48" ht="23.45" customHeight="1">
      <c r="A2171" s="412"/>
      <c r="B2171" s="412" t="s">
        <v>1248</v>
      </c>
      <c r="C2171" s="412" t="s">
        <v>507</v>
      </c>
      <c r="D2171" s="1625"/>
      <c r="E2171" s="2224" t="s">
        <v>1931</v>
      </c>
      <c r="F2171" s="505">
        <v>2239</v>
      </c>
      <c r="G2171" s="410" t="s">
        <v>667</v>
      </c>
      <c r="H2171" s="626"/>
      <c r="I2171" s="419">
        <v>300</v>
      </c>
      <c r="J2171" s="511"/>
      <c r="K2171" s="543"/>
      <c r="L2171" s="626"/>
      <c r="M2171" s="419">
        <v>300</v>
      </c>
      <c r="N2171" s="2847"/>
      <c r="O2171" s="86"/>
      <c r="P2171" s="1817" t="e">
        <f>INDEX(#REF!,MATCH(F2171,#REF!,0),2)</f>
        <v>#REF!</v>
      </c>
      <c r="Q2171" s="1779"/>
      <c r="R2171" s="1779"/>
      <c r="S2171" s="1779"/>
      <c r="T2171" s="1779"/>
      <c r="U2171" s="1779"/>
      <c r="V2171" s="1779"/>
      <c r="W2171" s="43"/>
      <c r="X2171" s="1779"/>
      <c r="Y2171" s="1779"/>
      <c r="Z2171" s="1779"/>
      <c r="AA2171" s="1779"/>
      <c r="AB2171" s="1779"/>
      <c r="AC2171" s="1779"/>
      <c r="AD2171" s="1779"/>
      <c r="AE2171" s="1779"/>
      <c r="AF2171" s="1779"/>
      <c r="AG2171" s="1779"/>
      <c r="AH2171" s="1779"/>
      <c r="AI2171" s="1779"/>
      <c r="AJ2171" s="1779"/>
      <c r="AK2171" s="1779"/>
      <c r="AL2171" s="1779"/>
      <c r="AM2171" s="1779"/>
      <c r="AN2171" s="1779"/>
      <c r="AO2171" s="1779"/>
      <c r="AP2171" s="1779"/>
      <c r="AQ2171" s="1779"/>
      <c r="AR2171" s="1779"/>
      <c r="AS2171" s="1779"/>
      <c r="AT2171" s="1779"/>
      <c r="AU2171" s="1779"/>
      <c r="AV2171" s="1779"/>
    </row>
    <row r="2172" spans="1:48" ht="22.9" customHeight="1">
      <c r="A2172" s="506" t="s">
        <v>838</v>
      </c>
      <c r="B2172" s="506" t="s">
        <v>1248</v>
      </c>
      <c r="C2172" s="506" t="s">
        <v>505</v>
      </c>
      <c r="D2172" s="1624" t="s">
        <v>1777</v>
      </c>
      <c r="E2172" s="2223" t="s">
        <v>1931</v>
      </c>
      <c r="F2172" s="540">
        <v>2243</v>
      </c>
      <c r="G2172" s="411" t="s">
        <v>279</v>
      </c>
      <c r="H2172" s="579">
        <v>5100</v>
      </c>
      <c r="I2172" s="604"/>
      <c r="J2172" s="2520">
        <v>3759.61</v>
      </c>
      <c r="K2172" s="695"/>
      <c r="L2172" s="579">
        <v>7200</v>
      </c>
      <c r="M2172" s="579"/>
      <c r="N2172" s="2847"/>
      <c r="O2172" s="86"/>
      <c r="P2172" s="1817" t="e">
        <f>INDEX(#REF!,MATCH(F2172,#REF!,0),2)</f>
        <v>#REF!</v>
      </c>
      <c r="Q2172" s="1779"/>
      <c r="R2172" s="1779"/>
      <c r="S2172" s="1779"/>
      <c r="T2172" s="1779"/>
      <c r="U2172" s="1779"/>
      <c r="V2172" s="1779"/>
      <c r="W2172" s="43"/>
      <c r="X2172" s="1779"/>
      <c r="Y2172" s="1779"/>
      <c r="Z2172" s="1779"/>
      <c r="AA2172" s="1779"/>
      <c r="AB2172" s="1779"/>
      <c r="AC2172" s="1779"/>
      <c r="AD2172" s="1779"/>
      <c r="AE2172" s="1779"/>
      <c r="AF2172" s="1779"/>
      <c r="AG2172" s="1779"/>
      <c r="AH2172" s="1779"/>
      <c r="AI2172" s="1779"/>
      <c r="AJ2172" s="1779"/>
      <c r="AK2172" s="1779"/>
      <c r="AL2172" s="1779"/>
      <c r="AM2172" s="1779"/>
      <c r="AN2172" s="1779"/>
      <c r="AO2172" s="1779"/>
      <c r="AP2172" s="1779"/>
      <c r="AQ2172" s="1779"/>
      <c r="AR2172" s="1779"/>
      <c r="AS2172" s="1779"/>
      <c r="AT2172" s="1779"/>
      <c r="AU2172" s="1779"/>
      <c r="AV2172" s="1779"/>
    </row>
    <row r="2173" spans="1:48" ht="22.15" customHeight="1">
      <c r="A2173" s="412"/>
      <c r="B2173" s="412" t="s">
        <v>1248</v>
      </c>
      <c r="C2173" s="412" t="s">
        <v>505</v>
      </c>
      <c r="D2173" s="1625"/>
      <c r="E2173" s="2224" t="s">
        <v>1931</v>
      </c>
      <c r="F2173" s="505">
        <v>2243</v>
      </c>
      <c r="G2173" s="2774" t="s">
        <v>413</v>
      </c>
      <c r="H2173" s="626"/>
      <c r="I2173" s="703">
        <v>800</v>
      </c>
      <c r="J2173" s="511"/>
      <c r="K2173" s="543"/>
      <c r="L2173" s="702"/>
      <c r="M2173" s="419">
        <v>600</v>
      </c>
      <c r="N2173" s="2847"/>
      <c r="O2173" s="86"/>
      <c r="P2173" s="1817" t="e">
        <f>INDEX(#REF!,MATCH(F2173,#REF!,0),2)</f>
        <v>#REF!</v>
      </c>
      <c r="Q2173" s="1779"/>
      <c r="R2173" s="1779"/>
      <c r="S2173" s="1779"/>
      <c r="T2173" s="1779"/>
      <c r="U2173" s="1779"/>
      <c r="V2173" s="1779"/>
      <c r="W2173" s="43"/>
      <c r="X2173" s="1779"/>
      <c r="Y2173" s="1779"/>
      <c r="Z2173" s="1779"/>
      <c r="AA2173" s="1779"/>
      <c r="AB2173" s="1779"/>
      <c r="AC2173" s="1779"/>
      <c r="AD2173" s="1779"/>
      <c r="AE2173" s="1779"/>
      <c r="AF2173" s="1779"/>
      <c r="AG2173" s="1779"/>
      <c r="AH2173" s="1779"/>
      <c r="AI2173" s="1779"/>
      <c r="AJ2173" s="1779"/>
      <c r="AK2173" s="1779"/>
      <c r="AL2173" s="1779"/>
      <c r="AM2173" s="1779"/>
      <c r="AN2173" s="1779"/>
      <c r="AO2173" s="1779"/>
      <c r="AP2173" s="1779"/>
      <c r="AQ2173" s="1779"/>
      <c r="AR2173" s="1779"/>
      <c r="AS2173" s="1779"/>
      <c r="AT2173" s="1779"/>
      <c r="AU2173" s="1779"/>
      <c r="AV2173" s="1779"/>
    </row>
    <row r="2174" spans="1:48" ht="18" customHeight="1">
      <c r="A2174" s="412"/>
      <c r="B2174" s="412" t="s">
        <v>1248</v>
      </c>
      <c r="C2174" s="412" t="s">
        <v>505</v>
      </c>
      <c r="D2174" s="1625"/>
      <c r="E2174" s="2224" t="s">
        <v>1931</v>
      </c>
      <c r="F2174" s="505">
        <v>2243</v>
      </c>
      <c r="G2174" s="2774" t="s">
        <v>3939</v>
      </c>
      <c r="H2174" s="626"/>
      <c r="I2174" s="703">
        <v>900</v>
      </c>
      <c r="J2174" s="511"/>
      <c r="K2174" s="543"/>
      <c r="L2174" s="702"/>
      <c r="M2174" s="419">
        <v>4000</v>
      </c>
      <c r="N2174" s="2846" t="s">
        <v>3940</v>
      </c>
      <c r="O2174" s="86"/>
      <c r="P2174" s="1817" t="e">
        <f>INDEX(#REF!,MATCH(F2174,#REF!,0),2)</f>
        <v>#REF!</v>
      </c>
      <c r="Q2174" s="11"/>
      <c r="R2174" s="11"/>
      <c r="S2174" s="11"/>
      <c r="T2174" s="11"/>
      <c r="U2174" s="11"/>
      <c r="V2174" s="11"/>
      <c r="W2174" s="4"/>
      <c r="X2174" s="11"/>
      <c r="Y2174" s="11"/>
      <c r="Z2174" s="11"/>
      <c r="AA2174" s="11"/>
      <c r="AB2174" s="11"/>
      <c r="AC2174" s="11"/>
      <c r="AD2174" s="11"/>
      <c r="AE2174" s="11"/>
      <c r="AF2174" s="11"/>
      <c r="AG2174" s="11"/>
      <c r="AH2174" s="11"/>
      <c r="AI2174" s="11"/>
      <c r="AJ2174" s="11"/>
      <c r="AK2174" s="11"/>
      <c r="AL2174" s="11"/>
      <c r="AM2174" s="11"/>
      <c r="AN2174" s="11"/>
      <c r="AO2174" s="11"/>
      <c r="AP2174" s="11"/>
      <c r="AQ2174" s="11"/>
      <c r="AR2174" s="11"/>
      <c r="AS2174" s="11"/>
      <c r="AT2174" s="11"/>
      <c r="AU2174" s="11"/>
      <c r="AV2174" s="11"/>
    </row>
    <row r="2175" spans="1:48" ht="11.45" customHeight="1">
      <c r="A2175" s="412"/>
      <c r="B2175" s="412" t="s">
        <v>1248</v>
      </c>
      <c r="C2175" s="412" t="s">
        <v>505</v>
      </c>
      <c r="D2175" s="1625"/>
      <c r="E2175" s="2224" t="s">
        <v>1931</v>
      </c>
      <c r="F2175" s="505">
        <v>2243</v>
      </c>
      <c r="G2175" s="410" t="s">
        <v>414</v>
      </c>
      <c r="H2175" s="626"/>
      <c r="I2175" s="703">
        <v>900</v>
      </c>
      <c r="J2175" s="511"/>
      <c r="K2175" s="543"/>
      <c r="L2175" s="702"/>
      <c r="M2175" s="419">
        <v>800</v>
      </c>
      <c r="N2175" s="2847"/>
      <c r="O2175" s="86"/>
      <c r="P2175" s="1817" t="e">
        <f>INDEX(#REF!,MATCH(F2175,#REF!,0),2)</f>
        <v>#REF!</v>
      </c>
      <c r="Q2175" s="1779"/>
      <c r="R2175" s="1779"/>
      <c r="S2175" s="1779"/>
      <c r="T2175" s="1779"/>
      <c r="U2175" s="1779"/>
      <c r="V2175" s="1779"/>
      <c r="W2175" s="43"/>
      <c r="X2175" s="1779"/>
      <c r="Y2175" s="1779"/>
      <c r="Z2175" s="1779"/>
      <c r="AA2175" s="1779"/>
      <c r="AB2175" s="1779"/>
      <c r="AC2175" s="1779"/>
      <c r="AD2175" s="1779"/>
      <c r="AE2175" s="1779"/>
      <c r="AF2175" s="1779"/>
      <c r="AG2175" s="1779"/>
      <c r="AH2175" s="1779"/>
      <c r="AI2175" s="1779"/>
      <c r="AJ2175" s="1779"/>
      <c r="AK2175" s="1779"/>
      <c r="AL2175" s="1779"/>
      <c r="AM2175" s="1779"/>
      <c r="AN2175" s="1779"/>
      <c r="AO2175" s="1779"/>
      <c r="AP2175" s="1779"/>
      <c r="AQ2175" s="1779"/>
      <c r="AR2175" s="1779"/>
      <c r="AS2175" s="1779"/>
      <c r="AT2175" s="1779"/>
      <c r="AU2175" s="1779"/>
      <c r="AV2175" s="1779"/>
    </row>
    <row r="2176" spans="1:48" ht="11.45" customHeight="1">
      <c r="A2176" s="412"/>
      <c r="B2176" s="412" t="s">
        <v>1248</v>
      </c>
      <c r="C2176" s="412" t="s">
        <v>505</v>
      </c>
      <c r="D2176" s="1625"/>
      <c r="E2176" s="2224" t="s">
        <v>1931</v>
      </c>
      <c r="F2176" s="505">
        <v>2243</v>
      </c>
      <c r="G2176" s="410" t="s">
        <v>415</v>
      </c>
      <c r="H2176" s="626"/>
      <c r="I2176" s="703">
        <v>900</v>
      </c>
      <c r="J2176" s="511"/>
      <c r="K2176" s="543"/>
      <c r="L2176" s="702"/>
      <c r="M2176" s="419">
        <v>500</v>
      </c>
      <c r="N2176" s="2847"/>
      <c r="O2176" s="86"/>
      <c r="P2176" s="1817" t="e">
        <f>INDEX(#REF!,MATCH(F2176,#REF!,0),2)</f>
        <v>#REF!</v>
      </c>
      <c r="Q2176" s="1796"/>
      <c r="R2176" s="1796"/>
      <c r="S2176" s="1796"/>
      <c r="T2176" s="1796"/>
      <c r="U2176" s="1796"/>
      <c r="V2176" s="1796"/>
      <c r="W2176" s="1796"/>
      <c r="X2176" s="1796"/>
      <c r="Y2176" s="1796"/>
      <c r="Z2176" s="1796"/>
      <c r="AA2176" s="1796"/>
      <c r="AB2176" s="1796"/>
      <c r="AC2176" s="1796"/>
      <c r="AD2176" s="1796"/>
      <c r="AE2176" s="1796"/>
      <c r="AF2176" s="1796"/>
      <c r="AG2176" s="1796"/>
      <c r="AH2176" s="1796"/>
      <c r="AI2176" s="1796"/>
      <c r="AJ2176" s="1796"/>
      <c r="AK2176" s="1796"/>
      <c r="AL2176" s="1796"/>
      <c r="AM2176" s="1796"/>
      <c r="AN2176" s="1796"/>
      <c r="AO2176" s="1796"/>
      <c r="AP2176" s="1796"/>
      <c r="AQ2176" s="1796"/>
      <c r="AR2176" s="1796"/>
      <c r="AS2176" s="1796"/>
      <c r="AT2176" s="1796"/>
      <c r="AU2176" s="1796"/>
      <c r="AV2176" s="1796"/>
    </row>
    <row r="2177" spans="1:48" ht="11.45" customHeight="1">
      <c r="A2177" s="412"/>
      <c r="B2177" s="412" t="s">
        <v>1248</v>
      </c>
      <c r="C2177" s="412" t="s">
        <v>505</v>
      </c>
      <c r="D2177" s="1625"/>
      <c r="E2177" s="2224" t="s">
        <v>1931</v>
      </c>
      <c r="F2177" s="505">
        <v>2243</v>
      </c>
      <c r="G2177" s="410" t="s">
        <v>560</v>
      </c>
      <c r="H2177" s="626"/>
      <c r="I2177" s="703">
        <v>300</v>
      </c>
      <c r="J2177" s="511"/>
      <c r="K2177" s="543"/>
      <c r="L2177" s="702"/>
      <c r="M2177" s="419">
        <v>300</v>
      </c>
      <c r="N2177" s="2847"/>
      <c r="O2177" s="86"/>
      <c r="P2177" s="1817" t="e">
        <f>INDEX(#REF!,MATCH(F2177,#REF!,0),2)</f>
        <v>#REF!</v>
      </c>
      <c r="Q2177" s="1779"/>
      <c r="R2177" s="1779"/>
      <c r="S2177" s="1779"/>
      <c r="T2177" s="1779"/>
      <c r="U2177" s="1779"/>
      <c r="V2177" s="1779"/>
      <c r="W2177" s="43"/>
      <c r="X2177" s="1779"/>
      <c r="Y2177" s="1779"/>
      <c r="Z2177" s="1779"/>
      <c r="AA2177" s="1779"/>
      <c r="AB2177" s="1779"/>
      <c r="AC2177" s="1779"/>
      <c r="AD2177" s="1779"/>
      <c r="AE2177" s="1779"/>
      <c r="AF2177" s="1779"/>
      <c r="AG2177" s="1779"/>
      <c r="AH2177" s="1779"/>
      <c r="AI2177" s="1779"/>
      <c r="AJ2177" s="1779"/>
      <c r="AK2177" s="1779"/>
      <c r="AL2177" s="1779"/>
      <c r="AM2177" s="1779"/>
      <c r="AN2177" s="1779"/>
      <c r="AO2177" s="1779"/>
      <c r="AP2177" s="1779"/>
      <c r="AQ2177" s="1779"/>
      <c r="AR2177" s="1779"/>
      <c r="AS2177" s="1779"/>
      <c r="AT2177" s="1779"/>
      <c r="AU2177" s="1779"/>
      <c r="AV2177" s="1779"/>
    </row>
    <row r="2178" spans="1:48" ht="11.45" customHeight="1">
      <c r="A2178" s="412"/>
      <c r="B2178" s="412" t="s">
        <v>1248</v>
      </c>
      <c r="C2178" s="412" t="s">
        <v>505</v>
      </c>
      <c r="D2178" s="1625"/>
      <c r="E2178" s="2224" t="s">
        <v>1931</v>
      </c>
      <c r="F2178" s="505">
        <v>2243</v>
      </c>
      <c r="G2178" s="410" t="s">
        <v>933</v>
      </c>
      <c r="H2178" s="626"/>
      <c r="I2178" s="703">
        <v>1300</v>
      </c>
      <c r="J2178" s="511"/>
      <c r="K2178" s="543"/>
      <c r="L2178" s="702"/>
      <c r="M2178" s="419">
        <v>1000</v>
      </c>
      <c r="N2178" s="2847"/>
      <c r="O2178" s="86"/>
      <c r="P2178" s="1817" t="e">
        <f>INDEX(#REF!,MATCH(F2178,#REF!,0),2)</f>
        <v>#REF!</v>
      </c>
      <c r="Q2178" s="1796"/>
      <c r="R2178" s="1796"/>
      <c r="S2178" s="1796"/>
      <c r="T2178" s="1796"/>
      <c r="U2178" s="1796"/>
      <c r="V2178" s="1796"/>
      <c r="W2178" s="1796"/>
      <c r="X2178" s="1796"/>
      <c r="Y2178" s="1796"/>
      <c r="Z2178" s="1796"/>
      <c r="AA2178" s="1796"/>
      <c r="AB2178" s="1796"/>
      <c r="AC2178" s="1796"/>
      <c r="AD2178" s="1796"/>
      <c r="AE2178" s="1796"/>
      <c r="AF2178" s="1796"/>
      <c r="AG2178" s="1796"/>
      <c r="AH2178" s="1796"/>
      <c r="AI2178" s="1796"/>
      <c r="AJ2178" s="1796"/>
      <c r="AK2178" s="1796"/>
      <c r="AL2178" s="1796"/>
      <c r="AM2178" s="1796"/>
      <c r="AN2178" s="1796"/>
      <c r="AO2178" s="1796"/>
      <c r="AP2178" s="1796"/>
      <c r="AQ2178" s="1796"/>
      <c r="AR2178" s="1796"/>
      <c r="AS2178" s="1796"/>
      <c r="AT2178" s="1796"/>
      <c r="AU2178" s="1796"/>
      <c r="AV2178" s="1796"/>
    </row>
    <row r="2179" spans="1:48" ht="11.45" customHeight="1">
      <c r="A2179" s="506"/>
      <c r="B2179" s="506" t="s">
        <v>1248</v>
      </c>
      <c r="C2179" s="506" t="s">
        <v>507</v>
      </c>
      <c r="D2179" s="1624" t="s">
        <v>1777</v>
      </c>
      <c r="E2179" s="2223" t="s">
        <v>1931</v>
      </c>
      <c r="F2179" s="540">
        <v>2247</v>
      </c>
      <c r="G2179" s="411" t="s">
        <v>281</v>
      </c>
      <c r="H2179" s="579">
        <v>900</v>
      </c>
      <c r="I2179" s="604"/>
      <c r="J2179" s="2520">
        <v>98.67</v>
      </c>
      <c r="K2179" s="695"/>
      <c r="L2179" s="579">
        <v>1600</v>
      </c>
      <c r="M2179" s="579"/>
      <c r="N2179" s="2847"/>
      <c r="O2179" s="86"/>
      <c r="P2179" s="1817" t="e">
        <f>INDEX(#REF!,MATCH(F2179,#REF!,0),2)</f>
        <v>#REF!</v>
      </c>
      <c r="Q2179" s="1779"/>
      <c r="R2179" s="1779"/>
      <c r="S2179" s="1779"/>
      <c r="T2179" s="1779"/>
      <c r="U2179" s="1779"/>
      <c r="V2179" s="1779"/>
      <c r="W2179" s="43"/>
      <c r="X2179" s="1779"/>
      <c r="Y2179" s="1779"/>
      <c r="Z2179" s="1779"/>
      <c r="AA2179" s="1779"/>
      <c r="AB2179" s="1779"/>
      <c r="AC2179" s="1779"/>
      <c r="AD2179" s="1779"/>
      <c r="AE2179" s="1779"/>
      <c r="AF2179" s="1779"/>
      <c r="AG2179" s="1779"/>
      <c r="AH2179" s="1779"/>
      <c r="AI2179" s="1779"/>
      <c r="AJ2179" s="1779"/>
      <c r="AK2179" s="1779"/>
      <c r="AL2179" s="1779"/>
      <c r="AM2179" s="1779"/>
      <c r="AN2179" s="1779"/>
      <c r="AO2179" s="1779"/>
      <c r="AP2179" s="1779"/>
      <c r="AQ2179" s="1779"/>
      <c r="AR2179" s="1779"/>
      <c r="AS2179" s="1779"/>
      <c r="AT2179" s="1779"/>
      <c r="AU2179" s="1779"/>
      <c r="AV2179" s="1779"/>
    </row>
    <row r="2180" spans="1:48" ht="25.9" customHeight="1">
      <c r="A2180" s="412"/>
      <c r="B2180" s="412" t="s">
        <v>1248</v>
      </c>
      <c r="C2180" s="412" t="s">
        <v>507</v>
      </c>
      <c r="D2180" s="1625"/>
      <c r="E2180" s="2224" t="s">
        <v>1931</v>
      </c>
      <c r="F2180" s="505">
        <v>2247</v>
      </c>
      <c r="G2180" s="410" t="s">
        <v>3845</v>
      </c>
      <c r="H2180" s="626"/>
      <c r="I2180" s="703">
        <v>900</v>
      </c>
      <c r="J2180" s="511"/>
      <c r="K2180" s="543"/>
      <c r="L2180" s="702"/>
      <c r="M2180" s="419">
        <v>1600</v>
      </c>
      <c r="N2180" s="2847"/>
      <c r="O2180" s="86"/>
      <c r="P2180" s="1817" t="e">
        <f>INDEX(#REF!,MATCH(F2180,#REF!,0),2)</f>
        <v>#REF!</v>
      </c>
      <c r="Q2180" s="1779"/>
      <c r="R2180" s="1779"/>
      <c r="S2180" s="1779"/>
      <c r="T2180" s="1779"/>
      <c r="U2180" s="1779"/>
      <c r="V2180" s="1779"/>
      <c r="W2180" s="43"/>
      <c r="X2180" s="1779"/>
      <c r="Y2180" s="1779"/>
      <c r="Z2180" s="1779"/>
      <c r="AA2180" s="1779"/>
      <c r="AB2180" s="1779"/>
      <c r="AC2180" s="1779"/>
      <c r="AD2180" s="1779"/>
      <c r="AE2180" s="1779"/>
      <c r="AF2180" s="1779"/>
      <c r="AG2180" s="1779"/>
      <c r="AH2180" s="1779"/>
      <c r="AI2180" s="1779"/>
      <c r="AJ2180" s="1779"/>
      <c r="AK2180" s="1779"/>
      <c r="AL2180" s="1779"/>
      <c r="AM2180" s="1779"/>
      <c r="AN2180" s="1779"/>
      <c r="AO2180" s="1779"/>
      <c r="AP2180" s="1779"/>
      <c r="AQ2180" s="1779"/>
      <c r="AR2180" s="1779"/>
      <c r="AS2180" s="1779"/>
      <c r="AT2180" s="1779"/>
      <c r="AU2180" s="1779"/>
      <c r="AV2180" s="1779"/>
    </row>
    <row r="2181" spans="1:48" ht="29.45" customHeight="1">
      <c r="A2181" s="506"/>
      <c r="B2181" s="506" t="s">
        <v>1248</v>
      </c>
      <c r="C2181" s="506" t="s">
        <v>507</v>
      </c>
      <c r="D2181" s="1624" t="s">
        <v>1777</v>
      </c>
      <c r="E2181" s="2223" t="s">
        <v>1931</v>
      </c>
      <c r="F2181" s="540">
        <v>2250</v>
      </c>
      <c r="G2181" s="411" t="s">
        <v>1254</v>
      </c>
      <c r="H2181" s="579">
        <v>900</v>
      </c>
      <c r="I2181" s="604"/>
      <c r="J2181" s="2520">
        <v>0</v>
      </c>
      <c r="K2181" s="695"/>
      <c r="L2181" s="579">
        <v>900</v>
      </c>
      <c r="M2181" s="579"/>
      <c r="N2181" s="2847"/>
      <c r="O2181" s="86"/>
      <c r="P2181" s="1817" t="e">
        <f>INDEX(#REF!,MATCH(F2181,#REF!,0),2)</f>
        <v>#REF!</v>
      </c>
      <c r="Q2181" s="1779"/>
      <c r="R2181" s="1779"/>
      <c r="S2181" s="1779"/>
      <c r="T2181" s="1779"/>
      <c r="U2181" s="1779"/>
      <c r="V2181" s="1779"/>
      <c r="W2181" s="43"/>
      <c r="X2181" s="1779"/>
      <c r="Y2181" s="1779"/>
      <c r="Z2181" s="1779"/>
      <c r="AA2181" s="1779"/>
      <c r="AB2181" s="1779"/>
      <c r="AC2181" s="1779"/>
      <c r="AD2181" s="1779"/>
      <c r="AE2181" s="1779"/>
      <c r="AF2181" s="1779"/>
      <c r="AG2181" s="1779"/>
      <c r="AH2181" s="1779"/>
      <c r="AI2181" s="1779"/>
      <c r="AJ2181" s="1779"/>
      <c r="AK2181" s="1779"/>
      <c r="AL2181" s="1779"/>
      <c r="AM2181" s="1779"/>
      <c r="AN2181" s="1779"/>
      <c r="AO2181" s="1779"/>
      <c r="AP2181" s="1779"/>
      <c r="AQ2181" s="1779"/>
      <c r="AR2181" s="1779"/>
      <c r="AS2181" s="1779"/>
      <c r="AT2181" s="1779"/>
      <c r="AU2181" s="1779"/>
      <c r="AV2181" s="1779"/>
    </row>
    <row r="2182" spans="1:48" ht="11.45" customHeight="1">
      <c r="A2182" s="412"/>
      <c r="B2182" s="412" t="s">
        <v>1248</v>
      </c>
      <c r="C2182" s="412" t="s">
        <v>507</v>
      </c>
      <c r="D2182" s="1625"/>
      <c r="E2182" s="2224" t="s">
        <v>1931</v>
      </c>
      <c r="F2182" s="505">
        <v>2250</v>
      </c>
      <c r="G2182" s="410" t="s">
        <v>743</v>
      </c>
      <c r="H2182" s="626"/>
      <c r="I2182" s="703">
        <v>900</v>
      </c>
      <c r="J2182" s="511"/>
      <c r="K2182" s="543"/>
      <c r="L2182" s="702"/>
      <c r="M2182" s="419">
        <v>900</v>
      </c>
      <c r="N2182" s="2847"/>
      <c r="O2182" s="86"/>
      <c r="P2182" s="1817" t="e">
        <f>INDEX(#REF!,MATCH(F2182,#REF!,0),2)</f>
        <v>#REF!</v>
      </c>
      <c r="Q2182" s="1779"/>
      <c r="R2182" s="1779"/>
      <c r="S2182" s="1779"/>
      <c r="T2182" s="1779"/>
      <c r="U2182" s="1779"/>
      <c r="V2182" s="1779"/>
      <c r="W2182" s="43"/>
      <c r="X2182" s="1779"/>
      <c r="Y2182" s="1779"/>
      <c r="Z2182" s="1779"/>
      <c r="AA2182" s="1779"/>
      <c r="AB2182" s="1779"/>
      <c r="AC2182" s="1779"/>
      <c r="AD2182" s="1779"/>
      <c r="AE2182" s="1779"/>
      <c r="AF2182" s="1779"/>
      <c r="AG2182" s="1779"/>
      <c r="AH2182" s="1779"/>
      <c r="AI2182" s="1779"/>
      <c r="AJ2182" s="1779"/>
      <c r="AK2182" s="1779"/>
      <c r="AL2182" s="1779"/>
      <c r="AM2182" s="1779"/>
      <c r="AN2182" s="1779"/>
      <c r="AO2182" s="1779"/>
      <c r="AP2182" s="1779"/>
      <c r="AQ2182" s="1779"/>
      <c r="AR2182" s="1779"/>
      <c r="AS2182" s="1779"/>
      <c r="AT2182" s="1779"/>
      <c r="AU2182" s="1779"/>
      <c r="AV2182" s="1779"/>
    </row>
    <row r="2183" spans="1:48" ht="11.45" customHeight="1">
      <c r="A2183" s="506"/>
      <c r="B2183" s="506" t="s">
        <v>1248</v>
      </c>
      <c r="C2183" s="506" t="s">
        <v>507</v>
      </c>
      <c r="D2183" s="1624" t="s">
        <v>1777</v>
      </c>
      <c r="E2183" s="2223" t="s">
        <v>1931</v>
      </c>
      <c r="F2183" s="540">
        <v>2264</v>
      </c>
      <c r="G2183" s="411" t="s">
        <v>240</v>
      </c>
      <c r="H2183" s="579">
        <v>4150</v>
      </c>
      <c r="I2183" s="604"/>
      <c r="J2183" s="2520">
        <v>3604.87</v>
      </c>
      <c r="K2183" s="695"/>
      <c r="L2183" s="579">
        <v>3900</v>
      </c>
      <c r="M2183" s="579"/>
      <c r="N2183" s="2847"/>
      <c r="O2183" s="86"/>
      <c r="P2183" s="1817" t="e">
        <f>INDEX(#REF!,MATCH(F2183,#REF!,0),2)</f>
        <v>#REF!</v>
      </c>
      <c r="Q2183" s="1779"/>
      <c r="R2183" s="1779"/>
      <c r="S2183" s="1779"/>
      <c r="T2183" s="1779"/>
      <c r="U2183" s="1779"/>
      <c r="V2183" s="1779"/>
      <c r="W2183" s="43"/>
      <c r="X2183" s="1779"/>
      <c r="Y2183" s="1779"/>
      <c r="Z2183" s="1779"/>
      <c r="AA2183" s="1779"/>
      <c r="AB2183" s="1779"/>
      <c r="AC2183" s="1779"/>
      <c r="AD2183" s="1779"/>
      <c r="AE2183" s="1779"/>
      <c r="AF2183" s="1779"/>
      <c r="AG2183" s="1779"/>
      <c r="AH2183" s="1779"/>
      <c r="AI2183" s="1779"/>
      <c r="AJ2183" s="1779"/>
      <c r="AK2183" s="1779"/>
      <c r="AL2183" s="1779"/>
      <c r="AM2183" s="1779"/>
      <c r="AN2183" s="1779"/>
      <c r="AO2183" s="1779"/>
      <c r="AP2183" s="1779"/>
      <c r="AQ2183" s="1779"/>
      <c r="AR2183" s="1779"/>
      <c r="AS2183" s="1779"/>
      <c r="AT2183" s="1779"/>
      <c r="AU2183" s="1779"/>
      <c r="AV2183" s="1779"/>
    </row>
    <row r="2184" spans="1:48" ht="20.45" customHeight="1">
      <c r="A2184" s="412"/>
      <c r="B2184" s="412" t="s">
        <v>1248</v>
      </c>
      <c r="C2184" s="412" t="s">
        <v>507</v>
      </c>
      <c r="D2184" s="1625"/>
      <c r="E2184" s="2224" t="s">
        <v>1931</v>
      </c>
      <c r="F2184" s="505">
        <v>2264</v>
      </c>
      <c r="G2184" s="2774" t="s">
        <v>666</v>
      </c>
      <c r="H2184" s="626"/>
      <c r="I2184" s="703">
        <v>2900</v>
      </c>
      <c r="J2184" s="511"/>
      <c r="K2184" s="543"/>
      <c r="L2184" s="702"/>
      <c r="M2184" s="419">
        <v>2500</v>
      </c>
      <c r="N2184" s="2847"/>
      <c r="O2184" s="86"/>
      <c r="P2184" s="1817" t="e">
        <f>INDEX(#REF!,MATCH(F2184,#REF!,0),2)</f>
        <v>#REF!</v>
      </c>
      <c r="Q2184" s="1779"/>
      <c r="R2184" s="1779"/>
      <c r="S2184" s="1779"/>
      <c r="T2184" s="1779"/>
      <c r="U2184" s="1779"/>
      <c r="V2184" s="1779"/>
      <c r="W2184" s="43"/>
      <c r="X2184" s="1779"/>
      <c r="Y2184" s="1779"/>
      <c r="Z2184" s="1779"/>
      <c r="AA2184" s="1779"/>
      <c r="AB2184" s="1779"/>
      <c r="AC2184" s="1779"/>
      <c r="AD2184" s="1779"/>
      <c r="AE2184" s="1779"/>
      <c r="AF2184" s="1779"/>
      <c r="AG2184" s="1779"/>
      <c r="AH2184" s="1779"/>
      <c r="AI2184" s="1779"/>
      <c r="AJ2184" s="1779"/>
      <c r="AK2184" s="1779"/>
      <c r="AL2184" s="1779"/>
      <c r="AM2184" s="1779"/>
      <c r="AN2184" s="1779"/>
      <c r="AO2184" s="1779"/>
      <c r="AP2184" s="1779"/>
      <c r="AQ2184" s="1779"/>
      <c r="AR2184" s="1779"/>
      <c r="AS2184" s="1779"/>
      <c r="AT2184" s="1779"/>
      <c r="AU2184" s="1779"/>
      <c r="AV2184" s="1779"/>
    </row>
    <row r="2185" spans="1:48" ht="20.45" customHeight="1">
      <c r="A2185" s="412"/>
      <c r="B2185" s="412" t="s">
        <v>1248</v>
      </c>
      <c r="C2185" s="412" t="s">
        <v>507</v>
      </c>
      <c r="D2185" s="1625"/>
      <c r="E2185" s="2224" t="s">
        <v>1931</v>
      </c>
      <c r="F2185" s="505">
        <v>2264</v>
      </c>
      <c r="G2185" s="2774" t="s">
        <v>934</v>
      </c>
      <c r="H2185" s="626"/>
      <c r="I2185" s="703">
        <v>600</v>
      </c>
      <c r="J2185" s="511"/>
      <c r="K2185" s="543"/>
      <c r="L2185" s="702"/>
      <c r="M2185" s="419">
        <v>500</v>
      </c>
      <c r="N2185" s="2847"/>
      <c r="O2185" s="86"/>
      <c r="P2185" s="1817" t="e">
        <f>INDEX(#REF!,MATCH(F2185,#REF!,0),2)</f>
        <v>#REF!</v>
      </c>
      <c r="Q2185" s="1779"/>
      <c r="R2185" s="1779"/>
      <c r="S2185" s="1779"/>
      <c r="T2185" s="1779"/>
      <c r="U2185" s="1779"/>
      <c r="V2185" s="1779"/>
      <c r="W2185" s="43"/>
      <c r="X2185" s="1779"/>
      <c r="Y2185" s="1779"/>
      <c r="Z2185" s="1779"/>
      <c r="AA2185" s="1779"/>
      <c r="AB2185" s="1779"/>
      <c r="AC2185" s="1779"/>
      <c r="AD2185" s="1779"/>
      <c r="AE2185" s="1779"/>
      <c r="AF2185" s="1779"/>
      <c r="AG2185" s="1779"/>
      <c r="AH2185" s="1779"/>
      <c r="AI2185" s="1779"/>
      <c r="AJ2185" s="1779"/>
      <c r="AK2185" s="1779"/>
      <c r="AL2185" s="1779"/>
      <c r="AM2185" s="1779"/>
      <c r="AN2185" s="1779"/>
      <c r="AO2185" s="1779"/>
      <c r="AP2185" s="1779"/>
      <c r="AQ2185" s="1779"/>
      <c r="AR2185" s="1779"/>
      <c r="AS2185" s="1779"/>
      <c r="AT2185" s="1779"/>
      <c r="AU2185" s="1779"/>
      <c r="AV2185" s="1779"/>
    </row>
    <row r="2186" spans="1:48" ht="11.45" customHeight="1">
      <c r="A2186" s="412"/>
      <c r="B2186" s="412" t="s">
        <v>1248</v>
      </c>
      <c r="C2186" s="412" t="s">
        <v>507</v>
      </c>
      <c r="D2186" s="1625"/>
      <c r="E2186" s="2224" t="s">
        <v>1931</v>
      </c>
      <c r="F2186" s="505">
        <v>2264</v>
      </c>
      <c r="G2186" s="2774" t="s">
        <v>1210</v>
      </c>
      <c r="H2186" s="626"/>
      <c r="I2186" s="703">
        <v>650</v>
      </c>
      <c r="J2186" s="511"/>
      <c r="K2186" s="543"/>
      <c r="L2186" s="702"/>
      <c r="M2186" s="419">
        <v>900</v>
      </c>
      <c r="N2186" s="2847" t="s">
        <v>3941</v>
      </c>
      <c r="O2186" s="86"/>
      <c r="P2186" s="1817" t="e">
        <f>INDEX(#REF!,MATCH(F2186,#REF!,0),2)</f>
        <v>#REF!</v>
      </c>
      <c r="Q2186" s="11"/>
      <c r="R2186" s="11"/>
      <c r="S2186" s="11"/>
      <c r="T2186" s="11"/>
      <c r="U2186" s="11"/>
      <c r="V2186" s="11"/>
      <c r="W2186" s="4"/>
      <c r="X2186" s="11"/>
      <c r="Y2186" s="11"/>
      <c r="Z2186" s="11"/>
      <c r="AA2186" s="11"/>
      <c r="AB2186" s="11"/>
      <c r="AC2186" s="11"/>
      <c r="AD2186" s="11"/>
      <c r="AE2186" s="11"/>
      <c r="AF2186" s="11"/>
      <c r="AG2186" s="11"/>
      <c r="AH2186" s="11"/>
      <c r="AI2186" s="11"/>
      <c r="AJ2186" s="11"/>
      <c r="AK2186" s="11"/>
      <c r="AL2186" s="11"/>
      <c r="AM2186" s="11"/>
      <c r="AN2186" s="11"/>
      <c r="AO2186" s="11"/>
      <c r="AP2186" s="11"/>
      <c r="AQ2186" s="11"/>
      <c r="AR2186" s="11"/>
      <c r="AS2186" s="11"/>
      <c r="AT2186" s="11"/>
      <c r="AU2186" s="11"/>
      <c r="AV2186" s="11"/>
    </row>
    <row r="2187" spans="1:48" ht="20.45" customHeight="1">
      <c r="A2187" s="506"/>
      <c r="B2187" s="506" t="s">
        <v>1248</v>
      </c>
      <c r="C2187" s="506" t="s">
        <v>505</v>
      </c>
      <c r="D2187" s="1624" t="s">
        <v>1777</v>
      </c>
      <c r="E2187" s="2223" t="s">
        <v>1931</v>
      </c>
      <c r="F2187" s="540">
        <v>2311</v>
      </c>
      <c r="G2187" s="411" t="s">
        <v>245</v>
      </c>
      <c r="H2187" s="579">
        <v>1800</v>
      </c>
      <c r="I2187" s="619"/>
      <c r="J2187" s="2520">
        <v>1015.23</v>
      </c>
      <c r="K2187" s="695"/>
      <c r="L2187" s="579">
        <v>2092</v>
      </c>
      <c r="M2187" s="579"/>
      <c r="N2187" s="2847"/>
      <c r="O2187" s="86"/>
      <c r="P2187" s="1817" t="e">
        <f>INDEX(#REF!,MATCH(F2187,#REF!,0),2)</f>
        <v>#REF!</v>
      </c>
      <c r="Q2187" s="11"/>
      <c r="R2187" s="11"/>
      <c r="S2187" s="11"/>
      <c r="T2187" s="11"/>
      <c r="U2187" s="11"/>
      <c r="V2187" s="11"/>
      <c r="W2187" s="4"/>
      <c r="X2187" s="11"/>
      <c r="Y2187" s="11"/>
      <c r="Z2187" s="11"/>
      <c r="AA2187" s="11"/>
      <c r="AB2187" s="11"/>
      <c r="AC2187" s="11"/>
      <c r="AD2187" s="11"/>
      <c r="AE2187" s="11"/>
      <c r="AF2187" s="11"/>
      <c r="AG2187" s="11"/>
      <c r="AH2187" s="11"/>
      <c r="AI2187" s="11"/>
      <c r="AJ2187" s="11"/>
      <c r="AK2187" s="11"/>
      <c r="AL2187" s="11"/>
      <c r="AM2187" s="11"/>
      <c r="AN2187" s="11"/>
      <c r="AO2187" s="11"/>
      <c r="AP2187" s="11"/>
      <c r="AQ2187" s="11"/>
      <c r="AR2187" s="11"/>
      <c r="AS2187" s="11"/>
      <c r="AT2187" s="11"/>
      <c r="AU2187" s="11"/>
      <c r="AV2187" s="11"/>
    </row>
    <row r="2188" spans="1:48" ht="18" customHeight="1">
      <c r="A2188" s="412"/>
      <c r="B2188" s="412" t="s">
        <v>1248</v>
      </c>
      <c r="C2188" s="412" t="s">
        <v>505</v>
      </c>
      <c r="D2188" s="1625"/>
      <c r="E2188" s="2224" t="s">
        <v>1931</v>
      </c>
      <c r="F2188" s="505">
        <v>2311</v>
      </c>
      <c r="G2188" s="410" t="s">
        <v>420</v>
      </c>
      <c r="H2188" s="626"/>
      <c r="I2188" s="419">
        <v>300</v>
      </c>
      <c r="J2188" s="511"/>
      <c r="K2188" s="543"/>
      <c r="L2188" s="702"/>
      <c r="M2188" s="419">
        <v>200</v>
      </c>
      <c r="N2188" s="2847"/>
      <c r="O2188" s="86"/>
      <c r="P2188" s="1817" t="e">
        <f>INDEX(#REF!,MATCH(F2188,#REF!,0),2)</f>
        <v>#REF!</v>
      </c>
      <c r="Q2188" s="1779"/>
      <c r="R2188" s="1779"/>
      <c r="S2188" s="1779"/>
      <c r="T2188" s="1779"/>
      <c r="U2188" s="1779"/>
      <c r="V2188" s="1779"/>
      <c r="W2188" s="43"/>
      <c r="X2188" s="1779"/>
      <c r="Y2188" s="1779"/>
      <c r="Z2188" s="1779"/>
      <c r="AA2188" s="1779"/>
      <c r="AB2188" s="1779"/>
      <c r="AC2188" s="1779"/>
      <c r="AD2188" s="1779"/>
      <c r="AE2188" s="1779"/>
      <c r="AF2188" s="1779"/>
      <c r="AG2188" s="1779"/>
      <c r="AH2188" s="1779"/>
      <c r="AI2188" s="1779"/>
      <c r="AJ2188" s="1779"/>
      <c r="AK2188" s="1779"/>
      <c r="AL2188" s="1779"/>
      <c r="AM2188" s="1779"/>
      <c r="AN2188" s="1779"/>
      <c r="AO2188" s="1779"/>
      <c r="AP2188" s="1779"/>
      <c r="AQ2188" s="1779"/>
      <c r="AR2188" s="1779"/>
      <c r="AS2188" s="1779"/>
      <c r="AT2188" s="1779"/>
      <c r="AU2188" s="1779"/>
      <c r="AV2188" s="1779"/>
    </row>
    <row r="2189" spans="1:48" ht="18" customHeight="1">
      <c r="A2189" s="412"/>
      <c r="B2189" s="412" t="s">
        <v>1248</v>
      </c>
      <c r="C2189" s="412" t="s">
        <v>505</v>
      </c>
      <c r="D2189" s="1625"/>
      <c r="E2189" s="2224" t="s">
        <v>1931</v>
      </c>
      <c r="F2189" s="505">
        <v>2311</v>
      </c>
      <c r="G2189" s="410" t="s">
        <v>406</v>
      </c>
      <c r="H2189" s="626"/>
      <c r="I2189" s="419">
        <v>200</v>
      </c>
      <c r="J2189" s="511"/>
      <c r="K2189" s="543"/>
      <c r="L2189" s="702"/>
      <c r="M2189" s="419">
        <v>200</v>
      </c>
      <c r="N2189" s="2847"/>
      <c r="O2189" s="86"/>
      <c r="P2189" s="1817" t="e">
        <f>INDEX(#REF!,MATCH(F2189,#REF!,0),2)</f>
        <v>#REF!</v>
      </c>
      <c r="Q2189" s="1779"/>
      <c r="R2189" s="1779"/>
      <c r="S2189" s="1779"/>
      <c r="T2189" s="1779"/>
      <c r="U2189" s="1779"/>
      <c r="V2189" s="1779"/>
      <c r="W2189" s="43"/>
      <c r="X2189" s="1779"/>
      <c r="Y2189" s="1779"/>
      <c r="Z2189" s="1779"/>
      <c r="AA2189" s="1779"/>
      <c r="AB2189" s="1779"/>
      <c r="AC2189" s="1779"/>
      <c r="AD2189" s="1779"/>
      <c r="AE2189" s="1779"/>
      <c r="AF2189" s="1779"/>
      <c r="AG2189" s="1779"/>
      <c r="AH2189" s="1779"/>
      <c r="AI2189" s="1779"/>
      <c r="AJ2189" s="1779"/>
      <c r="AK2189" s="1779"/>
      <c r="AL2189" s="1779"/>
      <c r="AM2189" s="1779"/>
      <c r="AN2189" s="1779"/>
      <c r="AO2189" s="1779"/>
      <c r="AP2189" s="1779"/>
      <c r="AQ2189" s="1779"/>
      <c r="AR2189" s="1779"/>
      <c r="AS2189" s="1779"/>
      <c r="AT2189" s="1779"/>
      <c r="AU2189" s="1779"/>
      <c r="AV2189" s="1779"/>
    </row>
    <row r="2190" spans="1:48" ht="20.45" customHeight="1">
      <c r="A2190" s="412"/>
      <c r="B2190" s="412" t="s">
        <v>1248</v>
      </c>
      <c r="C2190" s="412" t="s">
        <v>505</v>
      </c>
      <c r="D2190" s="1625"/>
      <c r="E2190" s="2224" t="s">
        <v>1931</v>
      </c>
      <c r="F2190" s="505">
        <v>2311</v>
      </c>
      <c r="G2190" s="410" t="s">
        <v>561</v>
      </c>
      <c r="H2190" s="626"/>
      <c r="I2190" s="419">
        <v>100</v>
      </c>
      <c r="J2190" s="511"/>
      <c r="K2190" s="543"/>
      <c r="L2190" s="702"/>
      <c r="M2190" s="419">
        <v>100</v>
      </c>
      <c r="N2190" s="2847"/>
      <c r="O2190" s="86"/>
      <c r="P2190" s="1817" t="e">
        <f>INDEX(#REF!,MATCH(F2190,#REF!,0),2)</f>
        <v>#REF!</v>
      </c>
      <c r="Q2190" s="1779"/>
      <c r="R2190" s="1779"/>
      <c r="S2190" s="1779"/>
      <c r="T2190" s="1779"/>
      <c r="U2190" s="1779"/>
      <c r="V2190" s="1779"/>
      <c r="W2190" s="43"/>
      <c r="X2190" s="1779"/>
      <c r="Y2190" s="1779"/>
      <c r="Z2190" s="1779"/>
      <c r="AA2190" s="1779"/>
      <c r="AB2190" s="1779"/>
      <c r="AC2190" s="1779"/>
      <c r="AD2190" s="1779"/>
      <c r="AE2190" s="1779"/>
      <c r="AF2190" s="1779"/>
      <c r="AG2190" s="1779"/>
      <c r="AH2190" s="1779"/>
      <c r="AI2190" s="1779"/>
      <c r="AJ2190" s="1779"/>
      <c r="AK2190" s="1779"/>
      <c r="AL2190" s="1779"/>
      <c r="AM2190" s="1779"/>
      <c r="AN2190" s="1779"/>
      <c r="AO2190" s="1779"/>
      <c r="AP2190" s="1779"/>
      <c r="AQ2190" s="1779"/>
      <c r="AR2190" s="1779"/>
      <c r="AS2190" s="1779"/>
      <c r="AT2190" s="1779"/>
      <c r="AU2190" s="1779"/>
      <c r="AV2190" s="1779"/>
    </row>
    <row r="2191" spans="1:48" ht="12" customHeight="1">
      <c r="A2191" s="412" t="s">
        <v>738</v>
      </c>
      <c r="B2191" s="412" t="s">
        <v>1248</v>
      </c>
      <c r="C2191" s="412" t="s">
        <v>505</v>
      </c>
      <c r="D2191" s="1625"/>
      <c r="E2191" s="2224" t="s">
        <v>1931</v>
      </c>
      <c r="F2191" s="505">
        <v>2311</v>
      </c>
      <c r="G2191" s="410" t="s">
        <v>668</v>
      </c>
      <c r="H2191" s="626"/>
      <c r="I2191" s="419">
        <v>200</v>
      </c>
      <c r="J2191" s="511"/>
      <c r="K2191" s="543"/>
      <c r="L2191" s="702"/>
      <c r="M2191" s="419">
        <v>200</v>
      </c>
      <c r="N2191" s="2847"/>
      <c r="O2191" s="86"/>
      <c r="P2191" s="1817"/>
      <c r="Q2191" s="1779"/>
      <c r="R2191" s="1779"/>
      <c r="S2191" s="1779"/>
      <c r="T2191" s="1779"/>
      <c r="U2191" s="1779"/>
      <c r="V2191" s="1779"/>
      <c r="W2191" s="43"/>
      <c r="X2191" s="1779"/>
      <c r="Y2191" s="1779"/>
      <c r="Z2191" s="1779"/>
      <c r="AA2191" s="1779"/>
      <c r="AB2191" s="1779"/>
      <c r="AC2191" s="1779"/>
      <c r="AD2191" s="1779"/>
      <c r="AE2191" s="1779"/>
      <c r="AF2191" s="1779"/>
      <c r="AG2191" s="1779"/>
      <c r="AH2191" s="1779"/>
      <c r="AI2191" s="1779"/>
      <c r="AJ2191" s="1779"/>
      <c r="AK2191" s="1779"/>
      <c r="AL2191" s="1779"/>
      <c r="AM2191" s="1779"/>
      <c r="AN2191" s="1779"/>
      <c r="AO2191" s="1779"/>
      <c r="AP2191" s="1779"/>
      <c r="AQ2191" s="1779"/>
      <c r="AR2191" s="1779"/>
      <c r="AS2191" s="1779"/>
      <c r="AT2191" s="1779"/>
      <c r="AU2191" s="1779"/>
      <c r="AV2191" s="1779"/>
    </row>
    <row r="2192" spans="1:48" ht="11.45" customHeight="1">
      <c r="A2192" s="412"/>
      <c r="B2192" s="412" t="s">
        <v>1248</v>
      </c>
      <c r="C2192" s="412" t="s">
        <v>505</v>
      </c>
      <c r="D2192" s="1625"/>
      <c r="E2192" s="2224" t="s">
        <v>1931</v>
      </c>
      <c r="F2192" s="505">
        <v>2311</v>
      </c>
      <c r="G2192" s="410" t="s">
        <v>421</v>
      </c>
      <c r="H2192" s="626"/>
      <c r="I2192" s="419">
        <v>600</v>
      </c>
      <c r="J2192" s="511"/>
      <c r="K2192" s="543"/>
      <c r="L2192" s="702"/>
      <c r="M2192" s="419">
        <v>600</v>
      </c>
      <c r="N2192" s="2847"/>
      <c r="O2192" s="86"/>
      <c r="P2192" s="1817" t="e">
        <f>INDEX(#REF!,MATCH(F2192,#REF!,0),2)</f>
        <v>#REF!</v>
      </c>
      <c r="Q2192" s="1779"/>
      <c r="R2192" s="1779"/>
      <c r="S2192" s="1779"/>
      <c r="T2192" s="1779"/>
      <c r="U2192" s="1779"/>
      <c r="V2192" s="1779"/>
      <c r="W2192" s="43"/>
      <c r="X2192" s="1779"/>
      <c r="Y2192" s="1779"/>
      <c r="Z2192" s="1779"/>
      <c r="AA2192" s="1779"/>
      <c r="AB2192" s="1779"/>
      <c r="AC2192" s="1779"/>
      <c r="AD2192" s="1779"/>
      <c r="AE2192" s="1779"/>
      <c r="AF2192" s="1779"/>
      <c r="AG2192" s="1779"/>
      <c r="AH2192" s="1779"/>
      <c r="AI2192" s="1779"/>
      <c r="AJ2192" s="1779"/>
      <c r="AK2192" s="1779"/>
      <c r="AL2192" s="1779"/>
      <c r="AM2192" s="1779"/>
      <c r="AN2192" s="1779"/>
      <c r="AO2192" s="1779"/>
      <c r="AP2192" s="1779"/>
      <c r="AQ2192" s="1779"/>
      <c r="AR2192" s="1779"/>
      <c r="AS2192" s="1779"/>
      <c r="AT2192" s="1779"/>
      <c r="AU2192" s="1779"/>
      <c r="AV2192" s="1779"/>
    </row>
    <row r="2193" spans="1:48" ht="21" customHeight="1">
      <c r="A2193" s="2790"/>
      <c r="B2193" s="412" t="s">
        <v>1248</v>
      </c>
      <c r="C2193" s="412" t="s">
        <v>505</v>
      </c>
      <c r="D2193" s="1625"/>
      <c r="E2193" s="2224" t="s">
        <v>1931</v>
      </c>
      <c r="F2193" s="505">
        <v>2311</v>
      </c>
      <c r="G2193" s="2774" t="s">
        <v>3942</v>
      </c>
      <c r="H2193" s="2999"/>
      <c r="I2193" s="2779"/>
      <c r="J2193" s="2776"/>
      <c r="K2193" s="2777"/>
      <c r="L2193" s="3002"/>
      <c r="M2193" s="2779">
        <v>592</v>
      </c>
      <c r="N2193" s="2847"/>
      <c r="O2193" s="86"/>
      <c r="P2193" s="1817" t="e">
        <f>INDEX(#REF!,MATCH(F2193,#REF!,0),2)</f>
        <v>#REF!</v>
      </c>
      <c r="Q2193" s="1779"/>
      <c r="R2193" s="1779"/>
      <c r="S2193" s="1779"/>
      <c r="T2193" s="1779"/>
      <c r="U2193" s="1779"/>
      <c r="V2193" s="1779"/>
      <c r="W2193" s="43"/>
      <c r="X2193" s="1779"/>
      <c r="Y2193" s="1779"/>
      <c r="Z2193" s="1779"/>
      <c r="AA2193" s="1779"/>
      <c r="AB2193" s="1779"/>
      <c r="AC2193" s="1779"/>
      <c r="AD2193" s="1779"/>
      <c r="AE2193" s="1779"/>
      <c r="AF2193" s="1779"/>
      <c r="AG2193" s="1779"/>
      <c r="AH2193" s="1779"/>
      <c r="AI2193" s="1779"/>
      <c r="AJ2193" s="1779"/>
      <c r="AK2193" s="1779"/>
      <c r="AL2193" s="1779"/>
      <c r="AM2193" s="1779"/>
      <c r="AN2193" s="1779"/>
      <c r="AO2193" s="1779"/>
      <c r="AP2193" s="1779"/>
      <c r="AQ2193" s="1779"/>
      <c r="AR2193" s="1779"/>
      <c r="AS2193" s="1779"/>
      <c r="AT2193" s="1779"/>
      <c r="AU2193" s="1779"/>
      <c r="AV2193" s="1779"/>
    </row>
    <row r="2194" spans="1:48" ht="20.45" customHeight="1">
      <c r="A2194" s="412" t="s">
        <v>744</v>
      </c>
      <c r="B2194" s="412" t="s">
        <v>1248</v>
      </c>
      <c r="C2194" s="412" t="s">
        <v>505</v>
      </c>
      <c r="D2194" s="1625"/>
      <c r="E2194" s="2224" t="s">
        <v>1931</v>
      </c>
      <c r="F2194" s="505">
        <v>2311</v>
      </c>
      <c r="G2194" s="410" t="s">
        <v>669</v>
      </c>
      <c r="H2194" s="626"/>
      <c r="I2194" s="419">
        <v>400</v>
      </c>
      <c r="J2194" s="511"/>
      <c r="K2194" s="543"/>
      <c r="L2194" s="702"/>
      <c r="M2194" s="419">
        <v>200</v>
      </c>
      <c r="N2194" s="2847"/>
      <c r="O2194" s="86"/>
      <c r="P2194" s="1817" t="e">
        <f>INDEX(#REF!,MATCH(F2194,#REF!,0),2)</f>
        <v>#REF!</v>
      </c>
      <c r="Q2194" s="1779"/>
      <c r="R2194" s="1779"/>
      <c r="S2194" s="1779"/>
      <c r="T2194" s="1779"/>
      <c r="U2194" s="1779"/>
      <c r="V2194" s="1779"/>
      <c r="W2194" s="43"/>
      <c r="X2194" s="1779"/>
      <c r="Y2194" s="1779"/>
      <c r="Z2194" s="1779"/>
      <c r="AA2194" s="1779"/>
      <c r="AB2194" s="1779"/>
      <c r="AC2194" s="1779"/>
      <c r="AD2194" s="1779"/>
      <c r="AE2194" s="1779"/>
      <c r="AF2194" s="1779"/>
      <c r="AG2194" s="1779"/>
      <c r="AH2194" s="1779"/>
      <c r="AI2194" s="1779"/>
      <c r="AJ2194" s="1779"/>
      <c r="AK2194" s="1779"/>
      <c r="AL2194" s="1779"/>
      <c r="AM2194" s="1779"/>
      <c r="AN2194" s="1779"/>
      <c r="AO2194" s="1779"/>
      <c r="AP2194" s="1779"/>
      <c r="AQ2194" s="1779"/>
      <c r="AR2194" s="1779"/>
      <c r="AS2194" s="1779"/>
      <c r="AT2194" s="1779"/>
      <c r="AU2194" s="1779"/>
      <c r="AV2194" s="1779"/>
    </row>
    <row r="2195" spans="1:48" ht="21" customHeight="1">
      <c r="A2195" s="506"/>
      <c r="B2195" s="506" t="s">
        <v>1248</v>
      </c>
      <c r="C2195" s="506" t="s">
        <v>505</v>
      </c>
      <c r="D2195" s="1624" t="s">
        <v>1777</v>
      </c>
      <c r="E2195" s="2223" t="s">
        <v>1931</v>
      </c>
      <c r="F2195" s="540">
        <v>2312</v>
      </c>
      <c r="G2195" s="411" t="s">
        <v>363</v>
      </c>
      <c r="H2195" s="579">
        <v>5200</v>
      </c>
      <c r="I2195" s="619"/>
      <c r="J2195" s="2520">
        <v>9599.09</v>
      </c>
      <c r="K2195" s="695"/>
      <c r="L2195" s="579">
        <v>2000</v>
      </c>
      <c r="M2195" s="579"/>
      <c r="N2195" s="241"/>
      <c r="O2195" s="86"/>
      <c r="P2195" s="1817" t="e">
        <f>INDEX(#REF!,MATCH(F2195,#REF!,0),2)</f>
        <v>#REF!</v>
      </c>
      <c r="Q2195" s="1779"/>
      <c r="R2195" s="1779"/>
      <c r="S2195" s="1779"/>
      <c r="T2195" s="1779"/>
      <c r="U2195" s="1779"/>
      <c r="V2195" s="1779"/>
      <c r="W2195" s="43"/>
      <c r="X2195" s="1779"/>
      <c r="Y2195" s="1779"/>
      <c r="Z2195" s="1779"/>
      <c r="AA2195" s="1779"/>
      <c r="AB2195" s="1779"/>
      <c r="AC2195" s="1779"/>
      <c r="AD2195" s="1779"/>
      <c r="AE2195" s="1779"/>
      <c r="AF2195" s="1779"/>
      <c r="AG2195" s="1779"/>
      <c r="AH2195" s="1779"/>
      <c r="AI2195" s="1779"/>
      <c r="AJ2195" s="1779"/>
      <c r="AK2195" s="1779"/>
      <c r="AL2195" s="1779"/>
      <c r="AM2195" s="1779"/>
      <c r="AN2195" s="1779"/>
      <c r="AO2195" s="1779"/>
      <c r="AP2195" s="1779"/>
      <c r="AQ2195" s="1779"/>
      <c r="AR2195" s="1779"/>
      <c r="AS2195" s="1779"/>
      <c r="AT2195" s="1779"/>
      <c r="AU2195" s="1779"/>
      <c r="AV2195" s="1779"/>
    </row>
    <row r="2196" spans="1:48" ht="22.9" customHeight="1">
      <c r="A2196" s="412" t="s">
        <v>744</v>
      </c>
      <c r="B2196" s="412" t="s">
        <v>1248</v>
      </c>
      <c r="C2196" s="412" t="s">
        <v>509</v>
      </c>
      <c r="D2196" s="1625"/>
      <c r="E2196" s="2224" t="s">
        <v>1931</v>
      </c>
      <c r="F2196" s="505">
        <v>2312</v>
      </c>
      <c r="G2196" s="2774" t="s">
        <v>3945</v>
      </c>
      <c r="H2196" s="419"/>
      <c r="I2196" s="419">
        <v>2000</v>
      </c>
      <c r="J2196" s="419"/>
      <c r="K2196" s="589"/>
      <c r="L2196" s="419"/>
      <c r="M2196" s="419">
        <v>2000</v>
      </c>
      <c r="N2196" s="2846" t="s">
        <v>3946</v>
      </c>
      <c r="O2196" s="86"/>
      <c r="P2196" s="1817" t="e">
        <f>INDEX(#REF!,MATCH(F2196,#REF!,0),2)</f>
        <v>#REF!</v>
      </c>
      <c r="Q2196" s="1779"/>
      <c r="R2196" s="1779"/>
      <c r="S2196" s="1779"/>
      <c r="T2196" s="1779"/>
      <c r="U2196" s="1779"/>
      <c r="V2196" s="1779"/>
      <c r="W2196" s="43"/>
      <c r="X2196" s="1779"/>
      <c r="Y2196" s="1779"/>
      <c r="Z2196" s="1779"/>
      <c r="AA2196" s="1779"/>
      <c r="AB2196" s="1779"/>
      <c r="AC2196" s="1779"/>
      <c r="AD2196" s="1779"/>
      <c r="AE2196" s="1779"/>
      <c r="AF2196" s="1779"/>
      <c r="AG2196" s="1779"/>
      <c r="AH2196" s="1779"/>
      <c r="AI2196" s="1779"/>
      <c r="AJ2196" s="1779"/>
      <c r="AK2196" s="1779"/>
      <c r="AL2196" s="1779"/>
      <c r="AM2196" s="1779"/>
      <c r="AN2196" s="1779"/>
      <c r="AO2196" s="1779"/>
      <c r="AP2196" s="1779"/>
      <c r="AQ2196" s="1779"/>
      <c r="AR2196" s="1779"/>
      <c r="AS2196" s="1779"/>
      <c r="AT2196" s="1779"/>
      <c r="AU2196" s="1779"/>
      <c r="AV2196" s="1779"/>
    </row>
    <row r="2197" spans="1:48" ht="13.15" customHeight="1">
      <c r="A2197" s="412" t="s">
        <v>741</v>
      </c>
      <c r="B2197" s="412" t="s">
        <v>1248</v>
      </c>
      <c r="C2197" s="412" t="s">
        <v>505</v>
      </c>
      <c r="D2197" s="1625"/>
      <c r="E2197" s="2224" t="s">
        <v>1931</v>
      </c>
      <c r="F2197" s="505">
        <v>2312</v>
      </c>
      <c r="G2197" s="410" t="s">
        <v>740</v>
      </c>
      <c r="H2197" s="626"/>
      <c r="I2197" s="511">
        <v>2800</v>
      </c>
      <c r="J2197" s="511"/>
      <c r="K2197" s="543"/>
      <c r="L2197" s="626"/>
      <c r="M2197" s="420"/>
      <c r="N2197" s="2847"/>
      <c r="O2197" s="86"/>
      <c r="P2197" s="1817" t="e">
        <f>INDEX(#REF!,MATCH(F2197,#REF!,0),2)</f>
        <v>#REF!</v>
      </c>
      <c r="Q2197" s="1779"/>
      <c r="R2197" s="1779"/>
      <c r="S2197" s="1779"/>
      <c r="T2197" s="1779"/>
      <c r="U2197" s="1779"/>
      <c r="V2197" s="1779"/>
      <c r="W2197" s="43"/>
      <c r="X2197" s="1779"/>
      <c r="Y2197" s="1779"/>
      <c r="Z2197" s="1779"/>
      <c r="AA2197" s="1779"/>
      <c r="AB2197" s="1779"/>
      <c r="AC2197" s="1779"/>
      <c r="AD2197" s="1779"/>
      <c r="AE2197" s="1779"/>
      <c r="AF2197" s="1779"/>
      <c r="AG2197" s="1779"/>
      <c r="AH2197" s="1779"/>
      <c r="AI2197" s="1779"/>
      <c r="AJ2197" s="1779"/>
      <c r="AK2197" s="1779"/>
      <c r="AL2197" s="1779"/>
      <c r="AM2197" s="1779"/>
      <c r="AN2197" s="1779"/>
      <c r="AO2197" s="1779"/>
      <c r="AP2197" s="1779"/>
      <c r="AQ2197" s="1779"/>
      <c r="AR2197" s="1779"/>
      <c r="AS2197" s="1779"/>
      <c r="AT2197" s="1779"/>
      <c r="AU2197" s="1779"/>
      <c r="AV2197" s="1779"/>
    </row>
    <row r="2198" spans="1:48" ht="22.15" customHeight="1">
      <c r="A2198" s="412" t="s">
        <v>741</v>
      </c>
      <c r="B2198" s="412" t="s">
        <v>1248</v>
      </c>
      <c r="C2198" s="412" t="s">
        <v>505</v>
      </c>
      <c r="D2198" s="1625"/>
      <c r="E2198" s="2224" t="s">
        <v>1931</v>
      </c>
      <c r="F2198" s="505">
        <v>2312</v>
      </c>
      <c r="G2198" s="413" t="s">
        <v>1028</v>
      </c>
      <c r="H2198" s="626"/>
      <c r="I2198" s="511">
        <v>400</v>
      </c>
      <c r="J2198" s="511"/>
      <c r="K2198" s="543"/>
      <c r="L2198" s="626"/>
      <c r="M2198" s="420"/>
      <c r="N2198" s="2846"/>
      <c r="O2198" s="86"/>
      <c r="P2198" s="1817" t="e">
        <f>INDEX(#REF!,MATCH(F2198,#REF!,0),2)</f>
        <v>#REF!</v>
      </c>
      <c r="Q2198" s="1779"/>
      <c r="R2198" s="1779"/>
      <c r="S2198" s="1779"/>
      <c r="T2198" s="1779"/>
      <c r="U2198" s="1779"/>
      <c r="V2198" s="1779"/>
      <c r="W2198" s="43"/>
      <c r="X2198" s="1779"/>
      <c r="Y2198" s="1779"/>
      <c r="Z2198" s="1779"/>
      <c r="AA2198" s="1779"/>
      <c r="AB2198" s="1779"/>
      <c r="AC2198" s="1779"/>
      <c r="AD2198" s="1779"/>
      <c r="AE2198" s="1779"/>
      <c r="AF2198" s="1779"/>
      <c r="AG2198" s="1779"/>
      <c r="AH2198" s="1779"/>
      <c r="AI2198" s="1779"/>
      <c r="AJ2198" s="1779"/>
      <c r="AK2198" s="1779"/>
      <c r="AL2198" s="1779"/>
      <c r="AM2198" s="1779"/>
      <c r="AN2198" s="1779"/>
      <c r="AO2198" s="1779"/>
      <c r="AP2198" s="1779"/>
      <c r="AQ2198" s="1779"/>
      <c r="AR2198" s="1779"/>
      <c r="AS2198" s="1779"/>
      <c r="AT2198" s="1779"/>
      <c r="AU2198" s="1779"/>
      <c r="AV2198" s="1779"/>
    </row>
    <row r="2199" spans="1:48" ht="11.45" customHeight="1">
      <c r="A2199" s="506"/>
      <c r="B2199" s="506" t="s">
        <v>1248</v>
      </c>
      <c r="C2199" s="506" t="s">
        <v>505</v>
      </c>
      <c r="D2199" s="1624" t="s">
        <v>1777</v>
      </c>
      <c r="E2199" s="2223" t="s">
        <v>1931</v>
      </c>
      <c r="F2199" s="540">
        <v>2314</v>
      </c>
      <c r="G2199" s="411" t="s">
        <v>2436</v>
      </c>
      <c r="H2199" s="579">
        <v>3600</v>
      </c>
      <c r="I2199" s="619"/>
      <c r="J2199" s="2520" t="s">
        <v>2426</v>
      </c>
      <c r="K2199" s="695"/>
      <c r="L2199" s="579">
        <v>3100</v>
      </c>
      <c r="M2199" s="579"/>
      <c r="N2199" s="241" t="s">
        <v>3762</v>
      </c>
      <c r="O2199" s="86"/>
      <c r="P2199" s="1817" t="e">
        <f>INDEX(#REF!,MATCH(F2199,#REF!,0),2)</f>
        <v>#REF!</v>
      </c>
      <c r="Q2199" s="1779"/>
      <c r="R2199" s="1779"/>
      <c r="S2199" s="1779"/>
      <c r="T2199" s="1779"/>
      <c r="U2199" s="1779"/>
      <c r="V2199" s="1779"/>
      <c r="W2199" s="43"/>
      <c r="X2199" s="1779"/>
      <c r="Y2199" s="1779"/>
      <c r="Z2199" s="1779"/>
      <c r="AA2199" s="1779"/>
      <c r="AB2199" s="1779"/>
      <c r="AC2199" s="1779"/>
      <c r="AD2199" s="1779"/>
      <c r="AE2199" s="1779"/>
      <c r="AF2199" s="1779"/>
      <c r="AG2199" s="1779"/>
      <c r="AH2199" s="1779"/>
      <c r="AI2199" s="1779"/>
      <c r="AJ2199" s="1779"/>
      <c r="AK2199" s="1779"/>
      <c r="AL2199" s="1779"/>
      <c r="AM2199" s="1779"/>
      <c r="AN2199" s="1779"/>
      <c r="AO2199" s="1779"/>
      <c r="AP2199" s="1779"/>
      <c r="AQ2199" s="1779"/>
      <c r="AR2199" s="1779"/>
      <c r="AS2199" s="1779"/>
      <c r="AT2199" s="1779"/>
      <c r="AU2199" s="1779"/>
      <c r="AV2199" s="1779"/>
    </row>
    <row r="2200" spans="1:48" ht="11.45" customHeight="1">
      <c r="A2200" s="412" t="s">
        <v>843</v>
      </c>
      <c r="B2200" s="412" t="s">
        <v>1248</v>
      </c>
      <c r="C2200" s="412" t="s">
        <v>505</v>
      </c>
      <c r="D2200" s="1625"/>
      <c r="E2200" s="2224" t="s">
        <v>1931</v>
      </c>
      <c r="F2200" s="505">
        <v>2314</v>
      </c>
      <c r="G2200" s="410" t="s">
        <v>1029</v>
      </c>
      <c r="H2200" s="626"/>
      <c r="I2200" s="511">
        <v>1600</v>
      </c>
      <c r="J2200" s="511"/>
      <c r="K2200" s="543"/>
      <c r="L2200" s="702"/>
      <c r="M2200" s="419">
        <v>1600</v>
      </c>
      <c r="N2200" s="2847"/>
      <c r="O2200" s="86"/>
      <c r="P2200" s="1817" t="e">
        <f>INDEX(#REF!,MATCH(F2200,#REF!,0),2)</f>
        <v>#REF!</v>
      </c>
      <c r="Q2200" s="1779"/>
      <c r="R2200" s="1779"/>
      <c r="S2200" s="1779"/>
      <c r="T2200" s="1779"/>
      <c r="U2200" s="1779"/>
      <c r="V2200" s="1779"/>
      <c r="W2200" s="43"/>
      <c r="X2200" s="1779"/>
      <c r="Y2200" s="1779"/>
      <c r="Z2200" s="1779"/>
      <c r="AA2200" s="1779"/>
      <c r="AB2200" s="1779"/>
      <c r="AC2200" s="1779"/>
      <c r="AD2200" s="1779"/>
      <c r="AE2200" s="1779"/>
      <c r="AF2200" s="1779"/>
      <c r="AG2200" s="1779"/>
      <c r="AH2200" s="1779"/>
      <c r="AI2200" s="1779"/>
      <c r="AJ2200" s="1779"/>
      <c r="AK2200" s="1779"/>
      <c r="AL2200" s="1779"/>
      <c r="AM2200" s="1779"/>
      <c r="AN2200" s="1779"/>
      <c r="AO2200" s="1779"/>
      <c r="AP2200" s="1779"/>
      <c r="AQ2200" s="1779"/>
      <c r="AR2200" s="1779"/>
      <c r="AS2200" s="1779"/>
      <c r="AT2200" s="1779"/>
      <c r="AU2200" s="1779"/>
      <c r="AV2200" s="1779"/>
    </row>
    <row r="2201" spans="1:48" ht="20.45" customHeight="1">
      <c r="A2201" s="412" t="s">
        <v>738</v>
      </c>
      <c r="B2201" s="412" t="s">
        <v>1248</v>
      </c>
      <c r="C2201" s="412" t="s">
        <v>505</v>
      </c>
      <c r="D2201" s="1625"/>
      <c r="E2201" s="2224" t="s">
        <v>1931</v>
      </c>
      <c r="F2201" s="505">
        <v>2314</v>
      </c>
      <c r="G2201" s="410" t="s">
        <v>424</v>
      </c>
      <c r="H2201" s="626"/>
      <c r="I2201" s="511">
        <v>1000</v>
      </c>
      <c r="J2201" s="511"/>
      <c r="K2201" s="543"/>
      <c r="L2201" s="702"/>
      <c r="M2201" s="419">
        <v>1000</v>
      </c>
      <c r="N2201" s="2847"/>
      <c r="O2201" s="86"/>
      <c r="P2201" s="1817" t="e">
        <f>INDEX(#REF!,MATCH(F2201,#REF!,0),2)</f>
        <v>#REF!</v>
      </c>
      <c r="Q2201" s="1779"/>
      <c r="R2201" s="1779"/>
      <c r="S2201" s="1779"/>
      <c r="T2201" s="1779"/>
      <c r="U2201" s="1779"/>
      <c r="V2201" s="1779"/>
      <c r="W2201" s="43"/>
      <c r="X2201" s="1779"/>
      <c r="Y2201" s="1779"/>
      <c r="Z2201" s="1779"/>
      <c r="AA2201" s="1779"/>
      <c r="AB2201" s="1779"/>
      <c r="AC2201" s="1779"/>
      <c r="AD2201" s="1779"/>
      <c r="AE2201" s="1779"/>
      <c r="AF2201" s="1779"/>
      <c r="AG2201" s="1779"/>
      <c r="AH2201" s="1779"/>
      <c r="AI2201" s="1779"/>
      <c r="AJ2201" s="1779"/>
      <c r="AK2201" s="1779"/>
      <c r="AL2201" s="1779"/>
      <c r="AM2201" s="1779"/>
      <c r="AN2201" s="1779"/>
      <c r="AO2201" s="1779"/>
      <c r="AP2201" s="1779"/>
      <c r="AQ2201" s="1779"/>
      <c r="AR2201" s="1779"/>
      <c r="AS2201" s="1779"/>
      <c r="AT2201" s="1779"/>
      <c r="AU2201" s="1779"/>
      <c r="AV2201" s="1779"/>
    </row>
    <row r="2202" spans="1:48" ht="20.45" customHeight="1">
      <c r="A2202" s="412" t="s">
        <v>843</v>
      </c>
      <c r="B2202" s="412" t="s">
        <v>1248</v>
      </c>
      <c r="C2202" s="412" t="s">
        <v>505</v>
      </c>
      <c r="D2202" s="1625"/>
      <c r="E2202" s="2224" t="s">
        <v>1931</v>
      </c>
      <c r="F2202" s="505">
        <v>2314</v>
      </c>
      <c r="G2202" s="410" t="s">
        <v>847</v>
      </c>
      <c r="H2202" s="626"/>
      <c r="I2202" s="511">
        <v>500</v>
      </c>
      <c r="J2202" s="511"/>
      <c r="K2202" s="543"/>
      <c r="L2202" s="702"/>
      <c r="M2202" s="419">
        <v>500</v>
      </c>
      <c r="N2202" s="2847"/>
      <c r="O2202" s="86"/>
      <c r="P2202" s="1817" t="e">
        <f>INDEX(#REF!,MATCH(F2202,#REF!,0),2)</f>
        <v>#REF!</v>
      </c>
      <c r="Q2202" s="1779"/>
      <c r="R2202" s="1779"/>
      <c r="S2202" s="1779"/>
      <c r="T2202" s="1779"/>
      <c r="U2202" s="1779"/>
      <c r="V2202" s="1779"/>
      <c r="W2202" s="43"/>
      <c r="X2202" s="1779"/>
      <c r="Y2202" s="1779"/>
      <c r="Z2202" s="1779"/>
      <c r="AA2202" s="1779"/>
      <c r="AB2202" s="1779"/>
      <c r="AC2202" s="1779"/>
      <c r="AD2202" s="1779"/>
      <c r="AE2202" s="1779"/>
      <c r="AF2202" s="1779"/>
      <c r="AG2202" s="1779"/>
      <c r="AH2202" s="1779"/>
      <c r="AI2202" s="1779"/>
      <c r="AJ2202" s="1779"/>
      <c r="AK2202" s="1779"/>
      <c r="AL2202" s="1779"/>
      <c r="AM2202" s="1779"/>
      <c r="AN2202" s="1779"/>
      <c r="AO2202" s="1779"/>
      <c r="AP2202" s="1779"/>
      <c r="AQ2202" s="1779"/>
      <c r="AR2202" s="1779"/>
      <c r="AS2202" s="1779"/>
      <c r="AT2202" s="1779"/>
      <c r="AU2202" s="1779"/>
      <c r="AV2202" s="1779"/>
    </row>
    <row r="2203" spans="1:48" ht="100.15" customHeight="1">
      <c r="A2203" s="506"/>
      <c r="B2203" s="506" t="s">
        <v>1248</v>
      </c>
      <c r="C2203" s="506" t="s">
        <v>505</v>
      </c>
      <c r="D2203" s="1624" t="s">
        <v>1777</v>
      </c>
      <c r="E2203" s="2223" t="s">
        <v>1931</v>
      </c>
      <c r="F2203" s="540">
        <v>2322</v>
      </c>
      <c r="G2203" s="411" t="s">
        <v>319</v>
      </c>
      <c r="H2203" s="579">
        <v>500</v>
      </c>
      <c r="I2203" s="619"/>
      <c r="J2203" s="2520">
        <v>99.3</v>
      </c>
      <c r="K2203" s="695"/>
      <c r="L2203" s="579">
        <v>166.66666666666666</v>
      </c>
      <c r="M2203" s="579"/>
      <c r="N2203" s="2847"/>
      <c r="O2203" s="86"/>
      <c r="P2203" s="1817" t="e">
        <f>INDEX(#REF!,MATCH(F2203,#REF!,0),2)</f>
        <v>#REF!</v>
      </c>
      <c r="Q2203" s="1779"/>
      <c r="R2203" s="1779"/>
      <c r="S2203" s="1779"/>
      <c r="T2203" s="1779"/>
      <c r="U2203" s="1779"/>
      <c r="V2203" s="1779"/>
      <c r="W2203" s="43"/>
      <c r="X2203" s="1779"/>
      <c r="Y2203" s="1779"/>
      <c r="Z2203" s="1779"/>
      <c r="AA2203" s="1779"/>
      <c r="AB2203" s="1779"/>
      <c r="AC2203" s="1779"/>
      <c r="AD2203" s="1779"/>
      <c r="AE2203" s="1779"/>
      <c r="AF2203" s="1779"/>
      <c r="AG2203" s="1779"/>
      <c r="AH2203" s="1779"/>
      <c r="AI2203" s="1779"/>
      <c r="AJ2203" s="1779"/>
      <c r="AK2203" s="1779"/>
      <c r="AL2203" s="1779"/>
      <c r="AM2203" s="1779"/>
      <c r="AN2203" s="1779"/>
      <c r="AO2203" s="1779"/>
      <c r="AP2203" s="1779"/>
      <c r="AQ2203" s="1779"/>
      <c r="AR2203" s="1779"/>
      <c r="AS2203" s="1779"/>
      <c r="AT2203" s="1779"/>
      <c r="AU2203" s="1779"/>
      <c r="AV2203" s="1779"/>
    </row>
    <row r="2204" spans="1:48" ht="27.6" customHeight="1">
      <c r="A2204" s="412"/>
      <c r="B2204" s="412" t="s">
        <v>1248</v>
      </c>
      <c r="C2204" s="412" t="s">
        <v>505</v>
      </c>
      <c r="D2204" s="1625"/>
      <c r="E2204" s="2224" t="s">
        <v>1931</v>
      </c>
      <c r="F2204" s="505">
        <v>2322</v>
      </c>
      <c r="G2204" s="410" t="s">
        <v>423</v>
      </c>
      <c r="H2204" s="626"/>
      <c r="I2204" s="511">
        <v>500</v>
      </c>
      <c r="J2204" s="511"/>
      <c r="K2204" s="543"/>
      <c r="L2204" s="702"/>
      <c r="M2204" s="419">
        <v>166.66666666666666</v>
      </c>
      <c r="N2204" s="2847"/>
      <c r="O2204" s="86"/>
      <c r="P2204" s="1817" t="e">
        <f>INDEX(#REF!,MATCH(F2204,#REF!,0),2)</f>
        <v>#REF!</v>
      </c>
      <c r="Q2204" s="1779"/>
      <c r="R2204" s="1779"/>
      <c r="S2204" s="1779"/>
      <c r="T2204" s="1779"/>
      <c r="U2204" s="1779"/>
      <c r="V2204" s="1779"/>
      <c r="W2204" s="43"/>
      <c r="X2204" s="1779"/>
      <c r="Y2204" s="1779"/>
      <c r="Z2204" s="1779"/>
      <c r="AA2204" s="1779"/>
      <c r="AB2204" s="1779"/>
      <c r="AC2204" s="1779"/>
      <c r="AD2204" s="1779"/>
      <c r="AE2204" s="1779"/>
      <c r="AF2204" s="1779"/>
      <c r="AG2204" s="1779"/>
      <c r="AH2204" s="1779"/>
      <c r="AI2204" s="1779"/>
      <c r="AJ2204" s="1779"/>
      <c r="AK2204" s="1779"/>
      <c r="AL2204" s="1779"/>
      <c r="AM2204" s="1779"/>
      <c r="AN2204" s="1779"/>
      <c r="AO2204" s="1779"/>
      <c r="AP2204" s="1779"/>
      <c r="AQ2204" s="1779"/>
      <c r="AR2204" s="1779"/>
      <c r="AS2204" s="1779"/>
      <c r="AT2204" s="1779"/>
      <c r="AU2204" s="1779"/>
      <c r="AV2204" s="1779"/>
    </row>
    <row r="2205" spans="1:48" ht="27.6" customHeight="1">
      <c r="A2205" s="506"/>
      <c r="B2205" s="506" t="s">
        <v>1248</v>
      </c>
      <c r="C2205" s="506" t="s">
        <v>505</v>
      </c>
      <c r="D2205" s="1624" t="s">
        <v>1777</v>
      </c>
      <c r="E2205" s="2223" t="s">
        <v>1931</v>
      </c>
      <c r="F2205" s="540">
        <v>2350</v>
      </c>
      <c r="G2205" s="411" t="s">
        <v>251</v>
      </c>
      <c r="H2205" s="579">
        <v>4960</v>
      </c>
      <c r="I2205" s="619"/>
      <c r="J2205" s="2520">
        <v>3987.66</v>
      </c>
      <c r="K2205" s="695"/>
      <c r="L2205" s="579">
        <v>6700</v>
      </c>
      <c r="M2205" s="619"/>
      <c r="N2205" s="2847"/>
      <c r="O2205" s="86"/>
      <c r="P2205" s="1817" t="e">
        <f>INDEX(#REF!,MATCH(F2205,#REF!,0),2)</f>
        <v>#REF!</v>
      </c>
      <c r="Q2205" s="1779"/>
      <c r="R2205" s="1779"/>
      <c r="S2205" s="1779"/>
      <c r="T2205" s="1779"/>
      <c r="U2205" s="1779"/>
      <c r="V2205" s="1779"/>
      <c r="W2205" s="43"/>
      <c r="X2205" s="1779"/>
      <c r="Y2205" s="1779"/>
      <c r="Z2205" s="1779"/>
      <c r="AA2205" s="1779"/>
      <c r="AB2205" s="1779"/>
      <c r="AC2205" s="1779"/>
      <c r="AD2205" s="1779"/>
      <c r="AE2205" s="1779"/>
      <c r="AF2205" s="1779"/>
      <c r="AG2205" s="1779"/>
      <c r="AH2205" s="1779"/>
      <c r="AI2205" s="1779"/>
      <c r="AJ2205" s="1779"/>
      <c r="AK2205" s="1779"/>
      <c r="AL2205" s="1779"/>
      <c r="AM2205" s="1779"/>
      <c r="AN2205" s="1779"/>
      <c r="AO2205" s="1779"/>
      <c r="AP2205" s="1779"/>
      <c r="AQ2205" s="1779"/>
      <c r="AR2205" s="1779"/>
      <c r="AS2205" s="1779"/>
      <c r="AT2205" s="1779"/>
      <c r="AU2205" s="1779"/>
      <c r="AV2205" s="1779"/>
    </row>
    <row r="2206" spans="1:48" ht="116.45" customHeight="1">
      <c r="A2206" s="412" t="s">
        <v>741</v>
      </c>
      <c r="B2206" s="412" t="s">
        <v>1248</v>
      </c>
      <c r="C2206" s="412" t="s">
        <v>505</v>
      </c>
      <c r="D2206" s="1625"/>
      <c r="E2206" s="2224" t="s">
        <v>1931</v>
      </c>
      <c r="F2206" s="505">
        <v>2350</v>
      </c>
      <c r="G2206" s="2774" t="s">
        <v>670</v>
      </c>
      <c r="H2206" s="626"/>
      <c r="I2206" s="511">
        <v>800</v>
      </c>
      <c r="J2206" s="511"/>
      <c r="K2206" s="543"/>
      <c r="L2206" s="626"/>
      <c r="M2206" s="419">
        <v>800</v>
      </c>
      <c r="N2206" s="2847"/>
      <c r="O2206" s="86"/>
      <c r="P2206" s="1817"/>
      <c r="Q2206" s="1779"/>
      <c r="R2206" s="1779"/>
      <c r="S2206" s="1779"/>
      <c r="T2206" s="1779"/>
      <c r="U2206" s="1779"/>
      <c r="V2206" s="1779"/>
      <c r="W2206" s="43"/>
      <c r="X2206" s="1779"/>
      <c r="Y2206" s="1779"/>
      <c r="Z2206" s="1779"/>
      <c r="AA2206" s="1779"/>
      <c r="AB2206" s="1779"/>
      <c r="AC2206" s="1779"/>
      <c r="AD2206" s="1779"/>
      <c r="AE2206" s="1779"/>
      <c r="AF2206" s="1779"/>
      <c r="AG2206" s="1779"/>
      <c r="AH2206" s="1779"/>
      <c r="AI2206" s="1779"/>
      <c r="AJ2206" s="1779"/>
      <c r="AK2206" s="1779"/>
      <c r="AL2206" s="1779"/>
      <c r="AM2206" s="1779"/>
      <c r="AN2206" s="1779"/>
      <c r="AO2206" s="1779"/>
      <c r="AP2206" s="1779"/>
      <c r="AQ2206" s="1779"/>
      <c r="AR2206" s="1779"/>
      <c r="AS2206" s="1779"/>
      <c r="AT2206" s="1779"/>
      <c r="AU2206" s="1779"/>
      <c r="AV2206" s="1779"/>
    </row>
    <row r="2207" spans="1:48" ht="36.6" customHeight="1">
      <c r="A2207" s="412" t="s">
        <v>741</v>
      </c>
      <c r="B2207" s="412" t="s">
        <v>1248</v>
      </c>
      <c r="C2207" s="412" t="s">
        <v>505</v>
      </c>
      <c r="D2207" s="1625"/>
      <c r="E2207" s="2224" t="s">
        <v>1931</v>
      </c>
      <c r="F2207" s="505">
        <v>2350</v>
      </c>
      <c r="G2207" s="2774" t="s">
        <v>846</v>
      </c>
      <c r="H2207" s="626"/>
      <c r="I2207" s="511">
        <v>1500</v>
      </c>
      <c r="J2207" s="511"/>
      <c r="K2207" s="543"/>
      <c r="L2207" s="626"/>
      <c r="M2207" s="419">
        <v>1500</v>
      </c>
      <c r="N2207" s="2847"/>
      <c r="O2207" s="86"/>
      <c r="P2207" s="1817"/>
      <c r="Q2207" s="1779"/>
      <c r="R2207" s="1779"/>
      <c r="S2207" s="1779"/>
      <c r="T2207" s="1779"/>
      <c r="U2207" s="1779"/>
      <c r="V2207" s="1779"/>
      <c r="W2207" s="43"/>
      <c r="X2207" s="1779"/>
      <c r="Y2207" s="1779"/>
      <c r="Z2207" s="1779"/>
      <c r="AA2207" s="1779"/>
      <c r="AB2207" s="1779"/>
      <c r="AC2207" s="1779"/>
      <c r="AD2207" s="1779"/>
      <c r="AE2207" s="1779"/>
      <c r="AF2207" s="1779"/>
      <c r="AG2207" s="1779"/>
      <c r="AH2207" s="1779"/>
      <c r="AI2207" s="1779"/>
      <c r="AJ2207" s="1779"/>
      <c r="AK2207" s="1779"/>
      <c r="AL2207" s="1779"/>
      <c r="AM2207" s="1779"/>
      <c r="AN2207" s="1779"/>
      <c r="AO2207" s="1779"/>
      <c r="AP2207" s="1779"/>
      <c r="AQ2207" s="1779"/>
      <c r="AR2207" s="1779"/>
      <c r="AS2207" s="1779"/>
      <c r="AT2207" s="1779"/>
      <c r="AU2207" s="1779"/>
      <c r="AV2207" s="1779"/>
    </row>
    <row r="2208" spans="1:48" ht="15.6" customHeight="1">
      <c r="A2208" s="412" t="s">
        <v>741</v>
      </c>
      <c r="B2208" s="412" t="s">
        <v>1248</v>
      </c>
      <c r="C2208" s="412" t="s">
        <v>505</v>
      </c>
      <c r="D2208" s="1625"/>
      <c r="E2208" s="2224" t="s">
        <v>1931</v>
      </c>
      <c r="F2208" s="505">
        <v>2350</v>
      </c>
      <c r="G2208" s="2810" t="s">
        <v>1028</v>
      </c>
      <c r="H2208" s="2999"/>
      <c r="I2208" s="2776"/>
      <c r="J2208" s="2776"/>
      <c r="K2208" s="2777"/>
      <c r="L2208" s="2999"/>
      <c r="M2208" s="2779">
        <v>400</v>
      </c>
      <c r="N2208" s="2847"/>
      <c r="O2208" s="86"/>
      <c r="P2208" s="1817" t="e">
        <f>INDEX(#REF!,MATCH(F2208,#REF!,0),2)</f>
        <v>#REF!</v>
      </c>
      <c r="Q2208" s="1779"/>
      <c r="R2208" s="1779"/>
      <c r="S2208" s="1779"/>
      <c r="T2208" s="1779"/>
      <c r="U2208" s="1779"/>
      <c r="V2208" s="1779"/>
      <c r="W2208" s="43"/>
      <c r="X2208" s="1779"/>
      <c r="Y2208" s="1779"/>
      <c r="Z2208" s="1779"/>
      <c r="AA2208" s="1779"/>
      <c r="AB2208" s="1779"/>
      <c r="AC2208" s="1779"/>
      <c r="AD2208" s="1779"/>
      <c r="AE2208" s="1779"/>
      <c r="AF2208" s="1779"/>
      <c r="AG2208" s="1779"/>
      <c r="AH2208" s="1779"/>
      <c r="AI2208" s="1779"/>
      <c r="AJ2208" s="1779"/>
      <c r="AK2208" s="1779"/>
      <c r="AL2208" s="1779"/>
      <c r="AM2208" s="1779"/>
      <c r="AN2208" s="1779"/>
      <c r="AO2208" s="1779"/>
      <c r="AP2208" s="1779"/>
      <c r="AQ2208" s="1779"/>
      <c r="AR2208" s="1779"/>
      <c r="AS2208" s="1779"/>
      <c r="AT2208" s="1779"/>
      <c r="AU2208" s="1779"/>
      <c r="AV2208" s="1779"/>
    </row>
    <row r="2209" spans="1:48" ht="22.5">
      <c r="A2209" s="412" t="s">
        <v>741</v>
      </c>
      <c r="B2209" s="412" t="s">
        <v>1248</v>
      </c>
      <c r="C2209" s="412" t="s">
        <v>505</v>
      </c>
      <c r="D2209" s="1625"/>
      <c r="E2209" s="2224" t="s">
        <v>1931</v>
      </c>
      <c r="F2209" s="505">
        <v>2350</v>
      </c>
      <c r="G2209" s="2774" t="s">
        <v>740</v>
      </c>
      <c r="H2209" s="2999"/>
      <c r="I2209" s="2776"/>
      <c r="J2209" s="2776"/>
      <c r="K2209" s="2777"/>
      <c r="L2209" s="2999"/>
      <c r="M2209" s="2779">
        <v>2000</v>
      </c>
      <c r="N2209" s="2847"/>
      <c r="O2209" s="86"/>
      <c r="P2209" s="1817" t="e">
        <f>INDEX(#REF!,MATCH(F2209,#REF!,0),2)</f>
        <v>#REF!</v>
      </c>
    </row>
    <row r="2210" spans="1:48" ht="102" customHeight="1">
      <c r="A2210" s="412" t="s">
        <v>741</v>
      </c>
      <c r="B2210" s="412" t="s">
        <v>1248</v>
      </c>
      <c r="C2210" s="412" t="s">
        <v>505</v>
      </c>
      <c r="D2210" s="1625"/>
      <c r="E2210" s="2224" t="s">
        <v>1931</v>
      </c>
      <c r="F2210" s="505">
        <v>2350</v>
      </c>
      <c r="G2210" s="2774" t="s">
        <v>3954</v>
      </c>
      <c r="H2210" s="626"/>
      <c r="I2210" s="511">
        <v>1600</v>
      </c>
      <c r="J2210" s="511"/>
      <c r="K2210" s="543"/>
      <c r="L2210" s="626"/>
      <c r="M2210" s="419">
        <v>2000</v>
      </c>
      <c r="N2210" s="2847"/>
      <c r="O2210" s="86"/>
      <c r="P2210" s="1817" t="e">
        <f>INDEX(#REF!,MATCH(F2210,#REF!,0),2)</f>
        <v>#REF!</v>
      </c>
    </row>
    <row r="2211" spans="1:48" ht="33.75">
      <c r="A2211" s="1882"/>
      <c r="B2211" s="412" t="s">
        <v>1248</v>
      </c>
      <c r="C2211" s="412" t="s">
        <v>505</v>
      </c>
      <c r="D2211" s="1625"/>
      <c r="E2211" s="2224" t="s">
        <v>1931</v>
      </c>
      <c r="F2211" s="505">
        <v>2350</v>
      </c>
      <c r="G2211" s="1884" t="s">
        <v>3234</v>
      </c>
      <c r="H2211" s="1937"/>
      <c r="I2211" s="1916">
        <v>560</v>
      </c>
      <c r="J2211" s="1916"/>
      <c r="K2211" s="1917"/>
      <c r="L2211" s="1937"/>
      <c r="M2211" s="1968"/>
      <c r="N2211" s="2847"/>
      <c r="O2211" s="86"/>
      <c r="P2211" s="1817" t="e">
        <f>INDEX(#REF!,MATCH(F2211,#REF!,0),2)</f>
        <v>#REF!</v>
      </c>
    </row>
    <row r="2212" spans="1:48">
      <c r="A2212" s="506"/>
      <c r="B2212" s="775" t="s">
        <v>1249</v>
      </c>
      <c r="C2212" s="506" t="s">
        <v>534</v>
      </c>
      <c r="D2212" s="1624" t="s">
        <v>1777</v>
      </c>
      <c r="E2212" s="2223" t="s">
        <v>1931</v>
      </c>
      <c r="F2212" s="540">
        <v>2361</v>
      </c>
      <c r="G2212" s="1817" t="s">
        <v>3759</v>
      </c>
      <c r="H2212" s="579">
        <v>7070</v>
      </c>
      <c r="I2212" s="604"/>
      <c r="J2212" s="2520" t="s">
        <v>2426</v>
      </c>
      <c r="K2212" s="695"/>
      <c r="L2212" s="579">
        <v>7064</v>
      </c>
      <c r="M2212" s="579"/>
      <c r="N2212" s="2396" t="s">
        <v>3758</v>
      </c>
      <c r="O2212" s="86"/>
      <c r="P2212" s="1817" t="e">
        <f>INDEX(#REF!,MATCH(F2212,#REF!,0),2)</f>
        <v>#REF!</v>
      </c>
    </row>
    <row r="2213" spans="1:48">
      <c r="A2213" s="2790"/>
      <c r="B2213" s="489" t="s">
        <v>1249</v>
      </c>
      <c r="C2213" s="412" t="s">
        <v>534</v>
      </c>
      <c r="D2213" s="1628"/>
      <c r="E2213" s="2224" t="s">
        <v>1931</v>
      </c>
      <c r="F2213" s="505">
        <v>2361</v>
      </c>
      <c r="G2213" s="2774" t="s">
        <v>3947</v>
      </c>
      <c r="H2213" s="3003"/>
      <c r="I2213" s="1540"/>
      <c r="J2213" s="2776"/>
      <c r="K2213" s="2777"/>
      <c r="L2213" s="3002"/>
      <c r="M2213" s="419">
        <v>720</v>
      </c>
      <c r="N2213" s="2846"/>
      <c r="O2213" s="86"/>
      <c r="P2213" s="1817" t="e">
        <f>INDEX(#REF!,MATCH(F2213,#REF!,0),2)</f>
        <v>#REF!</v>
      </c>
    </row>
    <row r="2214" spans="1:48" ht="33.75">
      <c r="A2214" s="2790"/>
      <c r="B2214" s="489" t="s">
        <v>1249</v>
      </c>
      <c r="C2214" s="412" t="s">
        <v>534</v>
      </c>
      <c r="D2214" s="1628"/>
      <c r="E2214" s="2224" t="s">
        <v>1931</v>
      </c>
      <c r="F2214" s="505">
        <v>2361</v>
      </c>
      <c r="G2214" s="2774" t="s">
        <v>3948</v>
      </c>
      <c r="H2214" s="3003"/>
      <c r="I2214" s="1540"/>
      <c r="J2214" s="2776"/>
      <c r="K2214" s="2777"/>
      <c r="L2214" s="3002"/>
      <c r="M2214" s="419">
        <v>1025</v>
      </c>
      <c r="N2214" s="2846"/>
      <c r="O2214" s="86"/>
      <c r="P2214" s="1817" t="e">
        <f>INDEX(#REF!,MATCH(F2214,#REF!,0),2)</f>
        <v>#REF!</v>
      </c>
    </row>
    <row r="2215" spans="1:48" ht="45">
      <c r="A2215" s="2790"/>
      <c r="B2215" s="489" t="s">
        <v>1249</v>
      </c>
      <c r="C2215" s="412" t="s">
        <v>534</v>
      </c>
      <c r="D2215" s="1628"/>
      <c r="E2215" s="2224" t="s">
        <v>1931</v>
      </c>
      <c r="F2215" s="505">
        <v>2361</v>
      </c>
      <c r="G2215" s="2774" t="s">
        <v>3949</v>
      </c>
      <c r="H2215" s="3003"/>
      <c r="I2215" s="1540"/>
      <c r="J2215" s="2776"/>
      <c r="K2215" s="2777"/>
      <c r="L2215" s="3002"/>
      <c r="M2215" s="419">
        <v>3075</v>
      </c>
      <c r="N2215" s="2846" t="s">
        <v>3953</v>
      </c>
      <c r="O2215" s="86"/>
      <c r="P2215" s="1817" t="e">
        <f>INDEX(#REF!,MATCH(F2215,#REF!,0),2)</f>
        <v>#REF!</v>
      </c>
      <c r="Q2215" s="1779"/>
      <c r="R2215" s="1779"/>
      <c r="S2215" s="1779"/>
      <c r="T2215" s="1779"/>
      <c r="U2215" s="1779"/>
      <c r="V2215" s="1779"/>
      <c r="W2215" s="43"/>
      <c r="X2215" s="1779"/>
      <c r="Y2215" s="1779"/>
      <c r="Z2215" s="1779"/>
      <c r="AA2215" s="1779"/>
      <c r="AB2215" s="1779"/>
      <c r="AC2215" s="1779"/>
      <c r="AD2215" s="1779"/>
      <c r="AE2215" s="1779"/>
      <c r="AF2215" s="1779"/>
      <c r="AG2215" s="1779"/>
      <c r="AH2215" s="1779"/>
      <c r="AI2215" s="1779"/>
      <c r="AJ2215" s="1779"/>
      <c r="AK2215" s="1779"/>
      <c r="AL2215" s="1779"/>
      <c r="AM2215" s="1779"/>
      <c r="AN2215" s="1779"/>
      <c r="AO2215" s="1779"/>
      <c r="AP2215" s="1779"/>
      <c r="AQ2215" s="1779"/>
      <c r="AR2215" s="1779"/>
      <c r="AS2215" s="1779"/>
      <c r="AT2215" s="1779"/>
      <c r="AU2215" s="1779"/>
      <c r="AV2215" s="1779"/>
    </row>
    <row r="2216" spans="1:48">
      <c r="A2216" s="2790"/>
      <c r="B2216" s="489" t="s">
        <v>1249</v>
      </c>
      <c r="C2216" s="412" t="s">
        <v>534</v>
      </c>
      <c r="D2216" s="1628"/>
      <c r="E2216" s="2224" t="s">
        <v>1931</v>
      </c>
      <c r="F2216" s="505">
        <v>2361</v>
      </c>
      <c r="G2216" s="2774" t="s">
        <v>3950</v>
      </c>
      <c r="H2216" s="3003"/>
      <c r="I2216" s="1540"/>
      <c r="J2216" s="2776"/>
      <c r="K2216" s="2777"/>
      <c r="L2216" s="3002"/>
      <c r="M2216" s="419">
        <v>500</v>
      </c>
      <c r="N2216" s="2846"/>
      <c r="O2216" s="86"/>
      <c r="P2216" s="1817" t="e">
        <f>INDEX(#REF!,MATCH(F2216,#REF!,0),2)</f>
        <v>#REF!</v>
      </c>
      <c r="Q2216" s="1779"/>
      <c r="R2216" s="1779"/>
      <c r="S2216" s="1779"/>
      <c r="T2216" s="1779"/>
      <c r="U2216" s="1779"/>
      <c r="V2216" s="1779"/>
      <c r="W2216" s="43"/>
      <c r="X2216" s="1779"/>
      <c r="Y2216" s="1779"/>
      <c r="Z2216" s="1779"/>
      <c r="AA2216" s="1779"/>
      <c r="AB2216" s="1779"/>
      <c r="AC2216" s="1779"/>
      <c r="AD2216" s="1779"/>
      <c r="AE2216" s="1779"/>
      <c r="AF2216" s="1779"/>
      <c r="AG2216" s="1779"/>
      <c r="AH2216" s="1779"/>
      <c r="AI2216" s="1779"/>
      <c r="AJ2216" s="1779"/>
      <c r="AK2216" s="1779"/>
      <c r="AL2216" s="1779"/>
      <c r="AM2216" s="1779"/>
      <c r="AN2216" s="1779"/>
      <c r="AO2216" s="1779"/>
      <c r="AP2216" s="1779"/>
      <c r="AQ2216" s="1779"/>
      <c r="AR2216" s="1779"/>
      <c r="AS2216" s="1779"/>
      <c r="AT2216" s="1779"/>
      <c r="AU2216" s="1779"/>
      <c r="AV2216" s="1779"/>
    </row>
    <row r="2217" spans="1:48" ht="33.75">
      <c r="A2217" s="2790"/>
      <c r="B2217" s="489" t="s">
        <v>1249</v>
      </c>
      <c r="C2217" s="412" t="s">
        <v>534</v>
      </c>
      <c r="D2217" s="1628"/>
      <c r="E2217" s="2224" t="s">
        <v>1931</v>
      </c>
      <c r="F2217" s="505">
        <v>2361</v>
      </c>
      <c r="G2217" s="2774" t="s">
        <v>3951</v>
      </c>
      <c r="H2217" s="3003"/>
      <c r="I2217" s="1540"/>
      <c r="J2217" s="2776"/>
      <c r="K2217" s="2777"/>
      <c r="L2217" s="3002"/>
      <c r="M2217" s="419">
        <v>1000</v>
      </c>
      <c r="N2217" s="2846"/>
      <c r="O2217" s="86"/>
      <c r="P2217" s="1817" t="e">
        <f>INDEX(#REF!,MATCH(F2217,#REF!,0),2)</f>
        <v>#REF!</v>
      </c>
      <c r="Q2217" s="1779"/>
      <c r="R2217" s="1779"/>
      <c r="S2217" s="1779"/>
      <c r="T2217" s="1779"/>
      <c r="U2217" s="1779"/>
      <c r="V2217" s="1779"/>
      <c r="W2217" s="43"/>
      <c r="X2217" s="1779"/>
      <c r="Y2217" s="1779"/>
      <c r="Z2217" s="1779"/>
      <c r="AA2217" s="1779"/>
      <c r="AB2217" s="1779"/>
      <c r="AC2217" s="1779"/>
      <c r="AD2217" s="1779"/>
      <c r="AE2217" s="1779"/>
      <c r="AF2217" s="1779"/>
      <c r="AG2217" s="1779"/>
      <c r="AH2217" s="1779"/>
      <c r="AI2217" s="1779"/>
      <c r="AJ2217" s="1779"/>
      <c r="AK2217" s="1779"/>
      <c r="AL2217" s="1779"/>
      <c r="AM2217" s="1779"/>
      <c r="AN2217" s="1779"/>
      <c r="AO2217" s="1779"/>
      <c r="AP2217" s="1779"/>
      <c r="AQ2217" s="1779"/>
      <c r="AR2217" s="1779"/>
      <c r="AS2217" s="1779"/>
      <c r="AT2217" s="1779"/>
      <c r="AU2217" s="1779"/>
      <c r="AV2217" s="1779"/>
    </row>
    <row r="2218" spans="1:48" ht="22.15" customHeight="1">
      <c r="A2218" s="2790"/>
      <c r="B2218" s="489" t="s">
        <v>1249</v>
      </c>
      <c r="C2218" s="412" t="s">
        <v>534</v>
      </c>
      <c r="D2218" s="1628"/>
      <c r="E2218" s="2224" t="s">
        <v>1931</v>
      </c>
      <c r="F2218" s="505">
        <v>2361</v>
      </c>
      <c r="G2218" s="2774" t="s">
        <v>3952</v>
      </c>
      <c r="H2218" s="3003"/>
      <c r="I2218" s="1540"/>
      <c r="J2218" s="2776"/>
      <c r="K2218" s="2777"/>
      <c r="L2218" s="3002"/>
      <c r="M2218" s="419">
        <v>744</v>
      </c>
      <c r="N2218" s="2846"/>
      <c r="O2218" s="86"/>
      <c r="P2218" s="1817" t="e">
        <f>INDEX(#REF!,MATCH(F2218,#REF!,0),2)</f>
        <v>#REF!</v>
      </c>
      <c r="Q2218" s="1779"/>
      <c r="R2218" s="1779"/>
      <c r="S2218" s="1779"/>
      <c r="T2218" s="1779"/>
      <c r="U2218" s="1779"/>
      <c r="V2218" s="1779"/>
      <c r="W2218" s="43"/>
      <c r="X2218" s="1779"/>
      <c r="Y2218" s="1779"/>
      <c r="Z2218" s="1779"/>
      <c r="AA2218" s="1779"/>
      <c r="AB2218" s="1779"/>
      <c r="AC2218" s="1779"/>
      <c r="AD2218" s="1779"/>
      <c r="AE2218" s="1779"/>
      <c r="AF2218" s="1779"/>
      <c r="AG2218" s="1779"/>
      <c r="AH2218" s="1779"/>
      <c r="AI2218" s="1779"/>
      <c r="AJ2218" s="1779"/>
      <c r="AK2218" s="1779"/>
      <c r="AL2218" s="1779"/>
      <c r="AM2218" s="1779"/>
      <c r="AN2218" s="1779"/>
      <c r="AO2218" s="1779"/>
      <c r="AP2218" s="1779"/>
      <c r="AQ2218" s="1779"/>
      <c r="AR2218" s="1779"/>
      <c r="AS2218" s="1779"/>
      <c r="AT2218" s="1779"/>
      <c r="AU2218" s="1779"/>
      <c r="AV2218" s="1779"/>
    </row>
    <row r="2219" spans="1:48" ht="22.15" customHeight="1">
      <c r="A2219" s="1465"/>
      <c r="B2219" s="489" t="s">
        <v>1249</v>
      </c>
      <c r="C2219" s="412" t="s">
        <v>534</v>
      </c>
      <c r="D2219" s="1628"/>
      <c r="E2219" s="2224" t="s">
        <v>1931</v>
      </c>
      <c r="F2219" s="505">
        <v>2361</v>
      </c>
      <c r="G2219" s="1529" t="s">
        <v>2071</v>
      </c>
      <c r="H2219" s="1540"/>
      <c r="I2219" s="1479">
        <v>864</v>
      </c>
      <c r="J2219" s="1485"/>
      <c r="K2219" s="1541"/>
      <c r="L2219" s="1540"/>
      <c r="M2219" s="420"/>
      <c r="N2219" s="2846"/>
      <c r="O2219" s="86"/>
      <c r="P2219" s="1817" t="e">
        <f>INDEX(#REF!,MATCH(F2219,#REF!,0),2)</f>
        <v>#REF!</v>
      </c>
      <c r="Q2219" s="1779"/>
      <c r="R2219" s="1779"/>
      <c r="S2219" s="1779"/>
      <c r="T2219" s="1779"/>
      <c r="U2219" s="1779"/>
      <c r="V2219" s="1779"/>
      <c r="W2219" s="43"/>
      <c r="X2219" s="1779"/>
      <c r="Y2219" s="1779"/>
      <c r="Z2219" s="1779"/>
      <c r="AA2219" s="1779"/>
      <c r="AB2219" s="1779"/>
      <c r="AC2219" s="1779"/>
      <c r="AD2219" s="1779"/>
      <c r="AE2219" s="1779"/>
      <c r="AF2219" s="1779"/>
      <c r="AG2219" s="1779"/>
      <c r="AH2219" s="1779"/>
      <c r="AI2219" s="1779"/>
      <c r="AJ2219" s="1779"/>
      <c r="AK2219" s="1779"/>
      <c r="AL2219" s="1779"/>
      <c r="AM2219" s="1779"/>
      <c r="AN2219" s="1779"/>
      <c r="AO2219" s="1779"/>
      <c r="AP2219" s="1779"/>
      <c r="AQ2219" s="1779"/>
      <c r="AR2219" s="1779"/>
      <c r="AS2219" s="1779"/>
      <c r="AT2219" s="1779"/>
      <c r="AU2219" s="1779"/>
      <c r="AV2219" s="1779"/>
    </row>
    <row r="2220" spans="1:48" ht="33.75">
      <c r="A2220" s="1465"/>
      <c r="B2220" s="489" t="s">
        <v>1249</v>
      </c>
      <c r="C2220" s="412" t="s">
        <v>534</v>
      </c>
      <c r="D2220" s="1628"/>
      <c r="E2220" s="2224" t="s">
        <v>1931</v>
      </c>
      <c r="F2220" s="505">
        <v>2361</v>
      </c>
      <c r="G2220" s="1529" t="s">
        <v>2072</v>
      </c>
      <c r="H2220" s="1540"/>
      <c r="I2220" s="1479">
        <v>3708</v>
      </c>
      <c r="J2220" s="1485"/>
      <c r="K2220" s="1541"/>
      <c r="L2220" s="1540"/>
      <c r="M2220" s="420"/>
      <c r="N2220" s="2847"/>
      <c r="O2220" s="86"/>
      <c r="P2220" s="1817" t="e">
        <f>INDEX(#REF!,MATCH(F2220,#REF!,0),2)</f>
        <v>#REF!</v>
      </c>
      <c r="Q2220" s="1779"/>
      <c r="R2220" s="1779"/>
      <c r="S2220" s="1779"/>
      <c r="T2220" s="1779"/>
      <c r="U2220" s="1779"/>
      <c r="V2220" s="1779"/>
      <c r="W2220" s="43"/>
      <c r="X2220" s="1779"/>
      <c r="Y2220" s="1779"/>
      <c r="Z2220" s="1779"/>
      <c r="AA2220" s="1779"/>
      <c r="AB2220" s="1779"/>
      <c r="AC2220" s="1779"/>
      <c r="AD2220" s="1779"/>
      <c r="AE2220" s="1779"/>
      <c r="AF2220" s="1779"/>
      <c r="AG2220" s="1779"/>
      <c r="AH2220" s="1779"/>
      <c r="AI2220" s="1779"/>
      <c r="AJ2220" s="1779"/>
      <c r="AK2220" s="1779"/>
      <c r="AL2220" s="1779"/>
      <c r="AM2220" s="1779"/>
      <c r="AN2220" s="1779"/>
      <c r="AO2220" s="1779"/>
      <c r="AP2220" s="1779"/>
      <c r="AQ2220" s="1779"/>
      <c r="AR2220" s="1779"/>
      <c r="AS2220" s="1779"/>
      <c r="AT2220" s="1779"/>
      <c r="AU2220" s="1779"/>
      <c r="AV2220" s="1779"/>
    </row>
    <row r="2221" spans="1:48" ht="20.45" customHeight="1">
      <c r="A2221" s="1465"/>
      <c r="B2221" s="489" t="s">
        <v>1249</v>
      </c>
      <c r="C2221" s="412" t="s">
        <v>534</v>
      </c>
      <c r="D2221" s="1628"/>
      <c r="E2221" s="2224" t="s">
        <v>1931</v>
      </c>
      <c r="F2221" s="505">
        <v>2361</v>
      </c>
      <c r="G2221" s="1529" t="s">
        <v>2073</v>
      </c>
      <c r="H2221" s="1540"/>
      <c r="I2221" s="1479">
        <v>460</v>
      </c>
      <c r="J2221" s="1485"/>
      <c r="K2221" s="1541"/>
      <c r="L2221" s="1540"/>
      <c r="M2221" s="420"/>
      <c r="N2221" s="2847"/>
      <c r="O2221" s="86"/>
      <c r="P2221" s="1817" t="e">
        <f>INDEX(#REF!,MATCH(F2221,#REF!,0),2)</f>
        <v>#REF!</v>
      </c>
      <c r="Q2221" s="1779"/>
      <c r="R2221" s="1779"/>
      <c r="S2221" s="1779"/>
      <c r="T2221" s="1779"/>
      <c r="U2221" s="1779"/>
      <c r="V2221" s="1779"/>
      <c r="W2221" s="43"/>
      <c r="X2221" s="1779"/>
      <c r="Y2221" s="1779"/>
      <c r="Z2221" s="1779"/>
      <c r="AA2221" s="1779"/>
      <c r="AB2221" s="1779"/>
      <c r="AC2221" s="1779"/>
      <c r="AD2221" s="1779"/>
      <c r="AE2221" s="1779"/>
      <c r="AF2221" s="1779"/>
      <c r="AG2221" s="1779"/>
      <c r="AH2221" s="1779"/>
      <c r="AI2221" s="1779"/>
      <c r="AJ2221" s="1779"/>
      <c r="AK2221" s="1779"/>
      <c r="AL2221" s="1779"/>
      <c r="AM2221" s="1779"/>
      <c r="AN2221" s="1779"/>
      <c r="AO2221" s="1779"/>
      <c r="AP2221" s="1779"/>
      <c r="AQ2221" s="1779"/>
      <c r="AR2221" s="1779"/>
      <c r="AS2221" s="1779"/>
      <c r="AT2221" s="1779"/>
      <c r="AU2221" s="1779"/>
      <c r="AV2221" s="1779"/>
    </row>
    <row r="2222" spans="1:48" ht="20.45" customHeight="1">
      <c r="A2222" s="1465"/>
      <c r="B2222" s="489" t="s">
        <v>1249</v>
      </c>
      <c r="C2222" s="412" t="s">
        <v>534</v>
      </c>
      <c r="D2222" s="1628"/>
      <c r="E2222" s="2224" t="s">
        <v>1931</v>
      </c>
      <c r="F2222" s="505">
        <v>2361</v>
      </c>
      <c r="G2222" s="1529" t="s">
        <v>2074</v>
      </c>
      <c r="H2222" s="1540"/>
      <c r="I2222" s="1479">
        <v>430</v>
      </c>
      <c r="J2222" s="1485"/>
      <c r="K2222" s="1541"/>
      <c r="L2222" s="1540"/>
      <c r="M2222" s="420"/>
      <c r="N2222" s="2847"/>
      <c r="O2222" s="86"/>
      <c r="P2222" s="1817" t="e">
        <f>INDEX(#REF!,MATCH(F2222,#REF!,0),2)</f>
        <v>#REF!</v>
      </c>
      <c r="Q2222" s="1779"/>
      <c r="R2222" s="1779"/>
      <c r="S2222" s="1779"/>
      <c r="T2222" s="1779"/>
      <c r="U2222" s="1779"/>
      <c r="V2222" s="1779"/>
      <c r="W2222" s="43"/>
      <c r="X2222" s="1779"/>
      <c r="Y2222" s="1779"/>
      <c r="Z2222" s="1779"/>
      <c r="AA2222" s="1779"/>
      <c r="AB2222" s="1779"/>
      <c r="AC2222" s="1779"/>
      <c r="AD2222" s="1779"/>
      <c r="AE2222" s="1779"/>
      <c r="AF2222" s="1779"/>
      <c r="AG2222" s="1779"/>
      <c r="AH2222" s="1779"/>
      <c r="AI2222" s="1779"/>
      <c r="AJ2222" s="1779"/>
      <c r="AK2222" s="1779"/>
      <c r="AL2222" s="1779"/>
      <c r="AM2222" s="1779"/>
      <c r="AN2222" s="1779"/>
      <c r="AO2222" s="1779"/>
      <c r="AP2222" s="1779"/>
      <c r="AQ2222" s="1779"/>
      <c r="AR2222" s="1779"/>
      <c r="AS2222" s="1779"/>
      <c r="AT2222" s="1779"/>
      <c r="AU2222" s="1779"/>
      <c r="AV2222" s="1779"/>
    </row>
    <row r="2223" spans="1:48" ht="11.45" customHeight="1">
      <c r="A2223" s="1882"/>
      <c r="B2223" s="489" t="s">
        <v>1249</v>
      </c>
      <c r="C2223" s="412" t="s">
        <v>534</v>
      </c>
      <c r="D2223" s="1628"/>
      <c r="E2223" s="2224" t="s">
        <v>1931</v>
      </c>
      <c r="F2223" s="505">
        <v>2361</v>
      </c>
      <c r="G2223" s="1544" t="s">
        <v>3135</v>
      </c>
      <c r="H2223" s="1937"/>
      <c r="I2223" s="1892">
        <v>-890</v>
      </c>
      <c r="J2223" s="1916"/>
      <c r="K2223" s="1917"/>
      <c r="L2223" s="1937"/>
      <c r="M2223" s="1968"/>
      <c r="N2223" s="2847"/>
      <c r="O2223" s="86"/>
      <c r="P2223" s="1817" t="e">
        <f>INDEX(#REF!,MATCH(F2223,#REF!,0),2)</f>
        <v>#REF!</v>
      </c>
      <c r="Q2223" s="1779"/>
      <c r="R2223" s="1779"/>
      <c r="S2223" s="1779"/>
      <c r="T2223" s="1779"/>
      <c r="U2223" s="1779"/>
      <c r="V2223" s="1779"/>
      <c r="W2223" s="43"/>
      <c r="X2223" s="1779"/>
      <c r="Y2223" s="1779"/>
      <c r="Z2223" s="1779"/>
      <c r="AA2223" s="1779"/>
      <c r="AB2223" s="1779"/>
      <c r="AC2223" s="1779"/>
      <c r="AD2223" s="1779"/>
      <c r="AE2223" s="1779"/>
      <c r="AF2223" s="1779"/>
      <c r="AG2223" s="1779"/>
      <c r="AH2223" s="1779"/>
      <c r="AI2223" s="1779"/>
      <c r="AJ2223" s="1779"/>
      <c r="AK2223" s="1779"/>
      <c r="AL2223" s="1779"/>
      <c r="AM2223" s="1779"/>
      <c r="AN2223" s="1779"/>
      <c r="AO2223" s="1779"/>
      <c r="AP2223" s="1779"/>
      <c r="AQ2223" s="1779"/>
      <c r="AR2223" s="1779"/>
      <c r="AS2223" s="1779"/>
      <c r="AT2223" s="1779"/>
      <c r="AU2223" s="1779"/>
      <c r="AV2223" s="1779"/>
    </row>
    <row r="2224" spans="1:48" ht="39.6" customHeight="1">
      <c r="A2224" s="1465"/>
      <c r="B2224" s="489" t="s">
        <v>1249</v>
      </c>
      <c r="C2224" s="412" t="s">
        <v>534</v>
      </c>
      <c r="D2224" s="1628"/>
      <c r="E2224" s="2224" t="s">
        <v>1931</v>
      </c>
      <c r="F2224" s="505">
        <v>2361</v>
      </c>
      <c r="G2224" s="1529" t="s">
        <v>3025</v>
      </c>
      <c r="H2224" s="1540"/>
      <c r="I2224" s="1479">
        <v>2498</v>
      </c>
      <c r="J2224" s="1485"/>
      <c r="K2224" s="1541"/>
      <c r="L2224" s="1540"/>
      <c r="M2224" s="420"/>
      <c r="N2224" s="2847"/>
      <c r="O2224" s="86"/>
      <c r="P2224" s="1817" t="e">
        <f>INDEX(#REF!,MATCH(F2224,#REF!,0),2)</f>
        <v>#REF!</v>
      </c>
      <c r="Q2224" s="1779"/>
      <c r="R2224" s="1779"/>
      <c r="S2224" s="1779"/>
      <c r="T2224" s="1779"/>
      <c r="U2224" s="1779"/>
      <c r="V2224" s="1779"/>
      <c r="W2224" s="43"/>
      <c r="X2224" s="1779"/>
      <c r="Y2224" s="1779"/>
      <c r="Z2224" s="1779"/>
      <c r="AA2224" s="1779"/>
      <c r="AB2224" s="1779"/>
      <c r="AC2224" s="1779"/>
      <c r="AD2224" s="1779"/>
      <c r="AE2224" s="1779"/>
      <c r="AF2224" s="1779"/>
      <c r="AG2224" s="1779"/>
      <c r="AH2224" s="1779"/>
      <c r="AI2224" s="1779"/>
      <c r="AJ2224" s="1779"/>
      <c r="AK2224" s="1779"/>
      <c r="AL2224" s="1779"/>
      <c r="AM2224" s="1779"/>
      <c r="AN2224" s="1779"/>
      <c r="AO2224" s="1779"/>
      <c r="AP2224" s="1779"/>
      <c r="AQ2224" s="1779"/>
      <c r="AR2224" s="1779"/>
      <c r="AS2224" s="1779"/>
      <c r="AT2224" s="1779"/>
      <c r="AU2224" s="1779"/>
      <c r="AV2224" s="1779"/>
    </row>
    <row r="2225" spans="1:48" ht="18.600000000000001" customHeight="1">
      <c r="A2225" s="506"/>
      <c r="B2225" s="506" t="s">
        <v>1248</v>
      </c>
      <c r="C2225" s="506" t="s">
        <v>509</v>
      </c>
      <c r="D2225" s="1624" t="s">
        <v>1777</v>
      </c>
      <c r="E2225" s="2223" t="s">
        <v>1931</v>
      </c>
      <c r="F2225" s="540">
        <v>5120</v>
      </c>
      <c r="G2225" s="411" t="s">
        <v>255</v>
      </c>
      <c r="H2225" s="579">
        <v>450</v>
      </c>
      <c r="I2225" s="619"/>
      <c r="J2225" s="2520">
        <v>0</v>
      </c>
      <c r="K2225" s="695"/>
      <c r="L2225" s="579">
        <v>450</v>
      </c>
      <c r="M2225" s="579"/>
      <c r="N2225" s="2847"/>
      <c r="O2225" s="86"/>
      <c r="P2225" s="1817" t="e">
        <f>INDEX(#REF!,MATCH(F2225,#REF!,0),2)</f>
        <v>#REF!</v>
      </c>
      <c r="Q2225" s="1779"/>
      <c r="R2225" s="1779"/>
      <c r="S2225" s="1779"/>
      <c r="T2225" s="1779"/>
      <c r="U2225" s="1779"/>
      <c r="V2225" s="1779"/>
      <c r="W2225" s="43"/>
      <c r="X2225" s="1779"/>
      <c r="Y2225" s="1779"/>
      <c r="Z2225" s="1779"/>
      <c r="AA2225" s="1779"/>
      <c r="AB2225" s="1779"/>
      <c r="AC2225" s="1779"/>
      <c r="AD2225" s="1779"/>
      <c r="AE2225" s="1779"/>
      <c r="AF2225" s="1779"/>
      <c r="AG2225" s="1779"/>
      <c r="AH2225" s="1779"/>
      <c r="AI2225" s="1779"/>
      <c r="AJ2225" s="1779"/>
      <c r="AK2225" s="1779"/>
      <c r="AL2225" s="1779"/>
      <c r="AM2225" s="1779"/>
      <c r="AN2225" s="1779"/>
      <c r="AO2225" s="1779"/>
      <c r="AP2225" s="1779"/>
      <c r="AQ2225" s="1779"/>
      <c r="AR2225" s="1779"/>
      <c r="AS2225" s="1779"/>
      <c r="AT2225" s="1779"/>
      <c r="AU2225" s="1779"/>
      <c r="AV2225" s="1779"/>
    </row>
    <row r="2226" spans="1:48" ht="11.45" customHeight="1">
      <c r="A2226" s="412"/>
      <c r="B2226" s="412" t="s">
        <v>1248</v>
      </c>
      <c r="C2226" s="412" t="s">
        <v>509</v>
      </c>
      <c r="D2226" s="1625"/>
      <c r="E2226" s="2224" t="s">
        <v>1931</v>
      </c>
      <c r="F2226" s="505">
        <v>5120</v>
      </c>
      <c r="G2226" s="410" t="s">
        <v>742</v>
      </c>
      <c r="H2226" s="626"/>
      <c r="I2226" s="419">
        <v>450</v>
      </c>
      <c r="J2226" s="511"/>
      <c r="K2226" s="543"/>
      <c r="L2226" s="702"/>
      <c r="M2226" s="419">
        <v>450</v>
      </c>
      <c r="N2226" s="2847"/>
      <c r="O2226" s="86"/>
      <c r="P2226" s="1817"/>
      <c r="Q2226" s="1779"/>
      <c r="R2226" s="1779"/>
      <c r="S2226" s="1779"/>
      <c r="T2226" s="1779"/>
      <c r="U2226" s="1779"/>
      <c r="V2226" s="1779"/>
      <c r="W2226" s="43"/>
      <c r="X2226" s="1779"/>
      <c r="Y2226" s="1779"/>
      <c r="Z2226" s="1779"/>
      <c r="AA2226" s="1779"/>
      <c r="AB2226" s="1779"/>
      <c r="AC2226" s="1779"/>
      <c r="AD2226" s="1779"/>
      <c r="AE2226" s="1779"/>
      <c r="AF2226" s="1779"/>
      <c r="AG2226" s="1779"/>
      <c r="AH2226" s="1779"/>
      <c r="AI2226" s="1779"/>
      <c r="AJ2226" s="1779"/>
      <c r="AK2226" s="1779"/>
      <c r="AL2226" s="1779"/>
      <c r="AM2226" s="1779"/>
      <c r="AN2226" s="1779"/>
      <c r="AO2226" s="1779"/>
      <c r="AP2226" s="1779"/>
      <c r="AQ2226" s="1779"/>
      <c r="AR2226" s="1779"/>
      <c r="AS2226" s="1779"/>
      <c r="AT2226" s="1779"/>
      <c r="AU2226" s="1779"/>
      <c r="AV2226" s="1779"/>
    </row>
    <row r="2227" spans="1:48" ht="18.600000000000001" customHeight="1">
      <c r="A2227" s="506"/>
      <c r="B2227" s="506" t="s">
        <v>1250</v>
      </c>
      <c r="C2227" s="506" t="s">
        <v>509</v>
      </c>
      <c r="D2227" s="1624" t="s">
        <v>1777</v>
      </c>
      <c r="E2227" s="2223" t="s">
        <v>1931</v>
      </c>
      <c r="F2227" s="540">
        <v>5238</v>
      </c>
      <c r="G2227" s="411" t="s">
        <v>257</v>
      </c>
      <c r="H2227" s="579">
        <v>1500</v>
      </c>
      <c r="I2227" s="619"/>
      <c r="J2227" s="2520">
        <v>0</v>
      </c>
      <c r="K2227" s="695"/>
      <c r="L2227" s="579">
        <v>4000</v>
      </c>
      <c r="M2227" s="579"/>
      <c r="N2227" s="2847"/>
      <c r="O2227" s="86"/>
      <c r="P2227" s="1817" t="e">
        <f>INDEX(#REF!,MATCH(F2227,#REF!,0),2)</f>
        <v>#REF!</v>
      </c>
      <c r="Q2227" s="1779"/>
      <c r="R2227" s="1779"/>
      <c r="S2227" s="1779"/>
      <c r="T2227" s="1779"/>
      <c r="U2227" s="1779"/>
      <c r="V2227" s="1779"/>
      <c r="W2227" s="43"/>
      <c r="X2227" s="1779"/>
      <c r="Y2227" s="1779"/>
      <c r="Z2227" s="1779"/>
      <c r="AA2227" s="1779"/>
      <c r="AB2227" s="1779"/>
      <c r="AC2227" s="1779"/>
      <c r="AD2227" s="1779"/>
      <c r="AE2227" s="1779"/>
      <c r="AF2227" s="1779"/>
      <c r="AG2227" s="1779"/>
      <c r="AH2227" s="1779"/>
      <c r="AI2227" s="1779"/>
      <c r="AJ2227" s="1779"/>
      <c r="AK2227" s="1779"/>
      <c r="AL2227" s="1779"/>
      <c r="AM2227" s="1779"/>
      <c r="AN2227" s="1779"/>
      <c r="AO2227" s="1779"/>
      <c r="AP2227" s="1779"/>
      <c r="AQ2227" s="1779"/>
      <c r="AR2227" s="1779"/>
      <c r="AS2227" s="1779"/>
      <c r="AT2227" s="1779"/>
      <c r="AU2227" s="1779"/>
      <c r="AV2227" s="1779"/>
    </row>
    <row r="2228" spans="1:48" ht="18.600000000000001" customHeight="1">
      <c r="A2228" s="412" t="s">
        <v>741</v>
      </c>
      <c r="B2228" s="412" t="s">
        <v>1250</v>
      </c>
      <c r="C2228" s="412" t="s">
        <v>505</v>
      </c>
      <c r="D2228" s="1625"/>
      <c r="E2228" s="2224" t="s">
        <v>1931</v>
      </c>
      <c r="F2228" s="505">
        <v>5238</v>
      </c>
      <c r="G2228" s="2810" t="s">
        <v>3943</v>
      </c>
      <c r="H2228" s="626"/>
      <c r="I2228" s="511"/>
      <c r="J2228" s="511"/>
      <c r="K2228" s="543"/>
      <c r="L2228" s="702"/>
      <c r="M2228" s="419">
        <v>3000</v>
      </c>
      <c r="N2228" s="2846" t="s">
        <v>3944</v>
      </c>
      <c r="O2228" s="86"/>
      <c r="P2228" s="1817" t="e">
        <f>INDEX(#REF!,MATCH(F2228,#REF!,0),2)</f>
        <v>#REF!</v>
      </c>
      <c r="Q2228" s="1779"/>
      <c r="R2228" s="1779"/>
      <c r="S2228" s="1779"/>
      <c r="T2228" s="1779"/>
      <c r="U2228" s="1779"/>
      <c r="V2228" s="1779"/>
      <c r="W2228" s="43"/>
      <c r="X2228" s="1779"/>
      <c r="Y2228" s="1779"/>
      <c r="Z2228" s="1779"/>
      <c r="AA2228" s="1779"/>
      <c r="AB2228" s="1779"/>
      <c r="AC2228" s="1779"/>
      <c r="AD2228" s="1779"/>
      <c r="AE2228" s="1779"/>
      <c r="AF2228" s="1779"/>
      <c r="AG2228" s="1779"/>
      <c r="AH2228" s="1779"/>
      <c r="AI2228" s="1779"/>
      <c r="AJ2228" s="1779"/>
      <c r="AK2228" s="1779"/>
      <c r="AL2228" s="1779"/>
      <c r="AM2228" s="1779"/>
      <c r="AN2228" s="1779"/>
      <c r="AO2228" s="1779"/>
      <c r="AP2228" s="1779"/>
      <c r="AQ2228" s="1779"/>
      <c r="AR2228" s="1779"/>
      <c r="AS2228" s="1779"/>
      <c r="AT2228" s="1779"/>
      <c r="AU2228" s="1779"/>
      <c r="AV2228" s="1779"/>
    </row>
    <row r="2229" spans="1:48" ht="18.600000000000001" customHeight="1">
      <c r="A2229" s="412" t="s">
        <v>848</v>
      </c>
      <c r="B2229" s="412" t="s">
        <v>1250</v>
      </c>
      <c r="C2229" s="412" t="s">
        <v>509</v>
      </c>
      <c r="D2229" s="1625"/>
      <c r="E2229" s="2224" t="s">
        <v>1931</v>
      </c>
      <c r="F2229" s="505">
        <v>5238</v>
      </c>
      <c r="G2229" s="2774" t="s">
        <v>3955</v>
      </c>
      <c r="H2229" s="702"/>
      <c r="I2229" s="511">
        <v>1500</v>
      </c>
      <c r="J2229" s="511"/>
      <c r="K2229" s="543"/>
      <c r="L2229" s="702"/>
      <c r="M2229" s="419">
        <v>1000</v>
      </c>
      <c r="N2229" s="2847"/>
      <c r="O2229" s="86"/>
      <c r="P2229" s="1817" t="e">
        <f>INDEX(#REF!,MATCH(F2229,#REF!,0),2)</f>
        <v>#REF!</v>
      </c>
      <c r="Q2229" s="1779"/>
      <c r="R2229" s="1779"/>
      <c r="S2229" s="1779"/>
      <c r="T2229" s="1779"/>
      <c r="U2229" s="1779"/>
      <c r="V2229" s="43"/>
      <c r="W2229" s="1779"/>
      <c r="X2229" s="1779"/>
      <c r="Y2229" s="1779"/>
      <c r="Z2229" s="1779"/>
      <c r="AA2229" s="1779"/>
      <c r="AB2229" s="1779"/>
      <c r="AC2229" s="1779"/>
      <c r="AD2229" s="1779"/>
      <c r="AE2229" s="1779"/>
      <c r="AF2229" s="1779"/>
      <c r="AG2229" s="1779"/>
      <c r="AH2229" s="1779"/>
      <c r="AI2229" s="1779"/>
      <c r="AJ2229" s="1779"/>
      <c r="AK2229" s="1779"/>
      <c r="AL2229" s="1779"/>
      <c r="AM2229" s="1779"/>
      <c r="AN2229" s="1779"/>
      <c r="AO2229" s="1779"/>
      <c r="AP2229" s="1779"/>
      <c r="AQ2229" s="1779"/>
      <c r="AR2229" s="1779"/>
      <c r="AS2229" s="1779"/>
      <c r="AT2229" s="1779"/>
      <c r="AU2229" s="1779"/>
    </row>
    <row r="2230" spans="1:48" ht="31.5" customHeight="1">
      <c r="A2230" s="506"/>
      <c r="B2230" s="506" t="s">
        <v>1250</v>
      </c>
      <c r="C2230" s="506" t="s">
        <v>509</v>
      </c>
      <c r="D2230" s="1624" t="s">
        <v>1777</v>
      </c>
      <c r="E2230" s="2223" t="s">
        <v>1931</v>
      </c>
      <c r="F2230" s="540">
        <v>5239</v>
      </c>
      <c r="G2230" s="411" t="s">
        <v>256</v>
      </c>
      <c r="H2230" s="579">
        <v>1440</v>
      </c>
      <c r="I2230" s="619"/>
      <c r="J2230" s="2520"/>
      <c r="K2230" s="695"/>
      <c r="L2230" s="579">
        <v>0</v>
      </c>
      <c r="M2230" s="619"/>
      <c r="N2230" s="2847"/>
      <c r="O2230" s="86"/>
      <c r="P2230" s="1817" t="e">
        <f>INDEX(#REF!,MATCH(F2230,#REF!,0),2)</f>
        <v>#REF!</v>
      </c>
      <c r="Q2230" s="1779"/>
      <c r="R2230" s="1779"/>
      <c r="S2230" s="1779"/>
      <c r="T2230" s="1779"/>
      <c r="U2230" s="1779"/>
      <c r="V2230" s="43"/>
      <c r="W2230" s="1779"/>
      <c r="X2230" s="1779"/>
      <c r="Y2230" s="1779"/>
      <c r="Z2230" s="1779"/>
      <c r="AA2230" s="1779"/>
      <c r="AB2230" s="1779"/>
      <c r="AC2230" s="1779"/>
      <c r="AD2230" s="1779"/>
      <c r="AE2230" s="1779"/>
      <c r="AF2230" s="1779"/>
      <c r="AG2230" s="1779"/>
      <c r="AH2230" s="1779"/>
      <c r="AI2230" s="1779"/>
      <c r="AJ2230" s="1779"/>
      <c r="AK2230" s="1779"/>
      <c r="AL2230" s="1779"/>
      <c r="AM2230" s="1779"/>
      <c r="AN2230" s="1779"/>
      <c r="AO2230" s="1779"/>
      <c r="AP2230" s="1779"/>
      <c r="AQ2230" s="1779"/>
      <c r="AR2230" s="1779"/>
      <c r="AS2230" s="1779"/>
      <c r="AT2230" s="1779"/>
      <c r="AU2230" s="1779"/>
    </row>
    <row r="2231" spans="1:48" ht="18.600000000000001" customHeight="1">
      <c r="A2231" s="412" t="s">
        <v>848</v>
      </c>
      <c r="B2231" s="412" t="s">
        <v>1250</v>
      </c>
      <c r="C2231" s="412" t="s">
        <v>509</v>
      </c>
      <c r="D2231" s="1625"/>
      <c r="E2231" s="2224" t="s">
        <v>1931</v>
      </c>
      <c r="F2231" s="1543">
        <v>5239</v>
      </c>
      <c r="G2231" s="1544" t="s">
        <v>2075</v>
      </c>
      <c r="H2231" s="626"/>
      <c r="I2231" s="511">
        <v>2000</v>
      </c>
      <c r="J2231" s="511"/>
      <c r="K2231" s="543"/>
      <c r="L2231" s="626"/>
      <c r="M2231" s="420"/>
      <c r="N2231" s="2847"/>
      <c r="O2231" s="1817"/>
      <c r="P2231" s="1817" t="e">
        <f>INDEX(#REF!,MATCH(F2231,#REF!,0),2)</f>
        <v>#REF!</v>
      </c>
      <c r="Q2231" s="1779"/>
      <c r="R2231" s="1779"/>
      <c r="S2231" s="1779"/>
      <c r="T2231" s="1779"/>
      <c r="U2231" s="1779"/>
      <c r="V2231" s="43"/>
      <c r="W2231" s="1779"/>
      <c r="X2231" s="1779"/>
      <c r="Y2231" s="1779"/>
      <c r="Z2231" s="1779"/>
      <c r="AA2231" s="1779"/>
      <c r="AB2231" s="1779"/>
      <c r="AC2231" s="1779"/>
      <c r="AD2231" s="1779"/>
      <c r="AE2231" s="1779"/>
      <c r="AF2231" s="1779"/>
      <c r="AG2231" s="1779"/>
      <c r="AH2231" s="1779"/>
      <c r="AI2231" s="1779"/>
      <c r="AJ2231" s="1779"/>
      <c r="AK2231" s="1779"/>
      <c r="AL2231" s="1779"/>
      <c r="AM2231" s="1779"/>
      <c r="AN2231" s="1779"/>
      <c r="AO2231" s="1779"/>
      <c r="AP2231" s="1779"/>
      <c r="AQ2231" s="1779"/>
      <c r="AR2231" s="1779"/>
      <c r="AS2231" s="1779"/>
      <c r="AT2231" s="1779"/>
      <c r="AU2231" s="1779"/>
    </row>
    <row r="2232" spans="1:48" ht="11.45" customHeight="1">
      <c r="A2232" s="412" t="s">
        <v>848</v>
      </c>
      <c r="B2232" s="412" t="s">
        <v>1250</v>
      </c>
      <c r="C2232" s="412" t="s">
        <v>509</v>
      </c>
      <c r="D2232" s="1625"/>
      <c r="E2232" s="2224" t="s">
        <v>1931</v>
      </c>
      <c r="F2232" s="1543">
        <v>5239</v>
      </c>
      <c r="G2232" s="1884" t="s">
        <v>3234</v>
      </c>
      <c r="H2232" s="1937"/>
      <c r="I2232" s="1916">
        <v>-560</v>
      </c>
      <c r="J2232" s="1916"/>
      <c r="K2232" s="1917"/>
      <c r="L2232" s="1937"/>
      <c r="M2232" s="1968"/>
      <c r="N2232" s="2847"/>
      <c r="O2232" s="1817"/>
      <c r="P2232" s="1817"/>
      <c r="Q2232" s="1779"/>
      <c r="R2232" s="1779"/>
      <c r="S2232" s="1779"/>
      <c r="T2232" s="1779"/>
      <c r="U2232" s="1779"/>
      <c r="V2232" s="1779"/>
      <c r="W2232" s="43"/>
      <c r="X2232" s="1779"/>
      <c r="Y2232" s="1779"/>
      <c r="Z2232" s="1779"/>
      <c r="AA2232" s="1779"/>
      <c r="AB2232" s="1779"/>
      <c r="AC2232" s="1779"/>
      <c r="AD2232" s="1779"/>
      <c r="AE2232" s="1779"/>
      <c r="AF2232" s="1779"/>
      <c r="AG2232" s="1779"/>
      <c r="AH2232" s="1779"/>
      <c r="AI2232" s="1779"/>
      <c r="AJ2232" s="1779"/>
      <c r="AK2232" s="1779"/>
      <c r="AL2232" s="1779"/>
      <c r="AM2232" s="1779"/>
      <c r="AN2232" s="1779"/>
      <c r="AO2232" s="1779"/>
      <c r="AP2232" s="1779"/>
      <c r="AQ2232" s="1779"/>
      <c r="AR2232" s="1779"/>
      <c r="AS2232" s="1779"/>
      <c r="AT2232" s="1779"/>
      <c r="AU2232" s="1779"/>
      <c r="AV2232" s="1779"/>
    </row>
    <row r="2233" spans="1:48" ht="25.9" customHeight="1">
      <c r="A2233" s="506"/>
      <c r="B2233" s="506" t="s">
        <v>1249</v>
      </c>
      <c r="C2233" s="506" t="s">
        <v>534</v>
      </c>
      <c r="D2233" s="1624" t="s">
        <v>1777</v>
      </c>
      <c r="E2233" s="2223" t="s">
        <v>1931</v>
      </c>
      <c r="F2233" s="540">
        <v>5239</v>
      </c>
      <c r="G2233" s="411" t="s">
        <v>256</v>
      </c>
      <c r="H2233" s="579">
        <v>15000</v>
      </c>
      <c r="I2233" s="619"/>
      <c r="J2233" s="2520">
        <v>14997.95</v>
      </c>
      <c r="K2233" s="695"/>
      <c r="L2233" s="579">
        <v>20000</v>
      </c>
      <c r="M2233" s="579"/>
      <c r="N2233" s="2847"/>
      <c r="O2233" s="1817"/>
      <c r="P2233" s="1817" t="e">
        <f>INDEX(#REF!,MATCH(F2233,#REF!,0),2)</f>
        <v>#REF!</v>
      </c>
      <c r="Q2233" s="1779"/>
      <c r="R2233" s="1779"/>
      <c r="S2233" s="1779"/>
      <c r="T2233" s="1779"/>
      <c r="U2233" s="1779"/>
      <c r="V2233" s="1779"/>
      <c r="W2233" s="43"/>
      <c r="X2233" s="1779"/>
      <c r="Y2233" s="1779"/>
      <c r="Z2233" s="1779"/>
      <c r="AA2233" s="1779"/>
      <c r="AB2233" s="1779"/>
      <c r="AC2233" s="1779"/>
      <c r="AD2233" s="1779"/>
      <c r="AE2233" s="1779"/>
      <c r="AF2233" s="1779"/>
      <c r="AG2233" s="1779"/>
      <c r="AH2233" s="1779"/>
      <c r="AI2233" s="1779"/>
      <c r="AJ2233" s="1779"/>
      <c r="AK2233" s="1779"/>
      <c r="AL2233" s="1779"/>
      <c r="AM2233" s="1779"/>
      <c r="AN2233" s="1779"/>
      <c r="AO2233" s="1779"/>
      <c r="AP2233" s="1779"/>
      <c r="AQ2233" s="1779"/>
      <c r="AR2233" s="1779"/>
      <c r="AS2233" s="1779"/>
      <c r="AT2233" s="1779"/>
      <c r="AU2233" s="1779"/>
      <c r="AV2233" s="1779"/>
    </row>
    <row r="2234" spans="1:48" ht="22.5">
      <c r="A2234" s="1545"/>
      <c r="B2234" s="1542" t="s">
        <v>1249</v>
      </c>
      <c r="C2234" s="1542" t="s">
        <v>534</v>
      </c>
      <c r="D2234" s="1629"/>
      <c r="E2234" s="2274" t="s">
        <v>1931</v>
      </c>
      <c r="F2234" s="1543">
        <v>5239</v>
      </c>
      <c r="G2234" s="3004" t="s">
        <v>3957</v>
      </c>
      <c r="H2234" s="626"/>
      <c r="I2234" s="511"/>
      <c r="J2234" s="511"/>
      <c r="K2234" s="543"/>
      <c r="L2234" s="702"/>
      <c r="M2234" s="419">
        <v>20000</v>
      </c>
      <c r="N2234" s="2847" t="s">
        <v>3956</v>
      </c>
      <c r="O2234" s="86"/>
      <c r="P2234" s="1817" t="e">
        <f>INDEX(#REF!,MATCH(F2234,#REF!,0),2)</f>
        <v>#REF!</v>
      </c>
    </row>
    <row r="2235" spans="1:48" ht="22.5">
      <c r="A2235" s="1545"/>
      <c r="B2235" s="1542" t="s">
        <v>1249</v>
      </c>
      <c r="C2235" s="1542" t="s">
        <v>534</v>
      </c>
      <c r="D2235" s="1629"/>
      <c r="E2235" s="2274" t="s">
        <v>1931</v>
      </c>
      <c r="F2235" s="1543">
        <v>5239</v>
      </c>
      <c r="G2235" s="1544" t="s">
        <v>2392</v>
      </c>
      <c r="H2235" s="626"/>
      <c r="I2235" s="511">
        <v>15000</v>
      </c>
      <c r="J2235" s="511"/>
      <c r="K2235" s="543"/>
      <c r="L2235" s="626"/>
      <c r="M2235" s="420"/>
      <c r="N2235" s="2847"/>
      <c r="O2235" s="86"/>
      <c r="P2235" s="1817" t="e">
        <f>INDEX(#REF!,MATCH(F2235,#REF!,0),2)</f>
        <v>#REF!</v>
      </c>
    </row>
    <row r="2236" spans="1:48">
      <c r="A2236" s="506"/>
      <c r="B2236" s="506" t="s">
        <v>1249</v>
      </c>
      <c r="C2236" s="506" t="s">
        <v>534</v>
      </c>
      <c r="D2236" s="1624" t="s">
        <v>1777</v>
      </c>
      <c r="E2236" s="2223" t="s">
        <v>1931</v>
      </c>
      <c r="F2236" s="540">
        <v>5240</v>
      </c>
      <c r="G2236" s="411" t="s">
        <v>256</v>
      </c>
      <c r="H2236" s="579">
        <v>890</v>
      </c>
      <c r="I2236" s="619"/>
      <c r="J2236" s="2520">
        <v>0</v>
      </c>
      <c r="K2236" s="695"/>
      <c r="L2236" s="579">
        <v>0</v>
      </c>
      <c r="M2236" s="619"/>
      <c r="N2236" s="2847"/>
      <c r="O2236" s="86"/>
      <c r="P2236" s="1817" t="e">
        <f>INDEX(#REF!,MATCH(F2236,#REF!,0),2)</f>
        <v>#REF!</v>
      </c>
    </row>
    <row r="2237" spans="1:48" ht="22.5">
      <c r="A2237" s="1545"/>
      <c r="B2237" s="1542" t="s">
        <v>1249</v>
      </c>
      <c r="C2237" s="1542" t="s">
        <v>534</v>
      </c>
      <c r="D2237" s="1629"/>
      <c r="E2237" s="2274" t="s">
        <v>1931</v>
      </c>
      <c r="F2237" s="1543">
        <v>5240</v>
      </c>
      <c r="G2237" s="1544" t="s">
        <v>3135</v>
      </c>
      <c r="H2237" s="626"/>
      <c r="I2237" s="511">
        <v>890</v>
      </c>
      <c r="J2237" s="511"/>
      <c r="K2237" s="543"/>
      <c r="L2237" s="626"/>
      <c r="M2237" s="420"/>
      <c r="N2237" s="2847"/>
      <c r="O2237" s="86"/>
      <c r="P2237" s="1817" t="e">
        <f>INDEX(#REF!,MATCH(F2237,#REF!,0),2)</f>
        <v>#REF!</v>
      </c>
    </row>
    <row r="2238" spans="1:48">
      <c r="A2238" s="634"/>
      <c r="B2238" s="634" t="s">
        <v>663</v>
      </c>
      <c r="C2238" s="634" t="s">
        <v>652</v>
      </c>
      <c r="D2238" s="1597" t="s">
        <v>1762</v>
      </c>
      <c r="E2238" s="2244" t="s">
        <v>1951</v>
      </c>
      <c r="F2238" s="635">
        <v>1119</v>
      </c>
      <c r="G2238" s="432" t="s">
        <v>224</v>
      </c>
      <c r="H2238" s="674">
        <v>160000.00483534267</v>
      </c>
      <c r="I2238" s="736"/>
      <c r="J2238" s="2520">
        <v>127855.31</v>
      </c>
      <c r="K2238" s="738"/>
      <c r="L2238" s="674">
        <v>166997.04000000004</v>
      </c>
      <c r="M2238" s="736"/>
      <c r="N2238" s="2847"/>
      <c r="O2238" s="86"/>
      <c r="P2238" s="1817" t="e">
        <f>INDEX(#REF!,MATCH(F2238,#REF!,0),2)</f>
        <v>#REF!</v>
      </c>
    </row>
    <row r="2239" spans="1:48">
      <c r="A2239" s="424"/>
      <c r="B2239" s="424" t="s">
        <v>663</v>
      </c>
      <c r="C2239" s="424" t="s">
        <v>652</v>
      </c>
      <c r="D2239" s="1598"/>
      <c r="E2239" s="2104" t="s">
        <v>1951</v>
      </c>
      <c r="F2239" s="438">
        <v>1119</v>
      </c>
      <c r="G2239" s="739" t="s">
        <v>663</v>
      </c>
      <c r="H2239" s="431"/>
      <c r="I2239" s="431">
        <v>160860</v>
      </c>
      <c r="J2239" s="444"/>
      <c r="K2239" s="740"/>
      <c r="L2239" s="431"/>
      <c r="M2239" s="431">
        <v>166997.04000000004</v>
      </c>
      <c r="N2239" s="2847"/>
      <c r="O2239" s="86"/>
      <c r="P2239" s="1817" t="e">
        <f>INDEX(#REF!,MATCH(F2239,#REF!,0),2)</f>
        <v>#REF!</v>
      </c>
    </row>
    <row r="2240" spans="1:48" ht="11.45" customHeight="1">
      <c r="A2240" s="424"/>
      <c r="B2240" s="424" t="s">
        <v>663</v>
      </c>
      <c r="C2240" s="424" t="s">
        <v>652</v>
      </c>
      <c r="D2240" s="1598"/>
      <c r="E2240" s="2104" t="s">
        <v>1951</v>
      </c>
      <c r="F2240" s="438">
        <v>1119</v>
      </c>
      <c r="G2240" s="739" t="s">
        <v>1778</v>
      </c>
      <c r="H2240" s="431"/>
      <c r="I2240" s="431"/>
      <c r="J2240" s="444"/>
      <c r="K2240" s="740"/>
      <c r="L2240" s="431"/>
      <c r="M2240" s="431"/>
      <c r="N2240" s="2847"/>
      <c r="O2240" s="86"/>
      <c r="P2240" s="1817" t="e">
        <f>INDEX(#REF!,MATCH(F2240,#REF!,0),2)</f>
        <v>#REF!</v>
      </c>
      <c r="Q2240" s="1779"/>
      <c r="R2240" s="1779"/>
      <c r="S2240" s="1779"/>
      <c r="T2240" s="1779"/>
      <c r="U2240" s="1779"/>
      <c r="V2240" s="1779"/>
      <c r="W2240" s="43"/>
      <c r="X2240" s="1779"/>
      <c r="Y2240" s="1779"/>
      <c r="Z2240" s="1779"/>
      <c r="AA2240" s="1779"/>
      <c r="AB2240" s="1779"/>
      <c r="AC2240" s="1779"/>
      <c r="AD2240" s="1779"/>
      <c r="AE2240" s="1779"/>
      <c r="AF2240" s="1779"/>
      <c r="AG2240" s="1779"/>
      <c r="AH2240" s="1779"/>
      <c r="AI2240" s="1779"/>
      <c r="AJ2240" s="1779"/>
      <c r="AK2240" s="1779"/>
      <c r="AL2240" s="1779"/>
      <c r="AM2240" s="1779"/>
      <c r="AN2240" s="1779"/>
      <c r="AO2240" s="1779"/>
      <c r="AP2240" s="1779"/>
      <c r="AQ2240" s="1779"/>
      <c r="AR2240" s="1779"/>
      <c r="AS2240" s="1779"/>
      <c r="AT2240" s="1779"/>
      <c r="AU2240" s="1779"/>
      <c r="AV2240" s="1779"/>
    </row>
    <row r="2241" spans="1:48" ht="24" customHeight="1">
      <c r="A2241" s="1370"/>
      <c r="B2241" s="424" t="s">
        <v>663</v>
      </c>
      <c r="C2241" s="424" t="s">
        <v>652</v>
      </c>
      <c r="D2241" s="1598"/>
      <c r="E2241" s="2104" t="s">
        <v>1951</v>
      </c>
      <c r="F2241" s="438">
        <v>1119</v>
      </c>
      <c r="G2241" s="1439" t="s">
        <v>1990</v>
      </c>
      <c r="H2241" s="1372"/>
      <c r="I2241" s="1372"/>
      <c r="J2241" s="1373"/>
      <c r="K2241" s="1440"/>
      <c r="L2241" s="1372"/>
      <c r="M2241" s="1372"/>
      <c r="N2241" s="2847"/>
      <c r="O2241" s="86"/>
      <c r="P2241" s="1817" t="e">
        <f>INDEX(#REF!,MATCH(F2241,#REF!,0),2)</f>
        <v>#REF!</v>
      </c>
      <c r="Q2241" s="1779"/>
      <c r="R2241" s="1779"/>
      <c r="S2241" s="1779"/>
      <c r="T2241" s="1779"/>
      <c r="U2241" s="1779"/>
      <c r="V2241" s="1779"/>
      <c r="W2241" s="43"/>
      <c r="X2241" s="1779"/>
      <c r="Y2241" s="1779"/>
      <c r="Z2241" s="1779"/>
      <c r="AA2241" s="1779"/>
      <c r="AB2241" s="1779"/>
      <c r="AC2241" s="1779"/>
      <c r="AD2241" s="1779"/>
      <c r="AE2241" s="1779"/>
      <c r="AF2241" s="1779"/>
      <c r="AG2241" s="1779"/>
      <c r="AH2241" s="1779"/>
      <c r="AI2241" s="1779"/>
      <c r="AJ2241" s="1779"/>
      <c r="AK2241" s="1779"/>
      <c r="AL2241" s="1779"/>
      <c r="AM2241" s="1779"/>
      <c r="AN2241" s="1779"/>
      <c r="AO2241" s="1779"/>
      <c r="AP2241" s="1779"/>
      <c r="AQ2241" s="1779"/>
      <c r="AR2241" s="1779"/>
      <c r="AS2241" s="1779"/>
      <c r="AT2241" s="1779"/>
      <c r="AU2241" s="1779"/>
      <c r="AV2241" s="1779"/>
    </row>
    <row r="2242" spans="1:48">
      <c r="A2242" s="1370"/>
      <c r="B2242" s="424" t="s">
        <v>663</v>
      </c>
      <c r="C2242" s="424" t="s">
        <v>652</v>
      </c>
      <c r="D2242" s="1598"/>
      <c r="E2242" s="2104" t="s">
        <v>1951</v>
      </c>
      <c r="F2242" s="438">
        <v>1119</v>
      </c>
      <c r="G2242" s="1439" t="s">
        <v>1991</v>
      </c>
      <c r="H2242" s="1372"/>
      <c r="I2242" s="1372"/>
      <c r="J2242" s="1373"/>
      <c r="K2242" s="1440"/>
      <c r="L2242" s="1372"/>
      <c r="M2242" s="1372"/>
      <c r="N2242" s="2847"/>
      <c r="O2242" s="86"/>
      <c r="P2242" s="1817" t="e">
        <f>INDEX(#REF!,MATCH(F2242,#REF!,0),2)</f>
        <v>#REF!</v>
      </c>
    </row>
    <row r="2243" spans="1:48" ht="24" customHeight="1">
      <c r="A2243" s="1370"/>
      <c r="B2243" s="424" t="s">
        <v>663</v>
      </c>
      <c r="C2243" s="424" t="s">
        <v>652</v>
      </c>
      <c r="D2243" s="1598"/>
      <c r="E2243" s="2104" t="s">
        <v>1951</v>
      </c>
      <c r="F2243" s="438">
        <v>1119</v>
      </c>
      <c r="G2243" s="1439" t="s">
        <v>1992</v>
      </c>
      <c r="H2243" s="1372"/>
      <c r="I2243" s="1372"/>
      <c r="J2243" s="1373"/>
      <c r="K2243" s="1440"/>
      <c r="L2243" s="1372"/>
      <c r="M2243" s="1372"/>
      <c r="N2243" s="2847"/>
      <c r="O2243" s="86"/>
      <c r="P2243" s="1817" t="e">
        <f>INDEX(#REF!,MATCH(F2243,#REF!,0),2)</f>
        <v>#REF!</v>
      </c>
      <c r="Q2243" s="1779"/>
      <c r="R2243" s="1779"/>
      <c r="S2243" s="1779"/>
      <c r="T2243" s="1779"/>
      <c r="U2243" s="1779"/>
      <c r="V2243" s="1779"/>
      <c r="W2243" s="43"/>
      <c r="X2243" s="1779"/>
      <c r="Y2243" s="1779"/>
      <c r="Z2243" s="1779"/>
      <c r="AA2243" s="1779"/>
      <c r="AB2243" s="1779"/>
      <c r="AC2243" s="1779"/>
      <c r="AD2243" s="1779"/>
      <c r="AE2243" s="1779"/>
      <c r="AF2243" s="1779"/>
      <c r="AG2243" s="1779"/>
      <c r="AH2243" s="1779"/>
      <c r="AI2243" s="1779"/>
      <c r="AJ2243" s="1779"/>
      <c r="AK2243" s="1779"/>
      <c r="AL2243" s="1779"/>
      <c r="AM2243" s="1779"/>
      <c r="AN2243" s="1779"/>
      <c r="AO2243" s="1779"/>
      <c r="AP2243" s="1779"/>
      <c r="AQ2243" s="1779"/>
      <c r="AR2243" s="1779"/>
      <c r="AS2243" s="1779"/>
      <c r="AT2243" s="1779"/>
      <c r="AU2243" s="1779"/>
      <c r="AV2243" s="1779"/>
    </row>
    <row r="2244" spans="1:48">
      <c r="A2244" s="506"/>
      <c r="B2244" s="506" t="s">
        <v>512</v>
      </c>
      <c r="C2244" s="506" t="s">
        <v>506</v>
      </c>
      <c r="D2244" s="1624" t="s">
        <v>1777</v>
      </c>
      <c r="E2244" s="2223" t="s">
        <v>1951</v>
      </c>
      <c r="F2244" s="540">
        <v>1119</v>
      </c>
      <c r="G2244" s="411" t="s">
        <v>224</v>
      </c>
      <c r="H2244" s="696">
        <v>3850.995164657335</v>
      </c>
      <c r="I2244" s="579"/>
      <c r="J2244" s="604"/>
      <c r="K2244" s="695"/>
      <c r="L2244" s="696">
        <v>3850.995164657335</v>
      </c>
      <c r="M2244" s="579"/>
      <c r="N2244" s="2847"/>
      <c r="O2244" s="86"/>
      <c r="P2244" s="1817" t="e">
        <f>INDEX(#REF!,MATCH(F2244,#REF!,0),2)</f>
        <v>#REF!</v>
      </c>
    </row>
    <row r="2245" spans="1:48" ht="24" customHeight="1">
      <c r="A2245" s="412"/>
      <c r="B2245" s="412" t="s">
        <v>512</v>
      </c>
      <c r="C2245" s="412" t="s">
        <v>506</v>
      </c>
      <c r="D2245" s="1625"/>
      <c r="E2245" s="2224" t="s">
        <v>1951</v>
      </c>
      <c r="F2245" s="505">
        <v>1119</v>
      </c>
      <c r="G2245" s="410" t="s">
        <v>407</v>
      </c>
      <c r="H2245" s="419"/>
      <c r="I2245" s="422">
        <v>3850.995164657335</v>
      </c>
      <c r="J2245" s="511"/>
      <c r="K2245" s="543"/>
      <c r="L2245" s="419"/>
      <c r="M2245" s="422">
        <v>3850.995164657335</v>
      </c>
      <c r="N2245" s="2847"/>
      <c r="O2245" s="86"/>
      <c r="P2245" s="1817"/>
      <c r="Q2245" s="1779"/>
      <c r="R2245" s="1779"/>
      <c r="S2245" s="1779"/>
      <c r="T2245" s="1779"/>
      <c r="U2245" s="1779"/>
      <c r="V2245" s="1779"/>
      <c r="W2245" s="43"/>
      <c r="X2245" s="1779"/>
      <c r="Y2245" s="1779"/>
      <c r="Z2245" s="1779"/>
      <c r="AA2245" s="1779"/>
      <c r="AB2245" s="1779"/>
      <c r="AC2245" s="1779"/>
      <c r="AD2245" s="1779"/>
      <c r="AE2245" s="1779"/>
      <c r="AF2245" s="1779"/>
      <c r="AG2245" s="1779"/>
      <c r="AH2245" s="1779"/>
      <c r="AI2245" s="1779"/>
      <c r="AJ2245" s="1779"/>
      <c r="AK2245" s="1779"/>
      <c r="AL2245" s="1779"/>
      <c r="AM2245" s="1779"/>
      <c r="AN2245" s="1779"/>
      <c r="AO2245" s="1779"/>
      <c r="AP2245" s="1779"/>
      <c r="AQ2245" s="1779"/>
      <c r="AR2245" s="1779"/>
      <c r="AS2245" s="1779"/>
      <c r="AT2245" s="1779"/>
      <c r="AU2245" s="1779"/>
      <c r="AV2245" s="1779"/>
    </row>
    <row r="2246" spans="1:48">
      <c r="A2246" s="634"/>
      <c r="B2246" s="634" t="s">
        <v>663</v>
      </c>
      <c r="C2246" s="634" t="s">
        <v>652</v>
      </c>
      <c r="D2246" s="1597" t="s">
        <v>1762</v>
      </c>
      <c r="E2246" s="2093" t="s">
        <v>1951</v>
      </c>
      <c r="F2246" s="635">
        <v>1141</v>
      </c>
      <c r="G2246" s="432" t="s">
        <v>897</v>
      </c>
      <c r="H2246" s="674">
        <v>282</v>
      </c>
      <c r="I2246" s="736"/>
      <c r="J2246" s="2520">
        <v>281.35000000000002</v>
      </c>
      <c r="K2246" s="740"/>
      <c r="L2246" s="736">
        <v>200</v>
      </c>
      <c r="M2246" s="736"/>
      <c r="N2246" s="2847"/>
      <c r="O2246" s="86"/>
      <c r="P2246" s="1817" t="e">
        <f>INDEX(#REF!,MATCH(F2246,#REF!,0),2)</f>
        <v>#REF!</v>
      </c>
    </row>
    <row r="2247" spans="1:48">
      <c r="A2247" s="412"/>
      <c r="B2247" s="412" t="s">
        <v>663</v>
      </c>
      <c r="C2247" s="412" t="s">
        <v>652</v>
      </c>
      <c r="D2247" s="1625" t="s">
        <v>1762</v>
      </c>
      <c r="E2247" s="2224" t="s">
        <v>1951</v>
      </c>
      <c r="F2247" s="505">
        <v>1141</v>
      </c>
      <c r="G2247" s="410"/>
      <c r="H2247" s="419"/>
      <c r="I2247" s="422">
        <v>200</v>
      </c>
      <c r="J2247" s="511"/>
      <c r="K2247" s="543"/>
      <c r="L2247" s="419"/>
      <c r="M2247" s="422">
        <v>200</v>
      </c>
      <c r="N2247" s="2847"/>
      <c r="O2247" s="86"/>
      <c r="P2247" s="1817"/>
    </row>
    <row r="2248" spans="1:48" ht="22.5">
      <c r="A2248" s="634"/>
      <c r="B2248" s="634" t="s">
        <v>663</v>
      </c>
      <c r="C2248" s="634" t="s">
        <v>652</v>
      </c>
      <c r="D2248" s="1597" t="s">
        <v>1762</v>
      </c>
      <c r="E2248" s="2093" t="s">
        <v>1951</v>
      </c>
      <c r="F2248" s="635">
        <v>1142</v>
      </c>
      <c r="G2248" s="432" t="s">
        <v>225</v>
      </c>
      <c r="H2248" s="674">
        <v>6044</v>
      </c>
      <c r="I2248" s="736"/>
      <c r="J2248" s="2520">
        <v>5482.21</v>
      </c>
      <c r="K2248" s="740"/>
      <c r="L2248" s="736">
        <v>2200</v>
      </c>
      <c r="M2248" s="736"/>
      <c r="N2248" s="2847"/>
      <c r="O2248" s="86"/>
      <c r="P2248" s="1817" t="e">
        <f>INDEX(#REF!,MATCH(F2248,#REF!,0),2)</f>
        <v>#REF!</v>
      </c>
    </row>
    <row r="2249" spans="1:48">
      <c r="A2249" s="412"/>
      <c r="B2249" s="412" t="s">
        <v>663</v>
      </c>
      <c r="C2249" s="412" t="s">
        <v>652</v>
      </c>
      <c r="D2249" s="1625" t="s">
        <v>1762</v>
      </c>
      <c r="E2249" s="2224" t="s">
        <v>1951</v>
      </c>
      <c r="F2249" s="505">
        <v>1142</v>
      </c>
      <c r="G2249" s="410"/>
      <c r="H2249" s="419"/>
      <c r="I2249" s="422">
        <v>2200</v>
      </c>
      <c r="J2249" s="511"/>
      <c r="K2249" s="543"/>
      <c r="L2249" s="419"/>
      <c r="M2249" s="422">
        <v>2200</v>
      </c>
      <c r="N2249" s="2847"/>
      <c r="O2249" s="86"/>
      <c r="P2249" s="1817" t="e">
        <f>INDEX(#REF!,MATCH(F2249,#REF!,0),2)</f>
        <v>#REF!</v>
      </c>
    </row>
    <row r="2250" spans="1:48">
      <c r="A2250" s="634"/>
      <c r="B2250" s="634" t="s">
        <v>663</v>
      </c>
      <c r="C2250" s="634" t="s">
        <v>652</v>
      </c>
      <c r="D2250" s="1597" t="s">
        <v>1762</v>
      </c>
      <c r="E2250" s="2093" t="s">
        <v>1951</v>
      </c>
      <c r="F2250" s="635">
        <v>1147</v>
      </c>
      <c r="G2250" s="432" t="s">
        <v>226</v>
      </c>
      <c r="H2250" s="674">
        <v>7879</v>
      </c>
      <c r="I2250" s="736"/>
      <c r="J2250" s="2520">
        <v>4809.58</v>
      </c>
      <c r="K2250" s="740"/>
      <c r="L2250" s="736">
        <v>14116.419999999995</v>
      </c>
      <c r="M2250" s="736"/>
      <c r="N2250" s="2847"/>
      <c r="O2250" s="86"/>
      <c r="P2250" s="1817" t="e">
        <f>INDEX(#REF!,MATCH(F2250,#REF!,0),2)</f>
        <v>#REF!</v>
      </c>
    </row>
    <row r="2251" spans="1:48">
      <c r="A2251" s="424"/>
      <c r="B2251" s="424" t="s">
        <v>663</v>
      </c>
      <c r="C2251" s="424" t="s">
        <v>652</v>
      </c>
      <c r="D2251" s="1598"/>
      <c r="E2251" s="2104" t="s">
        <v>1951</v>
      </c>
      <c r="F2251" s="438">
        <v>1147</v>
      </c>
      <c r="G2251" s="739" t="s">
        <v>1993</v>
      </c>
      <c r="H2251" s="431"/>
      <c r="I2251" s="431">
        <v>13605</v>
      </c>
      <c r="J2251" s="444"/>
      <c r="K2251" s="740"/>
      <c r="L2251" s="431"/>
      <c r="M2251" s="431">
        <v>14116.419999999995</v>
      </c>
      <c r="N2251" s="2847"/>
      <c r="O2251" s="86"/>
      <c r="P2251" s="1817" t="e">
        <f>INDEX(#REF!,MATCH(F2251,#REF!,0),2)</f>
        <v>#REF!</v>
      </c>
    </row>
    <row r="2252" spans="1:48">
      <c r="A2252" s="424"/>
      <c r="B2252" s="424" t="s">
        <v>663</v>
      </c>
      <c r="C2252" s="424" t="s">
        <v>652</v>
      </c>
      <c r="D2252" s="1598"/>
      <c r="E2252" s="2104" t="s">
        <v>1951</v>
      </c>
      <c r="F2252" s="438">
        <v>1147</v>
      </c>
      <c r="G2252" s="739" t="s">
        <v>1177</v>
      </c>
      <c r="H2252" s="431"/>
      <c r="I2252" s="431"/>
      <c r="J2252" s="444"/>
      <c r="K2252" s="740"/>
      <c r="L2252" s="431"/>
      <c r="M2252" s="431"/>
      <c r="N2252" s="2847"/>
      <c r="O2252" s="86"/>
      <c r="P2252" s="1817" t="e">
        <f>INDEX(#REF!,MATCH(F2252,#REF!,0),2)</f>
        <v>#REF!</v>
      </c>
    </row>
    <row r="2253" spans="1:48">
      <c r="A2253" s="634"/>
      <c r="B2253" s="634" t="s">
        <v>663</v>
      </c>
      <c r="C2253" s="634" t="s">
        <v>652</v>
      </c>
      <c r="D2253" s="1597" t="s">
        <v>1762</v>
      </c>
      <c r="E2253" s="2093" t="s">
        <v>1951</v>
      </c>
      <c r="F2253" s="635">
        <v>1148</v>
      </c>
      <c r="G2253" s="432" t="s">
        <v>227</v>
      </c>
      <c r="H2253" s="674">
        <v>1800</v>
      </c>
      <c r="I2253" s="736"/>
      <c r="J2253" s="2520">
        <v>1800</v>
      </c>
      <c r="K2253" s="740"/>
      <c r="L2253" s="674">
        <v>0</v>
      </c>
      <c r="M2253" s="736"/>
      <c r="N2253" s="2847"/>
      <c r="O2253" s="86"/>
      <c r="P2253" s="1817" t="e">
        <f>INDEX(#REF!,MATCH(F2253,#REF!,0),2)</f>
        <v>#REF!</v>
      </c>
    </row>
    <row r="2254" spans="1:48" ht="22.5">
      <c r="A2254" s="1465"/>
      <c r="B2254" s="1465" t="s">
        <v>663</v>
      </c>
      <c r="C2254" s="1465" t="s">
        <v>652</v>
      </c>
      <c r="D2254" s="1602"/>
      <c r="E2254" s="2265" t="s">
        <v>1951</v>
      </c>
      <c r="F2254" s="1527">
        <v>1148</v>
      </c>
      <c r="G2254" s="1533" t="s">
        <v>2047</v>
      </c>
      <c r="H2254" s="1479"/>
      <c r="I2254" s="1479"/>
      <c r="J2254" s="1485"/>
      <c r="K2254" s="1532"/>
      <c r="L2254" s="1479"/>
      <c r="M2254" s="1479"/>
      <c r="N2254" s="2847"/>
      <c r="O2254" s="86"/>
      <c r="P2254" s="1817" t="e">
        <f>INDEX(#REF!,MATCH(F2254,#REF!,0),2)</f>
        <v>#REF!</v>
      </c>
    </row>
    <row r="2255" spans="1:48" ht="22.5">
      <c r="A2255" s="634"/>
      <c r="B2255" s="3123" t="s">
        <v>1084</v>
      </c>
      <c r="C2255" s="634" t="s">
        <v>652</v>
      </c>
      <c r="D2255" s="1597" t="s">
        <v>1762</v>
      </c>
      <c r="E2255" s="2093" t="s">
        <v>1951</v>
      </c>
      <c r="F2255" s="635">
        <v>1150</v>
      </c>
      <c r="G2255" s="432" t="s">
        <v>623</v>
      </c>
      <c r="H2255" s="674">
        <v>12896</v>
      </c>
      <c r="I2255" s="736"/>
      <c r="J2255" s="2520">
        <v>12895.83</v>
      </c>
      <c r="K2255" s="740"/>
      <c r="L2255" s="674">
        <v>10000</v>
      </c>
      <c r="M2255" s="736"/>
      <c r="N2255" s="2847"/>
      <c r="O2255" s="86"/>
      <c r="P2255" s="1817" t="e">
        <f>INDEX(#REF!,MATCH(F2255,#REF!,0),2)</f>
        <v>#REF!</v>
      </c>
    </row>
    <row r="2256" spans="1:48">
      <c r="A2256" s="424"/>
      <c r="B2256" s="3124" t="s">
        <v>1084</v>
      </c>
      <c r="C2256" s="424" t="s">
        <v>652</v>
      </c>
      <c r="D2256" s="1598"/>
      <c r="E2256" s="2104" t="s">
        <v>1951</v>
      </c>
      <c r="F2256" s="438">
        <v>1150</v>
      </c>
      <c r="G2256" s="61" t="s">
        <v>2921</v>
      </c>
      <c r="H2256" s="431"/>
      <c r="I2256" s="431">
        <v>8000</v>
      </c>
      <c r="J2256" s="444"/>
      <c r="K2256" s="740"/>
      <c r="L2256" s="431"/>
      <c r="M2256" s="431">
        <v>10000</v>
      </c>
      <c r="N2256" s="2847"/>
      <c r="O2256" s="86"/>
      <c r="P2256" s="1817" t="e">
        <f>INDEX(#REF!,MATCH(F2256,#REF!,0),2)</f>
        <v>#REF!</v>
      </c>
    </row>
    <row r="2257" spans="1:48">
      <c r="A2257" s="634"/>
      <c r="B2257" s="634" t="s">
        <v>663</v>
      </c>
      <c r="C2257" s="634" t="s">
        <v>652</v>
      </c>
      <c r="D2257" s="1597" t="s">
        <v>1762</v>
      </c>
      <c r="E2257" s="2093" t="s">
        <v>1951</v>
      </c>
      <c r="F2257" s="635">
        <v>1170</v>
      </c>
      <c r="G2257" s="432" t="s">
        <v>724</v>
      </c>
      <c r="H2257" s="674">
        <v>360</v>
      </c>
      <c r="I2257" s="736"/>
      <c r="J2257" s="2520">
        <v>75</v>
      </c>
      <c r="K2257" s="740"/>
      <c r="L2257" s="674">
        <v>390</v>
      </c>
      <c r="M2257" s="736"/>
      <c r="N2257" s="2847"/>
      <c r="O2257" s="86"/>
      <c r="P2257" s="1817" t="e">
        <f>INDEX(#REF!,MATCH(F2257,#REF!,0),2)</f>
        <v>#REF!</v>
      </c>
    </row>
    <row r="2258" spans="1:48" ht="11.45" customHeight="1">
      <c r="A2258" s="424"/>
      <c r="B2258" s="424" t="s">
        <v>663</v>
      </c>
      <c r="C2258" s="424" t="s">
        <v>652</v>
      </c>
      <c r="D2258" s="1598"/>
      <c r="E2258" s="2104" t="s">
        <v>1951</v>
      </c>
      <c r="F2258" s="438">
        <v>1170</v>
      </c>
      <c r="G2258" s="786" t="s">
        <v>4089</v>
      </c>
      <c r="H2258" s="431"/>
      <c r="I2258" s="431">
        <v>360</v>
      </c>
      <c r="J2258" s="444"/>
      <c r="K2258" s="740"/>
      <c r="L2258" s="431"/>
      <c r="M2258" s="431">
        <v>390</v>
      </c>
      <c r="N2258" s="2847"/>
      <c r="O2258" s="86"/>
      <c r="P2258" s="1817" t="e">
        <f>INDEX(#REF!,MATCH(F2258,#REF!,0),2)</f>
        <v>#REF!</v>
      </c>
      <c r="Q2258" s="1779"/>
      <c r="R2258" s="1779"/>
      <c r="S2258" s="1779"/>
      <c r="T2258" s="1779"/>
      <c r="U2258" s="1779"/>
      <c r="V2258" s="1779"/>
      <c r="W2258" s="43"/>
      <c r="X2258" s="1779"/>
      <c r="Y2258" s="1779"/>
      <c r="Z2258" s="1779"/>
      <c r="AA2258" s="1779"/>
      <c r="AB2258" s="1779"/>
      <c r="AC2258" s="1779"/>
      <c r="AD2258" s="1779"/>
      <c r="AE2258" s="1779"/>
      <c r="AF2258" s="1779"/>
      <c r="AG2258" s="1779"/>
      <c r="AH2258" s="1779"/>
      <c r="AI2258" s="1779"/>
      <c r="AJ2258" s="1779"/>
      <c r="AK2258" s="1779"/>
      <c r="AL2258" s="1779"/>
      <c r="AM2258" s="1779"/>
      <c r="AN2258" s="1779"/>
      <c r="AO2258" s="1779"/>
      <c r="AP2258" s="1779"/>
      <c r="AQ2258" s="1779"/>
      <c r="AR2258" s="1779"/>
      <c r="AS2258" s="1779"/>
      <c r="AT2258" s="1779"/>
      <c r="AU2258" s="1779"/>
      <c r="AV2258" s="1779"/>
    </row>
    <row r="2259" spans="1:48" ht="10.9" customHeight="1">
      <c r="A2259" s="634"/>
      <c r="B2259" s="634" t="s">
        <v>663</v>
      </c>
      <c r="C2259" s="634" t="s">
        <v>652</v>
      </c>
      <c r="D2259" s="1597" t="s">
        <v>1762</v>
      </c>
      <c r="E2259" s="2093" t="s">
        <v>1951</v>
      </c>
      <c r="F2259" s="635">
        <v>1210</v>
      </c>
      <c r="G2259" s="432" t="s">
        <v>228</v>
      </c>
      <c r="H2259" s="674">
        <v>42715</v>
      </c>
      <c r="I2259" s="736"/>
      <c r="J2259" s="2520">
        <v>31498.1</v>
      </c>
      <c r="K2259" s="738"/>
      <c r="L2259" s="674">
        <v>44506.298383469992</v>
      </c>
      <c r="M2259" s="736"/>
      <c r="N2259" s="2847"/>
      <c r="O2259" s="86"/>
      <c r="P2259" s="1817" t="e">
        <f>INDEX(#REF!,MATCH(F2259,#REF!,0),2)</f>
        <v>#REF!</v>
      </c>
      <c r="Q2259" s="1779"/>
      <c r="R2259" s="1779"/>
      <c r="S2259" s="1779"/>
      <c r="T2259" s="1779"/>
      <c r="U2259" s="1779"/>
      <c r="V2259" s="1779"/>
      <c r="W2259" s="43"/>
      <c r="X2259" s="1779"/>
      <c r="Y2259" s="1779"/>
      <c r="Z2259" s="1779"/>
      <c r="AA2259" s="1779"/>
      <c r="AB2259" s="1779"/>
      <c r="AC2259" s="1779"/>
      <c r="AD2259" s="1779"/>
      <c r="AE2259" s="1779"/>
      <c r="AF2259" s="1779"/>
      <c r="AG2259" s="1779"/>
      <c r="AH2259" s="1779"/>
      <c r="AI2259" s="1779"/>
      <c r="AJ2259" s="1779"/>
      <c r="AK2259" s="1779"/>
      <c r="AL2259" s="1779"/>
      <c r="AM2259" s="1779"/>
      <c r="AN2259" s="1779"/>
      <c r="AO2259" s="1779"/>
      <c r="AP2259" s="1779"/>
      <c r="AQ2259" s="1779"/>
      <c r="AR2259" s="1779"/>
      <c r="AS2259" s="1779"/>
      <c r="AT2259" s="1779"/>
      <c r="AU2259" s="1779"/>
      <c r="AV2259" s="1779"/>
    </row>
    <row r="2260" spans="1:48">
      <c r="A2260" s="424"/>
      <c r="B2260" s="424" t="s">
        <v>663</v>
      </c>
      <c r="C2260" s="424" t="s">
        <v>652</v>
      </c>
      <c r="D2260" s="1598"/>
      <c r="E2260" s="2104" t="s">
        <v>1951</v>
      </c>
      <c r="F2260" s="438">
        <v>1210</v>
      </c>
      <c r="G2260" s="739"/>
      <c r="H2260" s="431"/>
      <c r="I2260" s="431">
        <v>42893.89161749999</v>
      </c>
      <c r="J2260" s="444"/>
      <c r="K2260" s="740"/>
      <c r="L2260" s="431"/>
      <c r="M2260" s="431">
        <v>44506.298383469992</v>
      </c>
      <c r="N2260" s="2847"/>
      <c r="O2260" s="86"/>
      <c r="P2260" s="1817" t="e">
        <f>INDEX(#REF!,MATCH(F2260,#REF!,0),2)</f>
        <v>#REF!</v>
      </c>
    </row>
    <row r="2261" spans="1:48">
      <c r="A2261" s="424"/>
      <c r="B2261" s="424" t="s">
        <v>663</v>
      </c>
      <c r="C2261" s="424" t="s">
        <v>652</v>
      </c>
      <c r="D2261" s="1598"/>
      <c r="E2261" s="2104" t="s">
        <v>1951</v>
      </c>
      <c r="F2261" s="438">
        <v>1210</v>
      </c>
      <c r="G2261" s="739"/>
      <c r="H2261" s="431"/>
      <c r="I2261" s="431"/>
      <c r="J2261" s="444"/>
      <c r="K2261" s="740"/>
      <c r="L2261" s="431"/>
      <c r="M2261" s="431"/>
      <c r="N2261" s="2847"/>
      <c r="O2261" s="86"/>
      <c r="P2261" s="1817" t="e">
        <f>INDEX(#REF!,MATCH(F2261,#REF!,0),2)</f>
        <v>#REF!</v>
      </c>
    </row>
    <row r="2262" spans="1:48">
      <c r="A2262" s="506"/>
      <c r="B2262" s="506" t="s">
        <v>512</v>
      </c>
      <c r="C2262" s="506" t="s">
        <v>506</v>
      </c>
      <c r="D2262" s="1624" t="s">
        <v>1777</v>
      </c>
      <c r="E2262" s="2223" t="s">
        <v>1951</v>
      </c>
      <c r="F2262" s="540">
        <v>1210</v>
      </c>
      <c r="G2262" s="411" t="s">
        <v>774</v>
      </c>
      <c r="H2262" s="696">
        <v>908</v>
      </c>
      <c r="I2262" s="619"/>
      <c r="J2262" s="2520" t="s">
        <v>2426</v>
      </c>
      <c r="K2262" s="698"/>
      <c r="L2262" s="696">
        <v>908</v>
      </c>
      <c r="M2262" s="579"/>
      <c r="N2262" s="2847"/>
      <c r="O2262" s="86"/>
      <c r="P2262" s="1817" t="e">
        <f>INDEX(#REF!,MATCH(F2262,#REF!,0),2)</f>
        <v>#REF!</v>
      </c>
    </row>
    <row r="2263" spans="1:48">
      <c r="A2263" s="417"/>
      <c r="B2263" s="417" t="s">
        <v>512</v>
      </c>
      <c r="C2263" s="417" t="s">
        <v>506</v>
      </c>
      <c r="D2263" s="1626"/>
      <c r="E2263" s="2270" t="s">
        <v>1951</v>
      </c>
      <c r="F2263" s="699">
        <v>1210</v>
      </c>
      <c r="G2263" s="588" t="s">
        <v>773</v>
      </c>
      <c r="H2263" s="1498"/>
      <c r="I2263" s="422">
        <v>908</v>
      </c>
      <c r="J2263" s="1498"/>
      <c r="K2263" s="698"/>
      <c r="L2263" s="700"/>
      <c r="M2263" s="422">
        <v>908</v>
      </c>
      <c r="N2263" s="2847"/>
      <c r="O2263" s="86"/>
      <c r="P2263" s="1817" t="e">
        <f>INDEX(#REF!,MATCH(F2263,#REF!,0),2)</f>
        <v>#REF!</v>
      </c>
    </row>
    <row r="2264" spans="1:48">
      <c r="A2264" s="634"/>
      <c r="B2264" s="634" t="s">
        <v>663</v>
      </c>
      <c r="C2264" s="634" t="s">
        <v>652</v>
      </c>
      <c r="D2264" s="1597" t="s">
        <v>1762</v>
      </c>
      <c r="E2264" s="2093" t="s">
        <v>1951</v>
      </c>
      <c r="F2264" s="635">
        <v>1221</v>
      </c>
      <c r="G2264" s="432" t="s">
        <v>229</v>
      </c>
      <c r="H2264" s="674">
        <v>6915</v>
      </c>
      <c r="I2264" s="736"/>
      <c r="J2264" s="2520">
        <v>6914.29</v>
      </c>
      <c r="K2264" s="738"/>
      <c r="L2264" s="674">
        <v>7507.768569529997</v>
      </c>
      <c r="M2264" s="736"/>
      <c r="N2264" s="2847"/>
      <c r="O2264" s="86"/>
      <c r="P2264" s="1817" t="e">
        <f>INDEX(#REF!,MATCH(F2264,#REF!,0),2)</f>
        <v>#REF!</v>
      </c>
    </row>
    <row r="2265" spans="1:48">
      <c r="A2265" s="424"/>
      <c r="B2265" s="424" t="s">
        <v>663</v>
      </c>
      <c r="C2265" s="424" t="s">
        <v>652</v>
      </c>
      <c r="D2265" s="1598"/>
      <c r="E2265" s="2104" t="s">
        <v>1951</v>
      </c>
      <c r="F2265" s="438">
        <v>1221</v>
      </c>
      <c r="G2265" s="739"/>
      <c r="H2265" s="431"/>
      <c r="I2265" s="431">
        <v>7235.7716325000001</v>
      </c>
      <c r="J2265" s="444"/>
      <c r="K2265" s="740"/>
      <c r="L2265" s="431"/>
      <c r="M2265" s="431">
        <v>7507.768569529997</v>
      </c>
      <c r="N2265" s="2847"/>
      <c r="O2265" s="86"/>
      <c r="P2265" s="1817" t="e">
        <f>INDEX(#REF!,MATCH(F2265,#REF!,0),2)</f>
        <v>#REF!</v>
      </c>
    </row>
    <row r="2266" spans="1:48">
      <c r="A2266" s="1370"/>
      <c r="B2266" s="424" t="s">
        <v>663</v>
      </c>
      <c r="C2266" s="424" t="s">
        <v>652</v>
      </c>
      <c r="D2266" s="1598"/>
      <c r="E2266" s="2104" t="s">
        <v>1951</v>
      </c>
      <c r="F2266" s="1421">
        <v>1221</v>
      </c>
      <c r="G2266" s="1439" t="s">
        <v>1989</v>
      </c>
      <c r="H2266" s="1372"/>
      <c r="I2266" s="1372"/>
      <c r="J2266" s="1373"/>
      <c r="K2266" s="1440"/>
      <c r="L2266" s="1372"/>
      <c r="M2266" s="1372"/>
      <c r="N2266" s="2847"/>
      <c r="O2266" s="86"/>
      <c r="P2266" s="1817" t="e">
        <f>INDEX(#REF!,MATCH(F2266,#REF!,0),2)</f>
        <v>#REF!</v>
      </c>
    </row>
    <row r="2267" spans="1:48" ht="22.5">
      <c r="A2267" s="634"/>
      <c r="B2267" s="506" t="s">
        <v>663</v>
      </c>
      <c r="C2267" s="506" t="s">
        <v>652</v>
      </c>
      <c r="D2267" s="1597" t="s">
        <v>1762</v>
      </c>
      <c r="E2267" s="2093" t="s">
        <v>1951</v>
      </c>
      <c r="F2267" s="635">
        <v>1227</v>
      </c>
      <c r="G2267" s="432" t="s">
        <v>1257</v>
      </c>
      <c r="H2267" s="674">
        <v>860</v>
      </c>
      <c r="I2267" s="736"/>
      <c r="J2267" s="2520">
        <v>0</v>
      </c>
      <c r="K2267" s="738"/>
      <c r="L2267" s="674">
        <v>0</v>
      </c>
      <c r="M2267" s="736"/>
      <c r="N2267" s="2847"/>
      <c r="O2267" s="86"/>
      <c r="P2267" s="1817" t="e">
        <f>INDEX(#REF!,MATCH(F2267,#REF!,0),2)</f>
        <v>#REF!</v>
      </c>
    </row>
    <row r="2268" spans="1:48">
      <c r="A2268" s="424"/>
      <c r="B2268" s="412" t="s">
        <v>663</v>
      </c>
      <c r="C2268" s="412" t="s">
        <v>652</v>
      </c>
      <c r="D2268" s="1598"/>
      <c r="E2268" s="2104" t="s">
        <v>1951</v>
      </c>
      <c r="F2268" s="438">
        <v>1227</v>
      </c>
      <c r="G2268" s="739"/>
      <c r="H2268" s="431"/>
      <c r="I2268" s="431"/>
      <c r="J2268" s="444"/>
      <c r="K2268" s="740"/>
      <c r="L2268" s="431"/>
      <c r="M2268" s="431"/>
      <c r="N2268" s="2847"/>
      <c r="O2268" s="86"/>
      <c r="P2268" s="1817" t="e">
        <f>INDEX(#REF!,MATCH(F2268,#REF!,0),2)</f>
        <v>#REF!</v>
      </c>
    </row>
    <row r="2269" spans="1:48">
      <c r="A2269" s="634"/>
      <c r="B2269" s="634" t="s">
        <v>663</v>
      </c>
      <c r="C2269" s="634" t="s">
        <v>652</v>
      </c>
      <c r="D2269" s="1597" t="s">
        <v>1762</v>
      </c>
      <c r="E2269" s="2093" t="s">
        <v>1951</v>
      </c>
      <c r="F2269" s="635">
        <v>1228</v>
      </c>
      <c r="G2269" s="432" t="s">
        <v>230</v>
      </c>
      <c r="H2269" s="674">
        <v>500</v>
      </c>
      <c r="I2269" s="736"/>
      <c r="J2269" s="2520">
        <v>500</v>
      </c>
      <c r="K2269" s="738"/>
      <c r="L2269" s="674">
        <v>800</v>
      </c>
      <c r="M2269" s="736"/>
      <c r="N2269" s="2847"/>
      <c r="O2269" s="86"/>
      <c r="P2269" s="1817" t="e">
        <f>INDEX(#REF!,MATCH(F2269,#REF!,0),2)</f>
        <v>#REF!</v>
      </c>
    </row>
    <row r="2270" spans="1:48" ht="33.75">
      <c r="A2270" s="424"/>
      <c r="B2270" s="412" t="s">
        <v>663</v>
      </c>
      <c r="C2270" s="412" t="s">
        <v>652</v>
      </c>
      <c r="D2270" s="1598"/>
      <c r="E2270" s="2104" t="s">
        <v>1951</v>
      </c>
      <c r="F2270" s="438">
        <v>1228</v>
      </c>
      <c r="G2270" s="3105" t="s">
        <v>4090</v>
      </c>
      <c r="H2270" s="431"/>
      <c r="I2270" s="431">
        <v>860</v>
      </c>
      <c r="J2270" s="444"/>
      <c r="K2270" s="740"/>
      <c r="L2270" s="431"/>
      <c r="M2270" s="431">
        <v>800</v>
      </c>
      <c r="N2270" s="3104"/>
      <c r="O2270" s="86"/>
      <c r="P2270" s="1817" t="e">
        <f>INDEX(#REF!,MATCH(F2270,#REF!,0),2)</f>
        <v>#REF!</v>
      </c>
    </row>
    <row r="2271" spans="1:48">
      <c r="A2271" s="634"/>
      <c r="B2271" s="634" t="s">
        <v>1248</v>
      </c>
      <c r="C2271" s="634" t="s">
        <v>507</v>
      </c>
      <c r="D2271" s="1597" t="s">
        <v>1762</v>
      </c>
      <c r="E2271" s="2093" t="s">
        <v>1951</v>
      </c>
      <c r="F2271" s="635">
        <v>2111</v>
      </c>
      <c r="G2271" s="432" t="s">
        <v>696</v>
      </c>
      <c r="H2271" s="674">
        <v>300</v>
      </c>
      <c r="I2271" s="736"/>
      <c r="J2271" s="2520">
        <v>192</v>
      </c>
      <c r="K2271" s="738"/>
      <c r="L2271" s="674">
        <v>300</v>
      </c>
      <c r="M2271" s="736"/>
      <c r="N2271" s="2847"/>
      <c r="O2271" s="86"/>
      <c r="P2271" s="1817" t="e">
        <f>INDEX(#REF!,MATCH(F2271,#REF!,0),2)</f>
        <v>#REF!</v>
      </c>
    </row>
    <row r="2272" spans="1:48">
      <c r="A2272" s="424"/>
      <c r="B2272" s="424" t="s">
        <v>1248</v>
      </c>
      <c r="C2272" s="424" t="s">
        <v>507</v>
      </c>
      <c r="D2272" s="1598"/>
      <c r="E2272" s="2104" t="s">
        <v>1951</v>
      </c>
      <c r="F2272" s="438">
        <v>2111</v>
      </c>
      <c r="G2272" s="425"/>
      <c r="H2272" s="431"/>
      <c r="I2272" s="431">
        <v>300</v>
      </c>
      <c r="J2272" s="444"/>
      <c r="K2272" s="685"/>
      <c r="L2272" s="431"/>
      <c r="M2272" s="431">
        <v>300</v>
      </c>
      <c r="N2272" s="2847"/>
      <c r="O2272" s="86"/>
      <c r="P2272" s="1817" t="e">
        <f>INDEX(#REF!,MATCH(F2272,#REF!,0),2)</f>
        <v>#REF!</v>
      </c>
    </row>
    <row r="2273" spans="1:16">
      <c r="A2273" s="634"/>
      <c r="B2273" s="634" t="s">
        <v>1248</v>
      </c>
      <c r="C2273" s="634" t="s">
        <v>507</v>
      </c>
      <c r="D2273" s="1597" t="s">
        <v>1762</v>
      </c>
      <c r="E2273" s="2093" t="s">
        <v>1951</v>
      </c>
      <c r="F2273" s="635">
        <v>2210</v>
      </c>
      <c r="G2273" s="432" t="s">
        <v>879</v>
      </c>
      <c r="H2273" s="674">
        <v>300</v>
      </c>
      <c r="I2273" s="736"/>
      <c r="J2273" s="2520">
        <v>225.67</v>
      </c>
      <c r="K2273" s="738"/>
      <c r="L2273" s="674">
        <v>300</v>
      </c>
      <c r="M2273" s="736"/>
      <c r="N2273" s="2847"/>
      <c r="O2273" s="86"/>
      <c r="P2273" s="1817" t="e">
        <f>INDEX(#REF!,MATCH(F2273,#REF!,0),2)</f>
        <v>#REF!</v>
      </c>
    </row>
    <row r="2274" spans="1:16">
      <c r="A2274" s="424"/>
      <c r="B2274" s="424" t="s">
        <v>1248</v>
      </c>
      <c r="C2274" s="424" t="s">
        <v>507</v>
      </c>
      <c r="D2274" s="1598"/>
      <c r="E2274" s="2104" t="s">
        <v>1951</v>
      </c>
      <c r="F2274" s="438">
        <v>2210</v>
      </c>
      <c r="G2274" s="425"/>
      <c r="H2274" s="431"/>
      <c r="I2274" s="431">
        <v>300</v>
      </c>
      <c r="J2274" s="444"/>
      <c r="K2274" s="685"/>
      <c r="L2274" s="431"/>
      <c r="M2274" s="431">
        <v>300</v>
      </c>
      <c r="N2274" s="2847"/>
      <c r="O2274" s="86"/>
      <c r="P2274" s="1817" t="e">
        <f>INDEX(#REF!,MATCH(F2274,#REF!,0),2)</f>
        <v>#REF!</v>
      </c>
    </row>
    <row r="2275" spans="1:16">
      <c r="A2275" s="634"/>
      <c r="B2275" s="634" t="s">
        <v>1248</v>
      </c>
      <c r="C2275" s="634" t="s">
        <v>505</v>
      </c>
      <c r="D2275" s="1597" t="s">
        <v>1762</v>
      </c>
      <c r="E2275" s="2093" t="s">
        <v>1951</v>
      </c>
      <c r="F2275" s="635">
        <v>2221</v>
      </c>
      <c r="G2275" s="432" t="s">
        <v>958</v>
      </c>
      <c r="H2275" s="674">
        <v>13300</v>
      </c>
      <c r="I2275" s="736"/>
      <c r="J2275" s="2520">
        <v>13060.31</v>
      </c>
      <c r="K2275" s="738"/>
      <c r="L2275" s="674">
        <v>13500</v>
      </c>
      <c r="M2275" s="736"/>
      <c r="N2275" s="2847"/>
      <c r="O2275" s="86"/>
      <c r="P2275" s="1817" t="e">
        <f>INDEX(#REF!,MATCH(F2275,#REF!,0),2)</f>
        <v>#REF!</v>
      </c>
    </row>
    <row r="2276" spans="1:16">
      <c r="A2276" s="424"/>
      <c r="B2276" s="424" t="s">
        <v>1248</v>
      </c>
      <c r="C2276" s="424" t="s">
        <v>505</v>
      </c>
      <c r="D2276" s="1598"/>
      <c r="E2276" s="2104" t="s">
        <v>1951</v>
      </c>
      <c r="F2276" s="438">
        <v>2221</v>
      </c>
      <c r="G2276" s="60"/>
      <c r="H2276" s="741"/>
      <c r="I2276" s="431">
        <v>6300</v>
      </c>
      <c r="J2276" s="444"/>
      <c r="K2276" s="685"/>
      <c r="L2276" s="741"/>
      <c r="M2276" s="1892">
        <v>13500</v>
      </c>
      <c r="N2276" s="2847"/>
      <c r="O2276" s="86"/>
      <c r="P2276" s="1817" t="e">
        <f>INDEX(#REF!,MATCH(F2276,#REF!,0),2)</f>
        <v>#REF!</v>
      </c>
    </row>
    <row r="2277" spans="1:16">
      <c r="A2277" s="1882"/>
      <c r="B2277" s="424" t="s">
        <v>1248</v>
      </c>
      <c r="C2277" s="424" t="s">
        <v>505</v>
      </c>
      <c r="D2277" s="1598"/>
      <c r="E2277" s="2104" t="s">
        <v>1951</v>
      </c>
      <c r="F2277" s="438">
        <v>2221</v>
      </c>
      <c r="G2277" s="2345" t="s">
        <v>3185</v>
      </c>
      <c r="H2277" s="1918"/>
      <c r="I2277" s="1892">
        <v>3500</v>
      </c>
      <c r="J2277" s="1916"/>
      <c r="K2277" s="1917"/>
      <c r="L2277" s="1918"/>
      <c r="M2277" s="1892"/>
      <c r="N2277" s="2847"/>
      <c r="O2277" s="86"/>
      <c r="P2277" s="1817" t="e">
        <f>INDEX(#REF!,MATCH(F2277,#REF!,0),2)</f>
        <v>#REF!</v>
      </c>
    </row>
    <row r="2278" spans="1:16">
      <c r="A2278" s="1882"/>
      <c r="B2278" s="424" t="s">
        <v>1248</v>
      </c>
      <c r="C2278" s="424" t="s">
        <v>505</v>
      </c>
      <c r="D2278" s="1598"/>
      <c r="E2278" s="2104" t="s">
        <v>1951</v>
      </c>
      <c r="F2278" s="438">
        <v>2221</v>
      </c>
      <c r="G2278" s="276" t="s">
        <v>3186</v>
      </c>
      <c r="H2278" s="1918"/>
      <c r="I2278" s="1892">
        <v>3500</v>
      </c>
      <c r="J2278" s="1916"/>
      <c r="K2278" s="1917"/>
      <c r="L2278" s="1918"/>
      <c r="M2278" s="1918"/>
      <c r="N2278" s="2847"/>
      <c r="O2278" s="86"/>
      <c r="P2278" s="1817" t="e">
        <f>INDEX(#REF!,MATCH(F2278,#REF!,0),2)</f>
        <v>#REF!</v>
      </c>
    </row>
    <row r="2279" spans="1:16">
      <c r="A2279" s="634"/>
      <c r="B2279" s="634" t="s">
        <v>1248</v>
      </c>
      <c r="C2279" s="634" t="s">
        <v>505</v>
      </c>
      <c r="D2279" s="1597" t="s">
        <v>1762</v>
      </c>
      <c r="E2279" s="2093" t="s">
        <v>1951</v>
      </c>
      <c r="F2279" s="635">
        <v>2222</v>
      </c>
      <c r="G2279" s="432" t="s">
        <v>272</v>
      </c>
      <c r="H2279" s="674">
        <v>1000</v>
      </c>
      <c r="I2279" s="736"/>
      <c r="J2279" s="2520">
        <v>831.57</v>
      </c>
      <c r="K2279" s="738"/>
      <c r="L2279" s="674">
        <v>1200</v>
      </c>
      <c r="M2279" s="736"/>
      <c r="N2279" s="2847"/>
      <c r="O2279" s="86"/>
      <c r="P2279" s="1817" t="e">
        <f>INDEX(#REF!,MATCH(F2279,#REF!,0),2)</f>
        <v>#REF!</v>
      </c>
    </row>
    <row r="2280" spans="1:16">
      <c r="A2280" s="424"/>
      <c r="B2280" s="424" t="s">
        <v>1248</v>
      </c>
      <c r="C2280" s="424" t="s">
        <v>505</v>
      </c>
      <c r="D2280" s="1598"/>
      <c r="E2280" s="2104" t="s">
        <v>1951</v>
      </c>
      <c r="F2280" s="438">
        <v>2222</v>
      </c>
      <c r="G2280" s="60"/>
      <c r="H2280" s="741"/>
      <c r="I2280" s="431">
        <v>4500</v>
      </c>
      <c r="J2280" s="444"/>
      <c r="K2280" s="685"/>
      <c r="L2280" s="741"/>
      <c r="M2280" s="1892">
        <v>1200</v>
      </c>
      <c r="N2280" s="2847"/>
      <c r="O2280" s="86"/>
      <c r="P2280" s="1817" t="e">
        <f>INDEX(#REF!,MATCH(F2280,#REF!,0),2)</f>
        <v>#REF!</v>
      </c>
    </row>
    <row r="2281" spans="1:16">
      <c r="A2281" s="1882"/>
      <c r="B2281" s="424" t="s">
        <v>1248</v>
      </c>
      <c r="C2281" s="424" t="s">
        <v>505</v>
      </c>
      <c r="D2281" s="1598"/>
      <c r="E2281" s="2104" t="s">
        <v>1951</v>
      </c>
      <c r="F2281" s="438">
        <v>2222</v>
      </c>
      <c r="G2281" s="276" t="s">
        <v>3185</v>
      </c>
      <c r="H2281" s="1918"/>
      <c r="I2281" s="1892">
        <v>-3500</v>
      </c>
      <c r="J2281" s="1916"/>
      <c r="K2281" s="1917"/>
      <c r="L2281" s="1918"/>
      <c r="M2281" s="1892"/>
      <c r="N2281" s="2847"/>
      <c r="O2281" s="86"/>
      <c r="P2281" s="1817" t="e">
        <f>INDEX(#REF!,MATCH(F2281,#REF!,0),2)</f>
        <v>#REF!</v>
      </c>
    </row>
    <row r="2282" spans="1:16">
      <c r="A2282" s="634"/>
      <c r="B2282" s="634" t="s">
        <v>1248</v>
      </c>
      <c r="C2282" s="634" t="s">
        <v>505</v>
      </c>
      <c r="D2282" s="1597" t="s">
        <v>1762</v>
      </c>
      <c r="E2282" s="2093" t="s">
        <v>1951</v>
      </c>
      <c r="F2282" s="635">
        <v>2223</v>
      </c>
      <c r="G2282" s="432" t="s">
        <v>273</v>
      </c>
      <c r="H2282" s="674">
        <v>4000</v>
      </c>
      <c r="I2282" s="736"/>
      <c r="J2282" s="2520">
        <v>3281.64</v>
      </c>
      <c r="K2282" s="738"/>
      <c r="L2282" s="674">
        <v>4500</v>
      </c>
      <c r="M2282" s="736"/>
      <c r="N2282" s="2847"/>
      <c r="O2282" s="86"/>
      <c r="P2282" s="1817" t="e">
        <f>INDEX(#REF!,MATCH(F2282,#REF!,0),2)</f>
        <v>#REF!</v>
      </c>
    </row>
    <row r="2283" spans="1:16">
      <c r="A2283" s="424"/>
      <c r="B2283" s="424" t="s">
        <v>1248</v>
      </c>
      <c r="C2283" s="424" t="s">
        <v>505</v>
      </c>
      <c r="D2283" s="1598"/>
      <c r="E2283" s="2104" t="s">
        <v>1951</v>
      </c>
      <c r="F2283" s="438">
        <v>2223</v>
      </c>
      <c r="G2283" s="60"/>
      <c r="H2283" s="741"/>
      <c r="I2283" s="431">
        <v>7500</v>
      </c>
      <c r="J2283" s="444"/>
      <c r="K2283" s="685"/>
      <c r="L2283" s="741"/>
      <c r="M2283" s="1892">
        <v>4500</v>
      </c>
      <c r="N2283" s="2847"/>
      <c r="O2283" s="86"/>
      <c r="P2283" s="1817" t="e">
        <f>INDEX(#REF!,MATCH(F2283,#REF!,0),2)</f>
        <v>#REF!</v>
      </c>
    </row>
    <row r="2284" spans="1:16">
      <c r="A2284" s="1882"/>
      <c r="B2284" s="424" t="s">
        <v>1248</v>
      </c>
      <c r="C2284" s="424" t="s">
        <v>505</v>
      </c>
      <c r="D2284" s="1598"/>
      <c r="E2284" s="2104" t="s">
        <v>1951</v>
      </c>
      <c r="F2284" s="438">
        <v>2223</v>
      </c>
      <c r="G2284" s="276" t="s">
        <v>3186</v>
      </c>
      <c r="H2284" s="1918"/>
      <c r="I2284" s="1892">
        <v>-3500</v>
      </c>
      <c r="J2284" s="1916"/>
      <c r="K2284" s="1917"/>
      <c r="L2284" s="1918"/>
      <c r="M2284" s="1892"/>
      <c r="N2284" s="2847"/>
      <c r="O2284" s="86"/>
      <c r="P2284" s="1817" t="e">
        <f>INDEX(#REF!,MATCH(F2284,#REF!,0),2)</f>
        <v>#REF!</v>
      </c>
    </row>
    <row r="2285" spans="1:16">
      <c r="A2285" s="634"/>
      <c r="B2285" s="634" t="s">
        <v>1248</v>
      </c>
      <c r="C2285" s="634" t="s">
        <v>505</v>
      </c>
      <c r="D2285" s="1597" t="s">
        <v>1762</v>
      </c>
      <c r="E2285" s="2093" t="s">
        <v>1951</v>
      </c>
      <c r="F2285" s="635">
        <v>2233</v>
      </c>
      <c r="G2285" s="432" t="s">
        <v>263</v>
      </c>
      <c r="H2285" s="674">
        <v>7800</v>
      </c>
      <c r="I2285" s="736"/>
      <c r="J2285" s="2520">
        <v>6764.63</v>
      </c>
      <c r="K2285" s="738"/>
      <c r="L2285" s="674">
        <v>7800</v>
      </c>
      <c r="M2285" s="736"/>
      <c r="N2285" s="2847"/>
      <c r="O2285" s="86"/>
      <c r="P2285" s="1817" t="e">
        <f>INDEX(#REF!,MATCH(F2285,#REF!,0),2)</f>
        <v>#REF!</v>
      </c>
    </row>
    <row r="2286" spans="1:16" ht="33.75">
      <c r="A2286" s="424"/>
      <c r="B2286" s="424" t="s">
        <v>1248</v>
      </c>
      <c r="C2286" s="424" t="s">
        <v>505</v>
      </c>
      <c r="D2286" s="1598"/>
      <c r="E2286" s="2104" t="s">
        <v>1951</v>
      </c>
      <c r="F2286" s="438">
        <v>2233</v>
      </c>
      <c r="G2286" s="3106" t="s">
        <v>2111</v>
      </c>
      <c r="H2286" s="741"/>
      <c r="I2286" s="431">
        <v>7000</v>
      </c>
      <c r="J2286" s="444"/>
      <c r="K2286" s="685"/>
      <c r="L2286" s="741"/>
      <c r="M2286" s="431">
        <v>7000</v>
      </c>
      <c r="N2286" s="2847"/>
      <c r="O2286" s="86"/>
      <c r="P2286" s="1817" t="e">
        <f>INDEX(#REF!,MATCH(F2286,#REF!,0),2)</f>
        <v>#REF!</v>
      </c>
    </row>
    <row r="2287" spans="1:16" ht="22.5">
      <c r="A2287" s="1465"/>
      <c r="B2287" s="424" t="s">
        <v>1248</v>
      </c>
      <c r="C2287" s="424" t="s">
        <v>505</v>
      </c>
      <c r="D2287" s="1598"/>
      <c r="E2287" s="2104" t="s">
        <v>1951</v>
      </c>
      <c r="F2287" s="438">
        <v>2233</v>
      </c>
      <c r="G2287" s="3107" t="s">
        <v>4091</v>
      </c>
      <c r="H2287" s="1546"/>
      <c r="I2287" s="1479">
        <v>800</v>
      </c>
      <c r="J2287" s="1485"/>
      <c r="K2287" s="1541"/>
      <c r="L2287" s="1546"/>
      <c r="M2287" s="1479">
        <v>800</v>
      </c>
      <c r="N2287" s="2847"/>
      <c r="O2287" s="86"/>
      <c r="P2287" s="1817" t="e">
        <f>INDEX(#REF!,MATCH(F2287,#REF!,0),2)</f>
        <v>#REF!</v>
      </c>
    </row>
    <row r="2288" spans="1:16" ht="22.5">
      <c r="A2288" s="634"/>
      <c r="B2288" s="634" t="s">
        <v>1248</v>
      </c>
      <c r="C2288" s="634" t="s">
        <v>505</v>
      </c>
      <c r="D2288" s="1597" t="s">
        <v>1762</v>
      </c>
      <c r="E2288" s="2093" t="s">
        <v>1951</v>
      </c>
      <c r="F2288" s="635">
        <v>2234</v>
      </c>
      <c r="G2288" s="432" t="s">
        <v>2112</v>
      </c>
      <c r="H2288" s="674">
        <v>840</v>
      </c>
      <c r="I2288" s="736"/>
      <c r="J2288" s="2520">
        <v>70.8</v>
      </c>
      <c r="K2288" s="738"/>
      <c r="L2288" s="674">
        <v>303.33333333333331</v>
      </c>
      <c r="M2288" s="736"/>
      <c r="N2288" s="2847"/>
      <c r="O2288" s="86"/>
      <c r="P2288" s="1817" t="e">
        <f>INDEX(#REF!,MATCH(F2288,#REF!,0),2)</f>
        <v>#REF!</v>
      </c>
    </row>
    <row r="2289" spans="1:16" ht="12" customHeight="1">
      <c r="A2289" s="424"/>
      <c r="B2289" s="424" t="s">
        <v>1248</v>
      </c>
      <c r="C2289" s="424" t="s">
        <v>505</v>
      </c>
      <c r="D2289" s="1598"/>
      <c r="E2289" s="2104" t="s">
        <v>1951</v>
      </c>
      <c r="F2289" s="438">
        <v>2234</v>
      </c>
      <c r="G2289" s="3106" t="s">
        <v>4092</v>
      </c>
      <c r="H2289" s="741"/>
      <c r="I2289" s="431">
        <v>840</v>
      </c>
      <c r="J2289" s="444"/>
      <c r="K2289" s="685"/>
      <c r="L2289" s="741"/>
      <c r="M2289" s="431">
        <v>303.33333333333331</v>
      </c>
      <c r="N2289" s="2847"/>
      <c r="O2289" s="86"/>
      <c r="P2289" s="1817" t="e">
        <f>INDEX(#REF!,MATCH(F2289,#REF!,0),2)</f>
        <v>#REF!</v>
      </c>
    </row>
    <row r="2290" spans="1:16" ht="40.15" customHeight="1">
      <c r="A2290" s="634"/>
      <c r="B2290" s="634" t="s">
        <v>1248</v>
      </c>
      <c r="C2290" s="634" t="s">
        <v>505</v>
      </c>
      <c r="D2290" s="1597" t="s">
        <v>1762</v>
      </c>
      <c r="E2290" s="2093" t="s">
        <v>1951</v>
      </c>
      <c r="F2290" s="635">
        <v>2235</v>
      </c>
      <c r="G2290" s="432" t="s">
        <v>1202</v>
      </c>
      <c r="H2290" s="674">
        <v>400</v>
      </c>
      <c r="I2290" s="736"/>
      <c r="J2290" s="2520">
        <v>192</v>
      </c>
      <c r="K2290" s="738"/>
      <c r="L2290" s="674">
        <v>250</v>
      </c>
      <c r="M2290" s="736"/>
      <c r="N2290" s="2847"/>
      <c r="O2290" s="86"/>
      <c r="P2290" s="1817" t="e">
        <f>INDEX(#REF!,MATCH(F2290,#REF!,0),2)</f>
        <v>#REF!</v>
      </c>
    </row>
    <row r="2291" spans="1:16" ht="35.450000000000003" customHeight="1">
      <c r="A2291" s="424"/>
      <c r="B2291" s="424" t="s">
        <v>1248</v>
      </c>
      <c r="C2291" s="424" t="s">
        <v>505</v>
      </c>
      <c r="D2291" s="1598"/>
      <c r="E2291" s="2104" t="s">
        <v>1951</v>
      </c>
      <c r="F2291" s="438">
        <v>2235</v>
      </c>
      <c r="G2291" s="60" t="s">
        <v>2113</v>
      </c>
      <c r="H2291" s="741"/>
      <c r="I2291" s="431">
        <v>400</v>
      </c>
      <c r="J2291" s="444"/>
      <c r="K2291" s="685"/>
      <c r="L2291" s="741"/>
      <c r="M2291" s="431">
        <v>250</v>
      </c>
      <c r="N2291" s="2847"/>
      <c r="O2291" s="86"/>
      <c r="P2291" s="1817" t="e">
        <f>INDEX(#REF!,MATCH(F2291,#REF!,0),2)</f>
        <v>#REF!</v>
      </c>
    </row>
    <row r="2292" spans="1:16" ht="12" customHeight="1">
      <c r="A2292" s="634"/>
      <c r="B2292" s="634" t="s">
        <v>1248</v>
      </c>
      <c r="C2292" s="634" t="s">
        <v>505</v>
      </c>
      <c r="D2292" s="1597" t="s">
        <v>1762</v>
      </c>
      <c r="E2292" s="2093" t="s">
        <v>1951</v>
      </c>
      <c r="F2292" s="635">
        <v>2239</v>
      </c>
      <c r="G2292" s="432" t="s">
        <v>1202</v>
      </c>
      <c r="H2292" s="674">
        <v>500</v>
      </c>
      <c r="I2292" s="736"/>
      <c r="J2292" s="2520"/>
      <c r="K2292" s="738"/>
      <c r="L2292" s="674">
        <v>500</v>
      </c>
      <c r="M2292" s="736"/>
      <c r="N2292" s="2847"/>
      <c r="O2292" s="86"/>
      <c r="P2292" s="1817" t="e">
        <f>INDEX(#REF!,MATCH(F2292,#REF!,0),2)</f>
        <v>#REF!</v>
      </c>
    </row>
    <row r="2293" spans="1:16" ht="12" customHeight="1">
      <c r="A2293" s="61" t="s">
        <v>2121</v>
      </c>
      <c r="B2293" s="424" t="s">
        <v>1248</v>
      </c>
      <c r="C2293" s="424" t="s">
        <v>505</v>
      </c>
      <c r="D2293" s="1598"/>
      <c r="E2293" s="2104" t="s">
        <v>1951</v>
      </c>
      <c r="F2293" s="438">
        <v>2239</v>
      </c>
      <c r="G2293" s="3108" t="s">
        <v>2121</v>
      </c>
      <c r="H2293" s="1546"/>
      <c r="I2293" s="1479">
        <v>500</v>
      </c>
      <c r="J2293" s="1485"/>
      <c r="K2293" s="1541"/>
      <c r="L2293" s="1546"/>
      <c r="M2293" s="431">
        <v>500</v>
      </c>
      <c r="N2293" s="2847"/>
      <c r="O2293" s="86"/>
      <c r="P2293" s="1817" t="e">
        <f>INDEX(#REF!,MATCH(F2293,#REF!,0),2)</f>
        <v>#REF!</v>
      </c>
    </row>
    <row r="2294" spans="1:16" ht="12" customHeight="1">
      <c r="A2294" s="634"/>
      <c r="B2294" s="634" t="s">
        <v>1084</v>
      </c>
      <c r="C2294" s="634" t="s">
        <v>505</v>
      </c>
      <c r="D2294" s="1597" t="s">
        <v>1762</v>
      </c>
      <c r="E2294" s="2093" t="s">
        <v>1951</v>
      </c>
      <c r="F2294" s="635">
        <v>2239</v>
      </c>
      <c r="G2294" s="432" t="s">
        <v>237</v>
      </c>
      <c r="H2294" s="674">
        <v>133154</v>
      </c>
      <c r="I2294" s="736"/>
      <c r="J2294" s="2520">
        <v>121979.45</v>
      </c>
      <c r="K2294" s="738"/>
      <c r="L2294" s="674">
        <v>199350</v>
      </c>
      <c r="M2294" s="1500"/>
      <c r="N2294" s="3110" t="s">
        <v>3848</v>
      </c>
      <c r="O2294" s="86"/>
      <c r="P2294" s="1817" t="e">
        <f>INDEX(#REF!,MATCH(F2294,#REF!,0),2)</f>
        <v>#REF!</v>
      </c>
    </row>
    <row r="2295" spans="1:16" ht="12.6" customHeight="1">
      <c r="A2295" s="1465"/>
      <c r="B2295" s="1921" t="s">
        <v>1084</v>
      </c>
      <c r="C2295" s="1921" t="s">
        <v>505</v>
      </c>
      <c r="D2295" s="1922"/>
      <c r="E2295" s="2275" t="s">
        <v>1951</v>
      </c>
      <c r="F2295" s="1923">
        <v>2239</v>
      </c>
      <c r="G2295" s="3114" t="s">
        <v>2114</v>
      </c>
      <c r="H2295" s="1924"/>
      <c r="I2295" s="1925">
        <v>15000</v>
      </c>
      <c r="J2295" s="1926"/>
      <c r="K2295" s="1927"/>
      <c r="L2295" s="2434"/>
      <c r="M2295" s="1925">
        <v>20000</v>
      </c>
      <c r="N2295" s="3110"/>
      <c r="O2295" s="86"/>
      <c r="P2295" s="1817" t="e">
        <f>INDEX(#REF!,MATCH(F2295,#REF!,0),2)</f>
        <v>#REF!</v>
      </c>
    </row>
    <row r="2296" spans="1:16" ht="12" customHeight="1">
      <c r="A2296" s="1920"/>
      <c r="B2296" s="2790" t="s">
        <v>1084</v>
      </c>
      <c r="C2296" s="2790" t="s">
        <v>505</v>
      </c>
      <c r="D2296" s="3071"/>
      <c r="E2296" s="3109" t="s">
        <v>1951</v>
      </c>
      <c r="F2296" s="3072">
        <v>2239</v>
      </c>
      <c r="G2296" s="3115" t="s">
        <v>2115</v>
      </c>
      <c r="H2296" s="3002"/>
      <c r="I2296" s="2779"/>
      <c r="J2296" s="2776"/>
      <c r="K2296" s="2777"/>
      <c r="L2296" s="2999"/>
      <c r="M2296" s="2778"/>
      <c r="N2296" s="2847"/>
      <c r="O2296" s="86"/>
      <c r="P2296" s="1817" t="e">
        <f>INDEX(#REF!,MATCH(F2296,#REF!,0),2)</f>
        <v>#REF!</v>
      </c>
    </row>
    <row r="2297" spans="1:16" ht="12" customHeight="1">
      <c r="A2297" s="1920"/>
      <c r="B2297" s="2790" t="s">
        <v>1084</v>
      </c>
      <c r="C2297" s="2790" t="s">
        <v>505</v>
      </c>
      <c r="D2297" s="3071"/>
      <c r="E2297" s="3109" t="s">
        <v>1951</v>
      </c>
      <c r="F2297" s="3072">
        <v>2239</v>
      </c>
      <c r="G2297" s="3111" t="s">
        <v>2116</v>
      </c>
      <c r="H2297" s="3002"/>
      <c r="I2297" s="2779">
        <v>1500</v>
      </c>
      <c r="J2297" s="2776"/>
      <c r="K2297" s="2777"/>
      <c r="L2297" s="2999"/>
      <c r="M2297" s="2779">
        <v>1500</v>
      </c>
      <c r="N2297" s="2847"/>
      <c r="O2297" s="86"/>
      <c r="P2297" s="1817" t="e">
        <f>INDEX(#REF!,MATCH(F2297,#REF!,0),2)</f>
        <v>#REF!</v>
      </c>
    </row>
    <row r="2298" spans="1:16" ht="12" customHeight="1">
      <c r="A2298" s="1920"/>
      <c r="B2298" s="2790" t="s">
        <v>1084</v>
      </c>
      <c r="C2298" s="2790" t="s">
        <v>505</v>
      </c>
      <c r="D2298" s="3071"/>
      <c r="E2298" s="3109" t="s">
        <v>1951</v>
      </c>
      <c r="F2298" s="3072">
        <v>2239</v>
      </c>
      <c r="G2298" s="3111" t="s">
        <v>2117</v>
      </c>
      <c r="H2298" s="3002"/>
      <c r="I2298" s="2779">
        <v>0</v>
      </c>
      <c r="J2298" s="2776"/>
      <c r="K2298" s="2777"/>
      <c r="L2298" s="2999"/>
      <c r="M2298" s="2779">
        <v>4000</v>
      </c>
      <c r="N2298" s="2847"/>
      <c r="O2298" s="86"/>
      <c r="P2298" s="1817" t="e">
        <f>INDEX(#REF!,MATCH(F2298,#REF!,0),2)</f>
        <v>#REF!</v>
      </c>
    </row>
    <row r="2299" spans="1:16" ht="12" customHeight="1">
      <c r="A2299" s="1465"/>
      <c r="B2299" s="1928" t="s">
        <v>1084</v>
      </c>
      <c r="C2299" s="1928" t="s">
        <v>505</v>
      </c>
      <c r="D2299" s="1929"/>
      <c r="E2299" s="2277" t="s">
        <v>1951</v>
      </c>
      <c r="F2299" s="1930">
        <v>2239</v>
      </c>
      <c r="G2299" s="3116" t="s">
        <v>2118</v>
      </c>
      <c r="H2299" s="1931"/>
      <c r="I2299" s="1932">
        <v>20000</v>
      </c>
      <c r="J2299" s="1933"/>
      <c r="K2299" s="1934"/>
      <c r="L2299" s="2435"/>
      <c r="M2299" s="1932">
        <v>25000</v>
      </c>
      <c r="N2299" s="3110"/>
      <c r="O2299" s="86"/>
      <c r="P2299" s="1817" t="e">
        <f>INDEX(#REF!,MATCH(F2299,#REF!,0),2)</f>
        <v>#REF!</v>
      </c>
    </row>
    <row r="2300" spans="1:16" ht="12" customHeight="1">
      <c r="A2300" s="1465"/>
      <c r="B2300" s="424" t="s">
        <v>1084</v>
      </c>
      <c r="C2300" s="424" t="s">
        <v>505</v>
      </c>
      <c r="D2300" s="1598"/>
      <c r="E2300" s="2104" t="s">
        <v>1951</v>
      </c>
      <c r="F2300" s="438">
        <v>2239</v>
      </c>
      <c r="G2300" s="3117" t="s">
        <v>2119</v>
      </c>
      <c r="H2300" s="1546"/>
      <c r="I2300" s="1479"/>
      <c r="J2300" s="1485"/>
      <c r="K2300" s="1541"/>
      <c r="L2300" s="1540"/>
      <c r="M2300" s="1482"/>
      <c r="N2300" s="2847"/>
      <c r="O2300" s="86"/>
      <c r="P2300" s="1817" t="e">
        <f>INDEX(#REF!,MATCH(F2300,#REF!,0),2)</f>
        <v>#REF!</v>
      </c>
    </row>
    <row r="2301" spans="1:16" ht="12" customHeight="1">
      <c r="A2301" s="992"/>
      <c r="B2301" s="424" t="s">
        <v>1084</v>
      </c>
      <c r="C2301" s="424" t="s">
        <v>505</v>
      </c>
      <c r="D2301" s="1598"/>
      <c r="E2301" s="2104" t="s">
        <v>1951</v>
      </c>
      <c r="F2301" s="438">
        <v>2239</v>
      </c>
      <c r="G2301" s="3112" t="s">
        <v>4093</v>
      </c>
      <c r="H2301" s="1255"/>
      <c r="I2301" s="1020"/>
      <c r="J2301" s="1057"/>
      <c r="K2301" s="1058"/>
      <c r="L2301" s="2436"/>
      <c r="M2301" s="1020">
        <v>12000</v>
      </c>
      <c r="N2301" s="2847"/>
      <c r="O2301" s="86"/>
      <c r="P2301" s="1817"/>
    </row>
    <row r="2302" spans="1:16" ht="12" customHeight="1">
      <c r="A2302" s="1465"/>
      <c r="B2302" s="424" t="s">
        <v>1084</v>
      </c>
      <c r="C2302" s="424" t="s">
        <v>505</v>
      </c>
      <c r="D2302" s="1598"/>
      <c r="E2302" s="2104" t="s">
        <v>1951</v>
      </c>
      <c r="F2302" s="438">
        <v>2239</v>
      </c>
      <c r="G2302" s="3113" t="s">
        <v>1679</v>
      </c>
      <c r="H2302" s="1255"/>
      <c r="I2302" s="1020">
        <v>80000</v>
      </c>
      <c r="J2302" s="1057"/>
      <c r="K2302" s="1058"/>
      <c r="L2302" s="2436"/>
      <c r="M2302" s="1020">
        <v>130000</v>
      </c>
      <c r="N2302" s="3110"/>
      <c r="O2302" s="86"/>
      <c r="P2302" s="1817"/>
    </row>
    <row r="2303" spans="1:16" ht="12" customHeight="1">
      <c r="A2303" s="13"/>
      <c r="B2303" s="424" t="s">
        <v>1084</v>
      </c>
      <c r="C2303" s="424" t="s">
        <v>505</v>
      </c>
      <c r="D2303" s="1598"/>
      <c r="E2303" s="2104" t="s">
        <v>1951</v>
      </c>
      <c r="F2303" s="438">
        <v>2239</v>
      </c>
      <c r="G2303" s="3116" t="s">
        <v>845</v>
      </c>
      <c r="H2303" s="3002"/>
      <c r="I2303" s="2779"/>
      <c r="J2303" s="2776"/>
      <c r="K2303" s="2777"/>
      <c r="L2303" s="2999"/>
      <c r="M2303" s="2779"/>
      <c r="N2303" s="3110"/>
      <c r="O2303" s="86"/>
      <c r="P2303" s="1817"/>
    </row>
    <row r="2304" spans="1:16" ht="12" customHeight="1">
      <c r="A2304" s="13"/>
      <c r="B2304" s="424" t="s">
        <v>1084</v>
      </c>
      <c r="C2304" s="424" t="s">
        <v>505</v>
      </c>
      <c r="D2304" s="1598"/>
      <c r="E2304" s="2104" t="s">
        <v>1951</v>
      </c>
      <c r="F2304" s="438">
        <v>2239</v>
      </c>
      <c r="G2304" s="3113" t="s">
        <v>4094</v>
      </c>
      <c r="H2304" s="3002"/>
      <c r="I2304" s="2779"/>
      <c r="J2304" s="2776"/>
      <c r="K2304" s="2777"/>
      <c r="L2304" s="2999"/>
      <c r="M2304" s="2779">
        <v>600</v>
      </c>
      <c r="N2304" s="3110"/>
      <c r="O2304" s="86"/>
      <c r="P2304" s="1817"/>
    </row>
    <row r="2305" spans="1:16" ht="12" customHeight="1">
      <c r="A2305" s="13"/>
      <c r="B2305" s="424" t="s">
        <v>1084</v>
      </c>
      <c r="C2305" s="424" t="s">
        <v>505</v>
      </c>
      <c r="D2305" s="1598"/>
      <c r="E2305" s="2104" t="s">
        <v>1951</v>
      </c>
      <c r="F2305" s="438">
        <v>2239</v>
      </c>
      <c r="G2305" s="3113" t="s">
        <v>4095</v>
      </c>
      <c r="H2305" s="3002"/>
      <c r="I2305" s="2779"/>
      <c r="J2305" s="2776"/>
      <c r="K2305" s="2777"/>
      <c r="L2305" s="2999"/>
      <c r="M2305" s="2779">
        <v>800</v>
      </c>
      <c r="N2305" s="3110"/>
      <c r="O2305" s="86"/>
      <c r="P2305" s="1817"/>
    </row>
    <row r="2306" spans="1:16" s="3827" customFormat="1" ht="12" customHeight="1">
      <c r="A2306" s="13"/>
      <c r="B2306" s="424" t="s">
        <v>1084</v>
      </c>
      <c r="C2306" s="424" t="s">
        <v>505</v>
      </c>
      <c r="D2306" s="1598"/>
      <c r="E2306" s="2104" t="s">
        <v>1951</v>
      </c>
      <c r="F2306" s="438">
        <v>2239</v>
      </c>
      <c r="G2306" s="3113" t="s">
        <v>4096</v>
      </c>
      <c r="H2306" s="3002"/>
      <c r="I2306" s="2779"/>
      <c r="J2306" s="2776"/>
      <c r="K2306" s="2777"/>
      <c r="L2306" s="2999"/>
      <c r="M2306" s="2779">
        <v>200</v>
      </c>
      <c r="N2306" s="3110"/>
      <c r="O2306" s="86"/>
      <c r="P2306" s="1817"/>
    </row>
    <row r="2307" spans="1:16" s="3827" customFormat="1" ht="12" customHeight="1">
      <c r="A2307" s="13"/>
      <c r="B2307" s="424" t="s">
        <v>1084</v>
      </c>
      <c r="C2307" s="424" t="s">
        <v>505</v>
      </c>
      <c r="D2307" s="1598"/>
      <c r="E2307" s="2104" t="s">
        <v>1951</v>
      </c>
      <c r="F2307" s="438">
        <v>2239</v>
      </c>
      <c r="G2307" s="3113" t="s">
        <v>4097</v>
      </c>
      <c r="H2307" s="3002"/>
      <c r="I2307" s="2779"/>
      <c r="J2307" s="2776"/>
      <c r="K2307" s="2777"/>
      <c r="L2307" s="2999"/>
      <c r="M2307" s="2779">
        <v>500</v>
      </c>
      <c r="N2307" s="3110"/>
      <c r="O2307" s="86"/>
      <c r="P2307" s="1817"/>
    </row>
    <row r="2308" spans="1:16" s="3827" customFormat="1" ht="12" customHeight="1">
      <c r="A2308" s="13"/>
      <c r="B2308" s="424" t="s">
        <v>1084</v>
      </c>
      <c r="C2308" s="424" t="s">
        <v>505</v>
      </c>
      <c r="D2308" s="1598"/>
      <c r="E2308" s="2104" t="s">
        <v>1951</v>
      </c>
      <c r="F2308" s="438">
        <v>2239</v>
      </c>
      <c r="G2308" s="3113" t="s">
        <v>4098</v>
      </c>
      <c r="H2308" s="3002"/>
      <c r="I2308" s="2779"/>
      <c r="J2308" s="2776"/>
      <c r="K2308" s="2777"/>
      <c r="L2308" s="2999"/>
      <c r="M2308" s="2779">
        <v>800</v>
      </c>
      <c r="N2308" s="3110"/>
      <c r="O2308" s="3825"/>
      <c r="P2308" s="3826"/>
    </row>
    <row r="2309" spans="1:16" s="3827" customFormat="1" ht="12" customHeight="1">
      <c r="A2309" s="13"/>
      <c r="B2309" s="424" t="s">
        <v>1084</v>
      </c>
      <c r="C2309" s="424" t="s">
        <v>505</v>
      </c>
      <c r="D2309" s="1598"/>
      <c r="E2309" s="2104" t="s">
        <v>1951</v>
      </c>
      <c r="F2309" s="438">
        <v>2239</v>
      </c>
      <c r="G2309" s="3113" t="s">
        <v>4099</v>
      </c>
      <c r="H2309" s="3002"/>
      <c r="I2309" s="2779"/>
      <c r="J2309" s="2776"/>
      <c r="K2309" s="2777"/>
      <c r="L2309" s="2999"/>
      <c r="M2309" s="2779">
        <v>500</v>
      </c>
      <c r="N2309" s="3110"/>
      <c r="O2309" s="3825"/>
      <c r="P2309" s="3826"/>
    </row>
    <row r="2310" spans="1:16" ht="12" customHeight="1">
      <c r="A2310" s="4163"/>
      <c r="B2310" s="4164" t="s">
        <v>1084</v>
      </c>
      <c r="C2310" s="4164" t="s">
        <v>505</v>
      </c>
      <c r="D2310" s="4165"/>
      <c r="E2310" s="4164" t="s">
        <v>1951</v>
      </c>
      <c r="F2310" s="4166">
        <v>2239</v>
      </c>
      <c r="G2310" s="4167" t="s">
        <v>4100</v>
      </c>
      <c r="H2310" s="4168"/>
      <c r="I2310" s="3821"/>
      <c r="J2310" s="3821"/>
      <c r="K2310" s="4169"/>
      <c r="L2310" s="4168"/>
      <c r="M2310" s="3821">
        <v>500</v>
      </c>
      <c r="N2310" s="4170"/>
      <c r="O2310" s="3825"/>
      <c r="P2310" s="3826"/>
    </row>
    <row r="2311" spans="1:16" ht="12.6" customHeight="1">
      <c r="A2311" s="4163"/>
      <c r="B2311" s="4164" t="s">
        <v>1084</v>
      </c>
      <c r="C2311" s="4164" t="s">
        <v>505</v>
      </c>
      <c r="D2311" s="4165"/>
      <c r="E2311" s="4164" t="s">
        <v>1951</v>
      </c>
      <c r="F2311" s="4166">
        <v>2239</v>
      </c>
      <c r="G2311" s="4167" t="s">
        <v>4101</v>
      </c>
      <c r="H2311" s="4168"/>
      <c r="I2311" s="3821"/>
      <c r="J2311" s="3821"/>
      <c r="K2311" s="4169"/>
      <c r="L2311" s="4168"/>
      <c r="M2311" s="3821">
        <v>200</v>
      </c>
      <c r="N2311" s="4170"/>
      <c r="O2311" s="3825"/>
      <c r="P2311" s="3826"/>
    </row>
    <row r="2312" spans="1:16" ht="12" customHeight="1">
      <c r="A2312" s="4163"/>
      <c r="B2312" s="4164" t="s">
        <v>1084</v>
      </c>
      <c r="C2312" s="4164" t="s">
        <v>505</v>
      </c>
      <c r="D2312" s="4165"/>
      <c r="E2312" s="4164" t="s">
        <v>1951</v>
      </c>
      <c r="F2312" s="4166">
        <v>2239</v>
      </c>
      <c r="G2312" s="4167" t="s">
        <v>4102</v>
      </c>
      <c r="H2312" s="4168"/>
      <c r="I2312" s="3821"/>
      <c r="J2312" s="3821"/>
      <c r="K2312" s="4169"/>
      <c r="L2312" s="4168"/>
      <c r="M2312" s="3821">
        <v>2000</v>
      </c>
      <c r="N2312" s="4170"/>
      <c r="O2312" s="86"/>
      <c r="P2312" s="1817"/>
    </row>
    <row r="2313" spans="1:16" ht="12" customHeight="1">
      <c r="A2313" s="4163"/>
      <c r="B2313" s="4164" t="s">
        <v>1084</v>
      </c>
      <c r="C2313" s="4164" t="s">
        <v>505</v>
      </c>
      <c r="D2313" s="4165"/>
      <c r="E2313" s="4164" t="s">
        <v>1951</v>
      </c>
      <c r="F2313" s="4166">
        <v>2239</v>
      </c>
      <c r="G2313" s="4167" t="s">
        <v>4103</v>
      </c>
      <c r="H2313" s="4168"/>
      <c r="I2313" s="3821"/>
      <c r="J2313" s="3821"/>
      <c r="K2313" s="4169"/>
      <c r="L2313" s="4168"/>
      <c r="M2313" s="4440">
        <v>0</v>
      </c>
      <c r="N2313" s="4170" t="s">
        <v>5734</v>
      </c>
      <c r="O2313" s="86"/>
      <c r="P2313" s="1817" t="e">
        <f>INDEX(#REF!,MATCH(F2313,#REF!,0),2)</f>
        <v>#REF!</v>
      </c>
    </row>
    <row r="2314" spans="1:16" ht="12" customHeight="1">
      <c r="A2314" s="13"/>
      <c r="B2314" s="424" t="s">
        <v>1084</v>
      </c>
      <c r="C2314" s="424" t="s">
        <v>505</v>
      </c>
      <c r="D2314" s="1598"/>
      <c r="E2314" s="2104" t="s">
        <v>1951</v>
      </c>
      <c r="F2314" s="438">
        <v>2239</v>
      </c>
      <c r="G2314" s="3113" t="s">
        <v>4104</v>
      </c>
      <c r="H2314" s="3002"/>
      <c r="I2314" s="2779"/>
      <c r="J2314" s="2776"/>
      <c r="K2314" s="2777"/>
      <c r="L2314" s="2999"/>
      <c r="M2314" s="2779">
        <v>550</v>
      </c>
      <c r="N2314" s="3110"/>
      <c r="O2314" s="86"/>
      <c r="P2314" s="1817" t="e">
        <f>INDEX(#REF!,MATCH(F2314,#REF!,0),2)</f>
        <v>#REF!</v>
      </c>
    </row>
    <row r="2315" spans="1:16" ht="12" customHeight="1">
      <c r="A2315" s="61" t="s">
        <v>1680</v>
      </c>
      <c r="B2315" s="424" t="s">
        <v>1084</v>
      </c>
      <c r="C2315" s="424" t="s">
        <v>505</v>
      </c>
      <c r="D2315" s="1598"/>
      <c r="E2315" s="2104" t="s">
        <v>1951</v>
      </c>
      <c r="F2315" s="438">
        <v>2239</v>
      </c>
      <c r="G2315" s="3116" t="s">
        <v>1680</v>
      </c>
      <c r="H2315" s="1546"/>
      <c r="I2315" s="1479">
        <v>250</v>
      </c>
      <c r="J2315" s="1485"/>
      <c r="K2315" s="1541"/>
      <c r="L2315" s="1546"/>
      <c r="M2315" s="431">
        <v>200</v>
      </c>
      <c r="N2315" s="2847"/>
      <c r="O2315" s="86"/>
      <c r="P2315" s="1817" t="e">
        <f>INDEX(#REF!,MATCH(F2315,#REF!,0),2)</f>
        <v>#REF!</v>
      </c>
    </row>
    <row r="2316" spans="1:16" ht="12" customHeight="1">
      <c r="A2316" s="61" t="s">
        <v>2120</v>
      </c>
      <c r="B2316" s="424" t="s">
        <v>1084</v>
      </c>
      <c r="C2316" s="424" t="s">
        <v>505</v>
      </c>
      <c r="D2316" s="1598"/>
      <c r="E2316" s="2104" t="s">
        <v>1951</v>
      </c>
      <c r="F2316" s="438">
        <v>2239</v>
      </c>
      <c r="G2316" s="61" t="s">
        <v>2120</v>
      </c>
      <c r="H2316" s="1546"/>
      <c r="I2316" s="1479">
        <v>400</v>
      </c>
      <c r="J2316" s="1485"/>
      <c r="K2316" s="1541"/>
      <c r="L2316" s="1540"/>
      <c r="M2316" s="1482"/>
      <c r="N2316" s="2847"/>
      <c r="O2316" s="86"/>
      <c r="P2316" s="1817" t="e">
        <f>INDEX(#REF!,MATCH(F2316,#REF!,0),2)</f>
        <v>#REF!</v>
      </c>
    </row>
    <row r="2317" spans="1:16" ht="122.45" customHeight="1">
      <c r="A2317" s="61" t="s">
        <v>2122</v>
      </c>
      <c r="B2317" s="424" t="s">
        <v>1084</v>
      </c>
      <c r="C2317" s="424" t="s">
        <v>505</v>
      </c>
      <c r="D2317" s="1598"/>
      <c r="E2317" s="2104" t="s">
        <v>1951</v>
      </c>
      <c r="F2317" s="438">
        <v>2239</v>
      </c>
      <c r="G2317" s="61" t="s">
        <v>2122</v>
      </c>
      <c r="H2317" s="1546"/>
      <c r="I2317" s="1479">
        <v>2000</v>
      </c>
      <c r="J2317" s="1485"/>
      <c r="K2317" s="1541"/>
      <c r="L2317" s="1540"/>
      <c r="M2317" s="1482"/>
      <c r="N2317" s="2847"/>
      <c r="O2317" s="86"/>
      <c r="P2317" s="1817" t="e">
        <f>INDEX(#REF!,MATCH(F2317,#REF!,0),2)</f>
        <v>#REF!</v>
      </c>
    </row>
    <row r="2318" spans="1:16" ht="153" customHeight="1">
      <c r="A2318" s="61" t="s">
        <v>2123</v>
      </c>
      <c r="B2318" s="424" t="s">
        <v>1084</v>
      </c>
      <c r="C2318" s="424" t="s">
        <v>505</v>
      </c>
      <c r="D2318" s="1598"/>
      <c r="E2318" s="2104" t="s">
        <v>1951</v>
      </c>
      <c r="F2318" s="438">
        <v>2239</v>
      </c>
      <c r="G2318" s="61" t="s">
        <v>2123</v>
      </c>
      <c r="H2318" s="1546"/>
      <c r="I2318" s="1479">
        <v>300</v>
      </c>
      <c r="J2318" s="1485"/>
      <c r="K2318" s="1541"/>
      <c r="L2318" s="1540"/>
      <c r="M2318" s="1482"/>
      <c r="N2318" s="2847"/>
      <c r="O2318" s="86"/>
      <c r="P2318" s="1817" t="e">
        <f>INDEX(#REF!,MATCH(F2318,#REF!,0),2)</f>
        <v>#REF!</v>
      </c>
    </row>
    <row r="2319" spans="1:16" ht="122.45" customHeight="1">
      <c r="A2319" s="61" t="s">
        <v>2124</v>
      </c>
      <c r="B2319" s="424" t="s">
        <v>1084</v>
      </c>
      <c r="C2319" s="424" t="s">
        <v>505</v>
      </c>
      <c r="D2319" s="1598"/>
      <c r="E2319" s="2104" t="s">
        <v>1951</v>
      </c>
      <c r="F2319" s="438">
        <v>2239</v>
      </c>
      <c r="G2319" s="61" t="s">
        <v>2124</v>
      </c>
      <c r="H2319" s="1546"/>
      <c r="I2319" s="1479">
        <v>2000</v>
      </c>
      <c r="J2319" s="1485"/>
      <c r="K2319" s="1541"/>
      <c r="L2319" s="1540"/>
      <c r="M2319" s="1482"/>
      <c r="N2319" s="2847"/>
      <c r="O2319" s="86"/>
      <c r="P2319" s="1817" t="e">
        <f>INDEX(#REF!,MATCH(F2319,#REF!,0),2)</f>
        <v>#REF!</v>
      </c>
    </row>
    <row r="2320" spans="1:16" ht="45">
      <c r="A2320" s="1547" t="s">
        <v>2125</v>
      </c>
      <c r="B2320" s="424" t="s">
        <v>1084</v>
      </c>
      <c r="C2320" s="424" t="s">
        <v>505</v>
      </c>
      <c r="D2320" s="1598"/>
      <c r="E2320" s="2104" t="s">
        <v>1951</v>
      </c>
      <c r="F2320" s="438">
        <v>2239</v>
      </c>
      <c r="G2320" s="61" t="s">
        <v>2125</v>
      </c>
      <c r="H2320" s="1546"/>
      <c r="I2320" s="1479">
        <v>800</v>
      </c>
      <c r="J2320" s="1485"/>
      <c r="K2320" s="1541"/>
      <c r="L2320" s="1540"/>
      <c r="M2320" s="1482"/>
      <c r="N2320" s="2847"/>
      <c r="O2320" s="86"/>
      <c r="P2320" s="1817" t="e">
        <f>INDEX(#REF!,MATCH(F2320,#REF!,0),2)</f>
        <v>#REF!</v>
      </c>
    </row>
    <row r="2321" spans="1:16">
      <c r="A2321" s="1370"/>
      <c r="B2321" s="424" t="s">
        <v>1084</v>
      </c>
      <c r="C2321" s="424" t="s">
        <v>505</v>
      </c>
      <c r="D2321" s="1598"/>
      <c r="E2321" s="2104" t="s">
        <v>1951</v>
      </c>
      <c r="F2321" s="438">
        <v>2239</v>
      </c>
      <c r="G2321" s="61" t="s">
        <v>3187</v>
      </c>
      <c r="H2321" s="1441"/>
      <c r="I2321" s="1372">
        <v>-200</v>
      </c>
      <c r="J2321" s="1373"/>
      <c r="K2321" s="1393"/>
      <c r="L2321" s="1503"/>
      <c r="M2321" s="1482"/>
      <c r="N2321" s="2847"/>
      <c r="O2321" s="86"/>
      <c r="P2321" s="1817" t="e">
        <f>INDEX(#REF!,MATCH(F2321,#REF!,0),2)</f>
        <v>#REF!</v>
      </c>
    </row>
    <row r="2322" spans="1:16" ht="94.15" customHeight="1">
      <c r="A2322" s="634"/>
      <c r="B2322" s="634" t="s">
        <v>1248</v>
      </c>
      <c r="C2322" s="634" t="s">
        <v>534</v>
      </c>
      <c r="D2322" s="1597" t="s">
        <v>1762</v>
      </c>
      <c r="E2322" s="2093" t="s">
        <v>1951</v>
      </c>
      <c r="F2322" s="635">
        <v>2243</v>
      </c>
      <c r="G2322" s="432" t="s">
        <v>329</v>
      </c>
      <c r="H2322" s="736">
        <v>3800</v>
      </c>
      <c r="I2322" s="736"/>
      <c r="J2322" s="2520">
        <v>2708.12</v>
      </c>
      <c r="K2322" s="738"/>
      <c r="L2322" s="736">
        <v>2400</v>
      </c>
      <c r="M2322" s="1500"/>
      <c r="N2322" s="2847"/>
      <c r="O2322" s="86"/>
      <c r="P2322" s="1817" t="e">
        <f>INDEX(#REF!,MATCH(F2322,#REF!,0),2)</f>
        <v>#REF!</v>
      </c>
    </row>
    <row r="2323" spans="1:16">
      <c r="A2323" s="1465"/>
      <c r="B2323" s="424" t="s">
        <v>1248</v>
      </c>
      <c r="C2323" s="424" t="s">
        <v>507</v>
      </c>
      <c r="D2323" s="1598"/>
      <c r="E2323" s="2104" t="s">
        <v>1951</v>
      </c>
      <c r="F2323" s="438">
        <v>2243</v>
      </c>
      <c r="G2323" s="1548" t="s">
        <v>2126</v>
      </c>
      <c r="H2323" s="1546"/>
      <c r="I2323" s="1479">
        <v>300</v>
      </c>
      <c r="J2323" s="1485"/>
      <c r="K2323" s="1541"/>
      <c r="L2323" s="1540"/>
      <c r="M2323" s="1479">
        <v>300</v>
      </c>
      <c r="N2323" s="2847"/>
      <c r="O2323" s="86"/>
      <c r="P2323" s="1817"/>
    </row>
    <row r="2324" spans="1:16" ht="22.5">
      <c r="A2324" s="1465"/>
      <c r="B2324" s="424" t="s">
        <v>1248</v>
      </c>
      <c r="C2324" s="424" t="s">
        <v>507</v>
      </c>
      <c r="D2324" s="1598"/>
      <c r="E2324" s="2104" t="s">
        <v>1951</v>
      </c>
      <c r="F2324" s="438">
        <v>2243</v>
      </c>
      <c r="G2324" s="1548" t="s">
        <v>2127</v>
      </c>
      <c r="H2324" s="1546"/>
      <c r="I2324" s="1479">
        <v>500</v>
      </c>
      <c r="J2324" s="1485"/>
      <c r="K2324" s="1541"/>
      <c r="L2324" s="1540"/>
      <c r="M2324" s="1479">
        <v>1500</v>
      </c>
      <c r="N2324" s="2847"/>
      <c r="O2324" s="86"/>
      <c r="P2324" s="1817" t="e">
        <f>INDEX(#REF!,MATCH(F2324,#REF!,0),2)</f>
        <v>#REF!</v>
      </c>
    </row>
    <row r="2325" spans="1:16" ht="22.5">
      <c r="A2325" s="2790"/>
      <c r="B2325" s="424" t="s">
        <v>1248</v>
      </c>
      <c r="C2325" s="424" t="s">
        <v>507</v>
      </c>
      <c r="D2325" s="1598"/>
      <c r="E2325" s="2104" t="s">
        <v>1951</v>
      </c>
      <c r="F2325" s="438">
        <v>2243</v>
      </c>
      <c r="G2325" s="2557" t="s">
        <v>4108</v>
      </c>
      <c r="H2325" s="3002"/>
      <c r="I2325" s="2779"/>
      <c r="J2325" s="2776"/>
      <c r="K2325" s="2777"/>
      <c r="L2325" s="2999"/>
      <c r="M2325" s="2779">
        <v>600</v>
      </c>
      <c r="N2325" s="2847"/>
      <c r="O2325" s="86"/>
      <c r="P2325" s="1817" t="e">
        <f>INDEX(#REF!,MATCH(F2325,#REF!,0),2)</f>
        <v>#REF!</v>
      </c>
    </row>
    <row r="2326" spans="1:16" ht="101.25">
      <c r="A2326" s="424"/>
      <c r="B2326" s="424" t="s">
        <v>1248</v>
      </c>
      <c r="C2326" s="424" t="s">
        <v>507</v>
      </c>
      <c r="D2326" s="1598"/>
      <c r="E2326" s="2104" t="s">
        <v>1951</v>
      </c>
      <c r="F2326" s="438">
        <v>2243</v>
      </c>
      <c r="G2326" s="1548" t="s">
        <v>1370</v>
      </c>
      <c r="H2326" s="741"/>
      <c r="I2326" s="431">
        <v>3000</v>
      </c>
      <c r="J2326" s="444"/>
      <c r="K2326" s="685"/>
      <c r="L2326" s="1502"/>
      <c r="M2326" s="750"/>
      <c r="N2326" s="2847"/>
      <c r="O2326" s="86"/>
      <c r="P2326" s="1817" t="e">
        <f>INDEX(#REF!,MATCH(F2326,#REF!,0),2)</f>
        <v>#REF!</v>
      </c>
    </row>
    <row r="2327" spans="1:16" ht="22.5">
      <c r="A2327" s="634"/>
      <c r="B2327" s="3123" t="s">
        <v>1249</v>
      </c>
      <c r="C2327" s="634" t="s">
        <v>534</v>
      </c>
      <c r="D2327" s="1597" t="s">
        <v>1762</v>
      </c>
      <c r="E2327" s="2093" t="s">
        <v>1951</v>
      </c>
      <c r="F2327" s="635">
        <v>2243</v>
      </c>
      <c r="G2327" s="432" t="s">
        <v>329</v>
      </c>
      <c r="H2327" s="736">
        <v>8000</v>
      </c>
      <c r="I2327" s="736"/>
      <c r="J2327" s="2520"/>
      <c r="K2327" s="738"/>
      <c r="L2327" s="736">
        <v>0</v>
      </c>
      <c r="M2327" s="736"/>
      <c r="N2327" s="241"/>
      <c r="O2327" s="86"/>
      <c r="P2327" s="1817" t="e">
        <f>INDEX(#REF!,MATCH(F2327,#REF!,0),2)</f>
        <v>#REF!</v>
      </c>
    </row>
    <row r="2328" spans="1:16" ht="33.75">
      <c r="A2328" s="1465"/>
      <c r="B2328" s="424" t="s">
        <v>1249</v>
      </c>
      <c r="C2328" s="424" t="s">
        <v>507</v>
      </c>
      <c r="D2328" s="1598"/>
      <c r="E2328" s="2104" t="s">
        <v>1951</v>
      </c>
      <c r="F2328" s="438">
        <v>2243</v>
      </c>
      <c r="G2328" s="1548" t="s">
        <v>2128</v>
      </c>
      <c r="H2328" s="1546"/>
      <c r="I2328" s="1479">
        <v>8000</v>
      </c>
      <c r="J2328" s="1485"/>
      <c r="K2328" s="1541"/>
      <c r="L2328" s="1546"/>
      <c r="M2328" s="1479"/>
      <c r="N2328" s="2847"/>
      <c r="O2328" s="86"/>
      <c r="P2328" s="1817" t="e">
        <f>INDEX(#REF!,MATCH(F2328,#REF!,0),2)</f>
        <v>#REF!</v>
      </c>
    </row>
    <row r="2329" spans="1:16">
      <c r="A2329" s="634"/>
      <c r="B2329" s="634" t="s">
        <v>1248</v>
      </c>
      <c r="C2329" s="634" t="s">
        <v>505</v>
      </c>
      <c r="D2329" s="1597" t="s">
        <v>1762</v>
      </c>
      <c r="E2329" s="2093" t="s">
        <v>1951</v>
      </c>
      <c r="F2329" s="635">
        <v>2244</v>
      </c>
      <c r="G2329" s="432" t="s">
        <v>518</v>
      </c>
      <c r="H2329" s="736">
        <v>1300</v>
      </c>
      <c r="I2329" s="736"/>
      <c r="J2329" s="2520">
        <v>690.18</v>
      </c>
      <c r="K2329" s="738"/>
      <c r="L2329" s="736">
        <v>1300</v>
      </c>
      <c r="M2329" s="736"/>
      <c r="N2329" s="2847"/>
      <c r="O2329" s="86"/>
      <c r="P2329" s="1817" t="e">
        <f>INDEX(#REF!,MATCH(F2329,#REF!,0),2)</f>
        <v>#REF!</v>
      </c>
    </row>
    <row r="2330" spans="1:16" ht="22.5">
      <c r="A2330" s="424"/>
      <c r="B2330" s="424" t="s">
        <v>1248</v>
      </c>
      <c r="C2330" s="424" t="s">
        <v>505</v>
      </c>
      <c r="D2330" s="1598"/>
      <c r="E2330" s="2104" t="s">
        <v>1951</v>
      </c>
      <c r="F2330" s="438">
        <v>2244</v>
      </c>
      <c r="G2330" s="1548" t="s">
        <v>2129</v>
      </c>
      <c r="H2330" s="741"/>
      <c r="I2330" s="431">
        <v>1300</v>
      </c>
      <c r="J2330" s="444"/>
      <c r="K2330" s="685"/>
      <c r="L2330" s="741"/>
      <c r="M2330" s="431">
        <v>1300</v>
      </c>
      <c r="N2330" s="2847"/>
      <c r="O2330" s="86"/>
      <c r="P2330" s="1817" t="e">
        <f>INDEX(#REF!,MATCH(F2330,#REF!,0),2)</f>
        <v>#REF!</v>
      </c>
    </row>
    <row r="2331" spans="1:16">
      <c r="A2331" s="634"/>
      <c r="B2331" s="634" t="s">
        <v>1249</v>
      </c>
      <c r="C2331" s="634" t="s">
        <v>534</v>
      </c>
      <c r="D2331" s="1597" t="s">
        <v>1762</v>
      </c>
      <c r="E2331" s="2093" t="s">
        <v>1951</v>
      </c>
      <c r="F2331" s="635">
        <v>2244</v>
      </c>
      <c r="G2331" s="432" t="s">
        <v>518</v>
      </c>
      <c r="H2331" s="736"/>
      <c r="I2331" s="736"/>
      <c r="J2331" s="2520">
        <v>690.18</v>
      </c>
      <c r="K2331" s="738"/>
      <c r="L2331" s="736">
        <v>8500</v>
      </c>
      <c r="M2331" s="1500"/>
      <c r="N2331" s="2847"/>
      <c r="O2331" s="86"/>
      <c r="P2331" s="1817" t="e">
        <f>INDEX(#REF!,MATCH(F2331,#REF!,0),2)</f>
        <v>#REF!</v>
      </c>
    </row>
    <row r="2332" spans="1:16" ht="45">
      <c r="A2332" s="424"/>
      <c r="B2332" s="424" t="s">
        <v>1249</v>
      </c>
      <c r="C2332" s="424" t="s">
        <v>507</v>
      </c>
      <c r="D2332" s="1598"/>
      <c r="E2332" s="2104" t="s">
        <v>1951</v>
      </c>
      <c r="F2332" s="438">
        <v>2244</v>
      </c>
      <c r="G2332" s="3118" t="s">
        <v>4106</v>
      </c>
      <c r="H2332" s="1546"/>
      <c r="I2332" s="1479"/>
      <c r="J2332" s="1479"/>
      <c r="K2332" s="1541"/>
      <c r="L2332" s="1540"/>
      <c r="M2332" s="1479">
        <v>8500</v>
      </c>
      <c r="N2332" s="3119" t="s">
        <v>4107</v>
      </c>
      <c r="O2332" s="86"/>
      <c r="P2332" s="1817" t="e">
        <f>INDEX(#REF!,MATCH(F2332,#REF!,0),2)</f>
        <v>#REF!</v>
      </c>
    </row>
    <row r="2333" spans="1:16">
      <c r="A2333" s="634"/>
      <c r="B2333" s="634" t="s">
        <v>1248</v>
      </c>
      <c r="C2333" s="634" t="s">
        <v>505</v>
      </c>
      <c r="D2333" s="1597" t="s">
        <v>1762</v>
      </c>
      <c r="E2333" s="2093" t="s">
        <v>1951</v>
      </c>
      <c r="F2333" s="635">
        <v>2247</v>
      </c>
      <c r="G2333" s="432" t="s">
        <v>281</v>
      </c>
      <c r="H2333" s="736">
        <v>930</v>
      </c>
      <c r="I2333" s="736"/>
      <c r="J2333" s="2520">
        <v>111.12</v>
      </c>
      <c r="K2333" s="738"/>
      <c r="L2333" s="736">
        <v>2300</v>
      </c>
      <c r="M2333" s="1500"/>
      <c r="N2333" s="2847"/>
      <c r="O2333" s="86"/>
      <c r="P2333" s="1817" t="e">
        <f>INDEX(#REF!,MATCH(F2333,#REF!,0),2)</f>
        <v>#REF!</v>
      </c>
    </row>
    <row r="2334" spans="1:16" ht="12.6" customHeight="1">
      <c r="A2334" s="424"/>
      <c r="B2334" s="424" t="s">
        <v>1248</v>
      </c>
      <c r="C2334" s="424" t="s">
        <v>505</v>
      </c>
      <c r="D2334" s="1598"/>
      <c r="E2334" s="2104" t="s">
        <v>1951</v>
      </c>
      <c r="F2334" s="438">
        <v>2247</v>
      </c>
      <c r="G2334" s="3118" t="s">
        <v>2678</v>
      </c>
      <c r="H2334" s="741"/>
      <c r="I2334" s="431">
        <v>80</v>
      </c>
      <c r="J2334" s="444"/>
      <c r="K2334" s="685"/>
      <c r="L2334" s="1502"/>
      <c r="M2334" s="431"/>
      <c r="N2334" s="2847"/>
      <c r="O2334" s="86"/>
      <c r="P2334" s="1817" t="e">
        <f>INDEX(#REF!,MATCH(F2334,#REF!,0),2)</f>
        <v>#REF!</v>
      </c>
    </row>
    <row r="2335" spans="1:16" ht="33.75">
      <c r="A2335" s="1882"/>
      <c r="B2335" s="424" t="s">
        <v>1248</v>
      </c>
      <c r="C2335" s="424" t="s">
        <v>505</v>
      </c>
      <c r="D2335" s="1598"/>
      <c r="E2335" s="2104" t="s">
        <v>1951</v>
      </c>
      <c r="F2335" s="438">
        <v>2247</v>
      </c>
      <c r="G2335" s="3118" t="s">
        <v>4090</v>
      </c>
      <c r="H2335" s="1918"/>
      <c r="I2335" s="1892">
        <v>850</v>
      </c>
      <c r="J2335" s="1916"/>
      <c r="K2335" s="1917"/>
      <c r="L2335" s="1937"/>
      <c r="M2335" s="1892">
        <v>2300</v>
      </c>
      <c r="N2335" s="2847" t="s">
        <v>3844</v>
      </c>
      <c r="O2335" s="86"/>
      <c r="P2335" s="1817" t="e">
        <f>INDEX(#REF!,MATCH(F2335,#REF!,0),2)</f>
        <v>#REF!</v>
      </c>
    </row>
    <row r="2336" spans="1:16" ht="25.5" customHeight="1">
      <c r="A2336" s="634"/>
      <c r="B2336" s="634" t="s">
        <v>1248</v>
      </c>
      <c r="C2336" s="634" t="s">
        <v>507</v>
      </c>
      <c r="D2336" s="1597" t="s">
        <v>1762</v>
      </c>
      <c r="E2336" s="2093" t="s">
        <v>1951</v>
      </c>
      <c r="F2336" s="635">
        <v>2250</v>
      </c>
      <c r="G2336" s="432" t="s">
        <v>1254</v>
      </c>
      <c r="H2336" s="674">
        <v>4000</v>
      </c>
      <c r="I2336" s="736"/>
      <c r="J2336" s="2520">
        <v>2791.5</v>
      </c>
      <c r="K2336" s="738"/>
      <c r="L2336" s="674">
        <v>5900</v>
      </c>
      <c r="M2336" s="736"/>
      <c r="N2336" s="2847"/>
      <c r="O2336" s="86"/>
      <c r="P2336" s="1817"/>
    </row>
    <row r="2337" spans="1:23">
      <c r="A2337" s="424"/>
      <c r="B2337" s="424" t="s">
        <v>1248</v>
      </c>
      <c r="C2337" s="424" t="s">
        <v>507</v>
      </c>
      <c r="D2337" s="1598"/>
      <c r="E2337" s="2104" t="s">
        <v>1951</v>
      </c>
      <c r="F2337" s="438">
        <v>2250</v>
      </c>
      <c r="G2337" s="2557" t="s">
        <v>743</v>
      </c>
      <c r="H2337" s="741"/>
      <c r="I2337" s="431">
        <v>4000</v>
      </c>
      <c r="J2337" s="444"/>
      <c r="K2337" s="685"/>
      <c r="L2337" s="741"/>
      <c r="M2337" s="431">
        <v>900</v>
      </c>
      <c r="N2337" s="2847"/>
      <c r="O2337" s="86"/>
      <c r="P2337" s="1817" t="e">
        <f>INDEX(#REF!,MATCH(F2337,#REF!,0),2)</f>
        <v>#REF!</v>
      </c>
    </row>
    <row r="2338" spans="1:23">
      <c r="A2338" s="61"/>
      <c r="B2338" s="424" t="s">
        <v>1248</v>
      </c>
      <c r="C2338" s="424" t="s">
        <v>507</v>
      </c>
      <c r="D2338" s="1598"/>
      <c r="E2338" s="2104" t="s">
        <v>1951</v>
      </c>
      <c r="F2338" s="438">
        <v>2250</v>
      </c>
      <c r="G2338" s="3116" t="s">
        <v>4105</v>
      </c>
      <c r="H2338" s="3002"/>
      <c r="I2338" s="2779"/>
      <c r="J2338" s="2776"/>
      <c r="K2338" s="2777"/>
      <c r="L2338" s="3002"/>
      <c r="M2338" s="2779">
        <v>5000</v>
      </c>
      <c r="N2338" s="2847"/>
      <c r="O2338" s="86"/>
      <c r="P2338" s="1817" t="e">
        <f>INDEX(#REF!,MATCH(F2338,#REF!,0),2)</f>
        <v>#REF!</v>
      </c>
    </row>
    <row r="2339" spans="1:23">
      <c r="A2339" s="634"/>
      <c r="B2339" s="634" t="s">
        <v>1248</v>
      </c>
      <c r="C2339" s="634" t="s">
        <v>505</v>
      </c>
      <c r="D2339" s="1597" t="s">
        <v>1762</v>
      </c>
      <c r="E2339" s="2093" t="s">
        <v>1951</v>
      </c>
      <c r="F2339" s="635">
        <v>2264</v>
      </c>
      <c r="G2339" s="432" t="s">
        <v>240</v>
      </c>
      <c r="H2339" s="736">
        <v>400</v>
      </c>
      <c r="I2339" s="736"/>
      <c r="J2339" s="2520">
        <v>174.18</v>
      </c>
      <c r="K2339" s="738"/>
      <c r="L2339" s="736">
        <v>400</v>
      </c>
      <c r="M2339" s="736"/>
      <c r="N2339" s="2847"/>
      <c r="O2339" s="86"/>
      <c r="P2339" s="1817" t="e">
        <f>INDEX(#REF!,MATCH(F2339,#REF!,0),2)</f>
        <v>#REF!</v>
      </c>
    </row>
    <row r="2340" spans="1:23">
      <c r="A2340" s="424"/>
      <c r="B2340" s="424" t="s">
        <v>1248</v>
      </c>
      <c r="C2340" s="424" t="s">
        <v>505</v>
      </c>
      <c r="D2340" s="1598"/>
      <c r="E2340" s="2104" t="s">
        <v>1951</v>
      </c>
      <c r="F2340" s="438">
        <v>2264</v>
      </c>
      <c r="G2340" s="1549" t="s">
        <v>2130</v>
      </c>
      <c r="H2340" s="741"/>
      <c r="I2340" s="431">
        <v>400</v>
      </c>
      <c r="J2340" s="444"/>
      <c r="K2340" s="685"/>
      <c r="L2340" s="741"/>
      <c r="M2340" s="431">
        <v>400</v>
      </c>
      <c r="N2340" s="2847"/>
      <c r="O2340" s="86"/>
      <c r="P2340" s="1817" t="e">
        <f>INDEX(#REF!,MATCH(F2340,#REF!,0),2)</f>
        <v>#REF!</v>
      </c>
    </row>
    <row r="2341" spans="1:23">
      <c r="A2341" s="634"/>
      <c r="B2341" s="634" t="s">
        <v>1248</v>
      </c>
      <c r="C2341" s="634" t="s">
        <v>505</v>
      </c>
      <c r="D2341" s="1597" t="s">
        <v>1762</v>
      </c>
      <c r="E2341" s="2093" t="s">
        <v>1951</v>
      </c>
      <c r="F2341" s="635">
        <v>2311</v>
      </c>
      <c r="G2341" s="432" t="s">
        <v>426</v>
      </c>
      <c r="H2341" s="674">
        <v>400</v>
      </c>
      <c r="I2341" s="736"/>
      <c r="J2341" s="2520">
        <v>157.34</v>
      </c>
      <c r="K2341" s="738"/>
      <c r="L2341" s="674">
        <v>400</v>
      </c>
      <c r="M2341" s="736"/>
      <c r="N2341" s="2847"/>
      <c r="O2341" s="86"/>
      <c r="P2341" s="1817" t="e">
        <f>INDEX(#REF!,MATCH(F2341,#REF!,0),2)</f>
        <v>#REF!</v>
      </c>
    </row>
    <row r="2342" spans="1:23" ht="22.5">
      <c r="A2342" s="424"/>
      <c r="B2342" s="424" t="s">
        <v>1248</v>
      </c>
      <c r="C2342" s="424" t="s">
        <v>505</v>
      </c>
      <c r="D2342" s="1598"/>
      <c r="E2342" s="2104" t="s">
        <v>1951</v>
      </c>
      <c r="F2342" s="438">
        <v>2311</v>
      </c>
      <c r="G2342" s="425" t="s">
        <v>427</v>
      </c>
      <c r="H2342" s="741"/>
      <c r="I2342" s="431">
        <v>400</v>
      </c>
      <c r="J2342" s="444"/>
      <c r="K2342" s="685"/>
      <c r="L2342" s="741"/>
      <c r="M2342" s="431">
        <v>400</v>
      </c>
      <c r="N2342" s="2847"/>
      <c r="O2342" s="86"/>
      <c r="P2342" s="1817" t="e">
        <f>INDEX(#REF!,MATCH(F2342,#REF!,0),2)</f>
        <v>#REF!</v>
      </c>
    </row>
    <row r="2343" spans="1:23">
      <c r="A2343" s="634"/>
      <c r="B2343" s="634" t="s">
        <v>1248</v>
      </c>
      <c r="C2343" s="634" t="s">
        <v>505</v>
      </c>
      <c r="D2343" s="1597" t="s">
        <v>1762</v>
      </c>
      <c r="E2343" s="2093" t="s">
        <v>1951</v>
      </c>
      <c r="F2343" s="635">
        <v>2312</v>
      </c>
      <c r="G2343" s="432" t="s">
        <v>249</v>
      </c>
      <c r="H2343" s="674">
        <v>1800</v>
      </c>
      <c r="I2343" s="736"/>
      <c r="J2343" s="2520">
        <v>50.97</v>
      </c>
      <c r="K2343" s="738"/>
      <c r="L2343" s="674">
        <v>0</v>
      </c>
      <c r="M2343" s="736"/>
      <c r="N2343" s="2847"/>
      <c r="O2343" s="86"/>
      <c r="P2343" s="1817" t="e">
        <f>INDEX(#REF!,MATCH(F2343,#REF!,0),2)</f>
        <v>#REF!</v>
      </c>
    </row>
    <row r="2344" spans="1:23" ht="22.5">
      <c r="A2344" s="424"/>
      <c r="B2344" s="424" t="s">
        <v>1248</v>
      </c>
      <c r="C2344" s="424" t="s">
        <v>505</v>
      </c>
      <c r="D2344" s="1598"/>
      <c r="E2344" s="2104" t="s">
        <v>1951</v>
      </c>
      <c r="F2344" s="438">
        <v>2312</v>
      </c>
      <c r="G2344" s="429" t="s">
        <v>2131</v>
      </c>
      <c r="H2344" s="741"/>
      <c r="I2344" s="431">
        <v>1300</v>
      </c>
      <c r="J2344" s="444"/>
      <c r="K2344" s="685"/>
      <c r="L2344" s="741"/>
      <c r="M2344" s="431"/>
      <c r="N2344" s="2847"/>
      <c r="O2344" s="86"/>
      <c r="P2344" s="1817" t="e">
        <f>INDEX(#REF!,MATCH(F2344,#REF!,0),2)</f>
        <v>#REF!</v>
      </c>
      <c r="V2344" s="81"/>
      <c r="W2344"/>
    </row>
    <row r="2345" spans="1:23">
      <c r="A2345" s="424"/>
      <c r="B2345" s="424" t="s">
        <v>1248</v>
      </c>
      <c r="C2345" s="424" t="s">
        <v>505</v>
      </c>
      <c r="D2345" s="1598"/>
      <c r="E2345" s="2104" t="s">
        <v>1951</v>
      </c>
      <c r="F2345" s="438">
        <v>2312</v>
      </c>
      <c r="G2345" s="429" t="s">
        <v>2132</v>
      </c>
      <c r="H2345" s="741"/>
      <c r="I2345" s="431">
        <v>500</v>
      </c>
      <c r="J2345" s="444"/>
      <c r="K2345" s="685"/>
      <c r="L2345" s="1502"/>
      <c r="M2345" s="750"/>
      <c r="N2345" s="2847"/>
      <c r="O2345" s="86"/>
      <c r="P2345" s="1817" t="e">
        <f>INDEX(#REF!,MATCH(F2345,#REF!,0),2)</f>
        <v>#REF!</v>
      </c>
      <c r="V2345" s="81"/>
      <c r="W2345"/>
    </row>
    <row r="2346" spans="1:23">
      <c r="A2346" s="634"/>
      <c r="B2346" s="634" t="s">
        <v>1248</v>
      </c>
      <c r="C2346" s="634" t="s">
        <v>505</v>
      </c>
      <c r="D2346" s="1597" t="s">
        <v>1762</v>
      </c>
      <c r="E2346" s="2093" t="s">
        <v>1951</v>
      </c>
      <c r="F2346" s="635">
        <v>2322</v>
      </c>
      <c r="G2346" s="432" t="s">
        <v>319</v>
      </c>
      <c r="H2346" s="674">
        <v>0</v>
      </c>
      <c r="I2346" s="736"/>
      <c r="J2346" s="2520" t="s">
        <v>2426</v>
      </c>
      <c r="K2346" s="738"/>
      <c r="L2346" s="674">
        <v>0</v>
      </c>
      <c r="M2346" s="736"/>
      <c r="N2346" s="2847"/>
      <c r="O2346" s="1817"/>
      <c r="P2346" s="1817" t="e">
        <f>INDEX(#REF!,MATCH(F2346,#REF!,0),2)</f>
        <v>#REF!</v>
      </c>
      <c r="V2346" s="81"/>
      <c r="W2346"/>
    </row>
    <row r="2347" spans="1:23">
      <c r="A2347" s="424"/>
      <c r="B2347" s="424" t="s">
        <v>1248</v>
      </c>
      <c r="C2347" s="424" t="s">
        <v>505</v>
      </c>
      <c r="D2347" s="1598"/>
      <c r="E2347" s="2104" t="s">
        <v>1951</v>
      </c>
      <c r="F2347" s="438">
        <v>2322</v>
      </c>
      <c r="G2347" s="429"/>
      <c r="H2347" s="741"/>
      <c r="I2347" s="431"/>
      <c r="J2347" s="444"/>
      <c r="K2347" s="685"/>
      <c r="L2347" s="741"/>
      <c r="M2347" s="431"/>
      <c r="N2347" s="2847"/>
      <c r="O2347" s="1817"/>
      <c r="P2347" s="1817" t="e">
        <f>INDEX(#REF!,MATCH(F2347,#REF!,0),2)</f>
        <v>#REF!</v>
      </c>
      <c r="V2347" s="81"/>
      <c r="W2347"/>
    </row>
    <row r="2348" spans="1:23">
      <c r="A2348" s="742"/>
      <c r="B2348" s="742" t="s">
        <v>1248</v>
      </c>
      <c r="C2348" s="742" t="s">
        <v>505</v>
      </c>
      <c r="D2348" s="1597" t="s">
        <v>1762</v>
      </c>
      <c r="E2348" s="2278" t="s">
        <v>1951</v>
      </c>
      <c r="F2348" s="743">
        <v>2350</v>
      </c>
      <c r="G2348" s="744" t="s">
        <v>251</v>
      </c>
      <c r="H2348" s="674">
        <v>1200</v>
      </c>
      <c r="I2348" s="736"/>
      <c r="J2348" s="2520">
        <v>280.89</v>
      </c>
      <c r="K2348" s="738"/>
      <c r="L2348" s="674">
        <v>1200</v>
      </c>
      <c r="M2348" s="1500"/>
      <c r="N2348" s="2847"/>
      <c r="O2348" s="1817"/>
      <c r="P2348" s="1817" t="e">
        <f>INDEX(#REF!,MATCH(F2348,#REF!,0),2)</f>
        <v>#REF!</v>
      </c>
    </row>
    <row r="2349" spans="1:23" ht="23.45" customHeight="1">
      <c r="A2349" s="424"/>
      <c r="B2349" s="424" t="s">
        <v>1248</v>
      </c>
      <c r="C2349" s="424" t="s">
        <v>505</v>
      </c>
      <c r="D2349" s="1598"/>
      <c r="E2349" s="2104" t="s">
        <v>1951</v>
      </c>
      <c r="F2349" s="438">
        <v>2350</v>
      </c>
      <c r="G2349" s="61" t="s">
        <v>2133</v>
      </c>
      <c r="H2349" s="741"/>
      <c r="I2349" s="431">
        <v>700</v>
      </c>
      <c r="J2349" s="444"/>
      <c r="K2349" s="685"/>
      <c r="L2349" s="1502"/>
      <c r="M2349" s="431">
        <v>700</v>
      </c>
      <c r="N2349" s="2847"/>
      <c r="O2349" s="1817"/>
      <c r="P2349" s="1817" t="e">
        <f>INDEX(#REF!,MATCH(F2349,#REF!,0),2)</f>
        <v>#REF!</v>
      </c>
    </row>
    <row r="2350" spans="1:23" ht="23.45" customHeight="1">
      <c r="A2350" s="1465"/>
      <c r="B2350" s="424" t="s">
        <v>1248</v>
      </c>
      <c r="C2350" s="424" t="s">
        <v>505</v>
      </c>
      <c r="D2350" s="1598"/>
      <c r="E2350" s="2104" t="s">
        <v>1951</v>
      </c>
      <c r="F2350" s="438">
        <v>2350</v>
      </c>
      <c r="G2350" s="1547" t="s">
        <v>2134</v>
      </c>
      <c r="H2350" s="1546"/>
      <c r="I2350" s="1479">
        <v>500</v>
      </c>
      <c r="J2350" s="1485"/>
      <c r="K2350" s="1541"/>
      <c r="L2350" s="1540"/>
      <c r="M2350" s="1479">
        <v>500</v>
      </c>
      <c r="N2350" s="2847"/>
      <c r="O2350" s="86"/>
      <c r="P2350" s="1817"/>
    </row>
    <row r="2351" spans="1:23" ht="23.45" customHeight="1">
      <c r="A2351" s="742"/>
      <c r="B2351" s="742" t="s">
        <v>1249</v>
      </c>
      <c r="C2351" s="742" t="s">
        <v>507</v>
      </c>
      <c r="D2351" s="1597" t="s">
        <v>1762</v>
      </c>
      <c r="E2351" s="2278" t="s">
        <v>1951</v>
      </c>
      <c r="F2351" s="743">
        <v>2361</v>
      </c>
      <c r="G2351" s="744" t="s">
        <v>3759</v>
      </c>
      <c r="H2351" s="674"/>
      <c r="I2351" s="736"/>
      <c r="J2351" s="2520" t="s">
        <v>2426</v>
      </c>
      <c r="K2351" s="738"/>
      <c r="L2351" s="674">
        <v>7740</v>
      </c>
      <c r="M2351" s="736"/>
      <c r="N2351" s="2847"/>
      <c r="O2351" s="86"/>
      <c r="P2351" s="1817" t="e">
        <f>INDEX(#REF!,MATCH(F2351,#REF!,0),2)</f>
        <v>#REF!</v>
      </c>
    </row>
    <row r="2352" spans="1:23" ht="23.45" customHeight="1">
      <c r="A2352" s="424"/>
      <c r="B2352" s="424" t="s">
        <v>1249</v>
      </c>
      <c r="C2352" s="424" t="s">
        <v>507</v>
      </c>
      <c r="D2352" s="1598"/>
      <c r="E2352" s="2104" t="s">
        <v>1951</v>
      </c>
      <c r="F2352" s="438">
        <v>2361</v>
      </c>
      <c r="G2352" s="3116" t="s">
        <v>4112</v>
      </c>
      <c r="H2352" s="741"/>
      <c r="I2352" s="431"/>
      <c r="J2352" s="444"/>
      <c r="K2352" s="685"/>
      <c r="L2352" s="741"/>
      <c r="M2352" s="431"/>
      <c r="N2352" s="2847"/>
      <c r="O2352" s="86"/>
      <c r="P2352" s="1817"/>
    </row>
    <row r="2353" spans="1:33" ht="23.45" customHeight="1">
      <c r="A2353" s="424"/>
      <c r="B2353" s="424" t="s">
        <v>1249</v>
      </c>
      <c r="C2353" s="424" t="s">
        <v>507</v>
      </c>
      <c r="D2353" s="1598"/>
      <c r="E2353" s="2104" t="s">
        <v>1951</v>
      </c>
      <c r="F2353" s="438">
        <v>2361</v>
      </c>
      <c r="G2353" s="3122" t="s">
        <v>4113</v>
      </c>
      <c r="H2353" s="741"/>
      <c r="I2353" s="431"/>
      <c r="J2353" s="444"/>
      <c r="K2353" s="685"/>
      <c r="L2353" s="741"/>
      <c r="M2353" s="431">
        <v>2940</v>
      </c>
      <c r="N2353" s="241"/>
      <c r="O2353" s="86"/>
      <c r="P2353" s="1817"/>
    </row>
    <row r="2354" spans="1:33" ht="23.45" customHeight="1">
      <c r="A2354" s="2790"/>
      <c r="B2354" s="424" t="s">
        <v>1249</v>
      </c>
      <c r="C2354" s="424" t="s">
        <v>507</v>
      </c>
      <c r="D2354" s="1598"/>
      <c r="E2354" s="2104" t="s">
        <v>1951</v>
      </c>
      <c r="F2354" s="438">
        <v>2361</v>
      </c>
      <c r="G2354" s="3122" t="s">
        <v>4114</v>
      </c>
      <c r="H2354" s="3002"/>
      <c r="I2354" s="2779"/>
      <c r="J2354" s="2776"/>
      <c r="K2354" s="2777"/>
      <c r="L2354" s="3002"/>
      <c r="M2354" s="2779">
        <v>900</v>
      </c>
      <c r="N2354" s="241"/>
      <c r="O2354" s="86"/>
      <c r="P2354" s="1817"/>
    </row>
    <row r="2355" spans="1:33" ht="23.45" customHeight="1">
      <c r="A2355" s="2790"/>
      <c r="B2355" s="424" t="s">
        <v>1249</v>
      </c>
      <c r="C2355" s="424" t="s">
        <v>507</v>
      </c>
      <c r="D2355" s="1598"/>
      <c r="E2355" s="2104" t="s">
        <v>1951</v>
      </c>
      <c r="F2355" s="438">
        <v>2361</v>
      </c>
      <c r="G2355" s="3116" t="s">
        <v>4115</v>
      </c>
      <c r="H2355" s="3002"/>
      <c r="I2355" s="2779"/>
      <c r="J2355" s="2776"/>
      <c r="K2355" s="2777"/>
      <c r="L2355" s="3002"/>
      <c r="M2355" s="2779">
        <v>400</v>
      </c>
      <c r="N2355" s="2847"/>
      <c r="O2355" s="86"/>
      <c r="P2355" s="1817"/>
    </row>
    <row r="2356" spans="1:33" ht="22.5">
      <c r="A2356" s="2790"/>
      <c r="B2356" s="424" t="s">
        <v>1249</v>
      </c>
      <c r="C2356" s="424" t="s">
        <v>507</v>
      </c>
      <c r="D2356" s="1598"/>
      <c r="E2356" s="2104" t="s">
        <v>1951</v>
      </c>
      <c r="F2356" s="438">
        <v>2361</v>
      </c>
      <c r="G2356" s="3116" t="s">
        <v>4116</v>
      </c>
      <c r="H2356" s="3002"/>
      <c r="I2356" s="2779"/>
      <c r="J2356" s="2776"/>
      <c r="K2356" s="2777"/>
      <c r="L2356" s="3002"/>
      <c r="M2356" s="2779"/>
      <c r="N2356" s="2847"/>
      <c r="O2356" s="86"/>
      <c r="P2356" s="1817"/>
    </row>
    <row r="2357" spans="1:33" ht="16.899999999999999" customHeight="1">
      <c r="A2357" s="2790"/>
      <c r="B2357" s="424" t="s">
        <v>1249</v>
      </c>
      <c r="C2357" s="424" t="s">
        <v>507</v>
      </c>
      <c r="D2357" s="1598"/>
      <c r="E2357" s="2104" t="s">
        <v>1951</v>
      </c>
      <c r="F2357" s="438">
        <v>2361</v>
      </c>
      <c r="G2357" s="3122" t="s">
        <v>4117</v>
      </c>
      <c r="H2357" s="3002"/>
      <c r="I2357" s="2779"/>
      <c r="J2357" s="2776"/>
      <c r="K2357" s="2777"/>
      <c r="L2357" s="3002"/>
      <c r="M2357" s="2779">
        <v>1400</v>
      </c>
      <c r="N2357" s="2847"/>
      <c r="O2357" s="86"/>
      <c r="P2357" s="1817"/>
    </row>
    <row r="2358" spans="1:33">
      <c r="A2358" s="2790"/>
      <c r="B2358" s="424" t="s">
        <v>1249</v>
      </c>
      <c r="C2358" s="424" t="s">
        <v>507</v>
      </c>
      <c r="D2358" s="1598"/>
      <c r="E2358" s="2104" t="s">
        <v>1951</v>
      </c>
      <c r="F2358" s="438">
        <v>2361</v>
      </c>
      <c r="G2358" s="3122" t="s">
        <v>4118</v>
      </c>
      <c r="H2358" s="3002"/>
      <c r="I2358" s="2779"/>
      <c r="J2358" s="2776"/>
      <c r="K2358" s="2777"/>
      <c r="L2358" s="3002"/>
      <c r="M2358" s="2779">
        <v>1300</v>
      </c>
      <c r="N2358" s="2847"/>
      <c r="O2358" s="86"/>
      <c r="P2358" s="1817" t="e">
        <f>INDEX(#REF!,MATCH(F2358,#REF!,0),2)</f>
        <v>#REF!</v>
      </c>
      <c r="V2358" s="81"/>
      <c r="W2358"/>
    </row>
    <row r="2359" spans="1:33">
      <c r="A2359" s="2790"/>
      <c r="B2359" s="424" t="s">
        <v>1249</v>
      </c>
      <c r="C2359" s="424" t="s">
        <v>507</v>
      </c>
      <c r="D2359" s="1598"/>
      <c r="E2359" s="2104" t="s">
        <v>1951</v>
      </c>
      <c r="F2359" s="438">
        <v>2361</v>
      </c>
      <c r="G2359" s="3122" t="s">
        <v>4119</v>
      </c>
      <c r="H2359" s="3002"/>
      <c r="I2359" s="2779"/>
      <c r="J2359" s="2776"/>
      <c r="K2359" s="2777"/>
      <c r="L2359" s="3002"/>
      <c r="M2359" s="2779">
        <v>800</v>
      </c>
      <c r="N2359" s="2847"/>
      <c r="O2359" s="86"/>
      <c r="P2359" s="1817" t="e">
        <f>INDEX(#REF!,MATCH(F2359,#REF!,0),2)</f>
        <v>#REF!</v>
      </c>
    </row>
    <row r="2360" spans="1:33">
      <c r="A2360" s="742"/>
      <c r="B2360" s="742" t="s">
        <v>1248</v>
      </c>
      <c r="C2360" s="742" t="s">
        <v>505</v>
      </c>
      <c r="D2360" s="1597" t="s">
        <v>1762</v>
      </c>
      <c r="E2360" s="2278" t="s">
        <v>1951</v>
      </c>
      <c r="F2360" s="743">
        <v>2390</v>
      </c>
      <c r="G2360" s="744" t="s">
        <v>253</v>
      </c>
      <c r="H2360" s="674">
        <v>200</v>
      </c>
      <c r="I2360" s="736"/>
      <c r="J2360" s="2520">
        <v>124.5</v>
      </c>
      <c r="K2360" s="738"/>
      <c r="L2360" s="674">
        <v>0</v>
      </c>
      <c r="M2360" s="1500"/>
      <c r="N2360" s="2847"/>
      <c r="O2360" s="1817"/>
      <c r="P2360" s="1817" t="e">
        <f>INDEX(#REF!,MATCH(F2360,#REF!,0),2)</f>
        <v>#REF!</v>
      </c>
      <c r="V2360" s="81"/>
      <c r="W2360"/>
    </row>
    <row r="2361" spans="1:33">
      <c r="A2361" s="424"/>
      <c r="B2361" s="424" t="s">
        <v>1248</v>
      </c>
      <c r="C2361" s="424" t="s">
        <v>505</v>
      </c>
      <c r="D2361" s="1598"/>
      <c r="E2361" s="2104" t="s">
        <v>1951</v>
      </c>
      <c r="F2361" s="438">
        <v>2390</v>
      </c>
      <c r="G2361" s="61" t="s">
        <v>3187</v>
      </c>
      <c r="H2361" s="741"/>
      <c r="I2361" s="431">
        <v>200</v>
      </c>
      <c r="J2361" s="444"/>
      <c r="K2361" s="685"/>
      <c r="L2361" s="741"/>
      <c r="M2361" s="750"/>
      <c r="N2361" s="2847"/>
      <c r="O2361" s="86"/>
      <c r="P2361" s="1817" t="e">
        <f>INDEX(#REF!,MATCH(F2361,#REF!,0),2)</f>
        <v>#REF!</v>
      </c>
    </row>
    <row r="2362" spans="1:33" ht="11.45" customHeight="1">
      <c r="A2362" s="742"/>
      <c r="B2362" s="742" t="s">
        <v>1250</v>
      </c>
      <c r="C2362" s="742" t="s">
        <v>507</v>
      </c>
      <c r="D2362" s="1597" t="s">
        <v>1762</v>
      </c>
      <c r="E2362" s="2278" t="s">
        <v>1951</v>
      </c>
      <c r="F2362" s="743">
        <v>5238</v>
      </c>
      <c r="G2362" s="744" t="s">
        <v>2440</v>
      </c>
      <c r="H2362" s="674"/>
      <c r="I2362" s="736"/>
      <c r="J2362" s="2520" t="s">
        <v>2426</v>
      </c>
      <c r="K2362" s="738"/>
      <c r="L2362" s="674">
        <v>3000</v>
      </c>
      <c r="M2362" s="736"/>
      <c r="N2362" s="2847"/>
      <c r="O2362" s="1817"/>
      <c r="P2362" s="1817" t="e">
        <f>INDEX(#REF!,MATCH(F2362,#REF!,0),2)</f>
        <v>#REF!</v>
      </c>
      <c r="Q2362" s="11"/>
      <c r="R2362" s="11"/>
      <c r="S2362" s="11"/>
      <c r="T2362" s="11"/>
      <c r="U2362" s="11"/>
      <c r="V2362" s="11"/>
      <c r="W2362" s="4"/>
      <c r="X2362" s="11"/>
      <c r="Y2362" s="11"/>
      <c r="Z2362" s="11"/>
      <c r="AA2362" s="11"/>
      <c r="AB2362" s="11"/>
      <c r="AC2362" s="11"/>
      <c r="AD2362" s="11"/>
      <c r="AE2362" s="11"/>
      <c r="AF2362" s="11"/>
      <c r="AG2362" s="11"/>
    </row>
    <row r="2363" spans="1:33" ht="11.45" customHeight="1">
      <c r="A2363" s="424"/>
      <c r="B2363" s="424" t="s">
        <v>1250</v>
      </c>
      <c r="C2363" s="424" t="s">
        <v>507</v>
      </c>
      <c r="D2363" s="1598"/>
      <c r="E2363" s="2104" t="s">
        <v>1951</v>
      </c>
      <c r="F2363" s="438">
        <v>5238</v>
      </c>
      <c r="G2363" s="3120" t="s">
        <v>4111</v>
      </c>
      <c r="H2363" s="3002"/>
      <c r="I2363" s="2779"/>
      <c r="J2363" s="2776"/>
      <c r="K2363" s="2777"/>
      <c r="L2363" s="2999"/>
      <c r="M2363" s="4221">
        <v>3000</v>
      </c>
      <c r="N2363" s="3121" t="s">
        <v>6104</v>
      </c>
      <c r="O2363" s="86"/>
      <c r="P2363" s="1817" t="e">
        <f>INDEX(#REF!,MATCH(F2363,#REF!,0),2)</f>
        <v>#REF!</v>
      </c>
      <c r="Q2363" s="1779"/>
      <c r="R2363" s="1779"/>
      <c r="S2363" s="1779"/>
      <c r="T2363" s="1779"/>
      <c r="U2363" s="1779"/>
      <c r="V2363" s="1779"/>
      <c r="W2363" s="43"/>
      <c r="X2363" s="1779"/>
      <c r="Y2363" s="1779"/>
      <c r="Z2363" s="1779"/>
      <c r="AA2363" s="1779"/>
      <c r="AB2363" s="1779"/>
      <c r="AC2363" s="1779"/>
      <c r="AD2363" s="1779"/>
      <c r="AE2363" s="1779"/>
      <c r="AF2363" s="1779"/>
      <c r="AG2363" s="1779"/>
    </row>
    <row r="2364" spans="1:33" ht="11.45" customHeight="1">
      <c r="A2364" s="742"/>
      <c r="B2364" s="742" t="s">
        <v>1249</v>
      </c>
      <c r="C2364" s="742" t="s">
        <v>507</v>
      </c>
      <c r="D2364" s="1597" t="s">
        <v>1762</v>
      </c>
      <c r="E2364" s="2278" t="s">
        <v>1951</v>
      </c>
      <c r="F2364" s="743">
        <v>5239</v>
      </c>
      <c r="G2364" s="744" t="s">
        <v>2440</v>
      </c>
      <c r="H2364" s="674"/>
      <c r="I2364" s="736"/>
      <c r="J2364" s="2520" t="s">
        <v>2426</v>
      </c>
      <c r="K2364" s="738"/>
      <c r="L2364" s="674">
        <v>20000</v>
      </c>
      <c r="M2364" s="736"/>
      <c r="N2364" s="2847"/>
      <c r="O2364" s="86"/>
      <c r="P2364" s="1817" t="e">
        <f>INDEX(#REF!,MATCH(F2364,#REF!,0),2)</f>
        <v>#REF!</v>
      </c>
      <c r="Q2364" s="1779"/>
      <c r="R2364" s="1779"/>
      <c r="S2364" s="1779"/>
      <c r="T2364" s="1779"/>
      <c r="U2364" s="1779"/>
      <c r="V2364" s="1779"/>
      <c r="W2364" s="43"/>
      <c r="X2364" s="1779"/>
      <c r="Y2364" s="1779"/>
      <c r="Z2364" s="1779"/>
      <c r="AA2364" s="1779"/>
      <c r="AB2364" s="1779"/>
      <c r="AC2364" s="1779"/>
      <c r="AD2364" s="1779"/>
      <c r="AE2364" s="1779"/>
      <c r="AF2364" s="1779"/>
      <c r="AG2364" s="1779"/>
    </row>
    <row r="2365" spans="1:33" ht="11.45" customHeight="1">
      <c r="A2365" s="424"/>
      <c r="B2365" s="424" t="s">
        <v>1249</v>
      </c>
      <c r="C2365" s="424" t="s">
        <v>507</v>
      </c>
      <c r="D2365" s="1598"/>
      <c r="E2365" s="2104" t="s">
        <v>1951</v>
      </c>
      <c r="F2365" s="438">
        <v>5239</v>
      </c>
      <c r="G2365" s="3120" t="s">
        <v>4109</v>
      </c>
      <c r="H2365" s="741"/>
      <c r="I2365" s="431"/>
      <c r="J2365" s="444"/>
      <c r="K2365" s="685"/>
      <c r="L2365" s="1502"/>
      <c r="M2365" s="431">
        <v>20000</v>
      </c>
      <c r="N2365" s="2846" t="s">
        <v>4110</v>
      </c>
      <c r="O2365" s="86"/>
      <c r="P2365" s="1817" t="e">
        <f>INDEX(#REF!,MATCH(F2365,#REF!,0),2)</f>
        <v>#REF!</v>
      </c>
      <c r="Q2365" s="1779"/>
      <c r="R2365" s="1779"/>
      <c r="S2365" s="1779"/>
      <c r="T2365" s="1779"/>
      <c r="U2365" s="1779"/>
      <c r="V2365" s="1779"/>
      <c r="W2365" s="43"/>
      <c r="X2365" s="1779"/>
      <c r="Y2365" s="1779"/>
      <c r="Z2365" s="1779"/>
      <c r="AA2365" s="1779"/>
      <c r="AB2365" s="1779"/>
      <c r="AC2365" s="1779"/>
      <c r="AD2365" s="1779"/>
      <c r="AE2365" s="1779"/>
      <c r="AF2365" s="1779"/>
      <c r="AG2365" s="1779"/>
    </row>
    <row r="2366" spans="1:33" ht="25.15" customHeight="1">
      <c r="A2366" s="634"/>
      <c r="B2366" s="634" t="s">
        <v>663</v>
      </c>
      <c r="C2366" s="634" t="s">
        <v>652</v>
      </c>
      <c r="D2366" s="1597" t="s">
        <v>1761</v>
      </c>
      <c r="E2366" s="2244" t="s">
        <v>1932</v>
      </c>
      <c r="F2366" s="635">
        <v>1119</v>
      </c>
      <c r="G2366" s="432" t="s">
        <v>224</v>
      </c>
      <c r="H2366" s="674">
        <v>84192</v>
      </c>
      <c r="I2366" s="736"/>
      <c r="J2366" s="2520">
        <v>63418.29</v>
      </c>
      <c r="K2366" s="738"/>
      <c r="L2366" s="674">
        <v>89243.520000000004</v>
      </c>
      <c r="M2366" s="736"/>
      <c r="N2366" s="2847"/>
      <c r="O2366" s="86"/>
      <c r="P2366" s="1817" t="e">
        <f>INDEX(#REF!,MATCH(F2366,#REF!,0),2)</f>
        <v>#REF!</v>
      </c>
      <c r="Q2366" s="11"/>
      <c r="R2366" s="11"/>
      <c r="S2366" s="11"/>
      <c r="T2366" s="11"/>
      <c r="U2366" s="11"/>
      <c r="V2366" s="11"/>
      <c r="W2366" s="4"/>
      <c r="X2366" s="11"/>
      <c r="Y2366" s="11"/>
      <c r="Z2366" s="11"/>
      <c r="AA2366" s="11"/>
      <c r="AB2366" s="11"/>
      <c r="AC2366" s="11"/>
      <c r="AD2366" s="11"/>
      <c r="AE2366" s="11"/>
      <c r="AF2366" s="11"/>
      <c r="AG2366" s="11"/>
    </row>
    <row r="2367" spans="1:33" ht="11.45" customHeight="1">
      <c r="A2367" s="424"/>
      <c r="B2367" s="424" t="s">
        <v>663</v>
      </c>
      <c r="C2367" s="424" t="s">
        <v>652</v>
      </c>
      <c r="D2367" s="1598"/>
      <c r="E2367" s="2104" t="s">
        <v>1932</v>
      </c>
      <c r="F2367" s="438">
        <v>1119</v>
      </c>
      <c r="G2367" s="739" t="s">
        <v>663</v>
      </c>
      <c r="H2367" s="431"/>
      <c r="I2367" s="431">
        <v>84192</v>
      </c>
      <c r="J2367" s="444"/>
      <c r="K2367" s="740"/>
      <c r="L2367" s="431"/>
      <c r="M2367" s="431">
        <v>89243.520000000004</v>
      </c>
      <c r="N2367" s="2847"/>
      <c r="O2367" s="86"/>
      <c r="P2367" s="1817" t="e">
        <f>INDEX(#REF!,MATCH(F2367,#REF!,0),2)</f>
        <v>#REF!</v>
      </c>
      <c r="Q2367" s="1779"/>
      <c r="R2367" s="1779"/>
      <c r="S2367" s="1779"/>
      <c r="T2367" s="1779"/>
      <c r="U2367" s="1779"/>
      <c r="V2367" s="1779"/>
      <c r="W2367" s="43"/>
      <c r="X2367" s="1779"/>
      <c r="Y2367" s="1779"/>
      <c r="Z2367" s="1779"/>
      <c r="AA2367" s="1779"/>
      <c r="AB2367" s="1779"/>
      <c r="AC2367" s="1779"/>
      <c r="AD2367" s="1779"/>
      <c r="AE2367" s="1779"/>
      <c r="AF2367" s="1779"/>
      <c r="AG2367" s="1779"/>
    </row>
    <row r="2368" spans="1:33" ht="25.15" customHeight="1">
      <c r="A2368" s="762"/>
      <c r="B2368" s="424" t="s">
        <v>663</v>
      </c>
      <c r="C2368" s="424" t="s">
        <v>652</v>
      </c>
      <c r="D2368" s="1598"/>
      <c r="E2368" s="2104" t="s">
        <v>1932</v>
      </c>
      <c r="F2368" s="438">
        <v>1119</v>
      </c>
      <c r="G2368" s="831" t="s">
        <v>1177</v>
      </c>
      <c r="H2368" s="752"/>
      <c r="I2368" s="752"/>
      <c r="J2368" s="753"/>
      <c r="K2368" s="830"/>
      <c r="L2368" s="752"/>
      <c r="M2368" s="752"/>
      <c r="N2368" s="2847"/>
      <c r="O2368" s="86"/>
      <c r="P2368" s="1817" t="e">
        <f>INDEX(#REF!,MATCH(F2368,#REF!,0),2)</f>
        <v>#REF!</v>
      </c>
      <c r="Q2368" s="11"/>
      <c r="R2368" s="11"/>
      <c r="S2368" s="11"/>
      <c r="T2368" s="11"/>
      <c r="U2368" s="11"/>
      <c r="V2368" s="11"/>
      <c r="W2368" s="4"/>
      <c r="X2368" s="11"/>
      <c r="Y2368" s="11"/>
      <c r="Z2368" s="11"/>
      <c r="AA2368" s="11"/>
      <c r="AB2368" s="11"/>
      <c r="AC2368" s="11"/>
      <c r="AD2368" s="11"/>
      <c r="AE2368" s="11"/>
      <c r="AF2368" s="11"/>
      <c r="AG2368" s="11"/>
    </row>
    <row r="2369" spans="1:33" ht="11.45" customHeight="1">
      <c r="A2369" s="1465"/>
      <c r="B2369" s="424" t="s">
        <v>663</v>
      </c>
      <c r="C2369" s="424" t="s">
        <v>652</v>
      </c>
      <c r="D2369" s="1598"/>
      <c r="E2369" s="2104" t="s">
        <v>1932</v>
      </c>
      <c r="F2369" s="438">
        <v>1119</v>
      </c>
      <c r="G2369" s="831" t="s">
        <v>2225</v>
      </c>
      <c r="H2369" s="1479"/>
      <c r="I2369" s="1479"/>
      <c r="J2369" s="1485"/>
      <c r="K2369" s="1532"/>
      <c r="L2369" s="1479"/>
      <c r="M2369" s="1479"/>
      <c r="N2369" s="2847"/>
      <c r="O2369" s="86"/>
      <c r="P2369" s="1817" t="e">
        <f>INDEX(#REF!,MATCH(F2369,#REF!,0),2)</f>
        <v>#REF!</v>
      </c>
      <c r="Q2369" s="1779"/>
      <c r="R2369" s="1779"/>
      <c r="S2369" s="1779"/>
      <c r="T2369" s="1779"/>
      <c r="U2369" s="1779"/>
      <c r="V2369" s="1779"/>
      <c r="W2369" s="43"/>
      <c r="X2369" s="1779"/>
      <c r="Y2369" s="1779"/>
      <c r="Z2369" s="1779"/>
      <c r="AA2369" s="1779"/>
      <c r="AB2369" s="1779"/>
      <c r="AC2369" s="1779"/>
      <c r="AD2369" s="1779"/>
      <c r="AE2369" s="1779"/>
      <c r="AF2369" s="1779"/>
      <c r="AG2369" s="1779"/>
    </row>
    <row r="2370" spans="1:33" ht="11.45" customHeight="1">
      <c r="A2370" s="634"/>
      <c r="B2370" s="634" t="s">
        <v>663</v>
      </c>
      <c r="C2370" s="634" t="s">
        <v>652</v>
      </c>
      <c r="D2370" s="1597" t="s">
        <v>1761</v>
      </c>
      <c r="E2370" s="2093" t="s">
        <v>1932</v>
      </c>
      <c r="F2370" s="635">
        <v>1142</v>
      </c>
      <c r="G2370" s="432" t="s">
        <v>225</v>
      </c>
      <c r="H2370" s="674">
        <v>1000</v>
      </c>
      <c r="I2370" s="736"/>
      <c r="J2370" s="2520">
        <v>696</v>
      </c>
      <c r="K2370" s="740"/>
      <c r="L2370" s="674">
        <v>0</v>
      </c>
      <c r="M2370" s="736"/>
      <c r="N2370" s="2847"/>
      <c r="O2370" s="86"/>
      <c r="P2370" s="1817" t="e">
        <f>INDEX(#REF!,MATCH(F2370,#REF!,0),2)</f>
        <v>#REF!</v>
      </c>
      <c r="Q2370" s="1779"/>
      <c r="R2370" s="1779"/>
      <c r="S2370" s="1779"/>
      <c r="T2370" s="1779"/>
      <c r="U2370" s="1779"/>
      <c r="V2370" s="1779"/>
      <c r="W2370" s="43"/>
      <c r="X2370" s="1779"/>
      <c r="Y2370" s="1779"/>
      <c r="Z2370" s="1779"/>
      <c r="AA2370" s="1779"/>
      <c r="AB2370" s="1779"/>
      <c r="AC2370" s="1779"/>
      <c r="AD2370" s="1779"/>
      <c r="AE2370" s="1779"/>
      <c r="AF2370" s="1779"/>
      <c r="AG2370" s="1779"/>
    </row>
    <row r="2371" spans="1:33" ht="11.45" customHeight="1">
      <c r="A2371" s="762"/>
      <c r="B2371" s="424" t="s">
        <v>663</v>
      </c>
      <c r="C2371" s="424" t="s">
        <v>652</v>
      </c>
      <c r="D2371" s="1598"/>
      <c r="E2371" s="2104" t="s">
        <v>1932</v>
      </c>
      <c r="F2371" s="438">
        <v>1142</v>
      </c>
      <c r="G2371" s="739" t="s">
        <v>663</v>
      </c>
      <c r="H2371" s="752"/>
      <c r="I2371" s="752">
        <v>1000</v>
      </c>
      <c r="J2371" s="753"/>
      <c r="K2371" s="830"/>
      <c r="L2371" s="752"/>
      <c r="M2371" s="752">
        <v>0</v>
      </c>
      <c r="N2371" s="2847"/>
      <c r="O2371" s="86"/>
      <c r="P2371" s="1817" t="e">
        <f>INDEX(#REF!,MATCH(F2371,#REF!,0),2)</f>
        <v>#REF!</v>
      </c>
      <c r="Q2371" s="11"/>
      <c r="R2371" s="11"/>
      <c r="S2371" s="11"/>
      <c r="T2371" s="11"/>
      <c r="U2371" s="11"/>
      <c r="V2371" s="11"/>
      <c r="W2371" s="4"/>
      <c r="X2371" s="11"/>
      <c r="Y2371" s="11"/>
      <c r="Z2371" s="11"/>
      <c r="AA2371" s="11"/>
      <c r="AB2371" s="11"/>
      <c r="AC2371" s="11"/>
      <c r="AD2371" s="11"/>
      <c r="AE2371" s="11"/>
      <c r="AF2371" s="11"/>
      <c r="AG2371" s="11"/>
    </row>
    <row r="2372" spans="1:33" ht="21.75" customHeight="1">
      <c r="A2372" s="634"/>
      <c r="B2372" s="634" t="s">
        <v>663</v>
      </c>
      <c r="C2372" s="634" t="s">
        <v>652</v>
      </c>
      <c r="D2372" s="1597" t="s">
        <v>1761</v>
      </c>
      <c r="E2372" s="2093" t="s">
        <v>1932</v>
      </c>
      <c r="F2372" s="635">
        <v>1147</v>
      </c>
      <c r="G2372" s="432" t="s">
        <v>226</v>
      </c>
      <c r="H2372" s="674">
        <v>5016</v>
      </c>
      <c r="I2372" s="736"/>
      <c r="J2372" s="2520">
        <v>1309.42</v>
      </c>
      <c r="K2372" s="740"/>
      <c r="L2372" s="674">
        <v>7436.9600000000009</v>
      </c>
      <c r="M2372" s="736"/>
      <c r="N2372" s="2847"/>
      <c r="O2372" s="86"/>
      <c r="P2372" s="1817" t="e">
        <f>INDEX(#REF!,MATCH(F2372,#REF!,0),2)</f>
        <v>#REF!</v>
      </c>
      <c r="Q2372" s="1779"/>
      <c r="R2372" s="1779"/>
      <c r="S2372" s="1779"/>
      <c r="T2372" s="1779"/>
      <c r="U2372" s="1779"/>
      <c r="V2372" s="1779"/>
      <c r="W2372" s="43"/>
      <c r="X2372" s="1779"/>
      <c r="Y2372" s="1779"/>
      <c r="Z2372" s="1779"/>
      <c r="AA2372" s="1779"/>
      <c r="AB2372" s="1779"/>
      <c r="AC2372" s="1779"/>
      <c r="AD2372" s="1779"/>
      <c r="AE2372" s="1779"/>
      <c r="AF2372" s="1779"/>
      <c r="AG2372" s="1779"/>
    </row>
    <row r="2373" spans="1:33" ht="11.45" customHeight="1">
      <c r="A2373" s="762"/>
      <c r="B2373" s="424" t="s">
        <v>663</v>
      </c>
      <c r="C2373" s="424" t="s">
        <v>652</v>
      </c>
      <c r="D2373" s="1598"/>
      <c r="E2373" s="2104" t="s">
        <v>1932</v>
      </c>
      <c r="F2373" s="438">
        <v>1147</v>
      </c>
      <c r="G2373" s="739" t="s">
        <v>663</v>
      </c>
      <c r="H2373" s="752"/>
      <c r="I2373" s="752">
        <v>7016</v>
      </c>
      <c r="J2373" s="753"/>
      <c r="K2373" s="830"/>
      <c r="L2373" s="752"/>
      <c r="M2373" s="752">
        <v>7436.9600000000009</v>
      </c>
      <c r="N2373" s="2847"/>
      <c r="O2373" s="86"/>
      <c r="P2373" s="1817" t="e">
        <f>INDEX(#REF!,MATCH(F2373,#REF!,0),2)</f>
        <v>#REF!</v>
      </c>
      <c r="Q2373" s="1779"/>
      <c r="R2373" s="1779"/>
      <c r="S2373" s="1779"/>
      <c r="T2373" s="1779"/>
      <c r="U2373" s="1779"/>
      <c r="V2373" s="1779"/>
      <c r="W2373" s="43"/>
      <c r="X2373" s="1779"/>
      <c r="Y2373" s="1779"/>
      <c r="Z2373" s="1779"/>
      <c r="AA2373" s="1779"/>
      <c r="AB2373" s="1779"/>
      <c r="AC2373" s="1779"/>
      <c r="AD2373" s="1779"/>
      <c r="AE2373" s="1779"/>
      <c r="AF2373" s="1779"/>
      <c r="AG2373" s="1779"/>
    </row>
    <row r="2374" spans="1:33" ht="20.45" customHeight="1">
      <c r="A2374" s="762"/>
      <c r="B2374" s="424" t="s">
        <v>663</v>
      </c>
      <c r="C2374" s="424" t="s">
        <v>652</v>
      </c>
      <c r="D2374" s="1598"/>
      <c r="E2374" s="2104" t="s">
        <v>1932</v>
      </c>
      <c r="F2374" s="438">
        <v>1147</v>
      </c>
      <c r="G2374" s="831" t="s">
        <v>1177</v>
      </c>
      <c r="H2374" s="752"/>
      <c r="I2374" s="752"/>
      <c r="J2374" s="753"/>
      <c r="K2374" s="830"/>
      <c r="L2374" s="752"/>
      <c r="M2374" s="752"/>
      <c r="N2374" s="2847"/>
      <c r="O2374" s="86"/>
      <c r="P2374" s="1817" t="e">
        <f>INDEX(#REF!,MATCH(F2374,#REF!,0),2)</f>
        <v>#REF!</v>
      </c>
      <c r="Q2374" s="11"/>
      <c r="R2374" s="11"/>
      <c r="S2374" s="11"/>
      <c r="T2374" s="11"/>
      <c r="U2374" s="11"/>
      <c r="V2374" s="11"/>
      <c r="W2374" s="4"/>
      <c r="X2374" s="11"/>
      <c r="Y2374" s="11"/>
      <c r="Z2374" s="11"/>
      <c r="AA2374" s="11"/>
      <c r="AB2374" s="11"/>
      <c r="AC2374" s="11"/>
      <c r="AD2374" s="11"/>
      <c r="AE2374" s="11"/>
      <c r="AF2374" s="11"/>
      <c r="AG2374" s="11"/>
    </row>
    <row r="2375" spans="1:33" ht="20.45" customHeight="1">
      <c r="A2375" s="634"/>
      <c r="B2375" s="634" t="s">
        <v>663</v>
      </c>
      <c r="C2375" s="634" t="s">
        <v>652</v>
      </c>
      <c r="D2375" s="1597" t="s">
        <v>1761</v>
      </c>
      <c r="E2375" s="2093" t="s">
        <v>1932</v>
      </c>
      <c r="F2375" s="635">
        <v>1148</v>
      </c>
      <c r="G2375" s="432" t="s">
        <v>227</v>
      </c>
      <c r="H2375" s="674">
        <v>1000</v>
      </c>
      <c r="I2375" s="736"/>
      <c r="J2375" s="737">
        <v>1000</v>
      </c>
      <c r="K2375" s="740"/>
      <c r="L2375" s="674">
        <v>0</v>
      </c>
      <c r="M2375" s="736"/>
      <c r="N2375" s="2847"/>
      <c r="O2375" s="86"/>
      <c r="P2375" s="1817" t="e">
        <f>INDEX(#REF!,MATCH(F2375,#REF!,0),2)</f>
        <v>#REF!</v>
      </c>
      <c r="Q2375" s="11"/>
      <c r="R2375" s="11"/>
      <c r="S2375" s="11"/>
      <c r="T2375" s="11"/>
      <c r="U2375" s="11"/>
      <c r="V2375" s="11"/>
      <c r="W2375" s="4"/>
      <c r="X2375" s="11"/>
      <c r="Y2375" s="11"/>
      <c r="Z2375" s="11"/>
      <c r="AA2375" s="11"/>
      <c r="AB2375" s="11"/>
      <c r="AC2375" s="11"/>
      <c r="AD2375" s="11"/>
      <c r="AE2375" s="11"/>
      <c r="AF2375" s="11"/>
      <c r="AG2375" s="11"/>
    </row>
    <row r="2376" spans="1:33" ht="40.9" customHeight="1">
      <c r="A2376" s="762"/>
      <c r="B2376" s="424" t="s">
        <v>663</v>
      </c>
      <c r="C2376" s="424" t="s">
        <v>652</v>
      </c>
      <c r="D2376" s="1598"/>
      <c r="E2376" s="2104" t="s">
        <v>1932</v>
      </c>
      <c r="F2376" s="438">
        <v>1148</v>
      </c>
      <c r="G2376" s="831" t="s">
        <v>2047</v>
      </c>
      <c r="H2376" s="752"/>
      <c r="I2376" s="752"/>
      <c r="J2376" s="753"/>
      <c r="K2376" s="830"/>
      <c r="L2376" s="752"/>
      <c r="M2376" s="752"/>
      <c r="N2376" s="2847"/>
      <c r="O2376" s="86"/>
      <c r="P2376" s="1817" t="e">
        <f>INDEX(#REF!,MATCH(F2376,#REF!,0),2)</f>
        <v>#REF!</v>
      </c>
    </row>
    <row r="2377" spans="1:33" ht="20.45" customHeight="1">
      <c r="A2377" s="762"/>
      <c r="B2377" s="424" t="s">
        <v>663</v>
      </c>
      <c r="C2377" s="424" t="s">
        <v>652</v>
      </c>
      <c r="D2377" s="1598"/>
      <c r="E2377" s="2104" t="s">
        <v>1932</v>
      </c>
      <c r="F2377" s="438">
        <v>1148</v>
      </c>
      <c r="G2377" s="831" t="s">
        <v>1195</v>
      </c>
      <c r="H2377" s="752"/>
      <c r="I2377" s="752"/>
      <c r="J2377" s="753"/>
      <c r="K2377" s="830"/>
      <c r="L2377" s="752"/>
      <c r="M2377" s="752"/>
      <c r="N2377" s="2847"/>
      <c r="O2377" s="86"/>
      <c r="P2377" s="1817" t="e">
        <f>INDEX(#REF!,MATCH(F2377,#REF!,0),2)</f>
        <v>#REF!</v>
      </c>
      <c r="Q2377" s="11"/>
      <c r="R2377" s="11"/>
      <c r="S2377" s="11"/>
      <c r="T2377" s="11"/>
      <c r="U2377" s="11"/>
      <c r="V2377" s="11"/>
      <c r="W2377" s="4"/>
      <c r="X2377" s="11"/>
      <c r="Y2377" s="11"/>
      <c r="Z2377" s="11"/>
      <c r="AA2377" s="11"/>
      <c r="AB2377" s="11"/>
      <c r="AC2377" s="11"/>
      <c r="AD2377" s="11"/>
      <c r="AE2377" s="11"/>
      <c r="AF2377" s="11"/>
      <c r="AG2377" s="11"/>
    </row>
    <row r="2378" spans="1:33" ht="28.15" customHeight="1">
      <c r="A2378" s="634" t="s">
        <v>2870</v>
      </c>
      <c r="B2378" s="634" t="s">
        <v>1248</v>
      </c>
      <c r="C2378" s="634" t="s">
        <v>507</v>
      </c>
      <c r="D2378" s="1597" t="s">
        <v>1761</v>
      </c>
      <c r="E2378" s="2093" t="s">
        <v>1932</v>
      </c>
      <c r="F2378" s="635">
        <v>1150</v>
      </c>
      <c r="G2378" s="432" t="s">
        <v>623</v>
      </c>
      <c r="H2378" s="674">
        <v>4000</v>
      </c>
      <c r="I2378" s="736"/>
      <c r="J2378" s="737">
        <v>2650</v>
      </c>
      <c r="K2378" s="740"/>
      <c r="L2378" s="674">
        <v>4000</v>
      </c>
      <c r="M2378" s="736"/>
      <c r="N2378" s="2847"/>
      <c r="O2378" s="86"/>
      <c r="P2378" s="1817" t="e">
        <f>INDEX(#REF!,MATCH(F2378,#REF!,0),2)</f>
        <v>#REF!</v>
      </c>
      <c r="Q2378" s="11"/>
      <c r="R2378" s="11"/>
      <c r="S2378" s="11"/>
      <c r="T2378" s="11"/>
      <c r="U2378" s="11"/>
      <c r="V2378" s="11"/>
      <c r="W2378" s="4"/>
      <c r="X2378" s="11"/>
      <c r="Y2378" s="11"/>
      <c r="Z2378" s="11"/>
      <c r="AA2378" s="11"/>
      <c r="AB2378" s="11"/>
      <c r="AC2378" s="11"/>
      <c r="AD2378" s="11"/>
      <c r="AE2378" s="11"/>
      <c r="AF2378" s="11"/>
      <c r="AG2378" s="11"/>
    </row>
    <row r="2379" spans="1:33" ht="24" customHeight="1">
      <c r="A2379" s="424" t="s">
        <v>2870</v>
      </c>
      <c r="B2379" s="424" t="s">
        <v>1248</v>
      </c>
      <c r="C2379" s="424" t="s">
        <v>507</v>
      </c>
      <c r="D2379" s="1598"/>
      <c r="E2379" s="2104" t="s">
        <v>1932</v>
      </c>
      <c r="F2379" s="438">
        <v>1150</v>
      </c>
      <c r="G2379" s="739" t="s">
        <v>2868</v>
      </c>
      <c r="H2379" s="431"/>
      <c r="I2379" s="431">
        <v>1500</v>
      </c>
      <c r="J2379" s="444"/>
      <c r="K2379" s="740"/>
      <c r="L2379" s="431"/>
      <c r="M2379" s="431">
        <v>1500</v>
      </c>
      <c r="N2379" s="2847"/>
      <c r="O2379" s="86"/>
      <c r="P2379" s="1817" t="e">
        <f>INDEX(#REF!,MATCH(F2379,#REF!,0),2)</f>
        <v>#REF!</v>
      </c>
      <c r="Q2379" s="11"/>
      <c r="R2379" s="11"/>
      <c r="S2379" s="11"/>
      <c r="T2379" s="11"/>
      <c r="U2379" s="11"/>
      <c r="V2379" s="11"/>
      <c r="W2379" s="4"/>
      <c r="X2379" s="11"/>
      <c r="Y2379" s="11"/>
      <c r="Z2379" s="11"/>
      <c r="AA2379" s="11"/>
      <c r="AB2379" s="11"/>
      <c r="AC2379" s="11"/>
      <c r="AD2379" s="11"/>
      <c r="AE2379" s="11"/>
      <c r="AF2379" s="11"/>
      <c r="AG2379" s="11"/>
    </row>
    <row r="2380" spans="1:33" ht="11.45" customHeight="1">
      <c r="A2380" s="424" t="s">
        <v>2870</v>
      </c>
      <c r="B2380" s="424" t="s">
        <v>1248</v>
      </c>
      <c r="C2380" s="424" t="s">
        <v>507</v>
      </c>
      <c r="D2380" s="1598"/>
      <c r="E2380" s="2104" t="s">
        <v>1932</v>
      </c>
      <c r="F2380" s="438">
        <v>1150</v>
      </c>
      <c r="G2380" s="1023" t="s">
        <v>2869</v>
      </c>
      <c r="H2380" s="431"/>
      <c r="I2380" s="431">
        <v>2500</v>
      </c>
      <c r="J2380" s="444"/>
      <c r="K2380" s="740"/>
      <c r="L2380" s="431"/>
      <c r="M2380" s="431">
        <v>2500</v>
      </c>
      <c r="N2380" s="2847"/>
      <c r="O2380" s="86"/>
      <c r="P2380" s="1817" t="e">
        <f>INDEX(#REF!,MATCH(F2380,#REF!,0),2)</f>
        <v>#REF!</v>
      </c>
      <c r="Q2380" s="1779"/>
      <c r="R2380" s="1779"/>
      <c r="S2380" s="1779"/>
      <c r="T2380" s="1779"/>
      <c r="U2380" s="1779"/>
      <c r="V2380" s="1779"/>
      <c r="W2380" s="43"/>
      <c r="X2380" s="1779"/>
      <c r="Y2380" s="1779"/>
      <c r="Z2380" s="1779"/>
      <c r="AA2380" s="1779"/>
      <c r="AB2380" s="1779"/>
      <c r="AC2380" s="1779"/>
      <c r="AD2380" s="1779"/>
      <c r="AE2380" s="1779"/>
      <c r="AF2380" s="1779"/>
      <c r="AG2380" s="1779"/>
    </row>
    <row r="2381" spans="1:33" ht="11.45" customHeight="1">
      <c r="A2381" s="634"/>
      <c r="B2381" s="506" t="s">
        <v>1248</v>
      </c>
      <c r="C2381" s="634" t="s">
        <v>652</v>
      </c>
      <c r="D2381" s="1597" t="s">
        <v>1761</v>
      </c>
      <c r="E2381" s="2093" t="s">
        <v>1932</v>
      </c>
      <c r="F2381" s="635">
        <v>1170</v>
      </c>
      <c r="G2381" s="432" t="s">
        <v>724</v>
      </c>
      <c r="H2381" s="674">
        <v>75</v>
      </c>
      <c r="I2381" s="736"/>
      <c r="J2381" s="737">
        <v>75</v>
      </c>
      <c r="K2381" s="740"/>
      <c r="L2381" s="674">
        <v>75</v>
      </c>
      <c r="M2381" s="736"/>
      <c r="N2381" s="2847"/>
      <c r="O2381" s="86"/>
      <c r="P2381" s="1817" t="e">
        <f>INDEX(#REF!,MATCH(F2381,#REF!,0),2)</f>
        <v>#REF!</v>
      </c>
      <c r="Q2381" s="1779"/>
      <c r="R2381" s="1779"/>
      <c r="S2381" s="1779"/>
      <c r="T2381" s="1779"/>
      <c r="U2381" s="1779"/>
      <c r="V2381" s="1779"/>
      <c r="W2381" s="43"/>
      <c r="X2381" s="1779"/>
      <c r="Y2381" s="1779"/>
      <c r="Z2381" s="1779"/>
      <c r="AA2381" s="1779"/>
      <c r="AB2381" s="1779"/>
      <c r="AC2381" s="1779"/>
      <c r="AD2381" s="1779"/>
      <c r="AE2381" s="1779"/>
      <c r="AF2381" s="1779"/>
      <c r="AG2381" s="1779"/>
    </row>
    <row r="2382" spans="1:33" ht="11.45" customHeight="1">
      <c r="A2382" s="424"/>
      <c r="B2382" s="412" t="s">
        <v>1248</v>
      </c>
      <c r="C2382" s="424" t="s">
        <v>652</v>
      </c>
      <c r="D2382" s="1598"/>
      <c r="E2382" s="2104" t="s">
        <v>1932</v>
      </c>
      <c r="F2382" s="438">
        <v>1170</v>
      </c>
      <c r="G2382" s="3069" t="s">
        <v>1383</v>
      </c>
      <c r="H2382" s="431"/>
      <c r="I2382" s="431">
        <v>75</v>
      </c>
      <c r="J2382" s="444"/>
      <c r="K2382" s="740"/>
      <c r="L2382" s="431"/>
      <c r="M2382" s="431">
        <v>75</v>
      </c>
      <c r="N2382" s="2847"/>
      <c r="O2382" s="86"/>
      <c r="P2382" s="1817" t="e">
        <f>INDEX(#REF!,MATCH(F2382,#REF!,0),2)</f>
        <v>#REF!</v>
      </c>
      <c r="Q2382" s="11"/>
      <c r="R2382" s="11"/>
      <c r="S2382" s="11"/>
      <c r="T2382" s="11"/>
      <c r="U2382" s="11"/>
      <c r="V2382" s="11"/>
      <c r="W2382" s="4"/>
      <c r="X2382" s="11"/>
      <c r="Y2382" s="11"/>
      <c r="Z2382" s="11"/>
      <c r="AA2382" s="11"/>
      <c r="AB2382" s="11"/>
      <c r="AC2382" s="11"/>
      <c r="AD2382" s="11"/>
      <c r="AE2382" s="11"/>
      <c r="AF2382" s="11"/>
      <c r="AG2382" s="11"/>
    </row>
    <row r="2383" spans="1:33" ht="11.45" customHeight="1">
      <c r="A2383" s="634"/>
      <c r="B2383" s="634" t="s">
        <v>663</v>
      </c>
      <c r="C2383" s="634" t="s">
        <v>652</v>
      </c>
      <c r="D2383" s="1597" t="s">
        <v>1761</v>
      </c>
      <c r="E2383" s="2093" t="s">
        <v>1932</v>
      </c>
      <c r="F2383" s="635">
        <v>1210</v>
      </c>
      <c r="G2383" s="432" t="s">
        <v>228</v>
      </c>
      <c r="H2383" s="674">
        <v>21226.329180000001</v>
      </c>
      <c r="I2383" s="736"/>
      <c r="J2383" s="737">
        <v>15102.78</v>
      </c>
      <c r="K2383" s="738"/>
      <c r="L2383" s="674">
        <v>22499.9089308</v>
      </c>
      <c r="M2383" s="736"/>
      <c r="N2383" s="2847"/>
      <c r="O2383" s="86"/>
      <c r="P2383" s="1817" t="e">
        <f>INDEX(#REF!,MATCH(F2383,#REF!,0),2)</f>
        <v>#REF!</v>
      </c>
      <c r="Q2383" s="11"/>
      <c r="R2383" s="11"/>
      <c r="S2383" s="11"/>
      <c r="T2383" s="11"/>
      <c r="U2383" s="11"/>
      <c r="V2383" s="11"/>
      <c r="W2383" s="4"/>
      <c r="X2383" s="11"/>
      <c r="Y2383" s="11"/>
      <c r="Z2383" s="11"/>
      <c r="AA2383" s="11"/>
      <c r="AB2383" s="11"/>
      <c r="AC2383" s="11"/>
      <c r="AD2383" s="11"/>
      <c r="AE2383" s="11"/>
      <c r="AF2383" s="11"/>
      <c r="AG2383" s="11"/>
    </row>
    <row r="2384" spans="1:33">
      <c r="A2384" s="424"/>
      <c r="B2384" s="424" t="s">
        <v>663</v>
      </c>
      <c r="C2384" s="424" t="s">
        <v>652</v>
      </c>
      <c r="D2384" s="1598"/>
      <c r="E2384" s="2104" t="s">
        <v>1932</v>
      </c>
      <c r="F2384" s="438">
        <v>1210</v>
      </c>
      <c r="G2384" s="739" t="s">
        <v>663</v>
      </c>
      <c r="H2384" s="431"/>
      <c r="I2384" s="431">
        <v>21226.329180000001</v>
      </c>
      <c r="J2384" s="444"/>
      <c r="K2384" s="740"/>
      <c r="L2384" s="431"/>
      <c r="M2384" s="431">
        <v>22499.9089308</v>
      </c>
      <c r="N2384" s="2847"/>
      <c r="O2384" s="86"/>
      <c r="P2384" s="1817" t="e">
        <f>INDEX(#REF!,MATCH(F2384,#REF!,0),2)</f>
        <v>#REF!</v>
      </c>
    </row>
    <row r="2385" spans="1:33">
      <c r="A2385" s="424"/>
      <c r="B2385" s="424" t="s">
        <v>663</v>
      </c>
      <c r="C2385" s="424" t="s">
        <v>652</v>
      </c>
      <c r="D2385" s="1598"/>
      <c r="E2385" s="2104" t="s">
        <v>1932</v>
      </c>
      <c r="F2385" s="438">
        <v>1210</v>
      </c>
      <c r="G2385" s="739" t="s">
        <v>1177</v>
      </c>
      <c r="H2385" s="431"/>
      <c r="I2385" s="431"/>
      <c r="J2385" s="444"/>
      <c r="K2385" s="740"/>
      <c r="L2385" s="431"/>
      <c r="M2385" s="431"/>
      <c r="N2385" s="2847"/>
      <c r="O2385" s="86"/>
      <c r="P2385" s="1817" t="e">
        <f>INDEX(#REF!,MATCH(F2385,#REF!,0),2)</f>
        <v>#REF!</v>
      </c>
    </row>
    <row r="2386" spans="1:33">
      <c r="A2386" s="634"/>
      <c r="B2386" s="634" t="s">
        <v>663</v>
      </c>
      <c r="C2386" s="634" t="s">
        <v>652</v>
      </c>
      <c r="D2386" s="1597" t="s">
        <v>1761</v>
      </c>
      <c r="E2386" s="2093" t="s">
        <v>1932</v>
      </c>
      <c r="F2386" s="635">
        <v>1221</v>
      </c>
      <c r="G2386" s="432" t="s">
        <v>229</v>
      </c>
      <c r="H2386" s="674">
        <v>4625.1752200000001</v>
      </c>
      <c r="I2386" s="736"/>
      <c r="J2386" s="737">
        <v>2779</v>
      </c>
      <c r="K2386" s="738"/>
      <c r="L2386" s="674">
        <v>4902.6857332000009</v>
      </c>
      <c r="M2386" s="736"/>
      <c r="N2386" s="2847"/>
      <c r="O2386" s="86"/>
      <c r="P2386" s="1817" t="e">
        <f>INDEX(#REF!,MATCH(F2386,#REF!,0),2)</f>
        <v>#REF!</v>
      </c>
      <c r="Q2386" s="11"/>
      <c r="R2386" s="11"/>
      <c r="S2386" s="11"/>
      <c r="T2386" s="11"/>
      <c r="U2386" s="11"/>
      <c r="V2386" s="11"/>
      <c r="W2386" s="4"/>
      <c r="X2386" s="11"/>
      <c r="Y2386" s="11"/>
      <c r="Z2386" s="11"/>
      <c r="AA2386" s="11"/>
      <c r="AB2386" s="11"/>
      <c r="AC2386" s="11"/>
      <c r="AD2386" s="11"/>
      <c r="AE2386" s="11"/>
      <c r="AF2386" s="11"/>
      <c r="AG2386" s="11"/>
    </row>
    <row r="2387" spans="1:33">
      <c r="A2387" s="424"/>
      <c r="B2387" s="424" t="s">
        <v>663</v>
      </c>
      <c r="C2387" s="424" t="s">
        <v>652</v>
      </c>
      <c r="D2387" s="1598"/>
      <c r="E2387" s="2104" t="s">
        <v>1932</v>
      </c>
      <c r="F2387" s="438">
        <v>1221</v>
      </c>
      <c r="G2387" s="739"/>
      <c r="H2387" s="431"/>
      <c r="I2387" s="431">
        <v>4625.1752200000001</v>
      </c>
      <c r="J2387" s="444"/>
      <c r="K2387" s="740"/>
      <c r="L2387" s="431"/>
      <c r="M2387" s="431">
        <v>4902.6857332000009</v>
      </c>
      <c r="N2387" s="2847"/>
      <c r="O2387" s="86"/>
      <c r="P2387" s="1817" t="e">
        <f>INDEX(#REF!,MATCH(F2387,#REF!,0),2)</f>
        <v>#REF!</v>
      </c>
    </row>
    <row r="2388" spans="1:33" ht="13.9" customHeight="1">
      <c r="A2388" s="424"/>
      <c r="B2388" s="424" t="s">
        <v>663</v>
      </c>
      <c r="C2388" s="424" t="s">
        <v>652</v>
      </c>
      <c r="D2388" s="1598"/>
      <c r="E2388" s="2104" t="s">
        <v>1932</v>
      </c>
      <c r="F2388" s="438">
        <v>1221</v>
      </c>
      <c r="G2388" s="831" t="s">
        <v>1994</v>
      </c>
      <c r="H2388" s="431"/>
      <c r="I2388" s="431"/>
      <c r="J2388" s="444"/>
      <c r="K2388" s="740"/>
      <c r="L2388" s="431"/>
      <c r="M2388" s="431"/>
      <c r="N2388" s="2847"/>
      <c r="O2388" s="86"/>
      <c r="P2388" s="1817" t="e">
        <f>INDEX(#REF!,MATCH(F2388,#REF!,0),2)</f>
        <v>#REF!</v>
      </c>
      <c r="Q2388" s="11"/>
      <c r="R2388" s="11"/>
      <c r="S2388" s="11"/>
      <c r="T2388" s="11"/>
      <c r="U2388" s="11"/>
      <c r="V2388" s="11"/>
      <c r="W2388" s="4"/>
      <c r="X2388" s="11"/>
      <c r="Y2388" s="11"/>
      <c r="Z2388" s="11"/>
      <c r="AA2388" s="11"/>
      <c r="AB2388" s="11"/>
      <c r="AC2388" s="11"/>
      <c r="AD2388" s="11"/>
      <c r="AE2388" s="11"/>
      <c r="AF2388" s="11"/>
      <c r="AG2388" s="11"/>
    </row>
    <row r="2389" spans="1:33">
      <c r="A2389" s="424"/>
      <c r="B2389" s="424" t="s">
        <v>663</v>
      </c>
      <c r="C2389" s="424" t="s">
        <v>652</v>
      </c>
      <c r="D2389" s="1598"/>
      <c r="E2389" s="2104" t="s">
        <v>1932</v>
      </c>
      <c r="F2389" s="438">
        <v>1221</v>
      </c>
      <c r="G2389" s="739" t="s">
        <v>1177</v>
      </c>
      <c r="H2389" s="431"/>
      <c r="I2389" s="431"/>
      <c r="J2389" s="444"/>
      <c r="K2389" s="740"/>
      <c r="L2389" s="431"/>
      <c r="M2389" s="431"/>
      <c r="N2389" s="2847"/>
      <c r="O2389" s="86"/>
      <c r="P2389" s="1817" t="e">
        <f>INDEX(#REF!,MATCH(F2389,#REF!,0),2)</f>
        <v>#REF!</v>
      </c>
    </row>
    <row r="2390" spans="1:33">
      <c r="A2390" s="634"/>
      <c r="B2390" s="506" t="s">
        <v>663</v>
      </c>
      <c r="C2390" s="506" t="s">
        <v>652</v>
      </c>
      <c r="D2390" s="1597" t="s">
        <v>1761</v>
      </c>
      <c r="E2390" s="2093" t="s">
        <v>1932</v>
      </c>
      <c r="F2390" s="635">
        <v>1227</v>
      </c>
      <c r="G2390" s="432" t="s">
        <v>230</v>
      </c>
      <c r="H2390" s="674"/>
      <c r="I2390" s="736"/>
      <c r="J2390" s="737"/>
      <c r="K2390" s="738"/>
      <c r="L2390" s="674"/>
      <c r="M2390" s="736"/>
      <c r="N2390" s="2847"/>
      <c r="O2390" s="86"/>
      <c r="P2390" s="1817" t="e">
        <f>INDEX(#REF!,MATCH(F2390,#REF!,0),2)</f>
        <v>#REF!</v>
      </c>
    </row>
    <row r="2391" spans="1:33">
      <c r="A2391" s="424"/>
      <c r="B2391" s="412" t="s">
        <v>663</v>
      </c>
      <c r="C2391" s="412" t="s">
        <v>652</v>
      </c>
      <c r="D2391" s="1598" t="s">
        <v>1761</v>
      </c>
      <c r="E2391" s="2104" t="s">
        <v>1932</v>
      </c>
      <c r="F2391" s="438">
        <v>1227</v>
      </c>
      <c r="G2391" s="831" t="s">
        <v>1997</v>
      </c>
      <c r="H2391" s="431"/>
      <c r="I2391" s="431"/>
      <c r="J2391" s="444"/>
      <c r="K2391" s="740"/>
      <c r="L2391" s="431"/>
      <c r="M2391" s="431"/>
      <c r="N2391" s="2847"/>
      <c r="O2391" s="86"/>
      <c r="P2391" s="1817" t="e">
        <f>INDEX(#REF!,MATCH(F2391,#REF!,0),2)</f>
        <v>#REF!</v>
      </c>
    </row>
    <row r="2392" spans="1:33">
      <c r="A2392" s="634"/>
      <c r="B2392" s="634" t="s">
        <v>663</v>
      </c>
      <c r="C2392" s="634" t="s">
        <v>652</v>
      </c>
      <c r="D2392" s="1597" t="s">
        <v>1761</v>
      </c>
      <c r="E2392" s="2093" t="s">
        <v>1932</v>
      </c>
      <c r="F2392" s="635">
        <v>1228</v>
      </c>
      <c r="G2392" s="432" t="s">
        <v>230</v>
      </c>
      <c r="H2392" s="674">
        <v>150</v>
      </c>
      <c r="I2392" s="736"/>
      <c r="J2392" s="737">
        <v>9</v>
      </c>
      <c r="K2392" s="738"/>
      <c r="L2392" s="674">
        <v>450</v>
      </c>
      <c r="M2392" s="736"/>
      <c r="N2392" s="2847"/>
      <c r="O2392" s="86"/>
      <c r="P2392" s="1817" t="e">
        <f>INDEX(#REF!,MATCH(F2392,#REF!,0),2)</f>
        <v>#REF!</v>
      </c>
    </row>
    <row r="2393" spans="1:33">
      <c r="A2393" s="424"/>
      <c r="B2393" s="424" t="s">
        <v>663</v>
      </c>
      <c r="C2393" s="424" t="s">
        <v>652</v>
      </c>
      <c r="D2393" s="1598" t="s">
        <v>1761</v>
      </c>
      <c r="E2393" s="2104" t="s">
        <v>1932</v>
      </c>
      <c r="F2393" s="438">
        <v>1228</v>
      </c>
      <c r="G2393" s="831" t="s">
        <v>1996</v>
      </c>
      <c r="H2393" s="431"/>
      <c r="I2393" s="431">
        <v>150</v>
      </c>
      <c r="J2393" s="444"/>
      <c r="K2393" s="740"/>
      <c r="L2393" s="431"/>
      <c r="M2393" s="431">
        <v>450</v>
      </c>
      <c r="N2393" s="2847"/>
      <c r="O2393" s="86"/>
      <c r="P2393" s="1817" t="e">
        <f>INDEX(#REF!,MATCH(F2393,#REF!,0),2)</f>
        <v>#REF!</v>
      </c>
    </row>
    <row r="2394" spans="1:33">
      <c r="A2394" s="634" t="s">
        <v>2870</v>
      </c>
      <c r="B2394" s="634" t="s">
        <v>1248</v>
      </c>
      <c r="C2394" s="634" t="s">
        <v>507</v>
      </c>
      <c r="D2394" s="1597" t="s">
        <v>1761</v>
      </c>
      <c r="E2394" s="2093" t="s">
        <v>1932</v>
      </c>
      <c r="F2394" s="635">
        <v>2111</v>
      </c>
      <c r="G2394" s="432" t="s">
        <v>2599</v>
      </c>
      <c r="H2394" s="674">
        <v>24</v>
      </c>
      <c r="I2394" s="736"/>
      <c r="J2394" s="737">
        <v>24</v>
      </c>
      <c r="K2394" s="738"/>
      <c r="L2394" s="674">
        <v>100</v>
      </c>
      <c r="M2394" s="736"/>
      <c r="N2394" s="2847"/>
      <c r="O2394" s="86"/>
      <c r="P2394" s="1817" t="e">
        <f>INDEX(#REF!,MATCH(F2394,#REF!,0),2)</f>
        <v>#REF!</v>
      </c>
    </row>
    <row r="2395" spans="1:33">
      <c r="A2395" s="424" t="s">
        <v>2870</v>
      </c>
      <c r="B2395" s="424" t="s">
        <v>1248</v>
      </c>
      <c r="C2395" s="424" t="s">
        <v>507</v>
      </c>
      <c r="D2395" s="1598"/>
      <c r="E2395" s="2104" t="s">
        <v>1932</v>
      </c>
      <c r="F2395" s="438">
        <v>2111</v>
      </c>
      <c r="G2395" s="831" t="s">
        <v>1195</v>
      </c>
      <c r="H2395" s="431"/>
      <c r="I2395" s="431"/>
      <c r="J2395" s="444"/>
      <c r="K2395" s="740"/>
      <c r="L2395" s="431"/>
      <c r="M2395" s="431">
        <v>100</v>
      </c>
      <c r="N2395" s="2847"/>
      <c r="O2395" s="86"/>
      <c r="P2395" s="1817" t="e">
        <f>INDEX(#REF!,MATCH(F2395,#REF!,0),2)</f>
        <v>#REF!</v>
      </c>
    </row>
    <row r="2396" spans="1:33" ht="22.5">
      <c r="A2396" s="634" t="s">
        <v>2870</v>
      </c>
      <c r="B2396" s="634" t="s">
        <v>1248</v>
      </c>
      <c r="C2396" s="634" t="s">
        <v>507</v>
      </c>
      <c r="D2396" s="1597" t="s">
        <v>1761</v>
      </c>
      <c r="E2396" s="2093" t="s">
        <v>1932</v>
      </c>
      <c r="F2396" s="635">
        <v>2112</v>
      </c>
      <c r="G2396" s="432" t="s">
        <v>1205</v>
      </c>
      <c r="H2396" s="674">
        <v>76</v>
      </c>
      <c r="I2396" s="736"/>
      <c r="J2396" s="737"/>
      <c r="K2396" s="738"/>
      <c r="L2396" s="674">
        <v>100</v>
      </c>
      <c r="M2396" s="736"/>
      <c r="N2396" s="2847"/>
      <c r="O2396" s="86"/>
      <c r="P2396" s="1817" t="e">
        <f>INDEX(#REF!,MATCH(F2396,#REF!,0),2)</f>
        <v>#REF!</v>
      </c>
    </row>
    <row r="2397" spans="1:33" ht="11.45" customHeight="1">
      <c r="A2397" s="424" t="s">
        <v>2870</v>
      </c>
      <c r="B2397" s="424" t="s">
        <v>1248</v>
      </c>
      <c r="C2397" s="424" t="s">
        <v>507</v>
      </c>
      <c r="D2397" s="1598"/>
      <c r="E2397" s="2104" t="s">
        <v>1932</v>
      </c>
      <c r="F2397" s="438">
        <v>2112</v>
      </c>
      <c r="G2397" s="831" t="s">
        <v>1195</v>
      </c>
      <c r="H2397" s="431"/>
      <c r="I2397" s="431">
        <v>100</v>
      </c>
      <c r="J2397" s="444"/>
      <c r="K2397" s="740"/>
      <c r="L2397" s="431"/>
      <c r="M2397" s="431">
        <v>100</v>
      </c>
      <c r="N2397" s="2847"/>
      <c r="O2397" s="86"/>
      <c r="P2397" s="1817" t="e">
        <f>INDEX(#REF!,MATCH(F2397,#REF!,0),2)</f>
        <v>#REF!</v>
      </c>
      <c r="Q2397" s="11"/>
      <c r="R2397" s="11"/>
      <c r="S2397" s="11"/>
      <c r="T2397" s="11"/>
      <c r="U2397" s="11"/>
      <c r="V2397" s="11"/>
      <c r="W2397" s="4"/>
      <c r="X2397" s="11"/>
      <c r="Y2397" s="11"/>
      <c r="Z2397" s="11"/>
      <c r="AA2397" s="11"/>
      <c r="AB2397" s="11"/>
      <c r="AC2397" s="11"/>
      <c r="AD2397" s="11"/>
      <c r="AE2397" s="11"/>
      <c r="AF2397" s="11"/>
      <c r="AG2397" s="11"/>
    </row>
    <row r="2398" spans="1:33">
      <c r="A2398" s="634"/>
      <c r="B2398" s="634" t="s">
        <v>1248</v>
      </c>
      <c r="C2398" s="634" t="s">
        <v>507</v>
      </c>
      <c r="D2398" s="1597" t="s">
        <v>1761</v>
      </c>
      <c r="E2398" s="2093" t="s">
        <v>1932</v>
      </c>
      <c r="F2398" s="635">
        <v>2121</v>
      </c>
      <c r="G2398" s="432" t="s">
        <v>1995</v>
      </c>
      <c r="H2398" s="674">
        <v>100</v>
      </c>
      <c r="I2398" s="736"/>
      <c r="J2398" s="737"/>
      <c r="K2398" s="738"/>
      <c r="L2398" s="674">
        <v>100</v>
      </c>
      <c r="M2398" s="736"/>
      <c r="N2398" s="2847"/>
      <c r="O2398" s="86"/>
      <c r="P2398" s="1817" t="e">
        <f>INDEX(#REF!,MATCH(F2398,#REF!,0),2)</f>
        <v>#REF!</v>
      </c>
    </row>
    <row r="2399" spans="1:33">
      <c r="A2399" s="424" t="s">
        <v>2870</v>
      </c>
      <c r="B2399" s="424" t="s">
        <v>1248</v>
      </c>
      <c r="C2399" s="424" t="s">
        <v>507</v>
      </c>
      <c r="D2399" s="1598"/>
      <c r="E2399" s="2104" t="s">
        <v>1932</v>
      </c>
      <c r="F2399" s="438">
        <v>2121</v>
      </c>
      <c r="G2399" s="831" t="s">
        <v>2872</v>
      </c>
      <c r="H2399" s="431"/>
      <c r="I2399" s="431">
        <v>100</v>
      </c>
      <c r="J2399" s="444"/>
      <c r="K2399" s="740"/>
      <c r="L2399" s="431"/>
      <c r="M2399" s="431">
        <v>100</v>
      </c>
      <c r="N2399" s="2847"/>
      <c r="O2399" s="86"/>
      <c r="P2399" s="1817" t="e">
        <f>INDEX(#REF!,MATCH(F2399,#REF!,0),2)</f>
        <v>#REF!</v>
      </c>
    </row>
    <row r="2400" spans="1:33">
      <c r="A2400" s="1882" t="s">
        <v>2871</v>
      </c>
      <c r="B2400" s="424" t="s">
        <v>1248</v>
      </c>
      <c r="C2400" s="424" t="s">
        <v>507</v>
      </c>
      <c r="D2400" s="1598"/>
      <c r="E2400" s="2104" t="s">
        <v>1932</v>
      </c>
      <c r="F2400" s="438">
        <v>2121</v>
      </c>
      <c r="G2400" s="3095" t="s">
        <v>2873</v>
      </c>
      <c r="H2400" s="1892"/>
      <c r="I2400" s="1892"/>
      <c r="J2400" s="1916"/>
      <c r="K2400" s="1957"/>
      <c r="L2400" s="1892"/>
      <c r="M2400" s="1892"/>
      <c r="N2400" s="2847"/>
      <c r="O2400" s="86"/>
      <c r="P2400" s="1817" t="e">
        <f>INDEX(#REF!,MATCH(F2400,#REF!,0),2)</f>
        <v>#REF!</v>
      </c>
    </row>
    <row r="2401" spans="1:33">
      <c r="A2401" s="634"/>
      <c r="B2401" s="634" t="s">
        <v>1248</v>
      </c>
      <c r="C2401" s="634" t="s">
        <v>507</v>
      </c>
      <c r="D2401" s="1597" t="s">
        <v>1761</v>
      </c>
      <c r="E2401" s="2093" t="s">
        <v>1932</v>
      </c>
      <c r="F2401" s="635">
        <v>2210</v>
      </c>
      <c r="G2401" s="432" t="s">
        <v>879</v>
      </c>
      <c r="H2401" s="674">
        <v>350</v>
      </c>
      <c r="I2401" s="736"/>
      <c r="J2401" s="737">
        <v>194</v>
      </c>
      <c r="K2401" s="738"/>
      <c r="L2401" s="674">
        <v>500</v>
      </c>
      <c r="M2401" s="736"/>
      <c r="N2401" s="2847"/>
      <c r="O2401" s="86"/>
      <c r="P2401" s="1817" t="e">
        <f>INDEX(#REF!,MATCH(F2401,#REF!,0),2)</f>
        <v>#REF!</v>
      </c>
    </row>
    <row r="2402" spans="1:33">
      <c r="A2402" s="424" t="s">
        <v>2870</v>
      </c>
      <c r="B2402" s="424" t="s">
        <v>1248</v>
      </c>
      <c r="C2402" s="424" t="s">
        <v>507</v>
      </c>
      <c r="D2402" s="1598"/>
      <c r="E2402" s="2104" t="s">
        <v>1932</v>
      </c>
      <c r="F2402" s="438">
        <v>2210</v>
      </c>
      <c r="G2402" s="425" t="s">
        <v>1136</v>
      </c>
      <c r="H2402" s="431"/>
      <c r="I2402" s="431">
        <v>350</v>
      </c>
      <c r="J2402" s="444"/>
      <c r="K2402" s="685"/>
      <c r="L2402" s="431"/>
      <c r="M2402" s="431">
        <v>500</v>
      </c>
      <c r="N2402" s="2847"/>
      <c r="O2402" s="86"/>
      <c r="P2402" s="1817" t="e">
        <f>INDEX(#REF!,MATCH(F2402,#REF!,0),2)</f>
        <v>#REF!</v>
      </c>
    </row>
    <row r="2403" spans="1:33">
      <c r="A2403" s="762"/>
      <c r="B2403" s="424" t="s">
        <v>1248</v>
      </c>
      <c r="C2403" s="424" t="s">
        <v>507</v>
      </c>
      <c r="D2403" s="1598"/>
      <c r="E2403" s="2104" t="s">
        <v>1932</v>
      </c>
      <c r="F2403" s="438">
        <v>2210</v>
      </c>
      <c r="G2403" s="772" t="s">
        <v>1371</v>
      </c>
      <c r="H2403" s="752"/>
      <c r="I2403" s="752"/>
      <c r="J2403" s="753"/>
      <c r="K2403" s="754"/>
      <c r="L2403" s="769"/>
      <c r="M2403" s="769"/>
      <c r="N2403" s="2847"/>
      <c r="O2403" s="86"/>
      <c r="P2403" s="1817" t="e">
        <f>INDEX(#REF!,MATCH(F2403,#REF!,0),2)</f>
        <v>#REF!</v>
      </c>
    </row>
    <row r="2404" spans="1:33">
      <c r="A2404" s="762" t="s">
        <v>2871</v>
      </c>
      <c r="B2404" s="424" t="s">
        <v>1248</v>
      </c>
      <c r="C2404" s="424" t="s">
        <v>507</v>
      </c>
      <c r="D2404" s="1598"/>
      <c r="E2404" s="2104" t="s">
        <v>1932</v>
      </c>
      <c r="F2404" s="438">
        <v>2210</v>
      </c>
      <c r="G2404" s="3070" t="s">
        <v>1372</v>
      </c>
      <c r="H2404" s="752"/>
      <c r="I2404" s="752"/>
      <c r="J2404" s="753"/>
      <c r="K2404" s="754"/>
      <c r="L2404" s="769"/>
      <c r="M2404" s="769"/>
      <c r="N2404" s="2847"/>
      <c r="O2404" s="86"/>
      <c r="P2404" s="1817" t="e">
        <f>INDEX(#REF!,MATCH(F2404,#REF!,0),2)</f>
        <v>#REF!</v>
      </c>
    </row>
    <row r="2405" spans="1:33">
      <c r="A2405" s="634"/>
      <c r="B2405" s="634" t="s">
        <v>1248</v>
      </c>
      <c r="C2405" s="634" t="s">
        <v>505</v>
      </c>
      <c r="D2405" s="1597" t="s">
        <v>1761</v>
      </c>
      <c r="E2405" s="2093" t="s">
        <v>1932</v>
      </c>
      <c r="F2405" s="635">
        <v>2222</v>
      </c>
      <c r="G2405" s="432" t="s">
        <v>272</v>
      </c>
      <c r="H2405" s="674">
        <v>350</v>
      </c>
      <c r="I2405" s="736"/>
      <c r="J2405" s="737">
        <v>36</v>
      </c>
      <c r="K2405" s="738"/>
      <c r="L2405" s="674">
        <v>350</v>
      </c>
      <c r="M2405" s="736"/>
      <c r="N2405" s="2847"/>
      <c r="O2405" s="86"/>
      <c r="P2405" s="1817" t="e">
        <f>INDEX(#REF!,MATCH(F2405,#REF!,0),2)</f>
        <v>#REF!</v>
      </c>
    </row>
    <row r="2406" spans="1:33" ht="19.899999999999999" customHeight="1">
      <c r="A2406" s="424"/>
      <c r="B2406" s="424" t="s">
        <v>1248</v>
      </c>
      <c r="C2406" s="424" t="s">
        <v>505</v>
      </c>
      <c r="D2406" s="1598"/>
      <c r="E2406" s="2104" t="s">
        <v>1932</v>
      </c>
      <c r="F2406" s="438">
        <v>2222</v>
      </c>
      <c r="G2406" s="831" t="s">
        <v>1195</v>
      </c>
      <c r="H2406" s="741"/>
      <c r="I2406" s="431">
        <v>350</v>
      </c>
      <c r="J2406" s="444"/>
      <c r="K2406" s="685"/>
      <c r="L2406" s="741"/>
      <c r="M2406" s="431">
        <v>350</v>
      </c>
      <c r="N2406" s="2847"/>
      <c r="O2406" s="86"/>
      <c r="P2406" s="1817" t="e">
        <f>INDEX(#REF!,MATCH(F2406,#REF!,0),2)</f>
        <v>#REF!</v>
      </c>
      <c r="Q2406" s="11"/>
      <c r="R2406" s="11"/>
      <c r="S2406" s="11"/>
      <c r="T2406" s="11"/>
      <c r="U2406" s="11"/>
      <c r="V2406" s="11"/>
      <c r="W2406" s="4"/>
      <c r="X2406" s="11"/>
      <c r="Y2406" s="11"/>
      <c r="Z2406" s="11"/>
      <c r="AA2406" s="11"/>
      <c r="AB2406" s="11"/>
      <c r="AC2406" s="11"/>
      <c r="AD2406" s="11"/>
      <c r="AE2406" s="11"/>
      <c r="AF2406" s="11"/>
      <c r="AG2406" s="11"/>
    </row>
    <row r="2407" spans="1:33" ht="32.450000000000003" customHeight="1">
      <c r="A2407" s="634"/>
      <c r="B2407" s="634" t="s">
        <v>1248</v>
      </c>
      <c r="C2407" s="634" t="s">
        <v>505</v>
      </c>
      <c r="D2407" s="1597" t="s">
        <v>1761</v>
      </c>
      <c r="E2407" s="2093" t="s">
        <v>1932</v>
      </c>
      <c r="F2407" s="635">
        <v>2223</v>
      </c>
      <c r="G2407" s="432" t="s">
        <v>273</v>
      </c>
      <c r="H2407" s="674">
        <v>9270</v>
      </c>
      <c r="I2407" s="736"/>
      <c r="J2407" s="737">
        <v>2592.7999999999997</v>
      </c>
      <c r="K2407" s="738"/>
      <c r="L2407" s="674">
        <v>6080</v>
      </c>
      <c r="M2407" s="1500"/>
      <c r="N2407" s="2847"/>
      <c r="O2407" s="86"/>
      <c r="P2407" s="1817" t="e">
        <f>INDEX(#REF!,MATCH(F2407,#REF!,0),2)</f>
        <v>#REF!</v>
      </c>
      <c r="Q2407" s="11"/>
      <c r="R2407" s="11"/>
      <c r="S2407" s="11"/>
      <c r="T2407" s="11"/>
      <c r="U2407" s="11"/>
      <c r="V2407" s="11"/>
      <c r="W2407" s="4"/>
      <c r="X2407" s="11"/>
      <c r="Y2407" s="11"/>
      <c r="Z2407" s="11"/>
      <c r="AA2407" s="11"/>
      <c r="AB2407" s="11"/>
      <c r="AC2407" s="11"/>
      <c r="AD2407" s="11"/>
      <c r="AE2407" s="11"/>
      <c r="AF2407" s="11"/>
      <c r="AG2407" s="11"/>
    </row>
    <row r="2408" spans="1:33" ht="64.900000000000006" customHeight="1">
      <c r="A2408" s="424" t="s">
        <v>2870</v>
      </c>
      <c r="B2408" s="424" t="s">
        <v>1248</v>
      </c>
      <c r="C2408" s="424" t="s">
        <v>505</v>
      </c>
      <c r="D2408" s="1598"/>
      <c r="E2408" s="2104" t="s">
        <v>1932</v>
      </c>
      <c r="F2408" s="438">
        <v>2223</v>
      </c>
      <c r="G2408" s="772" t="s">
        <v>1136</v>
      </c>
      <c r="H2408" s="741"/>
      <c r="I2408" s="431">
        <v>9270</v>
      </c>
      <c r="J2408" s="4098"/>
      <c r="K2408" s="685"/>
      <c r="L2408" s="1502"/>
      <c r="M2408" s="4281">
        <v>6080</v>
      </c>
      <c r="N2408" s="241" t="s">
        <v>5156</v>
      </c>
      <c r="O2408" s="86"/>
      <c r="P2408" s="1817" t="e">
        <f>INDEX(#REF!,MATCH(F2408,#REF!,0),2)</f>
        <v>#REF!</v>
      </c>
      <c r="Q2408" s="11"/>
      <c r="R2408" s="11"/>
      <c r="S2408" s="11"/>
      <c r="T2408" s="11"/>
      <c r="U2408" s="11"/>
      <c r="V2408" s="11"/>
      <c r="W2408" s="4"/>
      <c r="X2408" s="11"/>
      <c r="Y2408" s="11"/>
      <c r="Z2408" s="11"/>
      <c r="AA2408" s="11"/>
      <c r="AB2408" s="11"/>
      <c r="AC2408" s="11"/>
      <c r="AD2408" s="11"/>
      <c r="AE2408" s="11"/>
      <c r="AF2408" s="11"/>
      <c r="AG2408" s="11"/>
    </row>
    <row r="2409" spans="1:33" ht="15" customHeight="1">
      <c r="A2409" s="1882" t="s">
        <v>2871</v>
      </c>
      <c r="B2409" s="424" t="s">
        <v>1248</v>
      </c>
      <c r="C2409" s="424" t="s">
        <v>505</v>
      </c>
      <c r="D2409" s="1598"/>
      <c r="E2409" s="2104" t="s">
        <v>1932</v>
      </c>
      <c r="F2409" s="438">
        <v>2223</v>
      </c>
      <c r="G2409" s="3070" t="s">
        <v>1372</v>
      </c>
      <c r="H2409" s="1918"/>
      <c r="I2409" s="1892"/>
      <c r="J2409" s="1916"/>
      <c r="K2409" s="1917"/>
      <c r="L2409" s="1937"/>
      <c r="M2409" s="431"/>
      <c r="N2409" s="2847"/>
      <c r="O2409" s="86"/>
      <c r="P2409" s="1817" t="e">
        <f>INDEX(#REF!,MATCH(F2409,#REF!,0),2)</f>
        <v>#REF!</v>
      </c>
      <c r="Q2409" s="11"/>
      <c r="R2409" s="11"/>
      <c r="S2409" s="11"/>
      <c r="T2409" s="11"/>
      <c r="U2409" s="11"/>
      <c r="V2409" s="11"/>
      <c r="W2409" s="4"/>
      <c r="X2409" s="11"/>
      <c r="Y2409" s="11"/>
      <c r="Z2409" s="11"/>
      <c r="AA2409" s="11"/>
      <c r="AB2409" s="11"/>
      <c r="AC2409" s="11"/>
      <c r="AD2409" s="11"/>
      <c r="AE2409" s="11"/>
      <c r="AF2409" s="11"/>
      <c r="AG2409" s="11"/>
    </row>
    <row r="2410" spans="1:33" ht="21.6" customHeight="1">
      <c r="A2410" s="634"/>
      <c r="B2410" s="634" t="s">
        <v>1248</v>
      </c>
      <c r="C2410" s="634" t="s">
        <v>505</v>
      </c>
      <c r="D2410" s="1597" t="s">
        <v>1761</v>
      </c>
      <c r="E2410" s="2093" t="s">
        <v>1932</v>
      </c>
      <c r="F2410" s="635">
        <v>2231</v>
      </c>
      <c r="G2410" s="432" t="s">
        <v>1212</v>
      </c>
      <c r="H2410" s="674">
        <v>4300</v>
      </c>
      <c r="I2410" s="736"/>
      <c r="J2410" s="737">
        <v>3749</v>
      </c>
      <c r="K2410" s="738"/>
      <c r="L2410" s="674">
        <v>4200</v>
      </c>
      <c r="M2410" s="1500"/>
      <c r="N2410" s="2847"/>
      <c r="O2410" s="86"/>
      <c r="P2410" s="1817" t="e">
        <f>INDEX(#REF!,MATCH(F2410,#REF!,0),2)</f>
        <v>#REF!</v>
      </c>
      <c r="Q2410" s="11"/>
      <c r="R2410" s="11"/>
      <c r="S2410" s="11"/>
      <c r="T2410" s="11"/>
      <c r="U2410" s="11"/>
      <c r="V2410" s="11"/>
      <c r="W2410" s="4"/>
      <c r="X2410" s="11"/>
      <c r="Y2410" s="11"/>
      <c r="Z2410" s="11"/>
      <c r="AA2410" s="11"/>
      <c r="AB2410" s="11"/>
      <c r="AC2410" s="11"/>
      <c r="AD2410" s="11"/>
      <c r="AE2410" s="11"/>
      <c r="AF2410" s="11"/>
      <c r="AG2410" s="11"/>
    </row>
    <row r="2411" spans="1:33" ht="14.45" customHeight="1">
      <c r="A2411" s="424" t="s">
        <v>2870</v>
      </c>
      <c r="B2411" s="424" t="s">
        <v>1248</v>
      </c>
      <c r="C2411" s="424" t="s">
        <v>505</v>
      </c>
      <c r="D2411" s="1598"/>
      <c r="E2411" s="2104" t="s">
        <v>1932</v>
      </c>
      <c r="F2411" s="438">
        <v>2231</v>
      </c>
      <c r="G2411" s="1442" t="s">
        <v>3998</v>
      </c>
      <c r="H2411" s="741"/>
      <c r="I2411" s="431">
        <v>1300</v>
      </c>
      <c r="J2411" s="444"/>
      <c r="K2411" s="685"/>
      <c r="L2411" s="1502"/>
      <c r="M2411" s="431">
        <v>800</v>
      </c>
      <c r="N2411" s="2847"/>
      <c r="O2411" s="86"/>
      <c r="P2411" s="1817" t="e">
        <f>INDEX(#REF!,MATCH(F2411,#REF!,0),2)</f>
        <v>#REF!</v>
      </c>
      <c r="Q2411" s="11"/>
      <c r="R2411" s="11"/>
      <c r="S2411" s="11"/>
      <c r="T2411" s="11"/>
      <c r="U2411" s="11"/>
      <c r="V2411" s="11"/>
      <c r="W2411" s="4"/>
      <c r="X2411" s="11"/>
      <c r="Y2411" s="11"/>
      <c r="Z2411" s="11"/>
      <c r="AA2411" s="11"/>
      <c r="AB2411" s="11"/>
      <c r="AC2411" s="11"/>
      <c r="AD2411" s="11"/>
      <c r="AE2411" s="11"/>
      <c r="AF2411" s="11"/>
      <c r="AG2411" s="11"/>
    </row>
    <row r="2412" spans="1:33" ht="67.5">
      <c r="A2412" s="424" t="s">
        <v>2871</v>
      </c>
      <c r="B2412" s="424" t="s">
        <v>1248</v>
      </c>
      <c r="C2412" s="424" t="s">
        <v>505</v>
      </c>
      <c r="D2412" s="1598"/>
      <c r="E2412" s="2104" t="s">
        <v>1932</v>
      </c>
      <c r="F2412" s="438">
        <v>2231</v>
      </c>
      <c r="G2412" s="3073" t="s">
        <v>3999</v>
      </c>
      <c r="H2412" s="741"/>
      <c r="I2412" s="431">
        <v>1000</v>
      </c>
      <c r="J2412" s="444"/>
      <c r="K2412" s="685"/>
      <c r="L2412" s="1502"/>
      <c r="M2412" s="4279">
        <v>2000</v>
      </c>
      <c r="N2412" s="241" t="s">
        <v>5156</v>
      </c>
      <c r="O2412" s="86"/>
      <c r="P2412" s="1817" t="e">
        <f>INDEX(#REF!,MATCH(F2412,#REF!,0),2)</f>
        <v>#REF!</v>
      </c>
    </row>
    <row r="2413" spans="1:33">
      <c r="A2413" s="424" t="s">
        <v>2871</v>
      </c>
      <c r="B2413" s="424" t="s">
        <v>1248</v>
      </c>
      <c r="C2413" s="424" t="s">
        <v>505</v>
      </c>
      <c r="D2413" s="1598"/>
      <c r="E2413" s="2104" t="s">
        <v>1932</v>
      </c>
      <c r="F2413" s="438">
        <v>2231</v>
      </c>
      <c r="G2413" s="276" t="s">
        <v>4000</v>
      </c>
      <c r="H2413" s="1918"/>
      <c r="I2413" s="1892">
        <v>2000</v>
      </c>
      <c r="J2413" s="1916"/>
      <c r="K2413" s="1917"/>
      <c r="L2413" s="1937"/>
      <c r="M2413" s="1892">
        <v>1000</v>
      </c>
      <c r="N2413" s="2847"/>
      <c r="O2413" s="86"/>
      <c r="P2413" s="1817" t="e">
        <f>INDEX(#REF!,MATCH(F2413,#REF!,0),2)</f>
        <v>#REF!</v>
      </c>
    </row>
    <row r="2414" spans="1:33" ht="22.5">
      <c r="A2414" s="424" t="s">
        <v>2871</v>
      </c>
      <c r="B2414" s="424" t="s">
        <v>1248</v>
      </c>
      <c r="C2414" s="424" t="s">
        <v>505</v>
      </c>
      <c r="D2414" s="1598"/>
      <c r="E2414" s="2104" t="s">
        <v>1932</v>
      </c>
      <c r="F2414" s="438">
        <v>2231</v>
      </c>
      <c r="G2414" s="3073" t="s">
        <v>4001</v>
      </c>
      <c r="H2414" s="3002"/>
      <c r="I2414" s="2779"/>
      <c r="J2414" s="2776"/>
      <c r="K2414" s="2777"/>
      <c r="L2414" s="2999"/>
      <c r="M2414" s="4221">
        <v>0</v>
      </c>
      <c r="N2414" s="241" t="s">
        <v>5982</v>
      </c>
      <c r="O2414" s="86"/>
      <c r="P2414" s="1817" t="e">
        <f>INDEX(#REF!,MATCH(F2414,#REF!,0),2)</f>
        <v>#REF!</v>
      </c>
    </row>
    <row r="2415" spans="1:33" ht="11.45" customHeight="1">
      <c r="A2415" s="424" t="s">
        <v>2871</v>
      </c>
      <c r="B2415" s="424" t="s">
        <v>1248</v>
      </c>
      <c r="C2415" s="424" t="s">
        <v>505</v>
      </c>
      <c r="D2415" s="1598"/>
      <c r="E2415" s="2104" t="s">
        <v>1932</v>
      </c>
      <c r="F2415" s="438">
        <v>2231</v>
      </c>
      <c r="G2415" s="3073" t="s">
        <v>4002</v>
      </c>
      <c r="H2415" s="3002"/>
      <c r="I2415" s="2779"/>
      <c r="J2415" s="2776"/>
      <c r="K2415" s="2777"/>
      <c r="L2415" s="2999"/>
      <c r="M2415" s="2779">
        <v>400</v>
      </c>
      <c r="N2415" s="2847"/>
      <c r="O2415" s="86"/>
      <c r="P2415" s="1817" t="e">
        <f>INDEX(#REF!,MATCH(F2415,#REF!,0),2)</f>
        <v>#REF!</v>
      </c>
      <c r="Q2415" s="11"/>
      <c r="R2415" s="11"/>
      <c r="S2415" s="11"/>
      <c r="T2415" s="11"/>
      <c r="U2415" s="11"/>
      <c r="V2415" s="11"/>
      <c r="W2415" s="4"/>
      <c r="X2415" s="11"/>
      <c r="Y2415" s="11"/>
      <c r="Z2415" s="11"/>
      <c r="AA2415" s="11"/>
      <c r="AB2415" s="11"/>
      <c r="AC2415" s="11"/>
      <c r="AD2415" s="11"/>
      <c r="AE2415" s="11"/>
      <c r="AF2415" s="11"/>
      <c r="AG2415" s="11"/>
    </row>
    <row r="2416" spans="1:33" ht="13.9" customHeight="1">
      <c r="A2416" s="634"/>
      <c r="B2416" s="634" t="s">
        <v>1248</v>
      </c>
      <c r="C2416" s="634" t="s">
        <v>505</v>
      </c>
      <c r="D2416" s="1597" t="s">
        <v>1761</v>
      </c>
      <c r="E2416" s="2093" t="s">
        <v>1932</v>
      </c>
      <c r="F2416" s="635">
        <v>2232</v>
      </c>
      <c r="G2416" s="432" t="s">
        <v>1213</v>
      </c>
      <c r="H2416" s="674">
        <v>1000</v>
      </c>
      <c r="I2416" s="736"/>
      <c r="J2416" s="737">
        <v>520</v>
      </c>
      <c r="K2416" s="738"/>
      <c r="L2416" s="674">
        <v>1000</v>
      </c>
      <c r="M2416" s="1500"/>
      <c r="N2416" s="2847"/>
      <c r="O2416" s="86"/>
      <c r="P2416" s="1817" t="e">
        <f>INDEX(#REF!,MATCH(F2416,#REF!,0),2)</f>
        <v>#REF!</v>
      </c>
      <c r="Q2416" s="11"/>
      <c r="R2416" s="11"/>
      <c r="S2416" s="11"/>
      <c r="T2416" s="11"/>
      <c r="U2416" s="11"/>
      <c r="V2416" s="11"/>
      <c r="W2416" s="4"/>
      <c r="X2416" s="11"/>
      <c r="Y2416" s="11"/>
      <c r="Z2416" s="11"/>
      <c r="AA2416" s="11"/>
      <c r="AB2416" s="11"/>
      <c r="AC2416" s="11"/>
      <c r="AD2416" s="11"/>
      <c r="AE2416" s="11"/>
      <c r="AF2416" s="11"/>
      <c r="AG2416" s="11"/>
    </row>
    <row r="2417" spans="1:33" ht="41.45" customHeight="1">
      <c r="A2417" s="424" t="s">
        <v>2870</v>
      </c>
      <c r="B2417" s="424" t="s">
        <v>1248</v>
      </c>
      <c r="C2417" s="424" t="s">
        <v>505</v>
      </c>
      <c r="D2417" s="1598"/>
      <c r="E2417" s="2104" t="s">
        <v>1932</v>
      </c>
      <c r="F2417" s="438">
        <v>2232</v>
      </c>
      <c r="G2417" s="3073" t="s">
        <v>4003</v>
      </c>
      <c r="H2417" s="741"/>
      <c r="I2417" s="431">
        <v>1000</v>
      </c>
      <c r="J2417" s="444"/>
      <c r="K2417" s="685"/>
      <c r="L2417" s="1502"/>
      <c r="M2417" s="431">
        <v>1000</v>
      </c>
      <c r="N2417" s="2847"/>
      <c r="O2417" s="86"/>
      <c r="P2417" s="1817" t="e">
        <f>INDEX(#REF!,MATCH(F2417,#REF!,0),2)</f>
        <v>#REF!</v>
      </c>
      <c r="Q2417" s="11"/>
      <c r="R2417" s="11"/>
      <c r="S2417" s="11"/>
      <c r="T2417" s="11"/>
      <c r="U2417" s="11"/>
      <c r="V2417" s="11"/>
      <c r="W2417" s="4"/>
      <c r="X2417" s="11"/>
      <c r="Y2417" s="11"/>
      <c r="Z2417" s="11"/>
      <c r="AA2417" s="11"/>
      <c r="AB2417" s="11"/>
      <c r="AC2417" s="11"/>
      <c r="AD2417" s="11"/>
      <c r="AE2417" s="11"/>
      <c r="AF2417" s="11"/>
      <c r="AG2417" s="11"/>
    </row>
    <row r="2418" spans="1:33" ht="20.45" customHeight="1">
      <c r="A2418" s="424" t="s">
        <v>2871</v>
      </c>
      <c r="B2418" s="424" t="s">
        <v>1248</v>
      </c>
      <c r="C2418" s="424" t="s">
        <v>505</v>
      </c>
      <c r="D2418" s="1598"/>
      <c r="E2418" s="2104" t="s">
        <v>1932</v>
      </c>
      <c r="F2418" s="438">
        <v>2232</v>
      </c>
      <c r="G2418" s="3075" t="s">
        <v>2874</v>
      </c>
      <c r="H2418" s="1918"/>
      <c r="I2418" s="1892"/>
      <c r="J2418" s="1916"/>
      <c r="K2418" s="1917"/>
      <c r="L2418" s="1937"/>
      <c r="M2418" s="1968"/>
      <c r="N2418" s="2847"/>
      <c r="O2418" s="86"/>
      <c r="P2418" s="1817" t="e">
        <f>INDEX(#REF!,MATCH(F2418,#REF!,0),2)</f>
        <v>#REF!</v>
      </c>
      <c r="Q2418" s="11"/>
      <c r="R2418" s="11"/>
      <c r="S2418" s="11"/>
      <c r="T2418" s="11"/>
      <c r="U2418" s="11"/>
      <c r="V2418" s="11"/>
      <c r="W2418" s="4"/>
      <c r="X2418" s="11"/>
      <c r="Y2418" s="11"/>
      <c r="Z2418" s="11"/>
      <c r="AA2418" s="11"/>
      <c r="AB2418" s="11"/>
      <c r="AC2418" s="11"/>
      <c r="AD2418" s="11"/>
      <c r="AE2418" s="11"/>
      <c r="AF2418" s="11"/>
      <c r="AG2418" s="11"/>
    </row>
    <row r="2419" spans="1:33" ht="21.6" customHeight="1">
      <c r="A2419" s="634"/>
      <c r="B2419" s="634" t="s">
        <v>1248</v>
      </c>
      <c r="C2419" s="634" t="s">
        <v>505</v>
      </c>
      <c r="D2419" s="1597" t="s">
        <v>1761</v>
      </c>
      <c r="E2419" s="2093" t="s">
        <v>1932</v>
      </c>
      <c r="F2419" s="635">
        <v>2233</v>
      </c>
      <c r="G2419" s="432" t="s">
        <v>263</v>
      </c>
      <c r="H2419" s="674">
        <v>717</v>
      </c>
      <c r="I2419" s="736"/>
      <c r="J2419" s="737"/>
      <c r="K2419" s="738"/>
      <c r="L2419" s="674">
        <v>600</v>
      </c>
      <c r="M2419" s="736"/>
      <c r="N2419" s="2847"/>
      <c r="O2419" s="86"/>
      <c r="P2419" s="1817" t="e">
        <f>INDEX(#REF!,MATCH(F2419,#REF!,0),2)</f>
        <v>#REF!</v>
      </c>
      <c r="Q2419" s="11"/>
      <c r="R2419" s="11"/>
      <c r="S2419" s="11"/>
      <c r="T2419" s="11"/>
      <c r="U2419" s="11"/>
      <c r="V2419" s="11"/>
      <c r="W2419" s="4"/>
      <c r="X2419" s="11"/>
      <c r="Y2419" s="11"/>
      <c r="Z2419" s="11"/>
      <c r="AA2419" s="11"/>
      <c r="AB2419" s="11"/>
      <c r="AC2419" s="11"/>
      <c r="AD2419" s="11"/>
      <c r="AE2419" s="11"/>
      <c r="AF2419" s="11"/>
      <c r="AG2419" s="11"/>
    </row>
    <row r="2420" spans="1:33" ht="11.45" customHeight="1">
      <c r="A2420" s="424" t="s">
        <v>2870</v>
      </c>
      <c r="B2420" s="424" t="s">
        <v>1248</v>
      </c>
      <c r="C2420" s="424" t="s">
        <v>505</v>
      </c>
      <c r="D2420" s="1598"/>
      <c r="E2420" s="2104" t="s">
        <v>1932</v>
      </c>
      <c r="F2420" s="438">
        <v>2233</v>
      </c>
      <c r="G2420" s="3073" t="s">
        <v>4004</v>
      </c>
      <c r="H2420" s="741"/>
      <c r="I2420" s="431">
        <v>250</v>
      </c>
      <c r="J2420" s="444"/>
      <c r="K2420" s="685"/>
      <c r="L2420" s="741"/>
      <c r="M2420" s="431">
        <v>300</v>
      </c>
      <c r="N2420" s="2847"/>
      <c r="O2420" s="86"/>
      <c r="P2420" s="1817" t="e">
        <f>INDEX(#REF!,MATCH(F2420,#REF!,0),2)</f>
        <v>#REF!</v>
      </c>
      <c r="Q2420" s="11"/>
      <c r="R2420" s="11"/>
      <c r="S2420" s="11"/>
      <c r="T2420" s="11"/>
      <c r="U2420" s="11"/>
      <c r="V2420" s="11"/>
      <c r="W2420" s="4"/>
      <c r="X2420" s="11"/>
      <c r="Y2420" s="11"/>
      <c r="Z2420" s="11"/>
      <c r="AA2420" s="11"/>
      <c r="AB2420" s="11"/>
      <c r="AC2420" s="11"/>
      <c r="AD2420" s="11"/>
      <c r="AE2420" s="11"/>
      <c r="AF2420" s="11"/>
      <c r="AG2420" s="11"/>
    </row>
    <row r="2421" spans="1:33" ht="11.45" customHeight="1">
      <c r="A2421" s="424" t="s">
        <v>2871</v>
      </c>
      <c r="B2421" s="424" t="s">
        <v>1248</v>
      </c>
      <c r="C2421" s="424" t="s">
        <v>505</v>
      </c>
      <c r="D2421" s="1598"/>
      <c r="E2421" s="2104" t="s">
        <v>1932</v>
      </c>
      <c r="F2421" s="438">
        <v>2233</v>
      </c>
      <c r="G2421" s="3073" t="s">
        <v>4005</v>
      </c>
      <c r="H2421" s="1918"/>
      <c r="I2421" s="1892">
        <v>500</v>
      </c>
      <c r="J2421" s="1916"/>
      <c r="K2421" s="1917"/>
      <c r="L2421" s="1918"/>
      <c r="M2421" s="1892">
        <v>300</v>
      </c>
      <c r="N2421" s="2847"/>
      <c r="O2421" s="86"/>
      <c r="P2421" s="1817" t="e">
        <f>INDEX(#REF!,MATCH(F2421,#REF!,0),2)</f>
        <v>#REF!</v>
      </c>
      <c r="Q2421" s="11"/>
      <c r="R2421" s="11"/>
      <c r="S2421" s="11"/>
      <c r="T2421" s="11"/>
      <c r="U2421" s="11"/>
      <c r="V2421" s="11"/>
      <c r="W2421" s="4"/>
      <c r="X2421" s="11"/>
      <c r="Y2421" s="11"/>
      <c r="Z2421" s="11"/>
      <c r="AA2421" s="11"/>
      <c r="AB2421" s="11"/>
      <c r="AC2421" s="11"/>
      <c r="AD2421" s="11"/>
      <c r="AE2421" s="11"/>
      <c r="AF2421" s="11"/>
      <c r="AG2421" s="11"/>
    </row>
    <row r="2422" spans="1:33" ht="11.45" customHeight="1">
      <c r="A2422" s="424" t="s">
        <v>2871</v>
      </c>
      <c r="B2422" s="424" t="s">
        <v>1248</v>
      </c>
      <c r="C2422" s="424" t="s">
        <v>505</v>
      </c>
      <c r="D2422" s="1598"/>
      <c r="E2422" s="2104" t="s">
        <v>1932</v>
      </c>
      <c r="F2422" s="438">
        <v>2233</v>
      </c>
      <c r="G2422" s="1919" t="s">
        <v>3137</v>
      </c>
      <c r="H2422" s="1918"/>
      <c r="I2422" s="1892">
        <v>-33</v>
      </c>
      <c r="J2422" s="1916"/>
      <c r="K2422" s="1917"/>
      <c r="L2422" s="1937"/>
      <c r="M2422" s="1968"/>
      <c r="N2422" s="2847"/>
      <c r="O2422" s="86"/>
      <c r="P2422" s="1817" t="e">
        <f>INDEX(#REF!,MATCH(F2422,#REF!,0),2)</f>
        <v>#REF!</v>
      </c>
      <c r="Q2422" s="11"/>
      <c r="R2422" s="11"/>
      <c r="S2422" s="11"/>
      <c r="T2422" s="11"/>
      <c r="U2422" s="11"/>
      <c r="V2422" s="11"/>
      <c r="W2422" s="4"/>
      <c r="X2422" s="11"/>
      <c r="Y2422" s="11"/>
      <c r="Z2422" s="11"/>
      <c r="AA2422" s="11"/>
      <c r="AB2422" s="11"/>
      <c r="AC2422" s="11"/>
      <c r="AD2422" s="11"/>
      <c r="AE2422" s="11"/>
      <c r="AF2422" s="11"/>
      <c r="AG2422" s="11"/>
    </row>
    <row r="2423" spans="1:33" ht="12" customHeight="1">
      <c r="A2423" s="634"/>
      <c r="B2423" s="634" t="s">
        <v>1248</v>
      </c>
      <c r="C2423" s="634" t="s">
        <v>505</v>
      </c>
      <c r="D2423" s="1597" t="s">
        <v>1761</v>
      </c>
      <c r="E2423" s="2093" t="s">
        <v>1932</v>
      </c>
      <c r="F2423" s="635">
        <v>2239</v>
      </c>
      <c r="G2423" s="432" t="s">
        <v>266</v>
      </c>
      <c r="H2423" s="674">
        <v>15070</v>
      </c>
      <c r="I2423" s="736"/>
      <c r="J2423" s="737">
        <v>4151.3999999999996</v>
      </c>
      <c r="K2423" s="738"/>
      <c r="L2423" s="674">
        <v>11900</v>
      </c>
      <c r="M2423" s="1500"/>
      <c r="N2423" s="2847"/>
      <c r="O2423" s="86"/>
      <c r="P2423" s="1817" t="e">
        <f>INDEX(#REF!,MATCH(F2423,#REF!,0),2)</f>
        <v>#REF!</v>
      </c>
      <c r="Q2423" s="1779"/>
      <c r="R2423" s="1779"/>
      <c r="S2423" s="1779"/>
      <c r="T2423" s="1779"/>
      <c r="U2423" s="1779"/>
      <c r="V2423" s="1779"/>
      <c r="W2423" s="43"/>
      <c r="X2423" s="1779"/>
      <c r="Y2423" s="1779"/>
      <c r="Z2423" s="1779"/>
      <c r="AA2423" s="1779"/>
      <c r="AB2423" s="1779"/>
      <c r="AC2423" s="1779"/>
      <c r="AD2423" s="1779"/>
      <c r="AE2423" s="1779"/>
      <c r="AF2423" s="1779"/>
      <c r="AG2423" s="1779"/>
    </row>
    <row r="2424" spans="1:33" ht="12" customHeight="1">
      <c r="A2424" s="424" t="s">
        <v>2870</v>
      </c>
      <c r="B2424" s="424" t="s">
        <v>1248</v>
      </c>
      <c r="C2424" s="424" t="s">
        <v>505</v>
      </c>
      <c r="D2424" s="1598"/>
      <c r="E2424" s="2104" t="s">
        <v>1932</v>
      </c>
      <c r="F2424" s="438">
        <v>2239</v>
      </c>
      <c r="G2424" s="60" t="s">
        <v>1136</v>
      </c>
      <c r="H2424" s="741"/>
      <c r="I2424" s="431">
        <v>300</v>
      </c>
      <c r="J2424" s="444"/>
      <c r="K2424" s="685"/>
      <c r="L2424" s="1502"/>
      <c r="M2424" s="750"/>
      <c r="N2424" s="2847"/>
      <c r="O2424" s="86"/>
      <c r="P2424" s="1817" t="e">
        <f>INDEX(#REF!,MATCH(F2424,#REF!,0),2)</f>
        <v>#REF!</v>
      </c>
      <c r="Q2424" s="1779"/>
      <c r="R2424" s="1779"/>
      <c r="S2424" s="1779"/>
      <c r="T2424" s="1779"/>
      <c r="U2424" s="1779"/>
      <c r="V2424" s="1779"/>
      <c r="W2424" s="43"/>
      <c r="X2424" s="1779"/>
      <c r="Y2424" s="1779"/>
      <c r="Z2424" s="1779"/>
      <c r="AA2424" s="1779"/>
      <c r="AB2424" s="1779"/>
      <c r="AC2424" s="1779"/>
      <c r="AD2424" s="1779"/>
      <c r="AE2424" s="1779"/>
      <c r="AF2424" s="1779"/>
      <c r="AG2424" s="1779"/>
    </row>
    <row r="2425" spans="1:33" ht="24" customHeight="1">
      <c r="A2425" s="424" t="s">
        <v>2870</v>
      </c>
      <c r="B2425" s="424" t="s">
        <v>1248</v>
      </c>
      <c r="C2425" s="424" t="s">
        <v>505</v>
      </c>
      <c r="D2425" s="1598"/>
      <c r="E2425" s="2104" t="s">
        <v>1932</v>
      </c>
      <c r="F2425" s="438">
        <v>2239</v>
      </c>
      <c r="G2425" s="60" t="s">
        <v>2879</v>
      </c>
      <c r="H2425" s="1918"/>
      <c r="I2425" s="1892">
        <v>1000</v>
      </c>
      <c r="J2425" s="1916"/>
      <c r="K2425" s="1917"/>
      <c r="L2425" s="1937"/>
      <c r="M2425" s="1892">
        <v>500</v>
      </c>
      <c r="N2425" s="2847"/>
      <c r="O2425" s="86"/>
      <c r="P2425" s="1817" t="e">
        <f>INDEX(#REF!,MATCH(F2425,#REF!,0),2)</f>
        <v>#REF!</v>
      </c>
      <c r="Q2425" s="1779"/>
      <c r="R2425" s="1779"/>
      <c r="S2425" s="1779"/>
      <c r="T2425" s="1779"/>
      <c r="U2425" s="1779"/>
      <c r="V2425" s="1779"/>
      <c r="W2425" s="43"/>
      <c r="X2425" s="1779"/>
      <c r="Y2425" s="1779"/>
      <c r="Z2425" s="1779"/>
      <c r="AA2425" s="1779"/>
      <c r="AB2425" s="1779"/>
      <c r="AC2425" s="1779"/>
      <c r="AD2425" s="1779"/>
      <c r="AE2425" s="1779"/>
      <c r="AF2425" s="1779"/>
      <c r="AG2425" s="1779"/>
    </row>
    <row r="2426" spans="1:33" ht="22.15" customHeight="1">
      <c r="A2426" s="424" t="s">
        <v>2870</v>
      </c>
      <c r="B2426" s="424" t="s">
        <v>1248</v>
      </c>
      <c r="C2426" s="424" t="s">
        <v>505</v>
      </c>
      <c r="D2426" s="1598"/>
      <c r="E2426" s="2104" t="s">
        <v>1932</v>
      </c>
      <c r="F2426" s="438">
        <v>2239</v>
      </c>
      <c r="G2426" s="60" t="s">
        <v>1373</v>
      </c>
      <c r="H2426" s="1918"/>
      <c r="I2426" s="1892">
        <v>2000</v>
      </c>
      <c r="J2426" s="1916"/>
      <c r="K2426" s="1917"/>
      <c r="L2426" s="1937"/>
      <c r="M2426" s="1892">
        <v>1000</v>
      </c>
      <c r="N2426" s="2847"/>
      <c r="O2426" s="86"/>
      <c r="P2426" s="1817" t="e">
        <f>INDEX(#REF!,MATCH(F2426,#REF!,0),2)</f>
        <v>#REF!</v>
      </c>
      <c r="Q2426" s="1779"/>
      <c r="R2426" s="1779"/>
      <c r="S2426" s="1779"/>
      <c r="T2426" s="1779"/>
      <c r="U2426" s="1779"/>
      <c r="V2426" s="1779"/>
      <c r="W2426" s="43"/>
      <c r="X2426" s="1779"/>
      <c r="Y2426" s="1779"/>
      <c r="Z2426" s="1779"/>
      <c r="AA2426" s="1779"/>
      <c r="AB2426" s="1779"/>
      <c r="AC2426" s="1779"/>
      <c r="AD2426" s="1779"/>
      <c r="AE2426" s="1779"/>
      <c r="AF2426" s="1779"/>
      <c r="AG2426" s="1779"/>
    </row>
    <row r="2427" spans="1:33" ht="21.6" customHeight="1">
      <c r="A2427" s="424" t="s">
        <v>2871</v>
      </c>
      <c r="B2427" s="424" t="s">
        <v>1248</v>
      </c>
      <c r="C2427" s="424" t="s">
        <v>505</v>
      </c>
      <c r="D2427" s="1598"/>
      <c r="E2427" s="2104" t="s">
        <v>1932</v>
      </c>
      <c r="F2427" s="438">
        <v>2239</v>
      </c>
      <c r="G2427" s="1958" t="s">
        <v>1374</v>
      </c>
      <c r="H2427" s="1918"/>
      <c r="I2427" s="1892">
        <v>500</v>
      </c>
      <c r="J2427" s="1892"/>
      <c r="K2427" s="1950"/>
      <c r="L2427" s="1937"/>
      <c r="M2427" s="1892">
        <v>500</v>
      </c>
      <c r="N2427" s="2847"/>
      <c r="O2427" s="86"/>
      <c r="P2427" s="1817" t="e">
        <f>INDEX(#REF!,MATCH(F2427,#REF!,0),2)</f>
        <v>#REF!</v>
      </c>
      <c r="Q2427" s="1779"/>
      <c r="R2427" s="1779"/>
      <c r="S2427" s="1779"/>
      <c r="T2427" s="1779"/>
      <c r="U2427" s="1779"/>
      <c r="V2427" s="1779"/>
      <c r="W2427" s="43"/>
      <c r="X2427" s="1779"/>
      <c r="Y2427" s="1779"/>
      <c r="Z2427" s="1779"/>
      <c r="AA2427" s="1779"/>
      <c r="AB2427" s="1779"/>
      <c r="AC2427" s="1779"/>
      <c r="AD2427" s="1779"/>
      <c r="AE2427" s="1779"/>
      <c r="AF2427" s="1779"/>
      <c r="AG2427" s="1779"/>
    </row>
    <row r="2428" spans="1:33" ht="10.9" customHeight="1">
      <c r="A2428" s="424" t="s">
        <v>2870</v>
      </c>
      <c r="B2428" s="424" t="s">
        <v>1248</v>
      </c>
      <c r="C2428" s="424" t="s">
        <v>505</v>
      </c>
      <c r="D2428" s="1598"/>
      <c r="E2428" s="2104" t="s">
        <v>1932</v>
      </c>
      <c r="F2428" s="438">
        <v>2239</v>
      </c>
      <c r="G2428" s="3076" t="s">
        <v>1375</v>
      </c>
      <c r="H2428" s="1918"/>
      <c r="I2428" s="1892">
        <v>400</v>
      </c>
      <c r="J2428" s="1892"/>
      <c r="K2428" s="1950"/>
      <c r="L2428" s="1937"/>
      <c r="M2428" s="1892">
        <v>400</v>
      </c>
      <c r="N2428" s="2847"/>
      <c r="O2428" s="86"/>
      <c r="P2428" s="1817" t="e">
        <f>INDEX(#REF!,MATCH(F2428,#REF!,0),2)</f>
        <v>#REF!</v>
      </c>
      <c r="Q2428" s="1779"/>
      <c r="R2428" s="1779"/>
      <c r="S2428" s="1779"/>
      <c r="T2428" s="1779"/>
      <c r="U2428" s="1779"/>
      <c r="V2428" s="1779"/>
      <c r="W2428" s="43"/>
      <c r="X2428" s="1779"/>
      <c r="Y2428" s="1779"/>
      <c r="Z2428" s="1779"/>
      <c r="AA2428" s="1779"/>
      <c r="AB2428" s="1779"/>
      <c r="AC2428" s="1779"/>
      <c r="AD2428" s="1779"/>
      <c r="AE2428" s="1779"/>
      <c r="AF2428" s="1779"/>
      <c r="AG2428" s="1779"/>
    </row>
    <row r="2429" spans="1:33" ht="10.9" customHeight="1">
      <c r="A2429" s="424" t="s">
        <v>2870</v>
      </c>
      <c r="B2429" s="424" t="s">
        <v>1248</v>
      </c>
      <c r="C2429" s="424" t="s">
        <v>505</v>
      </c>
      <c r="D2429" s="1598"/>
      <c r="E2429" s="2104" t="s">
        <v>1932</v>
      </c>
      <c r="F2429" s="438">
        <v>2239</v>
      </c>
      <c r="G2429" s="1958" t="s">
        <v>2949</v>
      </c>
      <c r="H2429" s="1918"/>
      <c r="I2429" s="1892">
        <v>2000</v>
      </c>
      <c r="J2429" s="1892"/>
      <c r="K2429" s="1950"/>
      <c r="L2429" s="1937"/>
      <c r="M2429" s="4280">
        <v>2000</v>
      </c>
      <c r="N2429" s="241" t="s">
        <v>5983</v>
      </c>
      <c r="O2429" s="86"/>
      <c r="P2429" s="1817" t="e">
        <f>INDEX(#REF!,MATCH(F2429,#REF!,0),2)</f>
        <v>#REF!</v>
      </c>
      <c r="Q2429" s="1779"/>
      <c r="R2429" s="1779"/>
      <c r="S2429" s="1779"/>
      <c r="T2429" s="1779"/>
      <c r="U2429" s="1779"/>
      <c r="V2429" s="1779"/>
      <c r="W2429" s="43"/>
      <c r="X2429" s="1779"/>
      <c r="Y2429" s="1779"/>
      <c r="Z2429" s="1779"/>
      <c r="AA2429" s="1779"/>
      <c r="AB2429" s="1779"/>
      <c r="AC2429" s="1779"/>
      <c r="AD2429" s="1779"/>
      <c r="AE2429" s="1779"/>
      <c r="AF2429" s="1779"/>
      <c r="AG2429" s="1779"/>
    </row>
    <row r="2430" spans="1:33" ht="42" customHeight="1">
      <c r="A2430" s="424" t="s">
        <v>2870</v>
      </c>
      <c r="B2430" s="424" t="s">
        <v>1248</v>
      </c>
      <c r="C2430" s="424" t="s">
        <v>505</v>
      </c>
      <c r="D2430" s="1598"/>
      <c r="E2430" s="2104" t="s">
        <v>1932</v>
      </c>
      <c r="F2430" s="438">
        <v>2239</v>
      </c>
      <c r="G2430" s="1959" t="s">
        <v>1376</v>
      </c>
      <c r="H2430" s="1918"/>
      <c r="I2430" s="1892">
        <v>500</v>
      </c>
      <c r="J2430" s="1892"/>
      <c r="K2430" s="1950"/>
      <c r="L2430" s="1937"/>
      <c r="M2430" s="1892">
        <v>500</v>
      </c>
      <c r="N2430" s="2847"/>
      <c r="O2430" s="86"/>
      <c r="P2430" s="1817" t="e">
        <f>INDEX(#REF!,MATCH(F2430,#REF!,0),2)</f>
        <v>#REF!</v>
      </c>
      <c r="Q2430" s="1779"/>
      <c r="R2430" s="1779"/>
      <c r="S2430" s="1779"/>
      <c r="T2430" s="1779"/>
      <c r="U2430" s="1779"/>
      <c r="V2430" s="1779"/>
      <c r="W2430" s="43"/>
      <c r="X2430" s="1779"/>
      <c r="Y2430" s="1779"/>
      <c r="Z2430" s="1779"/>
      <c r="AA2430" s="1779"/>
      <c r="AB2430" s="1779"/>
      <c r="AC2430" s="1779"/>
      <c r="AD2430" s="1779"/>
      <c r="AE2430" s="1779"/>
      <c r="AF2430" s="1779"/>
      <c r="AG2430" s="1779"/>
    </row>
    <row r="2431" spans="1:33" ht="13.15" customHeight="1">
      <c r="A2431" s="424" t="s">
        <v>2870</v>
      </c>
      <c r="B2431" s="424" t="s">
        <v>1248</v>
      </c>
      <c r="C2431" s="424" t="s">
        <v>505</v>
      </c>
      <c r="D2431" s="1598"/>
      <c r="E2431" s="2104" t="s">
        <v>1932</v>
      </c>
      <c r="F2431" s="438">
        <v>2239</v>
      </c>
      <c r="G2431" s="1958" t="s">
        <v>4006</v>
      </c>
      <c r="H2431" s="1918"/>
      <c r="I2431" s="1892">
        <v>20</v>
      </c>
      <c r="J2431" s="1892"/>
      <c r="K2431" s="1950"/>
      <c r="L2431" s="1937"/>
      <c r="M2431" s="1892">
        <v>200</v>
      </c>
      <c r="N2431" s="2847"/>
      <c r="O2431" s="86"/>
      <c r="P2431" s="1817" t="e">
        <f>INDEX(#REF!,MATCH(F2431,#REF!,0),2)</f>
        <v>#REF!</v>
      </c>
      <c r="Q2431" s="1779"/>
      <c r="R2431" s="1779"/>
      <c r="S2431" s="1779"/>
      <c r="T2431" s="1779"/>
      <c r="U2431" s="1779"/>
      <c r="V2431" s="1779"/>
      <c r="W2431" s="43"/>
      <c r="X2431" s="1779"/>
      <c r="Y2431" s="1779"/>
      <c r="Z2431" s="1779"/>
      <c r="AA2431" s="1779"/>
      <c r="AB2431" s="1779"/>
      <c r="AC2431" s="1779"/>
      <c r="AD2431" s="1779"/>
      <c r="AE2431" s="1779"/>
      <c r="AF2431" s="1779"/>
      <c r="AG2431" s="1779"/>
    </row>
    <row r="2432" spans="1:33" ht="11.45" customHeight="1">
      <c r="A2432" s="424" t="s">
        <v>2870</v>
      </c>
      <c r="B2432" s="424" t="s">
        <v>1248</v>
      </c>
      <c r="C2432" s="424" t="s">
        <v>505</v>
      </c>
      <c r="D2432" s="1598"/>
      <c r="E2432" s="2104" t="s">
        <v>1932</v>
      </c>
      <c r="F2432" s="438">
        <v>2239</v>
      </c>
      <c r="G2432" s="1883" t="s">
        <v>425</v>
      </c>
      <c r="H2432" s="1918"/>
      <c r="I2432" s="1892">
        <v>300</v>
      </c>
      <c r="J2432" s="1892"/>
      <c r="K2432" s="1950"/>
      <c r="L2432" s="1937"/>
      <c r="M2432" s="1892">
        <v>400</v>
      </c>
      <c r="N2432" s="2847"/>
      <c r="O2432" s="86"/>
      <c r="P2432" s="1817" t="e">
        <f>INDEX(#REF!,MATCH(F2432,#REF!,0),2)</f>
        <v>#REF!</v>
      </c>
      <c r="Q2432" s="11"/>
      <c r="R2432" s="11"/>
      <c r="S2432" s="11"/>
      <c r="T2432" s="11"/>
      <c r="U2432" s="11"/>
      <c r="V2432" s="11"/>
      <c r="W2432" s="4"/>
      <c r="X2432" s="11"/>
      <c r="Y2432" s="11"/>
      <c r="Z2432" s="11"/>
      <c r="AA2432" s="11"/>
      <c r="AB2432" s="11"/>
      <c r="AC2432" s="11"/>
      <c r="AD2432" s="11"/>
      <c r="AE2432" s="11"/>
      <c r="AF2432" s="11"/>
      <c r="AG2432" s="11"/>
    </row>
    <row r="2433" spans="1:33" ht="11.45" customHeight="1">
      <c r="A2433" s="424" t="s">
        <v>2870</v>
      </c>
      <c r="B2433" s="424" t="s">
        <v>1248</v>
      </c>
      <c r="C2433" s="424" t="s">
        <v>505</v>
      </c>
      <c r="D2433" s="1598"/>
      <c r="E2433" s="2104" t="s">
        <v>1932</v>
      </c>
      <c r="F2433" s="438">
        <v>2239</v>
      </c>
      <c r="G2433" s="1883" t="s">
        <v>936</v>
      </c>
      <c r="H2433" s="1918"/>
      <c r="I2433" s="1892">
        <v>1000</v>
      </c>
      <c r="J2433" s="1892"/>
      <c r="K2433" s="1950"/>
      <c r="L2433" s="1937"/>
      <c r="M2433" s="1918">
        <v>1000</v>
      </c>
      <c r="N2433" s="2847"/>
      <c r="O2433" s="86"/>
      <c r="P2433" s="1817" t="e">
        <f>INDEX(#REF!,MATCH(F2433,#REF!,0),2)</f>
        <v>#REF!</v>
      </c>
      <c r="Q2433" s="11"/>
      <c r="R2433" s="11"/>
      <c r="S2433" s="11"/>
      <c r="T2433" s="11"/>
      <c r="U2433" s="11"/>
      <c r="V2433" s="11"/>
      <c r="W2433" s="4"/>
      <c r="X2433" s="11"/>
      <c r="Y2433" s="11"/>
      <c r="Z2433" s="11"/>
      <c r="AA2433" s="11"/>
      <c r="AB2433" s="11"/>
      <c r="AC2433" s="11"/>
      <c r="AD2433" s="11"/>
      <c r="AE2433" s="11"/>
      <c r="AF2433" s="11"/>
      <c r="AG2433" s="11"/>
    </row>
    <row r="2434" spans="1:33" ht="13.15" customHeight="1">
      <c r="A2434" s="424" t="s">
        <v>2870</v>
      </c>
      <c r="B2434" s="424" t="s">
        <v>1248</v>
      </c>
      <c r="C2434" s="424" t="s">
        <v>505</v>
      </c>
      <c r="D2434" s="1598"/>
      <c r="E2434" s="2104" t="s">
        <v>1932</v>
      </c>
      <c r="F2434" s="438">
        <v>2239</v>
      </c>
      <c r="G2434" s="3077" t="s">
        <v>2880</v>
      </c>
      <c r="H2434" s="1918"/>
      <c r="I2434" s="1892">
        <v>1000</v>
      </c>
      <c r="J2434" s="1892"/>
      <c r="K2434" s="1950"/>
      <c r="L2434" s="1937"/>
      <c r="M2434" s="1892">
        <v>1000</v>
      </c>
      <c r="N2434" s="2847"/>
      <c r="O2434" s="86"/>
      <c r="P2434" s="1817" t="e">
        <f>INDEX(#REF!,MATCH(F2434,#REF!,0),2)</f>
        <v>#REF!</v>
      </c>
      <c r="Q2434" s="11"/>
      <c r="R2434" s="11"/>
      <c r="S2434" s="11"/>
      <c r="T2434" s="11"/>
      <c r="U2434" s="11"/>
      <c r="V2434" s="11"/>
      <c r="W2434" s="4"/>
      <c r="X2434" s="11"/>
      <c r="Y2434" s="11"/>
      <c r="Z2434" s="11"/>
      <c r="AA2434" s="11"/>
      <c r="AB2434" s="11"/>
      <c r="AC2434" s="11"/>
      <c r="AD2434" s="11"/>
      <c r="AE2434" s="11"/>
      <c r="AF2434" s="11"/>
      <c r="AG2434" s="11"/>
    </row>
    <row r="2435" spans="1:33" ht="24" customHeight="1">
      <c r="A2435" s="762" t="s">
        <v>2871</v>
      </c>
      <c r="B2435" s="424" t="s">
        <v>1248</v>
      </c>
      <c r="C2435" s="424" t="s">
        <v>507</v>
      </c>
      <c r="D2435" s="1598"/>
      <c r="E2435" s="2104" t="s">
        <v>1932</v>
      </c>
      <c r="F2435" s="438">
        <v>2239</v>
      </c>
      <c r="G2435" s="3078" t="s">
        <v>2875</v>
      </c>
      <c r="H2435" s="785"/>
      <c r="I2435" s="752"/>
      <c r="J2435" s="753"/>
      <c r="K2435" s="754"/>
      <c r="L2435" s="2397"/>
      <c r="M2435" s="769"/>
      <c r="N2435" s="2847"/>
      <c r="O2435" s="86"/>
      <c r="P2435" s="1817" t="e">
        <f>INDEX(#REF!,MATCH(F2435,#REF!,0),2)</f>
        <v>#REF!</v>
      </c>
      <c r="Q2435" s="11"/>
      <c r="R2435" s="11"/>
      <c r="S2435" s="11"/>
      <c r="T2435" s="11"/>
      <c r="U2435" s="11"/>
      <c r="V2435" s="11"/>
      <c r="W2435" s="4"/>
      <c r="X2435" s="11"/>
      <c r="Y2435" s="11"/>
      <c r="Z2435" s="11"/>
      <c r="AA2435" s="11"/>
      <c r="AB2435" s="11"/>
      <c r="AC2435" s="11"/>
      <c r="AD2435" s="11"/>
      <c r="AE2435" s="11"/>
      <c r="AF2435" s="11"/>
      <c r="AG2435" s="11"/>
    </row>
    <row r="2436" spans="1:33" ht="22.9" customHeight="1">
      <c r="A2436" s="762" t="s">
        <v>2871</v>
      </c>
      <c r="B2436" s="424" t="s">
        <v>1248</v>
      </c>
      <c r="C2436" s="424" t="s">
        <v>507</v>
      </c>
      <c r="D2436" s="1598"/>
      <c r="E2436" s="2104" t="s">
        <v>1932</v>
      </c>
      <c r="F2436" s="438">
        <v>2239</v>
      </c>
      <c r="G2436" s="3079" t="s">
        <v>2876</v>
      </c>
      <c r="H2436" s="741"/>
      <c r="I2436" s="431"/>
      <c r="J2436" s="444"/>
      <c r="K2436" s="685"/>
      <c r="L2436" s="1502"/>
      <c r="M2436" s="750"/>
      <c r="N2436" s="2847"/>
      <c r="O2436" s="86"/>
      <c r="P2436" s="1817" t="e">
        <f>INDEX(#REF!,MATCH(F2436,#REF!,0),2)</f>
        <v>#REF!</v>
      </c>
      <c r="Q2436" s="11"/>
      <c r="R2436" s="11"/>
      <c r="S2436" s="11"/>
      <c r="T2436" s="11"/>
      <c r="U2436" s="11"/>
      <c r="V2436" s="11"/>
      <c r="W2436" s="4"/>
      <c r="X2436" s="11"/>
      <c r="Y2436" s="11"/>
      <c r="Z2436" s="11"/>
      <c r="AA2436" s="11"/>
      <c r="AB2436" s="11"/>
      <c r="AC2436" s="11"/>
      <c r="AD2436" s="11"/>
      <c r="AE2436" s="11"/>
      <c r="AF2436" s="11"/>
      <c r="AG2436" s="11"/>
    </row>
    <row r="2437" spans="1:33" ht="43.15" customHeight="1">
      <c r="A2437" s="762" t="s">
        <v>2871</v>
      </c>
      <c r="B2437" s="424" t="s">
        <v>1248</v>
      </c>
      <c r="C2437" s="424" t="s">
        <v>507</v>
      </c>
      <c r="D2437" s="1598"/>
      <c r="E2437" s="2104" t="s">
        <v>1932</v>
      </c>
      <c r="F2437" s="438">
        <v>2239</v>
      </c>
      <c r="G2437" s="3080" t="s">
        <v>2877</v>
      </c>
      <c r="H2437" s="741"/>
      <c r="I2437" s="431"/>
      <c r="J2437" s="444"/>
      <c r="K2437" s="685"/>
      <c r="L2437" s="1502"/>
      <c r="M2437" s="750"/>
      <c r="N2437" s="2847"/>
      <c r="O2437" s="86"/>
      <c r="P2437" s="1817" t="e">
        <f>INDEX(#REF!,MATCH(F2437,#REF!,0),2)</f>
        <v>#REF!</v>
      </c>
      <c r="Q2437" s="11"/>
      <c r="R2437" s="11"/>
      <c r="S2437" s="11"/>
      <c r="T2437" s="11"/>
      <c r="U2437" s="11"/>
      <c r="V2437" s="11"/>
      <c r="W2437" s="4"/>
      <c r="X2437" s="11"/>
      <c r="Y2437" s="11"/>
      <c r="Z2437" s="11"/>
      <c r="AA2437" s="11"/>
      <c r="AB2437" s="11"/>
      <c r="AC2437" s="11"/>
      <c r="AD2437" s="11"/>
      <c r="AE2437" s="11"/>
      <c r="AF2437" s="11"/>
      <c r="AG2437" s="11"/>
    </row>
    <row r="2438" spans="1:33" ht="13.15" customHeight="1">
      <c r="A2438" s="762" t="s">
        <v>2871</v>
      </c>
      <c r="B2438" s="424" t="s">
        <v>1248</v>
      </c>
      <c r="C2438" s="424" t="s">
        <v>507</v>
      </c>
      <c r="D2438" s="1598"/>
      <c r="E2438" s="2104" t="s">
        <v>1932</v>
      </c>
      <c r="F2438" s="438">
        <v>2239</v>
      </c>
      <c r="G2438" s="1443" t="s">
        <v>2878</v>
      </c>
      <c r="H2438" s="785"/>
      <c r="I2438" s="752">
        <v>200</v>
      </c>
      <c r="J2438" s="753"/>
      <c r="K2438" s="754"/>
      <c r="L2438" s="2397"/>
      <c r="M2438" s="752">
        <v>200</v>
      </c>
      <c r="N2438" s="2847"/>
      <c r="O2438" s="86"/>
      <c r="P2438" s="1817" t="e">
        <f>INDEX(#REF!,MATCH(F2438,#REF!,0),2)</f>
        <v>#REF!</v>
      </c>
      <c r="Q2438" s="1779"/>
      <c r="R2438" s="1779"/>
      <c r="S2438" s="1779"/>
      <c r="T2438" s="1779"/>
      <c r="U2438" s="1779"/>
      <c r="V2438" s="1779"/>
      <c r="W2438" s="43"/>
      <c r="X2438" s="1779"/>
      <c r="Y2438" s="1779"/>
      <c r="Z2438" s="1779"/>
      <c r="AA2438" s="1779"/>
      <c r="AB2438" s="1779"/>
      <c r="AC2438" s="1779"/>
      <c r="AD2438" s="1779"/>
      <c r="AE2438" s="1779"/>
      <c r="AF2438" s="1779"/>
      <c r="AG2438" s="1779"/>
    </row>
    <row r="2439" spans="1:33" ht="34.15" customHeight="1">
      <c r="A2439" s="762" t="s">
        <v>2871</v>
      </c>
      <c r="B2439" s="424" t="s">
        <v>1248</v>
      </c>
      <c r="C2439" s="424" t="s">
        <v>507</v>
      </c>
      <c r="D2439" s="1598"/>
      <c r="E2439" s="2104" t="s">
        <v>1932</v>
      </c>
      <c r="F2439" s="438">
        <v>2239</v>
      </c>
      <c r="G2439" s="3073" t="s">
        <v>4007</v>
      </c>
      <c r="H2439" s="3002"/>
      <c r="I2439" s="2779"/>
      <c r="J2439" s="2776"/>
      <c r="K2439" s="2777"/>
      <c r="L2439" s="2999"/>
      <c r="M2439" s="2779">
        <v>800</v>
      </c>
      <c r="N2439" s="2847"/>
      <c r="O2439" s="86"/>
      <c r="P2439" s="1817" t="e">
        <f>INDEX(#REF!,MATCH(F2439,#REF!,0),2)</f>
        <v>#REF!</v>
      </c>
      <c r="Q2439" s="1779"/>
      <c r="R2439" s="1779"/>
      <c r="S2439" s="1779"/>
      <c r="T2439" s="1779"/>
      <c r="U2439" s="1779"/>
      <c r="V2439" s="1779"/>
      <c r="W2439" s="43"/>
      <c r="X2439" s="1779"/>
      <c r="Y2439" s="1779"/>
      <c r="Z2439" s="1779"/>
      <c r="AA2439" s="1779"/>
      <c r="AB2439" s="1779"/>
      <c r="AC2439" s="1779"/>
      <c r="AD2439" s="1779"/>
      <c r="AE2439" s="1779"/>
      <c r="AF2439" s="1779"/>
      <c r="AG2439" s="1779"/>
    </row>
    <row r="2440" spans="1:33" ht="24" customHeight="1">
      <c r="A2440" s="762" t="s">
        <v>2871</v>
      </c>
      <c r="B2440" s="424" t="s">
        <v>1248</v>
      </c>
      <c r="C2440" s="424" t="s">
        <v>507</v>
      </c>
      <c r="D2440" s="1598"/>
      <c r="E2440" s="2104" t="s">
        <v>1932</v>
      </c>
      <c r="F2440" s="438">
        <v>2239</v>
      </c>
      <c r="G2440" s="3073" t="s">
        <v>4008</v>
      </c>
      <c r="H2440" s="3002"/>
      <c r="I2440" s="2779"/>
      <c r="J2440" s="2776"/>
      <c r="K2440" s="2777"/>
      <c r="L2440" s="2999"/>
      <c r="M2440" s="2779">
        <v>600</v>
      </c>
      <c r="N2440" s="2847"/>
      <c r="O2440" s="86"/>
      <c r="P2440" s="1817" t="e">
        <f>INDEX(#REF!,MATCH(F2440,#REF!,0),2)</f>
        <v>#REF!</v>
      </c>
      <c r="Q2440" s="11"/>
      <c r="R2440" s="11"/>
      <c r="S2440" s="11"/>
      <c r="T2440" s="11"/>
      <c r="U2440" s="11"/>
      <c r="V2440" s="11"/>
      <c r="W2440" s="4"/>
      <c r="X2440" s="11"/>
      <c r="Y2440" s="11"/>
      <c r="Z2440" s="11"/>
      <c r="AA2440" s="11"/>
      <c r="AB2440" s="11"/>
      <c r="AC2440" s="11"/>
      <c r="AD2440" s="11"/>
      <c r="AE2440" s="11"/>
      <c r="AF2440" s="11"/>
      <c r="AG2440" s="11"/>
    </row>
    <row r="2441" spans="1:33" ht="21.6" customHeight="1">
      <c r="A2441" s="762" t="s">
        <v>2871</v>
      </c>
      <c r="B2441" s="424" t="s">
        <v>1248</v>
      </c>
      <c r="C2441" s="424" t="s">
        <v>507</v>
      </c>
      <c r="D2441" s="1598"/>
      <c r="E2441" s="2104" t="s">
        <v>1932</v>
      </c>
      <c r="F2441" s="438">
        <v>2239</v>
      </c>
      <c r="G2441" s="276" t="s">
        <v>4009</v>
      </c>
      <c r="H2441" s="1441"/>
      <c r="I2441" s="1372">
        <v>5450</v>
      </c>
      <c r="J2441" s="1373"/>
      <c r="K2441" s="1393"/>
      <c r="L2441" s="1503"/>
      <c r="M2441" s="1372">
        <v>1500</v>
      </c>
      <c r="N2441" s="2847"/>
      <c r="O2441" s="86"/>
      <c r="P2441" s="1817" t="e">
        <f>INDEX(#REF!,MATCH(F2441,#REF!,0),2)</f>
        <v>#REF!</v>
      </c>
      <c r="Q2441" s="11"/>
      <c r="R2441" s="11"/>
      <c r="S2441" s="11"/>
      <c r="T2441" s="11"/>
      <c r="U2441" s="11"/>
      <c r="V2441" s="11"/>
      <c r="W2441" s="4"/>
      <c r="X2441" s="11"/>
      <c r="Y2441" s="11"/>
      <c r="Z2441" s="11"/>
      <c r="AA2441" s="11"/>
      <c r="AB2441" s="11"/>
      <c r="AC2441" s="11"/>
      <c r="AD2441" s="11"/>
      <c r="AE2441" s="11"/>
      <c r="AF2441" s="11"/>
      <c r="AG2441" s="11"/>
    </row>
    <row r="2442" spans="1:33" ht="23.45" customHeight="1">
      <c r="A2442" s="762" t="s">
        <v>2871</v>
      </c>
      <c r="B2442" s="424" t="s">
        <v>1248</v>
      </c>
      <c r="C2442" s="424" t="s">
        <v>507</v>
      </c>
      <c r="D2442" s="1598"/>
      <c r="E2442" s="2104" t="s">
        <v>1932</v>
      </c>
      <c r="F2442" s="438">
        <v>2239</v>
      </c>
      <c r="G2442" s="429" t="s">
        <v>425</v>
      </c>
      <c r="H2442" s="741"/>
      <c r="I2442" s="431">
        <v>200</v>
      </c>
      <c r="J2442" s="444"/>
      <c r="K2442" s="685"/>
      <c r="L2442" s="1502"/>
      <c r="M2442" s="431">
        <v>300</v>
      </c>
      <c r="N2442" s="2847"/>
      <c r="O2442" s="86"/>
      <c r="P2442" s="1817" t="e">
        <f>INDEX(#REF!,MATCH(F2442,#REF!,0),2)</f>
        <v>#REF!</v>
      </c>
      <c r="Q2442" s="11"/>
      <c r="R2442" s="11"/>
      <c r="S2442" s="11"/>
      <c r="T2442" s="11"/>
      <c r="U2442" s="11"/>
      <c r="V2442" s="11"/>
      <c r="W2442" s="4"/>
      <c r="X2442" s="11"/>
      <c r="Y2442" s="11"/>
      <c r="Z2442" s="11"/>
      <c r="AA2442" s="11"/>
      <c r="AB2442" s="11"/>
      <c r="AC2442" s="11"/>
      <c r="AD2442" s="11"/>
      <c r="AE2442" s="11"/>
      <c r="AF2442" s="11"/>
      <c r="AG2442" s="11"/>
    </row>
    <row r="2443" spans="1:33" ht="33" customHeight="1">
      <c r="A2443" s="762" t="s">
        <v>2871</v>
      </c>
      <c r="B2443" s="424" t="s">
        <v>1248</v>
      </c>
      <c r="C2443" s="424" t="s">
        <v>507</v>
      </c>
      <c r="D2443" s="1598"/>
      <c r="E2443" s="2104" t="s">
        <v>1932</v>
      </c>
      <c r="F2443" s="438">
        <v>2239</v>
      </c>
      <c r="G2443" s="3081" t="s">
        <v>5984</v>
      </c>
      <c r="H2443" s="741"/>
      <c r="I2443" s="431">
        <v>200</v>
      </c>
      <c r="J2443" s="444"/>
      <c r="K2443" s="685"/>
      <c r="L2443" s="1502"/>
      <c r="M2443" s="741">
        <v>200</v>
      </c>
      <c r="N2443" s="2847"/>
      <c r="O2443" s="86"/>
      <c r="P2443" s="1817" t="e">
        <f>INDEX(#REF!,MATCH(F2443,#REF!,0),2)</f>
        <v>#REF!</v>
      </c>
      <c r="Q2443" s="11"/>
      <c r="R2443" s="11"/>
      <c r="S2443" s="11"/>
      <c r="T2443" s="11"/>
      <c r="U2443" s="11"/>
      <c r="V2443" s="11"/>
      <c r="W2443" s="4"/>
      <c r="X2443" s="11"/>
      <c r="Y2443" s="11"/>
      <c r="Z2443" s="11"/>
      <c r="AA2443" s="11"/>
      <c r="AB2443" s="11"/>
      <c r="AC2443" s="11"/>
      <c r="AD2443" s="11"/>
      <c r="AE2443" s="11"/>
      <c r="AF2443" s="11"/>
      <c r="AG2443" s="11"/>
    </row>
    <row r="2444" spans="1:33" ht="22.5">
      <c r="A2444" s="762" t="s">
        <v>2871</v>
      </c>
      <c r="B2444" s="424" t="s">
        <v>1248</v>
      </c>
      <c r="C2444" s="424" t="s">
        <v>507</v>
      </c>
      <c r="D2444" s="1598"/>
      <c r="E2444" s="2104" t="s">
        <v>1932</v>
      </c>
      <c r="F2444" s="438">
        <v>2239</v>
      </c>
      <c r="G2444" s="3082" t="s">
        <v>4010</v>
      </c>
      <c r="H2444" s="741"/>
      <c r="I2444" s="431"/>
      <c r="J2444" s="444"/>
      <c r="K2444" s="685"/>
      <c r="L2444" s="1502"/>
      <c r="M2444" s="431">
        <v>800</v>
      </c>
      <c r="N2444" s="2847"/>
      <c r="O2444" s="86"/>
      <c r="P2444" s="1817" t="e">
        <f>INDEX(#REF!,MATCH(F2444,#REF!,0),2)</f>
        <v>#REF!</v>
      </c>
    </row>
    <row r="2445" spans="1:33">
      <c r="A2445" s="634" t="s">
        <v>2871</v>
      </c>
      <c r="B2445" s="634" t="s">
        <v>566</v>
      </c>
      <c r="C2445" s="634" t="s">
        <v>505</v>
      </c>
      <c r="D2445" s="1597" t="s">
        <v>1761</v>
      </c>
      <c r="E2445" s="2093" t="s">
        <v>1932</v>
      </c>
      <c r="F2445" s="635">
        <v>2239</v>
      </c>
      <c r="G2445" s="432" t="s">
        <v>266</v>
      </c>
      <c r="H2445" s="674">
        <v>0</v>
      </c>
      <c r="I2445" s="736"/>
      <c r="J2445" s="737"/>
      <c r="K2445" s="738"/>
      <c r="L2445" s="674">
        <v>3000</v>
      </c>
      <c r="M2445" s="736"/>
      <c r="N2445" s="2847"/>
      <c r="O2445" s="86"/>
      <c r="P2445" s="1817" t="e">
        <f>INDEX(#REF!,MATCH(F2445,#REF!,0),2)</f>
        <v>#REF!</v>
      </c>
    </row>
    <row r="2446" spans="1:33" ht="24.6" customHeight="1">
      <c r="A2446" s="424" t="s">
        <v>2871</v>
      </c>
      <c r="B2446" s="424" t="s">
        <v>566</v>
      </c>
      <c r="C2446" s="424" t="s">
        <v>505</v>
      </c>
      <c r="D2446" s="1598"/>
      <c r="E2446" s="2104" t="s">
        <v>1932</v>
      </c>
      <c r="F2446" s="438">
        <v>2239</v>
      </c>
      <c r="G2446" s="60" t="s">
        <v>4011</v>
      </c>
      <c r="H2446" s="3002"/>
      <c r="I2446" s="2779"/>
      <c r="J2446" s="2776"/>
      <c r="K2446" s="2777"/>
      <c r="L2446" s="3002"/>
      <c r="M2446" s="2779">
        <v>3000</v>
      </c>
      <c r="N2446" s="2847"/>
      <c r="O2446" s="86"/>
      <c r="P2446" s="1817" t="e">
        <f>INDEX(#REF!,MATCH(F2446,#REF!,0),2)</f>
        <v>#REF!</v>
      </c>
      <c r="Q2446" s="1779"/>
      <c r="R2446" s="1779"/>
      <c r="S2446" s="1779"/>
      <c r="T2446" s="1779"/>
      <c r="U2446" s="1779"/>
      <c r="V2446" s="1779"/>
      <c r="W2446" s="43"/>
      <c r="X2446" s="1779"/>
      <c r="Y2446" s="1779"/>
      <c r="Z2446" s="1779"/>
      <c r="AA2446" s="1779"/>
      <c r="AB2446" s="1779"/>
      <c r="AC2446" s="1779"/>
      <c r="AD2446" s="1779"/>
      <c r="AE2446" s="1779"/>
      <c r="AF2446" s="1779"/>
      <c r="AG2446" s="1779"/>
    </row>
    <row r="2447" spans="1:33" ht="24" customHeight="1">
      <c r="A2447" s="424" t="s">
        <v>2871</v>
      </c>
      <c r="B2447" s="424" t="s">
        <v>566</v>
      </c>
      <c r="C2447" s="424" t="s">
        <v>505</v>
      </c>
      <c r="D2447" s="1598"/>
      <c r="E2447" s="2104" t="s">
        <v>1932</v>
      </c>
      <c r="F2447" s="438">
        <v>2239</v>
      </c>
      <c r="G2447" s="3078" t="s">
        <v>2881</v>
      </c>
      <c r="H2447" s="741"/>
      <c r="I2447" s="431"/>
      <c r="J2447" s="444"/>
      <c r="K2447" s="685"/>
      <c r="L2447" s="741"/>
      <c r="M2447" s="431"/>
      <c r="N2447" s="2847"/>
      <c r="O2447" s="86"/>
      <c r="P2447" s="1817" t="e">
        <f>INDEX(#REF!,MATCH(F2447,#REF!,0),2)</f>
        <v>#REF!</v>
      </c>
      <c r="Q2447" s="11"/>
      <c r="R2447" s="11"/>
      <c r="S2447" s="11"/>
      <c r="T2447" s="11"/>
      <c r="U2447" s="11"/>
      <c r="V2447" s="11"/>
      <c r="W2447" s="4"/>
      <c r="X2447" s="11"/>
      <c r="Y2447" s="11"/>
      <c r="Z2447" s="11"/>
      <c r="AA2447" s="11"/>
      <c r="AB2447" s="11"/>
      <c r="AC2447" s="11"/>
      <c r="AD2447" s="11"/>
      <c r="AE2447" s="11"/>
      <c r="AF2447" s="11"/>
      <c r="AG2447" s="11"/>
    </row>
    <row r="2448" spans="1:33" ht="14.45" customHeight="1">
      <c r="A2448" s="634"/>
      <c r="B2448" s="634" t="s">
        <v>1249</v>
      </c>
      <c r="C2448" s="634" t="s">
        <v>505</v>
      </c>
      <c r="D2448" s="1597" t="s">
        <v>1761</v>
      </c>
      <c r="E2448" s="2093" t="s">
        <v>1932</v>
      </c>
      <c r="F2448" s="635">
        <v>2241</v>
      </c>
      <c r="G2448" s="432" t="s">
        <v>276</v>
      </c>
      <c r="H2448" s="736">
        <v>0</v>
      </c>
      <c r="I2448" s="736"/>
      <c r="J2448" s="737"/>
      <c r="K2448" s="738"/>
      <c r="L2448" s="736">
        <v>4000</v>
      </c>
      <c r="M2448" s="736"/>
      <c r="N2448" s="2847"/>
      <c r="O2448" s="86"/>
      <c r="P2448" s="1817" t="e">
        <f>INDEX(#REF!,MATCH(F2448,#REF!,0),2)</f>
        <v>#REF!</v>
      </c>
      <c r="Q2448" s="1779"/>
      <c r="R2448" s="1779"/>
      <c r="S2448" s="1779"/>
      <c r="T2448" s="1779"/>
      <c r="U2448" s="1779"/>
      <c r="V2448" s="1779"/>
      <c r="W2448" s="43"/>
      <c r="X2448" s="1779"/>
      <c r="Y2448" s="1779"/>
      <c r="Z2448" s="1779"/>
      <c r="AA2448" s="1779"/>
      <c r="AB2448" s="1779"/>
      <c r="AC2448" s="1779"/>
      <c r="AD2448" s="1779"/>
      <c r="AE2448" s="1779"/>
      <c r="AF2448" s="1779"/>
      <c r="AG2448" s="1779"/>
    </row>
    <row r="2449" spans="1:16">
      <c r="A2449" s="424"/>
      <c r="B2449" s="424" t="s">
        <v>1249</v>
      </c>
      <c r="C2449" s="424" t="s">
        <v>505</v>
      </c>
      <c r="D2449" s="1598"/>
      <c r="E2449" s="2104" t="s">
        <v>1932</v>
      </c>
      <c r="F2449" s="438">
        <v>2241</v>
      </c>
      <c r="G2449" s="60" t="s">
        <v>4012</v>
      </c>
      <c r="H2449" s="741"/>
      <c r="I2449" s="431">
        <v>0</v>
      </c>
      <c r="J2449" s="444"/>
      <c r="K2449" s="685"/>
      <c r="L2449" s="431"/>
      <c r="M2449" s="431">
        <v>1000</v>
      </c>
      <c r="N2449" s="2847"/>
      <c r="O2449" s="86"/>
      <c r="P2449" s="1817" t="e">
        <f>INDEX(#REF!,MATCH(F2449,#REF!,0),2)</f>
        <v>#REF!</v>
      </c>
    </row>
    <row r="2450" spans="1:16" ht="22.5">
      <c r="A2450" s="2790"/>
      <c r="B2450" s="424" t="s">
        <v>1249</v>
      </c>
      <c r="C2450" s="1882" t="s">
        <v>505</v>
      </c>
      <c r="D2450" s="1935"/>
      <c r="E2450" s="2229" t="s">
        <v>1932</v>
      </c>
      <c r="F2450" s="1936">
        <v>2241</v>
      </c>
      <c r="G2450" s="61" t="s">
        <v>4028</v>
      </c>
      <c r="H2450" s="3002"/>
      <c r="I2450" s="2779"/>
      <c r="J2450" s="2776"/>
      <c r="K2450" s="2777"/>
      <c r="L2450" s="2999"/>
      <c r="M2450" s="2779">
        <v>3000</v>
      </c>
      <c r="N2450" s="2846" t="s">
        <v>4031</v>
      </c>
      <c r="O2450" s="86"/>
      <c r="P2450" s="1817" t="e">
        <f>INDEX(#REF!,MATCH(F2450,#REF!,0),2)</f>
        <v>#REF!</v>
      </c>
    </row>
    <row r="2451" spans="1:16" ht="22.5">
      <c r="A2451" s="634"/>
      <c r="B2451" s="634" t="s">
        <v>1248</v>
      </c>
      <c r="C2451" s="634" t="s">
        <v>505</v>
      </c>
      <c r="D2451" s="1597" t="s">
        <v>1761</v>
      </c>
      <c r="E2451" s="2093" t="s">
        <v>1932</v>
      </c>
      <c r="F2451" s="635">
        <v>2243</v>
      </c>
      <c r="G2451" s="432" t="s">
        <v>329</v>
      </c>
      <c r="H2451" s="736">
        <v>1700</v>
      </c>
      <c r="I2451" s="736"/>
      <c r="J2451" s="737">
        <v>130</v>
      </c>
      <c r="K2451" s="738"/>
      <c r="L2451" s="736">
        <v>500</v>
      </c>
      <c r="M2451" s="736"/>
      <c r="N2451" s="2847"/>
      <c r="O2451" s="86"/>
      <c r="P2451" s="1817" t="e">
        <f>INDEX(#REF!,MATCH(F2451,#REF!,0),2)</f>
        <v>#REF!</v>
      </c>
    </row>
    <row r="2452" spans="1:16">
      <c r="A2452" s="424" t="s">
        <v>2870</v>
      </c>
      <c r="B2452" s="424" t="s">
        <v>1248</v>
      </c>
      <c r="C2452" s="424" t="s">
        <v>505</v>
      </c>
      <c r="D2452" s="1598"/>
      <c r="E2452" s="2104" t="s">
        <v>1932</v>
      </c>
      <c r="F2452" s="438">
        <v>2243</v>
      </c>
      <c r="G2452" s="60" t="s">
        <v>1378</v>
      </c>
      <c r="H2452" s="741"/>
      <c r="I2452" s="431">
        <v>1500</v>
      </c>
      <c r="J2452" s="444"/>
      <c r="K2452" s="685"/>
      <c r="L2452" s="741"/>
      <c r="M2452" s="4281">
        <v>500</v>
      </c>
      <c r="N2452" s="241" t="s">
        <v>5156</v>
      </c>
      <c r="O2452" s="86"/>
      <c r="P2452" s="1817" t="e">
        <f>INDEX(#REF!,MATCH(F2452,#REF!,0),2)</f>
        <v>#REF!</v>
      </c>
    </row>
    <row r="2453" spans="1:16">
      <c r="A2453" s="424" t="s">
        <v>2870</v>
      </c>
      <c r="B2453" s="424" t="s">
        <v>1248</v>
      </c>
      <c r="C2453" s="424" t="s">
        <v>505</v>
      </c>
      <c r="D2453" s="1598"/>
      <c r="E2453" s="2104" t="s">
        <v>1932</v>
      </c>
      <c r="F2453" s="438">
        <v>2243</v>
      </c>
      <c r="G2453" s="60" t="s">
        <v>1377</v>
      </c>
      <c r="H2453" s="741"/>
      <c r="I2453" s="431">
        <v>200</v>
      </c>
      <c r="J2453" s="444"/>
      <c r="K2453" s="685"/>
      <c r="L2453" s="1502"/>
      <c r="M2453" s="750"/>
      <c r="N2453" s="2847"/>
      <c r="O2453" s="86"/>
      <c r="P2453" s="1817" t="e">
        <f>INDEX(#REF!,MATCH(F2453,#REF!,0),2)</f>
        <v>#REF!</v>
      </c>
    </row>
    <row r="2454" spans="1:16">
      <c r="A2454" s="634"/>
      <c r="B2454" s="634" t="s">
        <v>1248</v>
      </c>
      <c r="C2454" s="634" t="s">
        <v>505</v>
      </c>
      <c r="D2454" s="1597" t="s">
        <v>1761</v>
      </c>
      <c r="E2454" s="2093" t="s">
        <v>1932</v>
      </c>
      <c r="F2454" s="635">
        <v>2244</v>
      </c>
      <c r="G2454" s="432" t="s">
        <v>518</v>
      </c>
      <c r="H2454" s="736">
        <v>600</v>
      </c>
      <c r="I2454" s="736"/>
      <c r="J2454" s="737">
        <v>174</v>
      </c>
      <c r="K2454" s="738"/>
      <c r="L2454" s="736">
        <v>600</v>
      </c>
      <c r="M2454" s="1500"/>
      <c r="N2454" s="2847"/>
      <c r="O2454" s="86"/>
      <c r="P2454" s="1817" t="e">
        <f>INDEX(#REF!,MATCH(F2454,#REF!,0),2)</f>
        <v>#REF!</v>
      </c>
    </row>
    <row r="2455" spans="1:16">
      <c r="A2455" s="424" t="s">
        <v>2871</v>
      </c>
      <c r="B2455" s="424" t="s">
        <v>1248</v>
      </c>
      <c r="C2455" s="424" t="s">
        <v>505</v>
      </c>
      <c r="D2455" s="1598"/>
      <c r="E2455" s="2104" t="s">
        <v>1932</v>
      </c>
      <c r="F2455" s="438">
        <v>2244</v>
      </c>
      <c r="G2455" s="60" t="s">
        <v>1379</v>
      </c>
      <c r="H2455" s="741"/>
      <c r="I2455" s="431">
        <v>200</v>
      </c>
      <c r="J2455" s="444"/>
      <c r="K2455" s="685"/>
      <c r="L2455" s="1502"/>
      <c r="M2455" s="431">
        <v>200</v>
      </c>
      <c r="N2455" s="2847"/>
      <c r="O2455" s="86"/>
      <c r="P2455" s="1817" t="e">
        <f>INDEX(#REF!,MATCH(F2455,#REF!,0),2)</f>
        <v>#REF!</v>
      </c>
    </row>
    <row r="2456" spans="1:16">
      <c r="A2456" s="1370" t="s">
        <v>2870</v>
      </c>
      <c r="B2456" s="424" t="s">
        <v>1248</v>
      </c>
      <c r="C2456" s="424" t="s">
        <v>505</v>
      </c>
      <c r="D2456" s="1598"/>
      <c r="E2456" s="2104" t="s">
        <v>1932</v>
      </c>
      <c r="F2456" s="438">
        <v>2244</v>
      </c>
      <c r="G2456" s="60" t="s">
        <v>4013</v>
      </c>
      <c r="H2456" s="1441"/>
      <c r="I2456" s="1372">
        <v>400</v>
      </c>
      <c r="J2456" s="1373"/>
      <c r="K2456" s="1393"/>
      <c r="L2456" s="1503"/>
      <c r="M2456" s="1372">
        <v>400</v>
      </c>
      <c r="N2456" s="2847"/>
      <c r="O2456" s="86"/>
      <c r="P2456" s="1817" t="e">
        <f>INDEX(#REF!,MATCH(F2456,#REF!,0),2)</f>
        <v>#REF!</v>
      </c>
    </row>
    <row r="2457" spans="1:16">
      <c r="A2457" s="634"/>
      <c r="B2457" s="634" t="s">
        <v>1248</v>
      </c>
      <c r="C2457" s="634" t="s">
        <v>505</v>
      </c>
      <c r="D2457" s="1597" t="s">
        <v>1761</v>
      </c>
      <c r="E2457" s="2093" t="s">
        <v>1932</v>
      </c>
      <c r="F2457" s="635">
        <v>2247</v>
      </c>
      <c r="G2457" s="432" t="s">
        <v>281</v>
      </c>
      <c r="H2457" s="736">
        <v>832</v>
      </c>
      <c r="I2457" s="736"/>
      <c r="J2457" s="737">
        <v>110</v>
      </c>
      <c r="K2457" s="738"/>
      <c r="L2457" s="736">
        <v>750</v>
      </c>
      <c r="M2457" s="1500"/>
      <c r="N2457" s="2847"/>
      <c r="O2457" s="86"/>
      <c r="P2457" s="1817" t="e">
        <f>INDEX(#REF!,MATCH(F2457,#REF!,0),2)</f>
        <v>#REF!</v>
      </c>
    </row>
    <row r="2458" spans="1:16">
      <c r="A2458" s="424" t="s">
        <v>2870</v>
      </c>
      <c r="B2458" s="424" t="s">
        <v>1248</v>
      </c>
      <c r="C2458" s="424" t="s">
        <v>505</v>
      </c>
      <c r="D2458" s="1598"/>
      <c r="E2458" s="2104" t="s">
        <v>1932</v>
      </c>
      <c r="F2458" s="438">
        <v>2247</v>
      </c>
      <c r="G2458" s="60" t="s">
        <v>2678</v>
      </c>
      <c r="H2458" s="741"/>
      <c r="I2458" s="431">
        <v>27</v>
      </c>
      <c r="J2458" s="444"/>
      <c r="K2458" s="685"/>
      <c r="L2458" s="1502"/>
      <c r="M2458" s="431"/>
      <c r="N2458" s="2847"/>
      <c r="O2458" s="86"/>
      <c r="P2458" s="1817" t="e">
        <f>INDEX(#REF!,MATCH(F2458,#REF!,0),2)</f>
        <v>#REF!</v>
      </c>
    </row>
    <row r="2459" spans="1:16">
      <c r="A2459" s="1882" t="s">
        <v>2871</v>
      </c>
      <c r="B2459" s="424" t="s">
        <v>1248</v>
      </c>
      <c r="C2459" s="424" t="s">
        <v>505</v>
      </c>
      <c r="D2459" s="1598"/>
      <c r="E2459" s="2104" t="s">
        <v>1932</v>
      </c>
      <c r="F2459" s="438">
        <v>2247</v>
      </c>
      <c r="G2459" s="60" t="s">
        <v>2678</v>
      </c>
      <c r="H2459" s="1918"/>
      <c r="I2459" s="1892">
        <v>5</v>
      </c>
      <c r="J2459" s="1916"/>
      <c r="K2459" s="1917"/>
      <c r="L2459" s="1937"/>
      <c r="M2459" s="1892"/>
      <c r="N2459" s="2847"/>
      <c r="O2459" s="86"/>
      <c r="P2459" s="1817" t="e">
        <f>INDEX(#REF!,MATCH(F2459,#REF!,0),2)</f>
        <v>#REF!</v>
      </c>
    </row>
    <row r="2460" spans="1:16">
      <c r="A2460" s="1882"/>
      <c r="B2460" s="424" t="s">
        <v>1248</v>
      </c>
      <c r="C2460" s="424" t="s">
        <v>505</v>
      </c>
      <c r="D2460" s="1598"/>
      <c r="E2460" s="2104" t="s">
        <v>1932</v>
      </c>
      <c r="F2460" s="438">
        <v>2247</v>
      </c>
      <c r="G2460" s="60" t="s">
        <v>2950</v>
      </c>
      <c r="H2460" s="1918"/>
      <c r="I2460" s="1892">
        <v>200</v>
      </c>
      <c r="J2460" s="1916"/>
      <c r="K2460" s="1917"/>
      <c r="L2460" s="1937"/>
      <c r="M2460" s="1892">
        <v>200</v>
      </c>
      <c r="N2460" s="2847"/>
      <c r="O2460" s="86"/>
      <c r="P2460" s="1817" t="e">
        <f>INDEX(#REF!,MATCH(F2460,#REF!,0),2)</f>
        <v>#REF!</v>
      </c>
    </row>
    <row r="2461" spans="1:16">
      <c r="A2461" s="1882"/>
      <c r="B2461" s="424" t="s">
        <v>1248</v>
      </c>
      <c r="C2461" s="424" t="s">
        <v>505</v>
      </c>
      <c r="D2461" s="1598"/>
      <c r="E2461" s="2104" t="s">
        <v>1932</v>
      </c>
      <c r="F2461" s="438">
        <v>2247</v>
      </c>
      <c r="G2461" s="60" t="s">
        <v>4014</v>
      </c>
      <c r="H2461" s="1918"/>
      <c r="I2461" s="1892">
        <v>600</v>
      </c>
      <c r="J2461" s="1916"/>
      <c r="K2461" s="1917"/>
      <c r="L2461" s="1937"/>
      <c r="M2461" s="1892">
        <v>550</v>
      </c>
      <c r="N2461" s="2847"/>
      <c r="O2461" s="86"/>
      <c r="P2461" s="1817" t="e">
        <f>INDEX(#REF!,MATCH(F2461,#REF!,0),2)</f>
        <v>#REF!</v>
      </c>
    </row>
    <row r="2462" spans="1:16" ht="22.5">
      <c r="A2462" s="634"/>
      <c r="B2462" s="634" t="s">
        <v>1248</v>
      </c>
      <c r="C2462" s="634" t="s">
        <v>505</v>
      </c>
      <c r="D2462" s="1597" t="s">
        <v>1761</v>
      </c>
      <c r="E2462" s="2093" t="s">
        <v>1932</v>
      </c>
      <c r="F2462" s="635">
        <v>2249</v>
      </c>
      <c r="G2462" s="432" t="s">
        <v>1215</v>
      </c>
      <c r="H2462" s="736">
        <v>0</v>
      </c>
      <c r="I2462" s="736"/>
      <c r="J2462" s="737"/>
      <c r="K2462" s="738"/>
      <c r="L2462" s="736">
        <v>800</v>
      </c>
      <c r="M2462" s="736"/>
      <c r="N2462" s="2847"/>
      <c r="O2462" s="86"/>
      <c r="P2462" s="1817" t="e">
        <f>INDEX(#REF!,MATCH(F2462,#REF!,0),2)</f>
        <v>#REF!</v>
      </c>
    </row>
    <row r="2463" spans="1:16" ht="10.9" customHeight="1">
      <c r="A2463" s="424"/>
      <c r="B2463" s="424" t="s">
        <v>1248</v>
      </c>
      <c r="C2463" s="424" t="s">
        <v>505</v>
      </c>
      <c r="D2463" s="1598"/>
      <c r="E2463" s="2104" t="s">
        <v>1932</v>
      </c>
      <c r="F2463" s="438">
        <v>2249</v>
      </c>
      <c r="G2463" s="60" t="s">
        <v>4016</v>
      </c>
      <c r="H2463" s="741"/>
      <c r="I2463" s="431"/>
      <c r="J2463" s="444"/>
      <c r="K2463" s="3088"/>
      <c r="L2463" s="741"/>
      <c r="M2463" s="431">
        <v>800</v>
      </c>
      <c r="N2463" s="2847"/>
      <c r="O2463" s="86"/>
      <c r="P2463" s="1817" t="e">
        <f>INDEX(#REF!,MATCH(F2463,#REF!,0),2)</f>
        <v>#REF!</v>
      </c>
    </row>
    <row r="2464" spans="1:16">
      <c r="A2464" s="424"/>
      <c r="B2464" s="424" t="s">
        <v>1248</v>
      </c>
      <c r="C2464" s="424" t="s">
        <v>505</v>
      </c>
      <c r="D2464" s="1598"/>
      <c r="E2464" s="2104" t="s">
        <v>1932</v>
      </c>
      <c r="F2464" s="438">
        <v>2249</v>
      </c>
      <c r="G2464" s="3078" t="s">
        <v>1379</v>
      </c>
      <c r="H2464" s="741"/>
      <c r="I2464" s="431"/>
      <c r="J2464" s="444"/>
      <c r="K2464" s="685"/>
      <c r="L2464" s="1502"/>
      <c r="M2464" s="750"/>
      <c r="N2464" s="2847"/>
      <c r="O2464" s="86"/>
      <c r="P2464" s="1817" t="e">
        <f>INDEX(#REF!,MATCH(F2464,#REF!,0),2)</f>
        <v>#REF!</v>
      </c>
    </row>
    <row r="2465" spans="1:33" ht="22.5">
      <c r="A2465" s="634"/>
      <c r="B2465" s="634" t="s">
        <v>1249</v>
      </c>
      <c r="C2465" s="634" t="s">
        <v>510</v>
      </c>
      <c r="D2465" s="1597" t="s">
        <v>1761</v>
      </c>
      <c r="E2465" s="2093" t="s">
        <v>1932</v>
      </c>
      <c r="F2465" s="635">
        <v>2249</v>
      </c>
      <c r="G2465" s="432" t="s">
        <v>1215</v>
      </c>
      <c r="H2465" s="736">
        <v>0</v>
      </c>
      <c r="I2465" s="736"/>
      <c r="J2465" s="737"/>
      <c r="K2465" s="738"/>
      <c r="L2465" s="736">
        <v>0</v>
      </c>
      <c r="M2465" s="736"/>
      <c r="N2465" s="2847"/>
      <c r="O2465" s="86"/>
      <c r="P2465" s="1817" t="e">
        <f>INDEX(#REF!,MATCH(F2465,#REF!,0),2)</f>
        <v>#REF!</v>
      </c>
    </row>
    <row r="2466" spans="1:33" ht="11.45" customHeight="1">
      <c r="A2466" s="424"/>
      <c r="B2466" s="424" t="s">
        <v>1249</v>
      </c>
      <c r="C2466" s="424" t="s">
        <v>510</v>
      </c>
      <c r="D2466" s="1598"/>
      <c r="E2466" s="2104" t="s">
        <v>1932</v>
      </c>
      <c r="F2466" s="438">
        <v>2249</v>
      </c>
      <c r="G2466" s="60" t="s">
        <v>4015</v>
      </c>
      <c r="H2466" s="741"/>
      <c r="I2466" s="431"/>
      <c r="J2466" s="444"/>
      <c r="K2466" s="3088"/>
      <c r="L2466" s="741"/>
      <c r="M2466" s="4294">
        <v>0</v>
      </c>
      <c r="N2466" s="241" t="s">
        <v>6024</v>
      </c>
      <c r="O2466" s="86"/>
      <c r="P2466" s="1817" t="e">
        <f>INDEX(#REF!,MATCH(F2466,#REF!,0),2)</f>
        <v>#REF!</v>
      </c>
      <c r="Q2466" s="1779"/>
      <c r="R2466" s="1779"/>
      <c r="S2466" s="1779"/>
      <c r="T2466" s="1779"/>
      <c r="U2466" s="1779"/>
      <c r="V2466" s="1779"/>
      <c r="W2466" s="43"/>
      <c r="X2466" s="1779"/>
      <c r="Y2466" s="1779"/>
      <c r="Z2466" s="1779"/>
      <c r="AA2466" s="1779"/>
      <c r="AB2466" s="1779"/>
      <c r="AC2466" s="1779"/>
      <c r="AD2466" s="1779"/>
      <c r="AE2466" s="1779"/>
      <c r="AF2466" s="1779"/>
      <c r="AG2466" s="1779"/>
    </row>
    <row r="2467" spans="1:33" ht="23.45" customHeight="1">
      <c r="A2467" s="634"/>
      <c r="B2467" s="634" t="s">
        <v>1248</v>
      </c>
      <c r="C2467" s="634" t="s">
        <v>505</v>
      </c>
      <c r="D2467" s="1597" t="s">
        <v>1761</v>
      </c>
      <c r="E2467" s="2093" t="s">
        <v>1932</v>
      </c>
      <c r="F2467" s="635">
        <v>2264</v>
      </c>
      <c r="G2467" s="432" t="s">
        <v>240</v>
      </c>
      <c r="H2467" s="736">
        <v>160</v>
      </c>
      <c r="I2467" s="736"/>
      <c r="J2467" s="737">
        <v>116</v>
      </c>
      <c r="K2467" s="738"/>
      <c r="L2467" s="736">
        <v>150</v>
      </c>
      <c r="M2467" s="736"/>
      <c r="N2467" s="2847"/>
      <c r="O2467" s="86"/>
      <c r="P2467" s="1817" t="e">
        <f>INDEX(#REF!,MATCH(F2467,#REF!,0),2)</f>
        <v>#REF!</v>
      </c>
      <c r="Q2467" s="1779"/>
      <c r="R2467" s="1779"/>
      <c r="S2467" s="1779"/>
      <c r="T2467" s="1779"/>
      <c r="U2467" s="1779"/>
      <c r="V2467" s="1779"/>
      <c r="W2467" s="43"/>
      <c r="X2467" s="1779"/>
      <c r="Y2467" s="1779"/>
      <c r="Z2467" s="1779"/>
      <c r="AA2467" s="1779"/>
      <c r="AB2467" s="1779"/>
      <c r="AC2467" s="1779"/>
      <c r="AD2467" s="1779"/>
      <c r="AE2467" s="1779"/>
      <c r="AF2467" s="1779"/>
      <c r="AG2467" s="1779"/>
    </row>
    <row r="2468" spans="1:33" ht="10.9" customHeight="1">
      <c r="A2468" s="424"/>
      <c r="B2468" s="424" t="s">
        <v>1248</v>
      </c>
      <c r="C2468" s="424" t="s">
        <v>505</v>
      </c>
      <c r="D2468" s="1598"/>
      <c r="E2468" s="2104" t="s">
        <v>1932</v>
      </c>
      <c r="F2468" s="438">
        <v>2264</v>
      </c>
      <c r="G2468" s="3083" t="s">
        <v>1377</v>
      </c>
      <c r="H2468" s="741"/>
      <c r="I2468" s="431"/>
      <c r="J2468" s="444"/>
      <c r="K2468" s="685"/>
      <c r="L2468" s="741"/>
      <c r="M2468" s="431"/>
      <c r="N2468" s="2847"/>
      <c r="O2468" s="86"/>
      <c r="P2468" s="1817" t="e">
        <f>INDEX(#REF!,MATCH(F2468,#REF!,0),2)</f>
        <v>#REF!</v>
      </c>
      <c r="Q2468" s="1779"/>
      <c r="R2468" s="1779"/>
      <c r="S2468" s="1779"/>
      <c r="T2468" s="1779"/>
      <c r="U2468" s="1779"/>
      <c r="V2468" s="1779"/>
      <c r="W2468" s="43"/>
      <c r="X2468" s="1779"/>
      <c r="Y2468" s="1779"/>
      <c r="Z2468" s="1779"/>
      <c r="AA2468" s="1779"/>
      <c r="AB2468" s="1779"/>
      <c r="AC2468" s="1779"/>
      <c r="AD2468" s="1779"/>
      <c r="AE2468" s="1779"/>
      <c r="AF2468" s="1779"/>
      <c r="AG2468" s="1779"/>
    </row>
    <row r="2469" spans="1:33" ht="10.9" customHeight="1">
      <c r="A2469" s="424"/>
      <c r="B2469" s="424" t="s">
        <v>1248</v>
      </c>
      <c r="C2469" s="424" t="s">
        <v>505</v>
      </c>
      <c r="D2469" s="1598"/>
      <c r="E2469" s="2104" t="s">
        <v>1932</v>
      </c>
      <c r="F2469" s="438">
        <v>2264</v>
      </c>
      <c r="G2469" s="60" t="s">
        <v>4017</v>
      </c>
      <c r="H2469" s="741"/>
      <c r="I2469" s="431">
        <v>160</v>
      </c>
      <c r="J2469" s="444"/>
      <c r="K2469" s="685"/>
      <c r="L2469" s="741"/>
      <c r="M2469" s="431">
        <v>150</v>
      </c>
      <c r="N2469" s="2847"/>
      <c r="O2469" s="86"/>
      <c r="P2469" s="1817" t="e">
        <f>INDEX(#REF!,MATCH(F2469,#REF!,0),2)</f>
        <v>#REF!</v>
      </c>
      <c r="Q2469" s="1779"/>
      <c r="R2469" s="1779"/>
      <c r="S2469" s="1779"/>
      <c r="T2469" s="1779"/>
      <c r="U2469" s="1779"/>
      <c r="V2469" s="1779"/>
      <c r="W2469" s="43"/>
      <c r="X2469" s="1779"/>
      <c r="Y2469" s="1779"/>
      <c r="Z2469" s="1779"/>
      <c r="AA2469" s="1779"/>
      <c r="AB2469" s="1779"/>
      <c r="AC2469" s="1779"/>
      <c r="AD2469" s="1779"/>
      <c r="AE2469" s="1779"/>
      <c r="AF2469" s="1779"/>
      <c r="AG2469" s="1779"/>
    </row>
    <row r="2470" spans="1:33" ht="14.45" customHeight="1">
      <c r="A2470" s="634"/>
      <c r="B2470" s="634" t="s">
        <v>1248</v>
      </c>
      <c r="C2470" s="634" t="s">
        <v>505</v>
      </c>
      <c r="D2470" s="1597" t="s">
        <v>1761</v>
      </c>
      <c r="E2470" s="2093" t="s">
        <v>1932</v>
      </c>
      <c r="F2470" s="635">
        <v>2311</v>
      </c>
      <c r="G2470" s="432" t="s">
        <v>426</v>
      </c>
      <c r="H2470" s="674">
        <v>700</v>
      </c>
      <c r="I2470" s="736"/>
      <c r="J2470" s="737">
        <v>437</v>
      </c>
      <c r="K2470" s="738"/>
      <c r="L2470" s="674">
        <v>700</v>
      </c>
      <c r="M2470" s="736"/>
      <c r="N2470" s="2847"/>
      <c r="O2470" s="86"/>
      <c r="P2470" s="1817" t="e">
        <f>INDEX(#REF!,MATCH(F2470,#REF!,0),2)</f>
        <v>#REF!</v>
      </c>
      <c r="Q2470" s="1779"/>
      <c r="R2470" s="1779"/>
      <c r="S2470" s="1779"/>
      <c r="T2470" s="1779"/>
      <c r="U2470" s="1779"/>
      <c r="V2470" s="1779"/>
      <c r="W2470" s="43"/>
      <c r="X2470" s="1779"/>
      <c r="Y2470" s="1779"/>
      <c r="Z2470" s="1779"/>
      <c r="AA2470" s="1779"/>
      <c r="AB2470" s="1779"/>
      <c r="AC2470" s="1779"/>
      <c r="AD2470" s="1779"/>
      <c r="AE2470" s="1779"/>
      <c r="AF2470" s="1779"/>
      <c r="AG2470" s="1779"/>
    </row>
    <row r="2471" spans="1:33" ht="18.600000000000001" customHeight="1">
      <c r="A2471" s="424"/>
      <c r="B2471" s="424" t="s">
        <v>1248</v>
      </c>
      <c r="C2471" s="424" t="s">
        <v>505</v>
      </c>
      <c r="D2471" s="1598"/>
      <c r="E2471" s="2104" t="s">
        <v>1932</v>
      </c>
      <c r="F2471" s="438">
        <v>2311</v>
      </c>
      <c r="G2471" s="2774" t="s">
        <v>4018</v>
      </c>
      <c r="H2471" s="741"/>
      <c r="I2471" s="431">
        <v>200</v>
      </c>
      <c r="J2471" s="444"/>
      <c r="K2471" s="685"/>
      <c r="L2471" s="741"/>
      <c r="M2471" s="431">
        <v>500</v>
      </c>
      <c r="N2471" s="2847"/>
      <c r="O2471" s="86"/>
      <c r="P2471" s="1817" t="e">
        <f>INDEX(#REF!,MATCH(F2471,#REF!,0),2)</f>
        <v>#REF!</v>
      </c>
      <c r="Q2471" s="1779"/>
      <c r="R2471" s="1779"/>
      <c r="S2471" s="1779"/>
      <c r="T2471" s="1779"/>
      <c r="U2471" s="1779"/>
      <c r="V2471" s="1779"/>
      <c r="W2471" s="43"/>
      <c r="X2471" s="1779"/>
      <c r="Y2471" s="1779"/>
      <c r="Z2471" s="1779"/>
      <c r="AA2471" s="1779"/>
      <c r="AB2471" s="1779"/>
      <c r="AC2471" s="1779"/>
      <c r="AD2471" s="1779"/>
      <c r="AE2471" s="1779"/>
      <c r="AF2471" s="1779"/>
      <c r="AG2471" s="1779"/>
    </row>
    <row r="2472" spans="1:33" ht="18.600000000000001" customHeight="1">
      <c r="A2472" s="424"/>
      <c r="B2472" s="424" t="s">
        <v>1248</v>
      </c>
      <c r="C2472" s="424" t="s">
        <v>505</v>
      </c>
      <c r="D2472" s="1598"/>
      <c r="E2472" s="2104" t="s">
        <v>1932</v>
      </c>
      <c r="F2472" s="438">
        <v>2311</v>
      </c>
      <c r="G2472" s="2774" t="s">
        <v>4019</v>
      </c>
      <c r="H2472" s="1024"/>
      <c r="I2472" s="3090">
        <v>500</v>
      </c>
      <c r="J2472" s="444"/>
      <c r="K2472" s="685"/>
      <c r="L2472" s="741"/>
      <c r="M2472" s="431">
        <v>200</v>
      </c>
      <c r="N2472" s="2847"/>
      <c r="O2472" s="86"/>
      <c r="P2472" s="1817" t="e">
        <f>INDEX(#REF!,MATCH(F2472,#REF!,0),2)</f>
        <v>#REF!</v>
      </c>
      <c r="Q2472" s="1779"/>
      <c r="R2472" s="1779"/>
      <c r="S2472" s="1779"/>
      <c r="T2472" s="1779"/>
      <c r="U2472" s="1779"/>
      <c r="V2472" s="1779"/>
      <c r="W2472" s="43"/>
      <c r="X2472" s="1779"/>
      <c r="Y2472" s="1779"/>
      <c r="Z2472" s="1779"/>
      <c r="AA2472" s="1779"/>
      <c r="AB2472" s="1779"/>
      <c r="AC2472" s="1779"/>
      <c r="AD2472" s="1779"/>
      <c r="AE2472" s="1779"/>
      <c r="AF2472" s="1779"/>
      <c r="AG2472" s="1779"/>
    </row>
    <row r="2473" spans="1:33" ht="18.600000000000001" customHeight="1">
      <c r="A2473" s="424"/>
      <c r="B2473" s="424" t="s">
        <v>1248</v>
      </c>
      <c r="C2473" s="424" t="s">
        <v>505</v>
      </c>
      <c r="D2473" s="1598"/>
      <c r="E2473" s="2104" t="s">
        <v>1932</v>
      </c>
      <c r="F2473" s="438">
        <v>2311</v>
      </c>
      <c r="G2473" s="3089" t="s">
        <v>1380</v>
      </c>
      <c r="H2473" s="1024"/>
      <c r="I2473" s="3090"/>
      <c r="J2473" s="444"/>
      <c r="K2473" s="685"/>
      <c r="L2473" s="1502"/>
      <c r="M2473" s="750"/>
      <c r="N2473" s="2847"/>
      <c r="O2473" s="86"/>
      <c r="P2473" s="1817" t="e">
        <f>INDEX(#REF!,MATCH(F2473,#REF!,0),2)</f>
        <v>#REF!</v>
      </c>
      <c r="Q2473" s="1779"/>
      <c r="R2473" s="1779"/>
      <c r="S2473" s="1779"/>
      <c r="T2473" s="1779"/>
      <c r="U2473" s="1779"/>
      <c r="V2473" s="1779"/>
      <c r="W2473" s="43"/>
      <c r="X2473" s="1779"/>
      <c r="Y2473" s="1779"/>
      <c r="Z2473" s="1779"/>
      <c r="AA2473" s="1779"/>
      <c r="AB2473" s="1779"/>
      <c r="AC2473" s="1779"/>
      <c r="AD2473" s="1779"/>
      <c r="AE2473" s="1779"/>
      <c r="AF2473" s="1779"/>
      <c r="AG2473" s="1779"/>
    </row>
    <row r="2474" spans="1:33" ht="14.45" customHeight="1">
      <c r="A2474" s="634"/>
      <c r="B2474" s="634" t="s">
        <v>1249</v>
      </c>
      <c r="C2474" s="634" t="s">
        <v>505</v>
      </c>
      <c r="D2474" s="1597" t="s">
        <v>1761</v>
      </c>
      <c r="E2474" s="2093" t="s">
        <v>1932</v>
      </c>
      <c r="F2474" s="635">
        <v>2312</v>
      </c>
      <c r="G2474" s="432" t="s">
        <v>249</v>
      </c>
      <c r="H2474" s="674"/>
      <c r="I2474" s="736"/>
      <c r="J2474" s="737"/>
      <c r="K2474" s="738"/>
      <c r="L2474" s="674">
        <v>3700</v>
      </c>
      <c r="M2474" s="736"/>
      <c r="N2474" s="2847"/>
      <c r="O2474" s="86"/>
      <c r="P2474" s="1817" t="e">
        <f>INDEX(#REF!,MATCH(F2474,#REF!,0),2)</f>
        <v>#REF!</v>
      </c>
      <c r="Q2474" s="1779"/>
      <c r="R2474" s="1779"/>
      <c r="S2474" s="1779"/>
      <c r="T2474" s="1779"/>
      <c r="U2474" s="1779"/>
      <c r="V2474" s="1779"/>
      <c r="W2474" s="43"/>
      <c r="X2474" s="1779"/>
      <c r="Y2474" s="1779"/>
      <c r="Z2474" s="1779"/>
      <c r="AA2474" s="1779"/>
      <c r="AB2474" s="1779"/>
      <c r="AC2474" s="1779"/>
      <c r="AD2474" s="1779"/>
      <c r="AE2474" s="1779"/>
      <c r="AF2474" s="1779"/>
      <c r="AG2474" s="1779"/>
    </row>
    <row r="2475" spans="1:33" ht="18.600000000000001" customHeight="1">
      <c r="A2475" s="2790"/>
      <c r="B2475" s="424" t="s">
        <v>1249</v>
      </c>
      <c r="C2475" s="424"/>
      <c r="D2475" s="1598"/>
      <c r="E2475" s="2104" t="s">
        <v>1932</v>
      </c>
      <c r="F2475" s="438">
        <v>2312</v>
      </c>
      <c r="G2475" s="3082" t="s">
        <v>4020</v>
      </c>
      <c r="H2475" s="3002"/>
      <c r="I2475" s="2779"/>
      <c r="J2475" s="2776"/>
      <c r="K2475" s="2777"/>
      <c r="L2475" s="3002"/>
      <c r="M2475" s="2779">
        <v>2500</v>
      </c>
      <c r="N2475" s="2847"/>
      <c r="O2475" s="86"/>
      <c r="P2475" s="1817" t="e">
        <f>INDEX(#REF!,MATCH(F2475,#REF!,0),2)</f>
        <v>#REF!</v>
      </c>
      <c r="Q2475" s="1779"/>
      <c r="R2475" s="1779"/>
      <c r="S2475" s="1779"/>
      <c r="T2475" s="1779"/>
      <c r="U2475" s="1779"/>
      <c r="V2475" s="1779"/>
      <c r="W2475" s="43"/>
      <c r="X2475" s="1779"/>
      <c r="Y2475" s="1779"/>
      <c r="Z2475" s="1779"/>
      <c r="AA2475" s="1779"/>
      <c r="AB2475" s="1779"/>
      <c r="AC2475" s="1779"/>
      <c r="AD2475" s="1779"/>
      <c r="AE2475" s="1779"/>
      <c r="AF2475" s="1779"/>
      <c r="AG2475" s="1779"/>
    </row>
    <row r="2476" spans="1:33" ht="18.600000000000001" customHeight="1">
      <c r="A2476" s="2790"/>
      <c r="B2476" s="424" t="s">
        <v>1249</v>
      </c>
      <c r="C2476" s="424"/>
      <c r="D2476" s="1598"/>
      <c r="E2476" s="2104" t="s">
        <v>1932</v>
      </c>
      <c r="F2476" s="438">
        <v>2312</v>
      </c>
      <c r="G2476" s="3082" t="s">
        <v>4021</v>
      </c>
      <c r="H2476" s="3002"/>
      <c r="I2476" s="2779"/>
      <c r="J2476" s="2776"/>
      <c r="K2476" s="2777"/>
      <c r="L2476" s="3002"/>
      <c r="M2476" s="2779">
        <v>600</v>
      </c>
      <c r="N2476" s="2847"/>
      <c r="O2476" s="86"/>
      <c r="P2476" s="1817" t="e">
        <f>INDEX(#REF!,MATCH(F2476,#REF!,0),2)</f>
        <v>#REF!</v>
      </c>
      <c r="Q2476" s="1779"/>
      <c r="R2476" s="1779"/>
      <c r="S2476" s="1779"/>
      <c r="T2476" s="1779"/>
      <c r="U2476" s="1779"/>
      <c r="V2476" s="1779"/>
      <c r="W2476" s="43"/>
      <c r="X2476" s="1779"/>
      <c r="Y2476" s="1779"/>
      <c r="Z2476" s="1779"/>
      <c r="AA2476" s="1779"/>
      <c r="AB2476" s="1779"/>
      <c r="AC2476" s="1779"/>
      <c r="AD2476" s="1779"/>
      <c r="AE2476" s="1779"/>
      <c r="AF2476" s="1779"/>
      <c r="AG2476" s="1779"/>
    </row>
    <row r="2477" spans="1:33" ht="18.600000000000001" customHeight="1">
      <c r="A2477" s="2790"/>
      <c r="B2477" s="424" t="s">
        <v>1249</v>
      </c>
      <c r="C2477" s="424"/>
      <c r="D2477" s="1598"/>
      <c r="E2477" s="2104" t="s">
        <v>1932</v>
      </c>
      <c r="F2477" s="438">
        <v>2312</v>
      </c>
      <c r="G2477" s="3082" t="s">
        <v>4022</v>
      </c>
      <c r="H2477" s="3002"/>
      <c r="I2477" s="2779"/>
      <c r="J2477" s="2776"/>
      <c r="K2477" s="2777"/>
      <c r="L2477" s="3002"/>
      <c r="M2477" s="2779">
        <v>600</v>
      </c>
      <c r="N2477" s="2847"/>
      <c r="O2477" s="86"/>
      <c r="P2477" s="1817" t="e">
        <f>INDEX(#REF!,MATCH(F2477,#REF!,0),2)</f>
        <v>#REF!</v>
      </c>
      <c r="Q2477" s="1779"/>
      <c r="R2477" s="1779"/>
      <c r="S2477" s="1779"/>
      <c r="T2477" s="1779"/>
      <c r="U2477" s="1779"/>
      <c r="V2477" s="1779"/>
      <c r="W2477" s="43"/>
      <c r="X2477" s="1779"/>
      <c r="Y2477" s="1779"/>
      <c r="Z2477" s="1779"/>
      <c r="AA2477" s="1779"/>
      <c r="AB2477" s="1779"/>
      <c r="AC2477" s="1779"/>
      <c r="AD2477" s="1779"/>
      <c r="AE2477" s="1779"/>
      <c r="AF2477" s="1779"/>
      <c r="AG2477" s="1779"/>
    </row>
    <row r="2478" spans="1:33" ht="18.600000000000001" customHeight="1">
      <c r="A2478" s="634"/>
      <c r="B2478" s="634" t="s">
        <v>1248</v>
      </c>
      <c r="C2478" s="634" t="s">
        <v>505</v>
      </c>
      <c r="D2478" s="1597" t="s">
        <v>1761</v>
      </c>
      <c r="E2478" s="2093" t="s">
        <v>1932</v>
      </c>
      <c r="F2478" s="635">
        <v>2312</v>
      </c>
      <c r="G2478" s="432" t="s">
        <v>249</v>
      </c>
      <c r="H2478" s="674">
        <v>1300</v>
      </c>
      <c r="I2478" s="736"/>
      <c r="J2478" s="737">
        <v>58</v>
      </c>
      <c r="K2478" s="738"/>
      <c r="L2478" s="674">
        <v>3500</v>
      </c>
      <c r="M2478" s="736"/>
      <c r="N2478" s="2847"/>
      <c r="O2478" s="86"/>
      <c r="P2478" s="1817" t="e">
        <f>INDEX(#REF!,MATCH(F2478,#REF!,0),2)</f>
        <v>#REF!</v>
      </c>
      <c r="Q2478" s="1779"/>
      <c r="R2478" s="1779"/>
      <c r="S2478" s="1779"/>
      <c r="T2478" s="1779"/>
      <c r="U2478" s="1779"/>
      <c r="V2478" s="1779"/>
      <c r="W2478" s="43"/>
      <c r="X2478" s="1779"/>
      <c r="Y2478" s="1779"/>
      <c r="Z2478" s="1779"/>
      <c r="AA2478" s="1779"/>
      <c r="AB2478" s="1779"/>
      <c r="AC2478" s="1779"/>
      <c r="AD2478" s="1779"/>
      <c r="AE2478" s="1779"/>
      <c r="AF2478" s="1779"/>
      <c r="AG2478" s="1779"/>
    </row>
    <row r="2479" spans="1:33" ht="18.600000000000001" customHeight="1">
      <c r="A2479" s="2790"/>
      <c r="B2479" s="424" t="s">
        <v>1248</v>
      </c>
      <c r="C2479" s="424" t="s">
        <v>505</v>
      </c>
      <c r="D2479" s="1598"/>
      <c r="E2479" s="2104" t="s">
        <v>1932</v>
      </c>
      <c r="F2479" s="438">
        <v>2312</v>
      </c>
      <c r="G2479" s="3082" t="s">
        <v>5985</v>
      </c>
      <c r="H2479" s="3002"/>
      <c r="I2479" s="2779"/>
      <c r="J2479" s="2776"/>
      <c r="K2479" s="2777"/>
      <c r="L2479" s="3002"/>
      <c r="M2479" s="4221">
        <v>1500</v>
      </c>
      <c r="N2479" s="2847"/>
      <c r="O2479" s="86"/>
      <c r="P2479" s="1817" t="e">
        <f>INDEX(#REF!,MATCH(F2479,#REF!,0),2)</f>
        <v>#REF!</v>
      </c>
      <c r="Q2479" s="1779"/>
      <c r="R2479" s="1779"/>
      <c r="S2479" s="1779"/>
      <c r="T2479" s="1779"/>
      <c r="U2479" s="1779"/>
      <c r="V2479" s="1779"/>
      <c r="W2479" s="43"/>
      <c r="X2479" s="1779"/>
      <c r="Y2479" s="1779"/>
      <c r="Z2479" s="1779"/>
      <c r="AA2479" s="1779"/>
      <c r="AB2479" s="1779"/>
      <c r="AC2479" s="1779"/>
      <c r="AD2479" s="1779"/>
      <c r="AE2479" s="1779"/>
      <c r="AF2479" s="1779"/>
      <c r="AG2479" s="1779"/>
    </row>
    <row r="2480" spans="1:33" ht="11.45" customHeight="1">
      <c r="A2480" s="1370"/>
      <c r="B2480" s="424" t="s">
        <v>1248</v>
      </c>
      <c r="C2480" s="424" t="s">
        <v>505</v>
      </c>
      <c r="D2480" s="1598"/>
      <c r="E2480" s="2104" t="s">
        <v>1932</v>
      </c>
      <c r="F2480" s="438">
        <v>2312</v>
      </c>
      <c r="G2480" s="1396" t="s">
        <v>4023</v>
      </c>
      <c r="H2480" s="1441"/>
      <c r="I2480" s="1372"/>
      <c r="J2480" s="1373"/>
      <c r="K2480" s="1393"/>
      <c r="L2480" s="1441"/>
      <c r="M2480" s="1372">
        <v>2000</v>
      </c>
      <c r="N2480" s="2847"/>
      <c r="O2480" s="86"/>
      <c r="P2480" s="1817" t="e">
        <f>INDEX(#REF!,MATCH(F2480,#REF!,0),2)</f>
        <v>#REF!</v>
      </c>
      <c r="Q2480" s="11"/>
      <c r="R2480" s="11"/>
      <c r="S2480" s="11"/>
      <c r="T2480" s="11"/>
      <c r="U2480" s="11"/>
      <c r="V2480" s="11"/>
      <c r="W2480" s="4"/>
      <c r="X2480" s="11"/>
      <c r="Y2480" s="11"/>
      <c r="Z2480" s="11"/>
      <c r="AA2480" s="11"/>
      <c r="AB2480" s="11"/>
      <c r="AC2480" s="11"/>
      <c r="AD2480" s="11"/>
      <c r="AE2480" s="11"/>
      <c r="AF2480" s="11"/>
      <c r="AG2480" s="11"/>
    </row>
    <row r="2481" spans="1:33" ht="34.15" customHeight="1">
      <c r="A2481" s="1370"/>
      <c r="B2481" s="424" t="s">
        <v>1248</v>
      </c>
      <c r="C2481" s="424" t="s">
        <v>505</v>
      </c>
      <c r="D2481" s="1598"/>
      <c r="E2481" s="2104" t="s">
        <v>1932</v>
      </c>
      <c r="F2481" s="438">
        <v>2312</v>
      </c>
      <c r="G2481" s="1396" t="s">
        <v>5986</v>
      </c>
      <c r="H2481" s="1441"/>
      <c r="I2481" s="1372"/>
      <c r="J2481" s="1373"/>
      <c r="K2481" s="1393"/>
      <c r="L2481" s="1441"/>
      <c r="M2481" s="4282">
        <v>0</v>
      </c>
      <c r="N2481" s="2847" t="s">
        <v>5987</v>
      </c>
      <c r="O2481" s="86"/>
      <c r="P2481" s="1817" t="e">
        <f>INDEX(#REF!,MATCH(F2481,#REF!,0),2)</f>
        <v>#REF!</v>
      </c>
      <c r="Q2481" s="1779"/>
      <c r="R2481" s="1779"/>
      <c r="S2481" s="1779"/>
      <c r="T2481" s="1779"/>
      <c r="U2481" s="1779"/>
      <c r="V2481" s="1779"/>
      <c r="W2481" s="43"/>
      <c r="X2481" s="1779"/>
      <c r="Y2481" s="1779"/>
      <c r="Z2481" s="1779"/>
      <c r="AA2481" s="1779"/>
      <c r="AB2481" s="1779"/>
      <c r="AC2481" s="1779"/>
      <c r="AD2481" s="1779"/>
      <c r="AE2481" s="1779"/>
      <c r="AF2481" s="1779"/>
      <c r="AG2481" s="1779"/>
    </row>
    <row r="2482" spans="1:33" ht="33" customHeight="1">
      <c r="A2482" s="1882" t="s">
        <v>2871</v>
      </c>
      <c r="B2482" s="424" t="s">
        <v>1248</v>
      </c>
      <c r="C2482" s="424" t="s">
        <v>505</v>
      </c>
      <c r="D2482" s="1598"/>
      <c r="E2482" s="2104" t="s">
        <v>1932</v>
      </c>
      <c r="F2482" s="438">
        <v>2312</v>
      </c>
      <c r="G2482" s="1960" t="s">
        <v>2882</v>
      </c>
      <c r="H2482" s="1918"/>
      <c r="I2482" s="1892">
        <v>900</v>
      </c>
      <c r="J2482" s="1916"/>
      <c r="K2482" s="1917"/>
      <c r="L2482" s="1918"/>
      <c r="M2482" s="1892"/>
      <c r="N2482" s="2847"/>
      <c r="O2482" s="86"/>
      <c r="P2482" s="1817" t="e">
        <f>INDEX(#REF!,MATCH(F2482,#REF!,0),2)</f>
        <v>#REF!</v>
      </c>
      <c r="Q2482" s="1779"/>
      <c r="R2482" s="1779"/>
      <c r="S2482" s="1779"/>
      <c r="T2482" s="1779"/>
      <c r="U2482" s="1779"/>
      <c r="V2482" s="1779"/>
      <c r="W2482" s="43"/>
      <c r="X2482" s="1779"/>
      <c r="Y2482" s="1779"/>
      <c r="Z2482" s="1779"/>
      <c r="AA2482" s="1779"/>
      <c r="AB2482" s="1779"/>
      <c r="AC2482" s="1779"/>
      <c r="AD2482" s="1779"/>
      <c r="AE2482" s="1779"/>
      <c r="AF2482" s="1779"/>
      <c r="AG2482" s="1779"/>
    </row>
    <row r="2483" spans="1:33">
      <c r="A2483" s="1370"/>
      <c r="B2483" s="424" t="s">
        <v>1248</v>
      </c>
      <c r="C2483" s="424" t="s">
        <v>505</v>
      </c>
      <c r="D2483" s="1598"/>
      <c r="E2483" s="2104" t="s">
        <v>1932</v>
      </c>
      <c r="F2483" s="438">
        <v>2312</v>
      </c>
      <c r="G2483" s="1960" t="s">
        <v>2953</v>
      </c>
      <c r="H2483" s="1918"/>
      <c r="I2483" s="1892">
        <v>200</v>
      </c>
      <c r="J2483" s="1916"/>
      <c r="K2483" s="1917"/>
      <c r="L2483" s="1918"/>
      <c r="M2483" s="1892"/>
      <c r="N2483" s="2847"/>
      <c r="O2483" s="86"/>
      <c r="P2483" s="1817" t="e">
        <f>INDEX(#REF!,MATCH(F2483,#REF!,0),2)</f>
        <v>#REF!</v>
      </c>
    </row>
    <row r="2484" spans="1:33">
      <c r="A2484" s="634"/>
      <c r="B2484" s="634" t="s">
        <v>1250</v>
      </c>
      <c r="C2484" s="634" t="s">
        <v>509</v>
      </c>
      <c r="D2484" s="1597" t="s">
        <v>1761</v>
      </c>
      <c r="E2484" s="2093" t="s">
        <v>1932</v>
      </c>
      <c r="F2484" s="635">
        <v>2312</v>
      </c>
      <c r="G2484" s="432" t="s">
        <v>249</v>
      </c>
      <c r="H2484" s="674">
        <v>2400</v>
      </c>
      <c r="I2484" s="736"/>
      <c r="J2484" s="737"/>
      <c r="K2484" s="738"/>
      <c r="L2484" s="674">
        <v>0</v>
      </c>
      <c r="M2484" s="1500"/>
      <c r="N2484" s="2847"/>
      <c r="O2484" s="86"/>
      <c r="P2484" s="1817" t="e">
        <f>INDEX(#REF!,MATCH(F2484,#REF!,0),2)</f>
        <v>#REF!</v>
      </c>
      <c r="Q2484" s="11"/>
      <c r="R2484" s="11"/>
      <c r="S2484" s="11"/>
      <c r="T2484" s="11"/>
      <c r="U2484" s="4"/>
      <c r="V2484" s="11"/>
      <c r="W2484" s="11"/>
      <c r="X2484" s="11"/>
      <c r="Y2484" s="11"/>
      <c r="Z2484" s="11"/>
      <c r="AA2484" s="11"/>
      <c r="AB2484" s="11"/>
      <c r="AC2484" s="11"/>
      <c r="AD2484" s="11"/>
      <c r="AE2484" s="11"/>
    </row>
    <row r="2485" spans="1:33" ht="33.75">
      <c r="A2485" s="1882" t="s">
        <v>2871</v>
      </c>
      <c r="B2485" s="424" t="s">
        <v>1250</v>
      </c>
      <c r="C2485" s="424" t="s">
        <v>505</v>
      </c>
      <c r="D2485" s="1598"/>
      <c r="E2485" s="2104" t="s">
        <v>1932</v>
      </c>
      <c r="F2485" s="438">
        <v>2312</v>
      </c>
      <c r="G2485" s="3101" t="s">
        <v>2883</v>
      </c>
      <c r="H2485" s="1918"/>
      <c r="I2485" s="1892"/>
      <c r="J2485" s="1916"/>
      <c r="K2485" s="1917"/>
      <c r="L2485" s="1937"/>
      <c r="M2485" s="1968"/>
      <c r="N2485" s="2847"/>
      <c r="O2485" s="86"/>
      <c r="P2485" s="1817" t="e">
        <f>INDEX(#REF!,MATCH(F2485,#REF!,0),2)</f>
        <v>#REF!</v>
      </c>
      <c r="V2485" s="81"/>
      <c r="W2485"/>
    </row>
    <row r="2486" spans="1:33" ht="11.45" customHeight="1">
      <c r="A2486" s="1882"/>
      <c r="B2486" s="424" t="s">
        <v>1250</v>
      </c>
      <c r="C2486" s="424" t="s">
        <v>509</v>
      </c>
      <c r="D2486" s="1598"/>
      <c r="E2486" s="2104" t="s">
        <v>1932</v>
      </c>
      <c r="F2486" s="438">
        <v>2312</v>
      </c>
      <c r="G2486" s="3101" t="s">
        <v>2951</v>
      </c>
      <c r="H2486" s="1918"/>
      <c r="I2486" s="1892"/>
      <c r="J2486" s="1916"/>
      <c r="K2486" s="1917"/>
      <c r="L2486" s="1937"/>
      <c r="M2486" s="1968"/>
      <c r="N2486" s="2847"/>
      <c r="O2486" s="86"/>
      <c r="P2486" s="1817" t="e">
        <f>INDEX(#REF!,MATCH(F2486,#REF!,0),2)</f>
        <v>#REF!</v>
      </c>
      <c r="Q2486" s="1779"/>
      <c r="R2486" s="1779"/>
      <c r="S2486" s="1779"/>
      <c r="T2486" s="1779"/>
      <c r="U2486" s="1779"/>
      <c r="V2486" s="1779"/>
      <c r="W2486" s="43"/>
      <c r="X2486" s="1779"/>
      <c r="Y2486" s="1779"/>
      <c r="Z2486" s="1779"/>
      <c r="AA2486" s="1779"/>
      <c r="AB2486" s="1779"/>
      <c r="AC2486" s="1779"/>
      <c r="AD2486" s="1779"/>
      <c r="AE2486" s="1779"/>
      <c r="AF2486" s="1779"/>
      <c r="AG2486" s="1779"/>
    </row>
    <row r="2487" spans="1:33" ht="25.9" customHeight="1">
      <c r="A2487" s="1882" t="s">
        <v>2870</v>
      </c>
      <c r="B2487" s="424" t="s">
        <v>1250</v>
      </c>
      <c r="C2487" s="424" t="s">
        <v>509</v>
      </c>
      <c r="D2487" s="1598"/>
      <c r="E2487" s="2104" t="s">
        <v>1932</v>
      </c>
      <c r="F2487" s="438">
        <v>2312</v>
      </c>
      <c r="G2487" s="1960" t="s">
        <v>2884</v>
      </c>
      <c r="H2487" s="1918"/>
      <c r="I2487" s="1892">
        <v>2400</v>
      </c>
      <c r="J2487" s="1916"/>
      <c r="K2487" s="1917"/>
      <c r="L2487" s="1937"/>
      <c r="M2487" s="1968"/>
      <c r="N2487" s="2847"/>
      <c r="O2487" s="86"/>
      <c r="P2487" s="1817" t="e">
        <f>INDEX(#REF!,MATCH(F2487,#REF!,0),2)</f>
        <v>#REF!</v>
      </c>
      <c r="Q2487" s="1779"/>
      <c r="R2487" s="1779"/>
      <c r="S2487" s="1779"/>
      <c r="T2487" s="1779"/>
      <c r="U2487" s="1779"/>
      <c r="V2487" s="1779"/>
      <c r="W2487" s="43"/>
      <c r="X2487" s="1779"/>
      <c r="Y2487" s="1779"/>
      <c r="Z2487" s="1779"/>
      <c r="AA2487" s="1779"/>
      <c r="AB2487" s="1779"/>
      <c r="AC2487" s="1779"/>
      <c r="AD2487" s="1779"/>
      <c r="AE2487" s="1779"/>
      <c r="AF2487" s="1779"/>
      <c r="AG2487" s="1779"/>
    </row>
    <row r="2488" spans="1:33" ht="14.45" customHeight="1">
      <c r="A2488" s="634"/>
      <c r="B2488" s="634" t="s">
        <v>1248</v>
      </c>
      <c r="C2488" s="634" t="s">
        <v>505</v>
      </c>
      <c r="D2488" s="1597" t="s">
        <v>1761</v>
      </c>
      <c r="E2488" s="2093" t="s">
        <v>1932</v>
      </c>
      <c r="F2488" s="635">
        <v>2314</v>
      </c>
      <c r="G2488" s="432" t="s">
        <v>3761</v>
      </c>
      <c r="H2488" s="736">
        <v>750</v>
      </c>
      <c r="I2488" s="736"/>
      <c r="J2488" s="737">
        <v>500</v>
      </c>
      <c r="K2488" s="738"/>
      <c r="L2488" s="736">
        <v>1250</v>
      </c>
      <c r="M2488" s="736"/>
      <c r="N2488" s="2847"/>
      <c r="O2488" s="86"/>
      <c r="P2488" s="1817" t="e">
        <f>INDEX(#REF!,MATCH(F2488,#REF!,0),2)</f>
        <v>#REF!</v>
      </c>
      <c r="Q2488" s="1779"/>
      <c r="R2488" s="1779"/>
      <c r="S2488" s="1779"/>
      <c r="T2488" s="1779"/>
      <c r="U2488" s="1779"/>
      <c r="V2488" s="1779"/>
      <c r="W2488" s="43"/>
      <c r="X2488" s="1779"/>
      <c r="Y2488" s="1779"/>
      <c r="Z2488" s="1779"/>
      <c r="AA2488" s="1779"/>
      <c r="AB2488" s="1779"/>
      <c r="AC2488" s="1779"/>
      <c r="AD2488" s="1779"/>
      <c r="AE2488" s="1779"/>
      <c r="AF2488" s="1779"/>
      <c r="AG2488" s="1779"/>
    </row>
    <row r="2489" spans="1:33" ht="14.45" customHeight="1">
      <c r="A2489" s="424" t="s">
        <v>2871</v>
      </c>
      <c r="B2489" s="424" t="s">
        <v>1248</v>
      </c>
      <c r="C2489" s="424" t="s">
        <v>505</v>
      </c>
      <c r="D2489" s="1598"/>
      <c r="E2489" s="2104" t="s">
        <v>1932</v>
      </c>
      <c r="F2489" s="438">
        <v>2314</v>
      </c>
      <c r="G2489" s="60" t="s">
        <v>3997</v>
      </c>
      <c r="H2489" s="1918"/>
      <c r="I2489" s="1892"/>
      <c r="J2489" s="1916"/>
      <c r="K2489" s="1917"/>
      <c r="L2489" s="1892"/>
      <c r="M2489" s="4280">
        <v>0</v>
      </c>
      <c r="N2489" s="241" t="s">
        <v>5734</v>
      </c>
      <c r="O2489" s="86"/>
      <c r="P2489" s="1817" t="e">
        <f>INDEX(#REF!,MATCH(F2489,#REF!,0),2)</f>
        <v>#REF!</v>
      </c>
      <c r="Q2489" s="1779"/>
      <c r="R2489" s="1779"/>
      <c r="S2489" s="1779"/>
      <c r="T2489" s="1779"/>
      <c r="U2489" s="1779"/>
      <c r="V2489" s="1779"/>
      <c r="W2489" s="43"/>
      <c r="X2489" s="1779"/>
      <c r="Y2489" s="1779"/>
      <c r="Z2489" s="1779"/>
      <c r="AA2489" s="1779"/>
      <c r="AB2489" s="1779"/>
      <c r="AC2489" s="1779"/>
      <c r="AD2489" s="1779"/>
      <c r="AE2489" s="1779"/>
      <c r="AF2489" s="1779"/>
      <c r="AG2489" s="1779"/>
    </row>
    <row r="2490" spans="1:33">
      <c r="A2490" s="424"/>
      <c r="B2490" s="424" t="s">
        <v>1248</v>
      </c>
      <c r="C2490" s="424" t="s">
        <v>505</v>
      </c>
      <c r="D2490" s="1598"/>
      <c r="E2490" s="2104" t="s">
        <v>1932</v>
      </c>
      <c r="F2490" s="438">
        <v>2314</v>
      </c>
      <c r="G2490" s="425" t="s">
        <v>428</v>
      </c>
      <c r="H2490" s="741"/>
      <c r="I2490" s="431">
        <v>300</v>
      </c>
      <c r="J2490" s="444">
        <v>185</v>
      </c>
      <c r="K2490" s="685"/>
      <c r="L2490" s="1502"/>
      <c r="M2490" s="431">
        <v>300</v>
      </c>
      <c r="N2490" s="2847"/>
      <c r="O2490" s="86"/>
      <c r="P2490" s="1817" t="e">
        <f>INDEX(#REF!,MATCH(F2490,#REF!,0),2)</f>
        <v>#REF!</v>
      </c>
      <c r="Q2490" s="11"/>
      <c r="R2490" s="11"/>
      <c r="S2490" s="11"/>
      <c r="T2490" s="11"/>
      <c r="U2490" s="4"/>
      <c r="V2490" s="11"/>
      <c r="W2490" s="11"/>
      <c r="X2490" s="11"/>
      <c r="Y2490" s="11"/>
      <c r="Z2490" s="11"/>
      <c r="AA2490" s="11"/>
      <c r="AB2490" s="11"/>
      <c r="AC2490" s="11"/>
      <c r="AD2490" s="11"/>
      <c r="AE2490" s="11"/>
    </row>
    <row r="2491" spans="1:33" ht="22.5">
      <c r="A2491" s="1882"/>
      <c r="B2491" s="424" t="s">
        <v>1248</v>
      </c>
      <c r="C2491" s="424" t="s">
        <v>505</v>
      </c>
      <c r="D2491" s="1598"/>
      <c r="E2491" s="2104" t="s">
        <v>1932</v>
      </c>
      <c r="F2491" s="438">
        <v>2314</v>
      </c>
      <c r="G2491" s="2774" t="s">
        <v>4040</v>
      </c>
      <c r="H2491" s="1918"/>
      <c r="I2491" s="1892">
        <v>450</v>
      </c>
      <c r="J2491" s="1916"/>
      <c r="K2491" s="1917"/>
      <c r="L2491" s="1937"/>
      <c r="M2491" s="4280">
        <v>450</v>
      </c>
      <c r="N2491" s="241" t="s">
        <v>5156</v>
      </c>
      <c r="O2491" s="86"/>
      <c r="P2491" s="1817" t="e">
        <f>INDEX(#REF!,MATCH(F2491,#REF!,0),2)</f>
        <v>#REF!</v>
      </c>
      <c r="V2491" s="81"/>
      <c r="W2491"/>
    </row>
    <row r="2492" spans="1:33" ht="11.45" customHeight="1">
      <c r="A2492" s="2790"/>
      <c r="B2492" s="424" t="s">
        <v>1248</v>
      </c>
      <c r="C2492" s="424" t="s">
        <v>505</v>
      </c>
      <c r="D2492" s="1598"/>
      <c r="E2492" s="2104" t="s">
        <v>1932</v>
      </c>
      <c r="F2492" s="438">
        <v>2314</v>
      </c>
      <c r="G2492" s="2774" t="s">
        <v>4037</v>
      </c>
      <c r="H2492" s="3002"/>
      <c r="I2492" s="2779"/>
      <c r="J2492" s="2776"/>
      <c r="K2492" s="2777"/>
      <c r="L2492" s="2999"/>
      <c r="M2492" s="2779">
        <v>300</v>
      </c>
      <c r="N2492" s="2847"/>
      <c r="O2492" s="86"/>
      <c r="P2492" s="1817" t="e">
        <f>INDEX(#REF!,MATCH(F2492,#REF!,0),2)</f>
        <v>#REF!</v>
      </c>
      <c r="Q2492" s="11"/>
      <c r="R2492" s="11"/>
      <c r="S2492" s="11"/>
      <c r="T2492" s="11"/>
      <c r="U2492" s="11"/>
      <c r="V2492" s="11"/>
      <c r="W2492" s="4"/>
      <c r="X2492" s="11"/>
      <c r="Y2492" s="11"/>
      <c r="Z2492" s="11"/>
      <c r="AA2492" s="11"/>
      <c r="AB2492" s="11"/>
      <c r="AC2492" s="11"/>
      <c r="AD2492" s="11"/>
      <c r="AE2492" s="11"/>
      <c r="AF2492" s="11"/>
      <c r="AG2492" s="11"/>
    </row>
    <row r="2493" spans="1:33" ht="22.9" customHeight="1">
      <c r="A2493" s="2790"/>
      <c r="B2493" s="424" t="s">
        <v>1248</v>
      </c>
      <c r="C2493" s="424" t="s">
        <v>505</v>
      </c>
      <c r="D2493" s="1598"/>
      <c r="E2493" s="2104" t="s">
        <v>1932</v>
      </c>
      <c r="F2493" s="438">
        <v>2314</v>
      </c>
      <c r="G2493" s="2774" t="s">
        <v>4033</v>
      </c>
      <c r="H2493" s="3002"/>
      <c r="I2493" s="2779"/>
      <c r="J2493" s="2776">
        <v>577</v>
      </c>
      <c r="K2493" s="2777"/>
      <c r="L2493" s="2999"/>
      <c r="M2493" s="2779">
        <v>200</v>
      </c>
      <c r="N2493" s="2847"/>
      <c r="O2493" s="86"/>
      <c r="P2493" s="1817" t="e">
        <f>INDEX(#REF!,MATCH(F2493,#REF!,0),2)</f>
        <v>#REF!</v>
      </c>
      <c r="Q2493" s="1779"/>
      <c r="R2493" s="1779"/>
      <c r="S2493" s="1779"/>
      <c r="T2493" s="1779"/>
      <c r="U2493" s="1779"/>
      <c r="V2493" s="1779"/>
      <c r="W2493" s="43"/>
      <c r="X2493" s="1779"/>
      <c r="Y2493" s="1779"/>
      <c r="Z2493" s="1779"/>
      <c r="AA2493" s="1779"/>
      <c r="AB2493" s="1779"/>
      <c r="AC2493" s="1779"/>
      <c r="AD2493" s="1779"/>
      <c r="AE2493" s="1779"/>
      <c r="AF2493" s="1779"/>
      <c r="AG2493" s="1779"/>
    </row>
    <row r="2494" spans="1:33" ht="53.45" customHeight="1">
      <c r="A2494" s="634"/>
      <c r="B2494" s="634" t="s">
        <v>1248</v>
      </c>
      <c r="C2494" s="634" t="s">
        <v>505</v>
      </c>
      <c r="D2494" s="1597" t="s">
        <v>1761</v>
      </c>
      <c r="E2494" s="2093" t="s">
        <v>1932</v>
      </c>
      <c r="F2494" s="635">
        <v>2322</v>
      </c>
      <c r="G2494" s="432" t="s">
        <v>319</v>
      </c>
      <c r="H2494" s="736">
        <v>33</v>
      </c>
      <c r="I2494" s="736"/>
      <c r="J2494" s="737">
        <v>33</v>
      </c>
      <c r="K2494" s="738"/>
      <c r="L2494" s="736">
        <v>100</v>
      </c>
      <c r="M2494" s="736"/>
      <c r="N2494" s="2847"/>
      <c r="O2494" s="86"/>
      <c r="P2494" s="1817" t="e">
        <f>INDEX(#REF!,MATCH(F2494,#REF!,0),2)</f>
        <v>#REF!</v>
      </c>
      <c r="Q2494" s="1779"/>
      <c r="R2494" s="1779"/>
      <c r="S2494" s="1779"/>
      <c r="T2494" s="1779"/>
      <c r="U2494" s="1779"/>
      <c r="V2494" s="1779"/>
      <c r="W2494" s="43"/>
      <c r="X2494" s="1779"/>
      <c r="Y2494" s="1779"/>
      <c r="Z2494" s="1779"/>
      <c r="AA2494" s="1779"/>
      <c r="AB2494" s="1779"/>
      <c r="AC2494" s="1779"/>
      <c r="AD2494" s="1779"/>
      <c r="AE2494" s="1779"/>
      <c r="AF2494" s="1779"/>
      <c r="AG2494" s="1779"/>
    </row>
    <row r="2495" spans="1:33" ht="20.45" customHeight="1">
      <c r="A2495" s="424" t="s">
        <v>2871</v>
      </c>
      <c r="B2495" s="424" t="s">
        <v>1248</v>
      </c>
      <c r="C2495" s="424" t="s">
        <v>505</v>
      </c>
      <c r="D2495" s="1598"/>
      <c r="E2495" s="2104" t="s">
        <v>1932</v>
      </c>
      <c r="F2495" s="438">
        <v>2322</v>
      </c>
      <c r="G2495" s="60" t="s">
        <v>4024</v>
      </c>
      <c r="H2495" s="1918"/>
      <c r="I2495" s="1892">
        <v>33</v>
      </c>
      <c r="J2495" s="1916"/>
      <c r="K2495" s="1917"/>
      <c r="L2495" s="1892"/>
      <c r="M2495" s="1892">
        <v>100</v>
      </c>
      <c r="N2495" s="2847"/>
      <c r="O2495" s="86"/>
      <c r="P2495" s="1817" t="e">
        <f>INDEX(#REF!,MATCH(F2495,#REF!,0),2)</f>
        <v>#REF!</v>
      </c>
      <c r="Q2495" s="1779"/>
      <c r="R2495" s="1779"/>
      <c r="S2495" s="1779"/>
      <c r="T2495" s="1779"/>
      <c r="U2495" s="1779"/>
      <c r="V2495" s="1779"/>
      <c r="W2495" s="43"/>
      <c r="X2495" s="1779"/>
      <c r="Y2495" s="1779"/>
      <c r="Z2495" s="1779"/>
      <c r="AA2495" s="1779"/>
      <c r="AB2495" s="1779"/>
      <c r="AC2495" s="1779"/>
      <c r="AD2495" s="1779"/>
      <c r="AE2495" s="1779"/>
      <c r="AF2495" s="1779"/>
      <c r="AG2495" s="1779"/>
    </row>
    <row r="2496" spans="1:33" ht="31.15" customHeight="1">
      <c r="A2496" s="742"/>
      <c r="B2496" s="742" t="s">
        <v>1248</v>
      </c>
      <c r="C2496" s="742" t="s">
        <v>505</v>
      </c>
      <c r="D2496" s="1597" t="s">
        <v>1761</v>
      </c>
      <c r="E2496" s="2278" t="s">
        <v>1932</v>
      </c>
      <c r="F2496" s="743">
        <v>2350</v>
      </c>
      <c r="G2496" s="744" t="s">
        <v>251</v>
      </c>
      <c r="H2496" s="674">
        <v>4250</v>
      </c>
      <c r="I2496" s="736"/>
      <c r="J2496" s="737">
        <v>3397</v>
      </c>
      <c r="K2496" s="738"/>
      <c r="L2496" s="674">
        <v>4700</v>
      </c>
      <c r="M2496" s="1500"/>
      <c r="N2496" s="2847"/>
      <c r="O2496" s="86"/>
      <c r="P2496" s="1817" t="e">
        <f>INDEX(#REF!,MATCH(F2496,#REF!,0),2)</f>
        <v>#REF!</v>
      </c>
      <c r="Q2496" s="1779"/>
      <c r="R2496" s="1779"/>
      <c r="S2496" s="1779"/>
      <c r="T2496" s="1779"/>
      <c r="U2496" s="1779"/>
      <c r="V2496" s="1779"/>
      <c r="W2496" s="43"/>
      <c r="X2496" s="1779"/>
      <c r="Y2496" s="1779"/>
      <c r="Z2496" s="1779"/>
      <c r="AA2496" s="1779"/>
      <c r="AB2496" s="1779"/>
      <c r="AC2496" s="1779"/>
      <c r="AD2496" s="1779"/>
      <c r="AE2496" s="1779"/>
      <c r="AF2496" s="1779"/>
      <c r="AG2496" s="1779"/>
    </row>
    <row r="2497" spans="1:33" ht="13.9" customHeight="1">
      <c r="A2497" s="424" t="s">
        <v>2870</v>
      </c>
      <c r="B2497" s="424" t="s">
        <v>1248</v>
      </c>
      <c r="C2497" s="424" t="s">
        <v>505</v>
      </c>
      <c r="D2497" s="1598"/>
      <c r="E2497" s="2104" t="s">
        <v>1932</v>
      </c>
      <c r="F2497" s="438">
        <v>2350</v>
      </c>
      <c r="G2497" s="429" t="s">
        <v>1381</v>
      </c>
      <c r="H2497" s="741"/>
      <c r="I2497" s="431">
        <v>200</v>
      </c>
      <c r="J2497" s="444"/>
      <c r="K2497" s="685"/>
      <c r="L2497" s="741"/>
      <c r="M2497" s="4281">
        <v>200</v>
      </c>
      <c r="N2497" s="241" t="s">
        <v>3758</v>
      </c>
      <c r="O2497" s="86"/>
      <c r="P2497" s="1817" t="e">
        <f>INDEX(#REF!,MATCH(F2497,#REF!,0),2)</f>
        <v>#REF!</v>
      </c>
      <c r="Q2497" s="1779"/>
      <c r="R2497" s="1779"/>
      <c r="S2497" s="1779"/>
      <c r="T2497" s="1779"/>
      <c r="U2497" s="1779"/>
      <c r="V2497" s="1779"/>
      <c r="W2497" s="43"/>
      <c r="X2497" s="1779"/>
      <c r="Y2497" s="1779"/>
      <c r="Z2497" s="1779"/>
      <c r="AA2497" s="1779"/>
      <c r="AB2497" s="1779"/>
      <c r="AC2497" s="1779"/>
      <c r="AD2497" s="1779"/>
      <c r="AE2497" s="1779"/>
      <c r="AF2497" s="1779"/>
      <c r="AG2497" s="1779"/>
    </row>
    <row r="2498" spans="1:33" ht="12.6" customHeight="1">
      <c r="A2498" s="424" t="s">
        <v>2870</v>
      </c>
      <c r="B2498" s="424" t="s">
        <v>1248</v>
      </c>
      <c r="C2498" s="424" t="s">
        <v>505</v>
      </c>
      <c r="D2498" s="1598"/>
      <c r="E2498" s="2104" t="s">
        <v>1932</v>
      </c>
      <c r="F2498" s="438">
        <v>2350</v>
      </c>
      <c r="G2498" s="61" t="s">
        <v>1779</v>
      </c>
      <c r="H2498" s="741"/>
      <c r="I2498" s="431">
        <v>500</v>
      </c>
      <c r="J2498" s="444"/>
      <c r="K2498" s="685"/>
      <c r="L2498" s="1502"/>
      <c r="M2498" s="431">
        <v>500</v>
      </c>
      <c r="N2498" s="2847"/>
      <c r="O2498" s="86"/>
      <c r="P2498" s="1817" t="e">
        <f>INDEX(#REF!,MATCH(F2498,#REF!,0),2)</f>
        <v>#REF!</v>
      </c>
      <c r="Q2498" s="1779"/>
      <c r="R2498" s="1779"/>
      <c r="S2498" s="1779"/>
      <c r="T2498" s="1779"/>
      <c r="U2498" s="1779"/>
      <c r="V2498" s="1779"/>
      <c r="W2498" s="43"/>
      <c r="X2498" s="1779"/>
      <c r="Y2498" s="1779"/>
      <c r="Z2498" s="1779"/>
      <c r="AA2498" s="1779"/>
      <c r="AB2498" s="1779"/>
      <c r="AC2498" s="1779"/>
      <c r="AD2498" s="1779"/>
      <c r="AE2498" s="1779"/>
      <c r="AF2498" s="1779"/>
      <c r="AG2498" s="1779"/>
    </row>
    <row r="2499" spans="1:33" ht="13.9" customHeight="1">
      <c r="A2499" s="424" t="s">
        <v>2870</v>
      </c>
      <c r="B2499" s="424" t="s">
        <v>1248</v>
      </c>
      <c r="C2499" s="424" t="s">
        <v>505</v>
      </c>
      <c r="D2499" s="1598"/>
      <c r="E2499" s="2104" t="s">
        <v>1932</v>
      </c>
      <c r="F2499" s="438">
        <v>2350</v>
      </c>
      <c r="G2499" s="61" t="s">
        <v>4025</v>
      </c>
      <c r="H2499" s="741"/>
      <c r="I2499" s="431">
        <v>1400</v>
      </c>
      <c r="J2499" s="444"/>
      <c r="K2499" s="685"/>
      <c r="L2499" s="1502"/>
      <c r="M2499" s="431">
        <v>1400</v>
      </c>
      <c r="N2499" s="2847"/>
      <c r="O2499" s="86"/>
      <c r="P2499" s="1817" t="e">
        <f>INDEX(#REF!,MATCH(F2499,#REF!,0),2)</f>
        <v>#REF!</v>
      </c>
      <c r="Q2499" s="1779"/>
      <c r="R2499" s="1779"/>
      <c r="S2499" s="1779"/>
      <c r="T2499" s="1779"/>
      <c r="U2499" s="1779"/>
      <c r="V2499" s="1779"/>
      <c r="W2499" s="43"/>
      <c r="X2499" s="1779"/>
      <c r="Y2499" s="1779"/>
      <c r="Z2499" s="1779"/>
      <c r="AA2499" s="1779"/>
      <c r="AB2499" s="1779"/>
      <c r="AC2499" s="1779"/>
      <c r="AD2499" s="1779"/>
      <c r="AE2499" s="1779"/>
      <c r="AF2499" s="1779"/>
      <c r="AG2499" s="1779"/>
    </row>
    <row r="2500" spans="1:33" ht="22.9" customHeight="1">
      <c r="A2500" s="762" t="s">
        <v>2870</v>
      </c>
      <c r="B2500" s="424" t="s">
        <v>1248</v>
      </c>
      <c r="C2500" s="424" t="s">
        <v>505</v>
      </c>
      <c r="D2500" s="1598"/>
      <c r="E2500" s="2104" t="s">
        <v>1932</v>
      </c>
      <c r="F2500" s="438">
        <v>2350</v>
      </c>
      <c r="G2500" s="61" t="s">
        <v>1382</v>
      </c>
      <c r="H2500" s="785"/>
      <c r="I2500" s="752">
        <v>500</v>
      </c>
      <c r="J2500" s="753"/>
      <c r="K2500" s="754"/>
      <c r="L2500" s="2397"/>
      <c r="M2500" s="752">
        <v>500</v>
      </c>
      <c r="N2500" s="2847"/>
      <c r="O2500" s="86"/>
      <c r="P2500" s="1817" t="e">
        <f>INDEX(#REF!,MATCH(F2500,#REF!,0),2)</f>
        <v>#REF!</v>
      </c>
      <c r="Q2500" s="1779"/>
      <c r="R2500" s="1779"/>
      <c r="S2500" s="1779"/>
      <c r="T2500" s="1779"/>
      <c r="U2500" s="1779"/>
      <c r="V2500" s="1779"/>
      <c r="W2500" s="43"/>
      <c r="X2500" s="1779"/>
      <c r="Y2500" s="1779"/>
      <c r="Z2500" s="1779"/>
      <c r="AA2500" s="1779"/>
      <c r="AB2500" s="1779"/>
      <c r="AC2500" s="1779"/>
      <c r="AD2500" s="1779"/>
      <c r="AE2500" s="1779"/>
      <c r="AF2500" s="1779"/>
      <c r="AG2500" s="1779"/>
    </row>
    <row r="2501" spans="1:33" ht="13.9" customHeight="1">
      <c r="A2501" s="1882" t="s">
        <v>2871</v>
      </c>
      <c r="B2501" s="424" t="s">
        <v>1248</v>
      </c>
      <c r="C2501" s="424" t="s">
        <v>505</v>
      </c>
      <c r="D2501" s="1598"/>
      <c r="E2501" s="2104" t="s">
        <v>1932</v>
      </c>
      <c r="F2501" s="438">
        <v>2350</v>
      </c>
      <c r="G2501" s="61" t="s">
        <v>2885</v>
      </c>
      <c r="H2501" s="1918"/>
      <c r="I2501" s="1892">
        <v>400</v>
      </c>
      <c r="J2501" s="1916"/>
      <c r="K2501" s="1917"/>
      <c r="L2501" s="1937"/>
      <c r="M2501" s="1892">
        <v>400</v>
      </c>
      <c r="N2501" s="2847"/>
      <c r="O2501" s="86"/>
      <c r="P2501" s="1817" t="e">
        <f>INDEX(#REF!,MATCH(F2501,#REF!,0),2)</f>
        <v>#REF!</v>
      </c>
      <c r="Q2501" s="1779"/>
      <c r="R2501" s="1779"/>
      <c r="S2501" s="1779"/>
      <c r="T2501" s="1779"/>
      <c r="U2501" s="1779"/>
      <c r="V2501" s="1779"/>
      <c r="W2501" s="43"/>
      <c r="X2501" s="1779"/>
      <c r="Y2501" s="1779"/>
      <c r="Z2501" s="1779"/>
      <c r="AA2501" s="1779"/>
      <c r="AB2501" s="1779"/>
      <c r="AC2501" s="1779"/>
      <c r="AD2501" s="1779"/>
      <c r="AE2501" s="1779"/>
      <c r="AF2501" s="1779"/>
      <c r="AG2501" s="1779"/>
    </row>
    <row r="2502" spans="1:33" ht="14.45" customHeight="1">
      <c r="A2502" s="1882"/>
      <c r="B2502" s="1882" t="s">
        <v>1248</v>
      </c>
      <c r="C2502" s="1882" t="s">
        <v>505</v>
      </c>
      <c r="D2502" s="1935"/>
      <c r="E2502" s="2229" t="s">
        <v>1932</v>
      </c>
      <c r="F2502" s="1936">
        <v>2350</v>
      </c>
      <c r="G2502" s="61" t="s">
        <v>3027</v>
      </c>
      <c r="H2502" s="1918"/>
      <c r="I2502" s="1892">
        <v>500</v>
      </c>
      <c r="J2502" s="1916"/>
      <c r="K2502" s="1917"/>
      <c r="L2502" s="1937"/>
      <c r="M2502" s="1892">
        <v>500</v>
      </c>
      <c r="N2502" s="2847"/>
      <c r="O2502" s="86"/>
      <c r="P2502" s="1817" t="e">
        <f>INDEX(#REF!,MATCH(F2502,#REF!,0),2)</f>
        <v>#REF!</v>
      </c>
      <c r="Q2502" s="1779"/>
      <c r="R2502" s="1779"/>
      <c r="S2502" s="1779"/>
      <c r="T2502" s="1779"/>
      <c r="U2502" s="1779"/>
      <c r="V2502" s="1779"/>
      <c r="W2502" s="43"/>
      <c r="X2502" s="1779"/>
      <c r="Y2502" s="1779"/>
      <c r="Z2502" s="1779"/>
      <c r="AA2502" s="1779"/>
      <c r="AB2502" s="1779"/>
      <c r="AC2502" s="1779"/>
      <c r="AD2502" s="1779"/>
      <c r="AE2502" s="1779"/>
      <c r="AF2502" s="1779"/>
      <c r="AG2502" s="1779"/>
    </row>
    <row r="2503" spans="1:33" ht="14.45" customHeight="1">
      <c r="A2503" s="1882" t="s">
        <v>2871</v>
      </c>
      <c r="B2503" s="424" t="s">
        <v>1248</v>
      </c>
      <c r="C2503" s="424" t="s">
        <v>505</v>
      </c>
      <c r="D2503" s="1598"/>
      <c r="E2503" s="2104" t="s">
        <v>1932</v>
      </c>
      <c r="F2503" s="438">
        <v>2350</v>
      </c>
      <c r="G2503" s="61" t="s">
        <v>2886</v>
      </c>
      <c r="H2503" s="1918"/>
      <c r="I2503" s="1892">
        <v>200</v>
      </c>
      <c r="J2503" s="1916"/>
      <c r="K2503" s="1917"/>
      <c r="L2503" s="1937"/>
      <c r="M2503" s="1892">
        <v>200</v>
      </c>
      <c r="N2503" s="2847"/>
      <c r="O2503" s="86"/>
      <c r="P2503" s="1817" t="e">
        <f>INDEX(#REF!,MATCH(F2503,#REF!,0),2)</f>
        <v>#REF!</v>
      </c>
      <c r="Q2503" s="11"/>
      <c r="R2503" s="11"/>
      <c r="S2503" s="11"/>
      <c r="T2503" s="11"/>
      <c r="U2503" s="11"/>
      <c r="V2503" s="11"/>
      <c r="W2503" s="4"/>
      <c r="X2503" s="11"/>
      <c r="Y2503" s="11"/>
      <c r="Z2503" s="11"/>
      <c r="AA2503" s="11"/>
      <c r="AB2503" s="11"/>
      <c r="AC2503" s="11"/>
      <c r="AD2503" s="11"/>
      <c r="AE2503" s="11"/>
      <c r="AF2503" s="11"/>
      <c r="AG2503" s="11"/>
    </row>
    <row r="2504" spans="1:33" ht="21.6" customHeight="1">
      <c r="A2504" s="1882"/>
      <c r="B2504" s="424" t="s">
        <v>1248</v>
      </c>
      <c r="C2504" s="424" t="s">
        <v>505</v>
      </c>
      <c r="D2504" s="1598"/>
      <c r="E2504" s="2104" t="s">
        <v>1932</v>
      </c>
      <c r="F2504" s="438">
        <v>2350</v>
      </c>
      <c r="G2504" s="61" t="s">
        <v>2952</v>
      </c>
      <c r="H2504" s="1918"/>
      <c r="I2504" s="1892">
        <v>600</v>
      </c>
      <c r="J2504" s="1916"/>
      <c r="K2504" s="1917"/>
      <c r="L2504" s="1937"/>
      <c r="M2504" s="4280">
        <v>600</v>
      </c>
      <c r="N2504" s="2847"/>
      <c r="O2504" s="86"/>
      <c r="P2504" s="1817" t="e">
        <f>INDEX(#REF!,MATCH(F2504,#REF!,0),2)</f>
        <v>#REF!</v>
      </c>
      <c r="Q2504" s="1779"/>
      <c r="R2504" s="1779"/>
      <c r="S2504" s="1779"/>
      <c r="T2504" s="1779"/>
      <c r="U2504" s="1779"/>
      <c r="V2504" s="1779"/>
      <c r="W2504" s="43"/>
      <c r="X2504" s="1779"/>
      <c r="Y2504" s="1779"/>
      <c r="Z2504" s="1779"/>
      <c r="AA2504" s="1779"/>
      <c r="AB2504" s="1779"/>
      <c r="AC2504" s="1779"/>
      <c r="AD2504" s="1779"/>
      <c r="AE2504" s="1779"/>
      <c r="AF2504" s="1779"/>
      <c r="AG2504" s="1779"/>
    </row>
    <row r="2505" spans="1:33" ht="22.15" customHeight="1">
      <c r="A2505" s="1882" t="s">
        <v>2871</v>
      </c>
      <c r="B2505" s="424" t="s">
        <v>1248</v>
      </c>
      <c r="C2505" s="424" t="s">
        <v>505</v>
      </c>
      <c r="D2505" s="1598"/>
      <c r="E2505" s="2104" t="s">
        <v>1932</v>
      </c>
      <c r="F2505" s="438">
        <v>2350</v>
      </c>
      <c r="G2505" s="61" t="s">
        <v>4026</v>
      </c>
      <c r="H2505" s="3002"/>
      <c r="I2505" s="2779"/>
      <c r="J2505" s="2776"/>
      <c r="K2505" s="2777"/>
      <c r="L2505" s="2999"/>
      <c r="M2505" s="2779">
        <v>400</v>
      </c>
      <c r="N2505" s="2847"/>
      <c r="O2505" s="86"/>
      <c r="P2505" s="1817" t="e">
        <f>INDEX(#REF!,MATCH(F2505,#REF!,0),2)</f>
        <v>#REF!</v>
      </c>
      <c r="Q2505" s="1779"/>
      <c r="R2505" s="1779"/>
      <c r="S2505" s="1779"/>
      <c r="T2505" s="1779"/>
      <c r="U2505" s="1779"/>
      <c r="V2505" s="1779"/>
      <c r="W2505" s="43"/>
      <c r="X2505" s="1779"/>
      <c r="Y2505" s="1779"/>
      <c r="Z2505" s="1779"/>
      <c r="AA2505" s="1779"/>
      <c r="AB2505" s="1779"/>
      <c r="AC2505" s="1779"/>
      <c r="AD2505" s="1779"/>
      <c r="AE2505" s="1779"/>
      <c r="AF2505" s="1779"/>
      <c r="AG2505" s="1779"/>
    </row>
    <row r="2506" spans="1:33" ht="14.45" customHeight="1">
      <c r="A2506" s="1882"/>
      <c r="B2506" s="1882" t="s">
        <v>1248</v>
      </c>
      <c r="C2506" s="1882" t="s">
        <v>505</v>
      </c>
      <c r="D2506" s="1935"/>
      <c r="E2506" s="2229" t="s">
        <v>1932</v>
      </c>
      <c r="F2506" s="1936">
        <v>2350</v>
      </c>
      <c r="G2506" s="61" t="s">
        <v>2953</v>
      </c>
      <c r="H2506" s="1918"/>
      <c r="I2506" s="1892">
        <v>150</v>
      </c>
      <c r="J2506" s="1916"/>
      <c r="K2506" s="1917"/>
      <c r="L2506" s="1937"/>
      <c r="M2506" s="1968"/>
      <c r="N2506" s="2847"/>
      <c r="O2506" s="86"/>
      <c r="P2506" s="1817" t="e">
        <f>INDEX(#REF!,MATCH(F2506,#REF!,0),2)</f>
        <v>#REF!</v>
      </c>
      <c r="Q2506" s="11"/>
      <c r="R2506" s="11"/>
      <c r="S2506" s="11"/>
      <c r="T2506" s="11"/>
      <c r="U2506" s="11"/>
      <c r="V2506" s="11"/>
      <c r="W2506" s="4"/>
      <c r="X2506" s="11"/>
      <c r="Y2506" s="11"/>
      <c r="Z2506" s="11"/>
      <c r="AA2506" s="11"/>
      <c r="AB2506" s="11"/>
      <c r="AC2506" s="11"/>
      <c r="AD2506" s="11"/>
      <c r="AE2506" s="11"/>
      <c r="AF2506" s="11"/>
      <c r="AG2506" s="11"/>
    </row>
    <row r="2507" spans="1:33" ht="25.9" customHeight="1">
      <c r="A2507" s="634"/>
      <c r="B2507" s="634" t="s">
        <v>1249</v>
      </c>
      <c r="C2507" s="634" t="s">
        <v>505</v>
      </c>
      <c r="D2507" s="1597" t="s">
        <v>1761</v>
      </c>
      <c r="E2507" s="2093" t="s">
        <v>1932</v>
      </c>
      <c r="F2507" s="635">
        <v>2350</v>
      </c>
      <c r="G2507" s="432" t="s">
        <v>1984</v>
      </c>
      <c r="H2507" s="674">
        <v>0</v>
      </c>
      <c r="I2507" s="736"/>
      <c r="J2507" s="737"/>
      <c r="K2507" s="738"/>
      <c r="L2507" s="674">
        <v>4500</v>
      </c>
      <c r="M2507" s="1500"/>
      <c r="N2507" s="2847"/>
      <c r="O2507" s="86"/>
      <c r="P2507" s="1817" t="e">
        <f>INDEX(#REF!,MATCH(F2507,#REF!,0),2)</f>
        <v>#REF!</v>
      </c>
      <c r="Q2507" s="1779"/>
      <c r="R2507" s="1779"/>
      <c r="S2507" s="1779"/>
      <c r="T2507" s="1779"/>
      <c r="U2507" s="1779"/>
      <c r="V2507" s="1779"/>
      <c r="W2507" s="43"/>
      <c r="X2507" s="1779"/>
      <c r="Y2507" s="1779"/>
      <c r="Z2507" s="1779"/>
      <c r="AA2507" s="1779"/>
      <c r="AB2507" s="1779"/>
      <c r="AC2507" s="1779"/>
      <c r="AD2507" s="1779"/>
      <c r="AE2507" s="1779"/>
      <c r="AF2507" s="1779"/>
      <c r="AG2507" s="1779"/>
    </row>
    <row r="2508" spans="1:33" ht="20.45" customHeight="1">
      <c r="A2508" s="2790"/>
      <c r="B2508" s="1882" t="s">
        <v>1249</v>
      </c>
      <c r="C2508" s="1882" t="s">
        <v>505</v>
      </c>
      <c r="D2508" s="1935"/>
      <c r="E2508" s="2229" t="s">
        <v>1932</v>
      </c>
      <c r="F2508" s="1936">
        <v>2350</v>
      </c>
      <c r="G2508" s="61" t="s">
        <v>4029</v>
      </c>
      <c r="H2508" s="3002"/>
      <c r="I2508" s="2779"/>
      <c r="J2508" s="2776"/>
      <c r="K2508" s="2777"/>
      <c r="L2508" s="2999"/>
      <c r="M2508" s="2779">
        <v>2000</v>
      </c>
      <c r="N2508" s="2846" t="s">
        <v>4031</v>
      </c>
      <c r="O2508" s="86"/>
      <c r="P2508" s="1817" t="e">
        <f>INDEX(#REF!,MATCH(F2508,#REF!,0),2)</f>
        <v>#REF!</v>
      </c>
      <c r="Q2508" s="1779"/>
      <c r="R2508" s="1779"/>
      <c r="S2508" s="1779"/>
      <c r="T2508" s="1779"/>
      <c r="U2508" s="1779"/>
      <c r="V2508" s="1779"/>
      <c r="W2508" s="43"/>
      <c r="X2508" s="1779"/>
      <c r="Y2508" s="1779"/>
      <c r="Z2508" s="1779"/>
      <c r="AA2508" s="1779"/>
      <c r="AB2508" s="1779"/>
      <c r="AC2508" s="1779"/>
      <c r="AD2508" s="1779"/>
      <c r="AE2508" s="1779"/>
      <c r="AF2508" s="1779"/>
      <c r="AG2508" s="1779"/>
    </row>
    <row r="2509" spans="1:33" ht="14.45" customHeight="1">
      <c r="A2509" s="2790"/>
      <c r="B2509" s="424" t="s">
        <v>1249</v>
      </c>
      <c r="C2509" s="1882" t="s">
        <v>505</v>
      </c>
      <c r="D2509" s="1935"/>
      <c r="E2509" s="2229" t="s">
        <v>1932</v>
      </c>
      <c r="F2509" s="1936">
        <v>2350</v>
      </c>
      <c r="G2509" s="61" t="s">
        <v>4027</v>
      </c>
      <c r="H2509" s="3002"/>
      <c r="I2509" s="2779"/>
      <c r="J2509" s="2776"/>
      <c r="K2509" s="2777"/>
      <c r="L2509" s="2999"/>
      <c r="M2509" s="2779">
        <v>2500</v>
      </c>
      <c r="N2509" s="2846" t="s">
        <v>4030</v>
      </c>
      <c r="O2509" s="86"/>
      <c r="P2509" s="1817" t="e">
        <f>INDEX(#REF!,MATCH(F2509,#REF!,0),2)</f>
        <v>#REF!</v>
      </c>
      <c r="Q2509" s="1779"/>
      <c r="R2509" s="1779"/>
      <c r="S2509" s="1779"/>
      <c r="T2509" s="1779"/>
      <c r="U2509" s="1779"/>
      <c r="V2509" s="1779"/>
      <c r="W2509" s="43"/>
      <c r="X2509" s="1779"/>
      <c r="Y2509" s="1779"/>
      <c r="Z2509" s="1779"/>
      <c r="AA2509" s="1779"/>
      <c r="AB2509" s="1779"/>
      <c r="AC2509" s="1779"/>
      <c r="AD2509" s="1779"/>
      <c r="AE2509" s="1779"/>
      <c r="AF2509" s="1779"/>
      <c r="AG2509" s="1779"/>
    </row>
    <row r="2510" spans="1:33" ht="14.45" customHeight="1">
      <c r="A2510" s="634"/>
      <c r="B2510" s="634" t="s">
        <v>1248</v>
      </c>
      <c r="C2510" s="634" t="s">
        <v>505</v>
      </c>
      <c r="D2510" s="1597" t="s">
        <v>1761</v>
      </c>
      <c r="E2510" s="2093" t="s">
        <v>1932</v>
      </c>
      <c r="F2510" s="635">
        <v>2390</v>
      </c>
      <c r="G2510" s="432" t="s">
        <v>253</v>
      </c>
      <c r="H2510" s="674">
        <v>4000</v>
      </c>
      <c r="I2510" s="736"/>
      <c r="J2510" s="737">
        <v>3246</v>
      </c>
      <c r="K2510" s="738"/>
      <c r="L2510" s="674">
        <v>3000</v>
      </c>
      <c r="M2510" s="1500"/>
      <c r="N2510" s="2847"/>
      <c r="O2510" s="86"/>
      <c r="P2510" s="1817" t="e">
        <f>INDEX(#REF!,MATCH(F2510,#REF!,0),2)</f>
        <v>#REF!</v>
      </c>
      <c r="Q2510" s="1779"/>
      <c r="R2510" s="1779"/>
      <c r="S2510" s="1779"/>
      <c r="T2510" s="1779"/>
      <c r="U2510" s="1779"/>
      <c r="V2510" s="1779"/>
      <c r="W2510" s="43"/>
      <c r="X2510" s="1779"/>
      <c r="Y2510" s="1779"/>
      <c r="Z2510" s="1779"/>
      <c r="AA2510" s="1779"/>
      <c r="AB2510" s="1779"/>
      <c r="AC2510" s="1779"/>
      <c r="AD2510" s="1779"/>
      <c r="AE2510" s="1779"/>
      <c r="AF2510" s="1779"/>
      <c r="AG2510" s="1779"/>
    </row>
    <row r="2511" spans="1:33" ht="14.45" customHeight="1">
      <c r="A2511" s="2790"/>
      <c r="B2511" s="424" t="s">
        <v>1248</v>
      </c>
      <c r="C2511" s="424" t="s">
        <v>505</v>
      </c>
      <c r="D2511" s="1598"/>
      <c r="E2511" s="2104" t="s">
        <v>1932</v>
      </c>
      <c r="F2511" s="438">
        <v>2390</v>
      </c>
      <c r="G2511" s="2774" t="s">
        <v>4032</v>
      </c>
      <c r="H2511" s="3002"/>
      <c r="I2511" s="2779"/>
      <c r="J2511" s="2776"/>
      <c r="K2511" s="2777"/>
      <c r="L2511" s="2999"/>
      <c r="M2511" s="2779">
        <v>500</v>
      </c>
      <c r="N2511" s="2847"/>
      <c r="O2511" s="86"/>
      <c r="P2511" s="1817" t="e">
        <f>INDEX(#REF!,MATCH(F2511,#REF!,0),2)</f>
        <v>#REF!</v>
      </c>
      <c r="Q2511" s="1779"/>
      <c r="R2511" s="1779"/>
      <c r="S2511" s="1779"/>
      <c r="T2511" s="1779"/>
      <c r="U2511" s="1779"/>
      <c r="V2511" s="1779"/>
      <c r="W2511" s="43"/>
      <c r="X2511" s="1779"/>
      <c r="Y2511" s="1779"/>
      <c r="Z2511" s="1779"/>
      <c r="AA2511" s="1779"/>
      <c r="AB2511" s="1779"/>
      <c r="AC2511" s="1779"/>
      <c r="AD2511" s="1779"/>
      <c r="AE2511" s="1779"/>
      <c r="AF2511" s="1779"/>
      <c r="AG2511" s="1779"/>
    </row>
    <row r="2512" spans="1:33" ht="14.45" customHeight="1">
      <c r="A2512" s="2790"/>
      <c r="B2512" s="424" t="s">
        <v>1248</v>
      </c>
      <c r="C2512" s="424" t="s">
        <v>505</v>
      </c>
      <c r="D2512" s="1598"/>
      <c r="E2512" s="2104" t="s">
        <v>1932</v>
      </c>
      <c r="F2512" s="438">
        <v>2390</v>
      </c>
      <c r="G2512" s="2774" t="s">
        <v>4034</v>
      </c>
      <c r="H2512" s="3002"/>
      <c r="I2512" s="2779"/>
      <c r="J2512" s="2776"/>
      <c r="K2512" s="2777"/>
      <c r="L2512" s="2999"/>
      <c r="M2512" s="2779">
        <v>300</v>
      </c>
      <c r="N2512" s="2847"/>
      <c r="O2512" s="86"/>
      <c r="P2512" s="1817" t="e">
        <f>INDEX(#REF!,MATCH(F2512,#REF!,0),2)</f>
        <v>#REF!</v>
      </c>
      <c r="Q2512" s="1779"/>
      <c r="R2512" s="1779"/>
      <c r="S2512" s="1779"/>
      <c r="T2512" s="1779"/>
      <c r="U2512" s="1779"/>
      <c r="V2512" s="1779"/>
      <c r="W2512" s="43"/>
      <c r="X2512" s="1779"/>
      <c r="Y2512" s="1779"/>
      <c r="Z2512" s="1779"/>
      <c r="AA2512" s="1779"/>
      <c r="AB2512" s="1779"/>
      <c r="AC2512" s="1779"/>
      <c r="AD2512" s="1779"/>
      <c r="AE2512" s="1779"/>
      <c r="AF2512" s="1779"/>
      <c r="AG2512" s="1779"/>
    </row>
    <row r="2513" spans="1:33" ht="37.9" customHeight="1">
      <c r="A2513" s="2790"/>
      <c r="B2513" s="424" t="s">
        <v>1248</v>
      </c>
      <c r="C2513" s="424" t="s">
        <v>505</v>
      </c>
      <c r="D2513" s="1598"/>
      <c r="E2513" s="2104" t="s">
        <v>1932</v>
      </c>
      <c r="F2513" s="438">
        <v>2390</v>
      </c>
      <c r="G2513" s="2774" t="s">
        <v>4035</v>
      </c>
      <c r="H2513" s="3002"/>
      <c r="I2513" s="2779"/>
      <c r="J2513" s="2776"/>
      <c r="K2513" s="2777"/>
      <c r="L2513" s="2999"/>
      <c r="M2513" s="2779">
        <v>200</v>
      </c>
      <c r="N2513" s="2847"/>
      <c r="O2513" s="86"/>
      <c r="P2513" s="1817" t="e">
        <f>INDEX(#REF!,MATCH(F2513,#REF!,0),2)</f>
        <v>#REF!</v>
      </c>
      <c r="Q2513" s="1779"/>
      <c r="R2513" s="1779"/>
      <c r="S2513" s="1779"/>
      <c r="T2513" s="1779"/>
      <c r="U2513" s="1779"/>
      <c r="V2513" s="1779"/>
      <c r="W2513" s="43"/>
      <c r="X2513" s="1779"/>
      <c r="Y2513" s="1779"/>
      <c r="Z2513" s="1779"/>
      <c r="AA2513" s="1779"/>
      <c r="AB2513" s="1779"/>
      <c r="AC2513" s="1779"/>
      <c r="AD2513" s="1779"/>
      <c r="AE2513" s="1779"/>
      <c r="AF2513" s="1779"/>
      <c r="AG2513" s="1779"/>
    </row>
    <row r="2514" spans="1:33" ht="11.45" customHeight="1">
      <c r="A2514" s="2790"/>
      <c r="B2514" s="424" t="s">
        <v>1248</v>
      </c>
      <c r="C2514" s="424" t="s">
        <v>505</v>
      </c>
      <c r="D2514" s="1598"/>
      <c r="E2514" s="2104" t="s">
        <v>1932</v>
      </c>
      <c r="F2514" s="438">
        <v>2390</v>
      </c>
      <c r="G2514" s="2774" t="s">
        <v>4036</v>
      </c>
      <c r="H2514" s="3002"/>
      <c r="I2514" s="2779"/>
      <c r="J2514" s="2776"/>
      <c r="K2514" s="2777"/>
      <c r="L2514" s="2999"/>
      <c r="M2514" s="2779">
        <v>100</v>
      </c>
      <c r="N2514" s="2847"/>
      <c r="O2514" s="86"/>
      <c r="P2514" s="1817" t="e">
        <f>INDEX(#REF!,MATCH(F2514,#REF!,0),2)</f>
        <v>#REF!</v>
      </c>
      <c r="Q2514" s="1779"/>
      <c r="R2514" s="1779"/>
      <c r="S2514" s="1779"/>
      <c r="T2514" s="1779"/>
      <c r="U2514" s="1779"/>
      <c r="V2514" s="1779"/>
      <c r="W2514" s="43"/>
      <c r="X2514" s="1779"/>
      <c r="Y2514" s="1779"/>
      <c r="Z2514" s="1779"/>
      <c r="AA2514" s="1779"/>
      <c r="AB2514" s="1779"/>
      <c r="AC2514" s="1779"/>
      <c r="AD2514" s="1779"/>
      <c r="AE2514" s="1779"/>
      <c r="AF2514" s="1779"/>
      <c r="AG2514" s="1779"/>
    </row>
    <row r="2515" spans="1:33">
      <c r="A2515" s="2790"/>
      <c r="B2515" s="424" t="s">
        <v>1248</v>
      </c>
      <c r="C2515" s="424" t="s">
        <v>505</v>
      </c>
      <c r="D2515" s="1598"/>
      <c r="E2515" s="2104" t="s">
        <v>1932</v>
      </c>
      <c r="F2515" s="438">
        <v>2390</v>
      </c>
      <c r="G2515" s="2774" t="s">
        <v>4038</v>
      </c>
      <c r="H2515" s="3002"/>
      <c r="I2515" s="2779"/>
      <c r="J2515" s="2776"/>
      <c r="K2515" s="2777"/>
      <c r="L2515" s="2999"/>
      <c r="M2515" s="2778">
        <v>1500</v>
      </c>
      <c r="N2515" s="241" t="s">
        <v>5988</v>
      </c>
      <c r="O2515" s="86"/>
      <c r="P2515" s="1817" t="e">
        <f>INDEX(#REF!,MATCH(F2515,#REF!,0),2)</f>
        <v>#REF!</v>
      </c>
    </row>
    <row r="2516" spans="1:33" ht="46.15" customHeight="1">
      <c r="A2516" s="2790"/>
      <c r="B2516" s="424" t="s">
        <v>1248</v>
      </c>
      <c r="C2516" s="424" t="s">
        <v>505</v>
      </c>
      <c r="D2516" s="1598"/>
      <c r="E2516" s="2104" t="s">
        <v>1932</v>
      </c>
      <c r="F2516" s="438">
        <v>2390</v>
      </c>
      <c r="G2516" s="2774" t="s">
        <v>4039</v>
      </c>
      <c r="H2516" s="3002"/>
      <c r="I2516" s="2779"/>
      <c r="J2516" s="2776"/>
      <c r="K2516" s="2777"/>
      <c r="L2516" s="2999"/>
      <c r="M2516" s="2779">
        <v>400</v>
      </c>
      <c r="N2516" s="2847"/>
      <c r="O2516" s="86"/>
      <c r="P2516" s="1817" t="e">
        <f>INDEX(#REF!,MATCH(F2516,#REF!,0),2)</f>
        <v>#REF!</v>
      </c>
    </row>
    <row r="2517" spans="1:33" ht="33.75">
      <c r="A2517" s="1882"/>
      <c r="B2517" s="424" t="s">
        <v>1248</v>
      </c>
      <c r="C2517" s="424" t="s">
        <v>505</v>
      </c>
      <c r="D2517" s="1598"/>
      <c r="E2517" s="2104" t="s">
        <v>1932</v>
      </c>
      <c r="F2517" s="438">
        <v>2390</v>
      </c>
      <c r="G2517" s="1884" t="s">
        <v>2954</v>
      </c>
      <c r="H2517" s="1918"/>
      <c r="I2517" s="1892">
        <v>3000</v>
      </c>
      <c r="J2517" s="1916"/>
      <c r="K2517" s="1917"/>
      <c r="L2517" s="1937"/>
      <c r="M2517" s="1968"/>
      <c r="N2517" s="2847"/>
      <c r="O2517" s="86"/>
      <c r="P2517" s="1817" t="e">
        <f>INDEX(#REF!,MATCH(F2517,#REF!,0),2)</f>
        <v>#REF!</v>
      </c>
    </row>
    <row r="2518" spans="1:33">
      <c r="A2518" s="424"/>
      <c r="B2518" s="424" t="s">
        <v>1248</v>
      </c>
      <c r="C2518" s="424" t="s">
        <v>505</v>
      </c>
      <c r="D2518" s="1598"/>
      <c r="E2518" s="2104" t="s">
        <v>1932</v>
      </c>
      <c r="F2518" s="438">
        <v>2390</v>
      </c>
      <c r="G2518" s="425" t="s">
        <v>539</v>
      </c>
      <c r="H2518" s="741"/>
      <c r="I2518" s="431">
        <v>1000</v>
      </c>
      <c r="J2518" s="444"/>
      <c r="K2518" s="685"/>
      <c r="L2518" s="1502"/>
      <c r="M2518" s="750"/>
      <c r="N2518" s="2847"/>
      <c r="O2518" s="86"/>
      <c r="P2518" s="1817" t="e">
        <f>INDEX(#REF!,MATCH(F2518,#REF!,0),2)</f>
        <v>#REF!</v>
      </c>
    </row>
    <row r="2519" spans="1:33">
      <c r="A2519" s="634"/>
      <c r="B2519" s="634" t="s">
        <v>1250</v>
      </c>
      <c r="C2519" s="634" t="s">
        <v>509</v>
      </c>
      <c r="D2519" s="1597" t="s">
        <v>1761</v>
      </c>
      <c r="E2519" s="2093" t="s">
        <v>1932</v>
      </c>
      <c r="F2519" s="635">
        <v>5238</v>
      </c>
      <c r="G2519" s="432" t="s">
        <v>257</v>
      </c>
      <c r="H2519" s="674">
        <v>1500</v>
      </c>
      <c r="I2519" s="736"/>
      <c r="J2519" s="737">
        <v>59</v>
      </c>
      <c r="K2519" s="738"/>
      <c r="L2519" s="674">
        <v>0</v>
      </c>
      <c r="M2519" s="736"/>
      <c r="N2519" s="2847"/>
      <c r="O2519" s="86"/>
      <c r="P2519" s="1817" t="e">
        <f>INDEX(#REF!,MATCH(F2519,#REF!,0),2)</f>
        <v>#REF!</v>
      </c>
    </row>
    <row r="2520" spans="1:33" ht="56.25">
      <c r="A2520" s="1882"/>
      <c r="B2520" s="424" t="s">
        <v>1250</v>
      </c>
      <c r="C2520" s="424" t="s">
        <v>509</v>
      </c>
      <c r="D2520" s="1598"/>
      <c r="E2520" s="2104" t="s">
        <v>1932</v>
      </c>
      <c r="F2520" s="438">
        <v>5238</v>
      </c>
      <c r="G2520" s="1884" t="s">
        <v>4041</v>
      </c>
      <c r="H2520" s="1918"/>
      <c r="I2520" s="1892">
        <v>1500</v>
      </c>
      <c r="J2520" s="1916"/>
      <c r="K2520" s="1917"/>
      <c r="L2520" s="1918"/>
      <c r="M2520" s="4280">
        <v>0</v>
      </c>
      <c r="N2520" s="2846" t="s">
        <v>4042</v>
      </c>
      <c r="O2520" s="86"/>
      <c r="P2520" s="1817" t="e">
        <f>INDEX(#REF!,MATCH(F2520,#REF!,0),2)</f>
        <v>#REF!</v>
      </c>
    </row>
    <row r="2521" spans="1:33">
      <c r="A2521" s="634"/>
      <c r="B2521" s="634" t="s">
        <v>1249</v>
      </c>
      <c r="C2521" s="634" t="s">
        <v>509</v>
      </c>
      <c r="D2521" s="1597" t="s">
        <v>1761</v>
      </c>
      <c r="E2521" s="2093" t="s">
        <v>1932</v>
      </c>
      <c r="F2521" s="635">
        <v>5239</v>
      </c>
      <c r="G2521" s="432" t="s">
        <v>1214</v>
      </c>
      <c r="H2521" s="674">
        <v>0</v>
      </c>
      <c r="I2521" s="736"/>
      <c r="J2521" s="737"/>
      <c r="K2521" s="738"/>
      <c r="L2521" s="674">
        <v>13000</v>
      </c>
      <c r="M2521" s="736"/>
      <c r="N2521" s="2847"/>
      <c r="O2521" s="86"/>
      <c r="P2521" s="1817" t="e">
        <f>INDEX(#REF!,MATCH(F2521,#REF!,0),2)</f>
        <v>#REF!</v>
      </c>
    </row>
    <row r="2522" spans="1:33" ht="33.75">
      <c r="A2522" s="424"/>
      <c r="B2522" s="424" t="s">
        <v>1249</v>
      </c>
      <c r="C2522" s="424" t="s">
        <v>509</v>
      </c>
      <c r="D2522" s="1598"/>
      <c r="E2522" s="2104" t="s">
        <v>1932</v>
      </c>
      <c r="F2522" s="438">
        <v>5239</v>
      </c>
      <c r="G2522" s="1884" t="s">
        <v>4043</v>
      </c>
      <c r="H2522" s="741"/>
      <c r="I2522" s="431"/>
      <c r="J2522" s="444"/>
      <c r="K2522" s="685"/>
      <c r="L2522" s="431"/>
      <c r="M2522" s="431">
        <v>4500</v>
      </c>
      <c r="N2522" s="2846" t="s">
        <v>4030</v>
      </c>
      <c r="O2522" s="86"/>
      <c r="P2522" s="1817" t="e">
        <f>INDEX(#REF!,MATCH(F2522,#REF!,0),2)</f>
        <v>#REF!</v>
      </c>
    </row>
    <row r="2523" spans="1:33" ht="22.5">
      <c r="A2523" s="424"/>
      <c r="B2523" s="424" t="s">
        <v>1249</v>
      </c>
      <c r="C2523" s="424" t="s">
        <v>509</v>
      </c>
      <c r="D2523" s="1598"/>
      <c r="E2523" s="2104" t="s">
        <v>1932</v>
      </c>
      <c r="F2523" s="438">
        <v>5239</v>
      </c>
      <c r="G2523" s="1884" t="s">
        <v>4044</v>
      </c>
      <c r="H2523" s="741"/>
      <c r="I2523" s="431"/>
      <c r="J2523" s="444"/>
      <c r="K2523" s="685"/>
      <c r="L2523" s="431"/>
      <c r="M2523" s="431">
        <v>4500</v>
      </c>
      <c r="N2523" s="2846" t="s">
        <v>4030</v>
      </c>
      <c r="O2523" s="86"/>
      <c r="P2523" s="1817" t="e">
        <f>INDEX(#REF!,MATCH(F2523,#REF!,0),2)</f>
        <v>#REF!</v>
      </c>
    </row>
    <row r="2524" spans="1:33" ht="33.75">
      <c r="A2524" s="424"/>
      <c r="B2524" s="424" t="s">
        <v>1249</v>
      </c>
      <c r="C2524" s="424" t="s">
        <v>509</v>
      </c>
      <c r="D2524" s="1598"/>
      <c r="E2524" s="2104" t="s">
        <v>1932</v>
      </c>
      <c r="F2524" s="438">
        <v>5239</v>
      </c>
      <c r="G2524" s="1884" t="s">
        <v>4045</v>
      </c>
      <c r="H2524" s="741"/>
      <c r="I2524" s="431"/>
      <c r="J2524" s="444"/>
      <c r="K2524" s="685"/>
      <c r="L2524" s="431"/>
      <c r="M2524" s="431">
        <v>4000</v>
      </c>
      <c r="N2524" s="2846" t="s">
        <v>4046</v>
      </c>
      <c r="O2524" s="86"/>
      <c r="P2524" s="1817" t="e">
        <f>INDEX(#REF!,MATCH(F2524,#REF!,0),2)</f>
        <v>#REF!</v>
      </c>
    </row>
    <row r="2525" spans="1:33">
      <c r="A2525" s="634"/>
      <c r="B2525" s="3084" t="s">
        <v>663</v>
      </c>
      <c r="C2525" s="3084" t="s">
        <v>652</v>
      </c>
      <c r="D2525" s="3085"/>
      <c r="E2525" s="3093" t="s">
        <v>4047</v>
      </c>
      <c r="F2525" s="3086">
        <v>1119</v>
      </c>
      <c r="G2525" s="3087" t="s">
        <v>224</v>
      </c>
      <c r="H2525" s="674"/>
      <c r="I2525" s="736"/>
      <c r="J2525" s="737"/>
      <c r="K2525" s="738"/>
      <c r="L2525" s="674"/>
      <c r="M2525" s="736"/>
      <c r="N2525" s="2847"/>
      <c r="O2525" s="86"/>
      <c r="P2525" s="1817" t="e">
        <f>INDEX(#REF!,MATCH(F2525,#REF!,0),2)</f>
        <v>#REF!</v>
      </c>
    </row>
    <row r="2526" spans="1:33">
      <c r="A2526" s="424"/>
      <c r="B2526" s="424" t="s">
        <v>663</v>
      </c>
      <c r="C2526" s="424" t="s">
        <v>652</v>
      </c>
      <c r="D2526" s="1598"/>
      <c r="E2526" s="2104" t="s">
        <v>4047</v>
      </c>
      <c r="F2526" s="438">
        <v>1119</v>
      </c>
      <c r="G2526" s="3094" t="s">
        <v>663</v>
      </c>
      <c r="H2526" s="741"/>
      <c r="I2526" s="431"/>
      <c r="J2526" s="444"/>
      <c r="K2526" s="685"/>
      <c r="L2526" s="431"/>
      <c r="M2526" s="431"/>
      <c r="N2526" s="2846"/>
      <c r="O2526" s="86"/>
      <c r="P2526" s="1817" t="e">
        <f>INDEX(#REF!,MATCH(F2526,#REF!,0),2)</f>
        <v>#REF!</v>
      </c>
    </row>
    <row r="2527" spans="1:33">
      <c r="A2527" s="634"/>
      <c r="B2527" s="3084" t="s">
        <v>663</v>
      </c>
      <c r="C2527" s="3084" t="s">
        <v>652</v>
      </c>
      <c r="D2527" s="3085"/>
      <c r="E2527" s="3093" t="s">
        <v>4047</v>
      </c>
      <c r="F2527" s="3086">
        <v>1147</v>
      </c>
      <c r="G2527" s="3087" t="s">
        <v>226</v>
      </c>
      <c r="H2527" s="674"/>
      <c r="I2527" s="736"/>
      <c r="J2527" s="737"/>
      <c r="K2527" s="738"/>
      <c r="L2527" s="674"/>
      <c r="M2527" s="736"/>
      <c r="N2527" s="2847"/>
      <c r="O2527" s="86"/>
      <c r="P2527" s="1817" t="e">
        <f>INDEX(#REF!,MATCH(F2527,#REF!,0),2)</f>
        <v>#REF!</v>
      </c>
    </row>
    <row r="2528" spans="1:33">
      <c r="A2528" s="424"/>
      <c r="B2528" s="424" t="s">
        <v>663</v>
      </c>
      <c r="C2528" s="424" t="s">
        <v>652</v>
      </c>
      <c r="D2528" s="1598"/>
      <c r="E2528" s="2104" t="s">
        <v>4047</v>
      </c>
      <c r="F2528" s="3072">
        <v>1147</v>
      </c>
      <c r="G2528" s="3094" t="s">
        <v>663</v>
      </c>
      <c r="H2528" s="741"/>
      <c r="I2528" s="431"/>
      <c r="J2528" s="444"/>
      <c r="K2528" s="685"/>
      <c r="L2528" s="431"/>
      <c r="M2528" s="431"/>
      <c r="N2528" s="2846"/>
      <c r="O2528" s="86"/>
      <c r="P2528" s="1817" t="e">
        <f>INDEX(#REF!,MATCH(F2528,#REF!,0),2)</f>
        <v>#REF!</v>
      </c>
    </row>
    <row r="2529" spans="1:16">
      <c r="A2529" s="634"/>
      <c r="B2529" s="3084" t="s">
        <v>663</v>
      </c>
      <c r="C2529" s="3084" t="s">
        <v>652</v>
      </c>
      <c r="D2529" s="3085"/>
      <c r="E2529" s="3093" t="s">
        <v>4047</v>
      </c>
      <c r="F2529" s="3086">
        <v>1148</v>
      </c>
      <c r="G2529" s="3087" t="s">
        <v>227</v>
      </c>
      <c r="H2529" s="674"/>
      <c r="I2529" s="736"/>
      <c r="J2529" s="737"/>
      <c r="K2529" s="738"/>
      <c r="L2529" s="674"/>
      <c r="M2529" s="736"/>
      <c r="N2529" s="2847"/>
      <c r="O2529" s="86"/>
      <c r="P2529" s="1817" t="e">
        <f>INDEX(#REF!,MATCH(F2529,#REF!,0),2)</f>
        <v>#REF!</v>
      </c>
    </row>
    <row r="2530" spans="1:16">
      <c r="A2530" s="424"/>
      <c r="B2530" s="424" t="s">
        <v>663</v>
      </c>
      <c r="C2530" s="424" t="s">
        <v>652</v>
      </c>
      <c r="D2530" s="1598"/>
      <c r="E2530" s="2104" t="s">
        <v>4047</v>
      </c>
      <c r="F2530" s="438">
        <v>1148</v>
      </c>
      <c r="G2530" s="1884"/>
      <c r="H2530" s="741"/>
      <c r="I2530" s="431"/>
      <c r="J2530" s="444"/>
      <c r="K2530" s="685"/>
      <c r="L2530" s="431"/>
      <c r="M2530" s="431"/>
      <c r="N2530" s="2846"/>
      <c r="O2530" s="86"/>
      <c r="P2530" s="1817" t="e">
        <f>INDEX(#REF!,MATCH(F2530,#REF!,0),2)</f>
        <v>#REF!</v>
      </c>
    </row>
    <row r="2531" spans="1:16" ht="22.5">
      <c r="A2531" s="634"/>
      <c r="B2531" s="3084" t="s">
        <v>1248</v>
      </c>
      <c r="C2531" s="3084" t="s">
        <v>507</v>
      </c>
      <c r="D2531" s="3085"/>
      <c r="E2531" s="3093" t="s">
        <v>4047</v>
      </c>
      <c r="F2531" s="3086">
        <v>1150</v>
      </c>
      <c r="G2531" s="3087" t="s">
        <v>623</v>
      </c>
      <c r="H2531" s="674"/>
      <c r="I2531" s="736"/>
      <c r="J2531" s="737"/>
      <c r="K2531" s="738"/>
      <c r="L2531" s="674">
        <v>1800</v>
      </c>
      <c r="M2531" s="736"/>
      <c r="N2531" s="2847"/>
      <c r="O2531" s="86"/>
      <c r="P2531" s="1817" t="e">
        <f>INDEX(#REF!,MATCH(F2531,#REF!,0),2)</f>
        <v>#REF!</v>
      </c>
    </row>
    <row r="2532" spans="1:16" ht="22.5">
      <c r="A2532" s="424"/>
      <c r="B2532" s="2790" t="s">
        <v>1248</v>
      </c>
      <c r="C2532" s="2790" t="s">
        <v>507</v>
      </c>
      <c r="D2532" s="1598"/>
      <c r="E2532" s="2104" t="s">
        <v>4047</v>
      </c>
      <c r="F2532" s="3072">
        <v>1150</v>
      </c>
      <c r="G2532" s="3094" t="s">
        <v>4048</v>
      </c>
      <c r="H2532" s="741"/>
      <c r="I2532" s="431"/>
      <c r="J2532" s="444"/>
      <c r="K2532" s="685"/>
      <c r="L2532" s="431"/>
      <c r="M2532" s="431">
        <v>1800</v>
      </c>
      <c r="N2532" s="2396" t="s">
        <v>5989</v>
      </c>
      <c r="O2532" s="86"/>
      <c r="P2532" s="1817" t="e">
        <f>INDEX(#REF!,MATCH(F2532,#REF!,0),2)</f>
        <v>#REF!</v>
      </c>
    </row>
    <row r="2533" spans="1:16">
      <c r="A2533" s="634"/>
      <c r="B2533" s="3084" t="s">
        <v>663</v>
      </c>
      <c r="C2533" s="3084" t="s">
        <v>652</v>
      </c>
      <c r="D2533" s="3085"/>
      <c r="E2533" s="3093" t="s">
        <v>4047</v>
      </c>
      <c r="F2533" s="3086">
        <v>1170</v>
      </c>
      <c r="G2533" s="3087" t="s">
        <v>724</v>
      </c>
      <c r="H2533" s="674">
        <v>30</v>
      </c>
      <c r="I2533" s="736"/>
      <c r="J2533" s="737"/>
      <c r="K2533" s="738"/>
      <c r="L2533" s="674">
        <v>30</v>
      </c>
      <c r="M2533" s="736"/>
      <c r="N2533" s="2847"/>
      <c r="O2533" s="86"/>
      <c r="P2533" s="1817" t="e">
        <f>INDEX(#REF!,MATCH(F2533,#REF!,0),2)</f>
        <v>#REF!</v>
      </c>
    </row>
    <row r="2534" spans="1:16" ht="22.5">
      <c r="A2534" s="424"/>
      <c r="B2534" s="424" t="s">
        <v>663</v>
      </c>
      <c r="C2534" s="424" t="s">
        <v>652</v>
      </c>
      <c r="D2534" s="3071"/>
      <c r="E2534" s="2104" t="s">
        <v>4047</v>
      </c>
      <c r="F2534" s="3072">
        <v>1170</v>
      </c>
      <c r="G2534" s="2820" t="s">
        <v>4049</v>
      </c>
      <c r="H2534" s="741"/>
      <c r="I2534" s="431">
        <v>30</v>
      </c>
      <c r="J2534" s="444"/>
      <c r="K2534" s="685"/>
      <c r="L2534" s="431"/>
      <c r="M2534" s="431">
        <v>30</v>
      </c>
      <c r="N2534" s="2846"/>
      <c r="O2534" s="86"/>
      <c r="P2534" s="1817" t="e">
        <f>INDEX(#REF!,MATCH(F2534,#REF!,0),2)</f>
        <v>#REF!</v>
      </c>
    </row>
    <row r="2535" spans="1:16">
      <c r="A2535" s="634"/>
      <c r="B2535" s="3084" t="s">
        <v>663</v>
      </c>
      <c r="C2535" s="3084" t="s">
        <v>652</v>
      </c>
      <c r="D2535" s="3085"/>
      <c r="E2535" s="3093" t="s">
        <v>4047</v>
      </c>
      <c r="F2535" s="3086">
        <v>1210</v>
      </c>
      <c r="G2535" s="3087" t="s">
        <v>228</v>
      </c>
      <c r="H2535" s="674"/>
      <c r="I2535" s="736"/>
      <c r="J2535" s="737"/>
      <c r="K2535" s="738"/>
      <c r="L2535" s="674"/>
      <c r="M2535" s="736"/>
      <c r="N2535" s="2847"/>
      <c r="O2535" s="86"/>
      <c r="P2535" s="1817" t="e">
        <f>INDEX(#REF!,MATCH(F2535,#REF!,0),2)</f>
        <v>#REF!</v>
      </c>
    </row>
    <row r="2536" spans="1:16">
      <c r="A2536" s="424"/>
      <c r="B2536" s="424" t="s">
        <v>663</v>
      </c>
      <c r="C2536" s="424" t="s">
        <v>652</v>
      </c>
      <c r="D2536" s="1598"/>
      <c r="E2536" s="2104" t="s">
        <v>4047</v>
      </c>
      <c r="F2536" s="3072">
        <v>1210</v>
      </c>
      <c r="G2536" s="3094" t="s">
        <v>663</v>
      </c>
      <c r="H2536" s="741"/>
      <c r="I2536" s="431"/>
      <c r="J2536" s="444"/>
      <c r="K2536" s="685"/>
      <c r="L2536" s="431"/>
      <c r="M2536" s="431"/>
      <c r="N2536" s="2846"/>
      <c r="O2536" s="86"/>
      <c r="P2536" s="1817" t="e">
        <f>INDEX(#REF!,MATCH(F2536,#REF!,0),2)</f>
        <v>#REF!</v>
      </c>
    </row>
    <row r="2537" spans="1:16">
      <c r="A2537" s="634"/>
      <c r="B2537" s="3084" t="s">
        <v>663</v>
      </c>
      <c r="C2537" s="3084" t="s">
        <v>652</v>
      </c>
      <c r="D2537" s="3085"/>
      <c r="E2537" s="3093" t="s">
        <v>4047</v>
      </c>
      <c r="F2537" s="3086">
        <v>1221</v>
      </c>
      <c r="G2537" s="3087" t="s">
        <v>229</v>
      </c>
      <c r="H2537" s="674"/>
      <c r="I2537" s="736"/>
      <c r="J2537" s="737"/>
      <c r="K2537" s="738"/>
      <c r="L2537" s="674"/>
      <c r="M2537" s="736"/>
      <c r="N2537" s="2847"/>
      <c r="O2537" s="86"/>
      <c r="P2537" s="1817" t="e">
        <f>INDEX(#REF!,MATCH(F2537,#REF!,0),2)</f>
        <v>#REF!</v>
      </c>
    </row>
    <row r="2538" spans="1:16">
      <c r="A2538" s="424"/>
      <c r="B2538" s="424" t="s">
        <v>663</v>
      </c>
      <c r="C2538" s="424" t="s">
        <v>652</v>
      </c>
      <c r="D2538" s="1598"/>
      <c r="E2538" s="2104" t="s">
        <v>4047</v>
      </c>
      <c r="F2538" s="3072">
        <v>1221</v>
      </c>
      <c r="G2538" s="3094"/>
      <c r="H2538" s="741"/>
      <c r="I2538" s="431"/>
      <c r="J2538" s="444"/>
      <c r="K2538" s="685"/>
      <c r="L2538" s="431"/>
      <c r="M2538" s="431"/>
      <c r="N2538" s="2846"/>
      <c r="O2538" s="86"/>
      <c r="P2538" s="1817" t="e">
        <f>INDEX(#REF!,MATCH(F2538,#REF!,0),2)</f>
        <v>#REF!</v>
      </c>
    </row>
    <row r="2539" spans="1:16">
      <c r="A2539" s="634"/>
      <c r="B2539" s="3084" t="s">
        <v>663</v>
      </c>
      <c r="C2539" s="3084" t="s">
        <v>652</v>
      </c>
      <c r="D2539" s="3085"/>
      <c r="E2539" s="3093" t="s">
        <v>4047</v>
      </c>
      <c r="F2539" s="3086">
        <v>1227</v>
      </c>
      <c r="G2539" s="3087" t="s">
        <v>230</v>
      </c>
      <c r="H2539" s="674"/>
      <c r="I2539" s="736"/>
      <c r="J2539" s="737"/>
      <c r="K2539" s="738"/>
      <c r="L2539" s="674"/>
      <c r="M2539" s="736"/>
      <c r="N2539" s="2847"/>
      <c r="O2539" s="86"/>
      <c r="P2539" s="1817" t="e">
        <f>INDEX(#REF!,MATCH(F2539,#REF!,0),2)</f>
        <v>#REF!</v>
      </c>
    </row>
    <row r="2540" spans="1:16">
      <c r="A2540" s="424"/>
      <c r="B2540" s="424" t="s">
        <v>663</v>
      </c>
      <c r="C2540" s="424" t="s">
        <v>652</v>
      </c>
      <c r="D2540" s="1598"/>
      <c r="E2540" s="2104" t="s">
        <v>4047</v>
      </c>
      <c r="F2540" s="3072">
        <v>1227</v>
      </c>
      <c r="G2540" s="3074" t="s">
        <v>1997</v>
      </c>
      <c r="H2540" s="741"/>
      <c r="I2540" s="431"/>
      <c r="J2540" s="444"/>
      <c r="K2540" s="685"/>
      <c r="L2540" s="431"/>
      <c r="M2540" s="431"/>
      <c r="N2540" s="2846"/>
      <c r="O2540" s="86"/>
      <c r="P2540" s="1817" t="e">
        <f>INDEX(#REF!,MATCH(F2540,#REF!,0),2)</f>
        <v>#REF!</v>
      </c>
    </row>
    <row r="2541" spans="1:16">
      <c r="A2541" s="634"/>
      <c r="B2541" s="3084" t="s">
        <v>663</v>
      </c>
      <c r="C2541" s="3084" t="s">
        <v>652</v>
      </c>
      <c r="D2541" s="3085"/>
      <c r="E2541" s="3093" t="s">
        <v>4047</v>
      </c>
      <c r="F2541" s="3086">
        <v>1228</v>
      </c>
      <c r="G2541" s="3087" t="s">
        <v>230</v>
      </c>
      <c r="H2541" s="674"/>
      <c r="I2541" s="736"/>
      <c r="J2541" s="737"/>
      <c r="K2541" s="738"/>
      <c r="L2541" s="674">
        <v>300</v>
      </c>
      <c r="M2541" s="736"/>
      <c r="N2541" s="2847"/>
      <c r="O2541" s="86"/>
      <c r="P2541" s="1817" t="e">
        <f>INDEX(#REF!,MATCH(F2541,#REF!,0),2)</f>
        <v>#REF!</v>
      </c>
    </row>
    <row r="2542" spans="1:16">
      <c r="A2542" s="424"/>
      <c r="B2542" s="424" t="s">
        <v>663</v>
      </c>
      <c r="C2542" s="424" t="s">
        <v>652</v>
      </c>
      <c r="D2542" s="1598"/>
      <c r="E2542" s="2104" t="s">
        <v>4047</v>
      </c>
      <c r="F2542" s="3072">
        <v>1228</v>
      </c>
      <c r="G2542" s="3074" t="s">
        <v>4050</v>
      </c>
      <c r="H2542" s="741"/>
      <c r="I2542" s="431"/>
      <c r="J2542" s="444"/>
      <c r="K2542" s="685"/>
      <c r="L2542" s="431"/>
      <c r="M2542" s="431">
        <v>300</v>
      </c>
      <c r="N2542" s="2846"/>
      <c r="O2542" s="86"/>
      <c r="P2542" s="1817" t="e">
        <f>INDEX(#REF!,MATCH(F2542,#REF!,0),2)</f>
        <v>#REF!</v>
      </c>
    </row>
    <row r="2543" spans="1:16" ht="22.5">
      <c r="A2543" s="634"/>
      <c r="B2543" s="3084" t="s">
        <v>1248</v>
      </c>
      <c r="C2543" s="3084" t="s">
        <v>507</v>
      </c>
      <c r="D2543" s="3085"/>
      <c r="E2543" s="3093" t="s">
        <v>4047</v>
      </c>
      <c r="F2543" s="3086">
        <v>2112</v>
      </c>
      <c r="G2543" s="3087" t="s">
        <v>1205</v>
      </c>
      <c r="H2543" s="674"/>
      <c r="I2543" s="736"/>
      <c r="J2543" s="737"/>
      <c r="K2543" s="738"/>
      <c r="L2543" s="674">
        <v>100</v>
      </c>
      <c r="M2543" s="736"/>
      <c r="N2543" s="2847"/>
      <c r="O2543" s="86"/>
      <c r="P2543" s="1817" t="e">
        <f>INDEX(#REF!,MATCH(F2543,#REF!,0),2)</f>
        <v>#REF!</v>
      </c>
    </row>
    <row r="2544" spans="1:16">
      <c r="A2544" s="424"/>
      <c r="B2544" s="2790" t="s">
        <v>1248</v>
      </c>
      <c r="C2544" s="2790" t="s">
        <v>507</v>
      </c>
      <c r="D2544" s="1598"/>
      <c r="E2544" s="2104" t="s">
        <v>4047</v>
      </c>
      <c r="F2544" s="3072">
        <v>2112</v>
      </c>
      <c r="G2544" s="3074" t="s">
        <v>1195</v>
      </c>
      <c r="H2544" s="741"/>
      <c r="I2544" s="431"/>
      <c r="J2544" s="444"/>
      <c r="K2544" s="685"/>
      <c r="L2544" s="431"/>
      <c r="M2544" s="431">
        <v>100</v>
      </c>
      <c r="N2544" s="2846"/>
      <c r="O2544" s="86"/>
      <c r="P2544" s="1817" t="e">
        <f>INDEX(#REF!,MATCH(F2544,#REF!,0),2)</f>
        <v>#REF!</v>
      </c>
    </row>
    <row r="2545" spans="1:16">
      <c r="A2545" s="634"/>
      <c r="B2545" s="3084" t="s">
        <v>1248</v>
      </c>
      <c r="C2545" s="3084" t="s">
        <v>507</v>
      </c>
      <c r="D2545" s="3085"/>
      <c r="E2545" s="3093" t="s">
        <v>4047</v>
      </c>
      <c r="F2545" s="3086">
        <v>2121</v>
      </c>
      <c r="G2545" s="3087" t="s">
        <v>1995</v>
      </c>
      <c r="H2545" s="674">
        <v>200</v>
      </c>
      <c r="I2545" s="736"/>
      <c r="J2545" s="737"/>
      <c r="K2545" s="738"/>
      <c r="L2545" s="674">
        <v>300</v>
      </c>
      <c r="M2545" s="736"/>
      <c r="N2545" s="2847"/>
      <c r="O2545" s="86"/>
      <c r="P2545" s="1817" t="e">
        <f>INDEX(#REF!,MATCH(F2545,#REF!,0),2)</f>
        <v>#REF!</v>
      </c>
    </row>
    <row r="2546" spans="1:16">
      <c r="A2546" s="424"/>
      <c r="B2546" s="2790" t="s">
        <v>1248</v>
      </c>
      <c r="C2546" s="2790" t="s">
        <v>507</v>
      </c>
      <c r="D2546" s="1598"/>
      <c r="E2546" s="2104" t="s">
        <v>4047</v>
      </c>
      <c r="F2546" s="3072">
        <v>2121</v>
      </c>
      <c r="G2546" s="3074" t="s">
        <v>2873</v>
      </c>
      <c r="H2546" s="741"/>
      <c r="I2546" s="431">
        <v>200</v>
      </c>
      <c r="J2546" s="444"/>
      <c r="K2546" s="685"/>
      <c r="L2546" s="431"/>
      <c r="M2546" s="431">
        <v>300</v>
      </c>
      <c r="N2546" s="2846"/>
      <c r="O2546" s="86"/>
      <c r="P2546" s="1817" t="e">
        <f>INDEX(#REF!,MATCH(F2546,#REF!,0),2)</f>
        <v>#REF!</v>
      </c>
    </row>
    <row r="2547" spans="1:16">
      <c r="A2547" s="634"/>
      <c r="B2547" s="3084" t="s">
        <v>1248</v>
      </c>
      <c r="C2547" s="3084" t="s">
        <v>507</v>
      </c>
      <c r="D2547" s="3085"/>
      <c r="E2547" s="3093" t="s">
        <v>4047</v>
      </c>
      <c r="F2547" s="3086">
        <v>2210</v>
      </c>
      <c r="G2547" s="3087" t="s">
        <v>4051</v>
      </c>
      <c r="H2547" s="674">
        <v>250</v>
      </c>
      <c r="I2547" s="736"/>
      <c r="J2547" s="737">
        <v>138</v>
      </c>
      <c r="K2547" s="738"/>
      <c r="L2547" s="674">
        <v>160</v>
      </c>
      <c r="M2547" s="736"/>
      <c r="N2547" s="2847"/>
      <c r="O2547" s="86"/>
      <c r="P2547" s="1817" t="e">
        <f>INDEX(#REF!,MATCH(F2547,#REF!,0),2)</f>
        <v>#REF!</v>
      </c>
    </row>
    <row r="2548" spans="1:16">
      <c r="A2548" s="424"/>
      <c r="B2548" s="2790" t="s">
        <v>1248</v>
      </c>
      <c r="C2548" s="2790" t="s">
        <v>507</v>
      </c>
      <c r="D2548" s="1598"/>
      <c r="E2548" s="2104" t="s">
        <v>4047</v>
      </c>
      <c r="F2548" s="3072">
        <v>2210</v>
      </c>
      <c r="G2548" s="2774" t="s">
        <v>1372</v>
      </c>
      <c r="H2548" s="741"/>
      <c r="I2548" s="431">
        <v>250</v>
      </c>
      <c r="J2548" s="444"/>
      <c r="K2548" s="685"/>
      <c r="L2548" s="431"/>
      <c r="M2548" s="431">
        <v>160</v>
      </c>
      <c r="N2548" s="2846"/>
      <c r="O2548" s="86"/>
      <c r="P2548" s="1817" t="e">
        <f>INDEX(#REF!,MATCH(F2548,#REF!,0),2)</f>
        <v>#REF!</v>
      </c>
    </row>
    <row r="2549" spans="1:16">
      <c r="A2549" s="634"/>
      <c r="B2549" s="3084" t="s">
        <v>1248</v>
      </c>
      <c r="C2549" s="3084" t="s">
        <v>507</v>
      </c>
      <c r="D2549" s="3085"/>
      <c r="E2549" s="3093" t="s">
        <v>4047</v>
      </c>
      <c r="F2549" s="3086">
        <v>2223</v>
      </c>
      <c r="G2549" s="3087" t="s">
        <v>273</v>
      </c>
      <c r="H2549" s="674">
        <v>3800</v>
      </c>
      <c r="I2549" s="736"/>
      <c r="J2549" s="737">
        <v>1111.2</v>
      </c>
      <c r="K2549" s="738"/>
      <c r="L2549" s="674">
        <v>2000</v>
      </c>
      <c r="M2549" s="736"/>
      <c r="N2549" s="2847"/>
      <c r="O2549" s="86"/>
      <c r="P2549" s="1817" t="e">
        <f>INDEX(#REF!,MATCH(F2549,#REF!,0),2)</f>
        <v>#REF!</v>
      </c>
    </row>
    <row r="2550" spans="1:16">
      <c r="A2550" s="424"/>
      <c r="B2550" s="2790" t="s">
        <v>1248</v>
      </c>
      <c r="C2550" s="2790" t="s">
        <v>507</v>
      </c>
      <c r="D2550" s="1598"/>
      <c r="E2550" s="2104" t="s">
        <v>4047</v>
      </c>
      <c r="F2550" s="3072">
        <v>2223</v>
      </c>
      <c r="G2550" s="2774" t="s">
        <v>1372</v>
      </c>
      <c r="H2550" s="741"/>
      <c r="I2550" s="431">
        <v>3800</v>
      </c>
      <c r="J2550" s="444"/>
      <c r="K2550" s="685"/>
      <c r="L2550" s="431"/>
      <c r="M2550" s="4279">
        <v>2000</v>
      </c>
      <c r="N2550" s="2396" t="s">
        <v>5156</v>
      </c>
      <c r="O2550" s="86"/>
      <c r="P2550" s="1817" t="e">
        <f>INDEX(#REF!,MATCH(F2550,#REF!,0),2)</f>
        <v>#REF!</v>
      </c>
    </row>
    <row r="2551" spans="1:16" ht="22.5">
      <c r="A2551" s="634"/>
      <c r="B2551" s="3084" t="s">
        <v>1248</v>
      </c>
      <c r="C2551" s="3084" t="s">
        <v>507</v>
      </c>
      <c r="D2551" s="3085"/>
      <c r="E2551" s="3093" t="s">
        <v>4047</v>
      </c>
      <c r="F2551" s="3086">
        <v>2231</v>
      </c>
      <c r="G2551" s="3087" t="s">
        <v>1212</v>
      </c>
      <c r="H2551" s="674">
        <v>0</v>
      </c>
      <c r="I2551" s="736"/>
      <c r="J2551" s="737"/>
      <c r="K2551" s="738"/>
      <c r="L2551" s="674">
        <v>7400</v>
      </c>
      <c r="M2551" s="736"/>
      <c r="N2551" s="2847"/>
      <c r="O2551" s="86"/>
      <c r="P2551" s="1817"/>
    </row>
    <row r="2552" spans="1:16" ht="45">
      <c r="A2552" s="424"/>
      <c r="B2552" s="2790" t="s">
        <v>1248</v>
      </c>
      <c r="C2552" s="2790" t="s">
        <v>507</v>
      </c>
      <c r="D2552" s="1598"/>
      <c r="E2552" s="2104" t="s">
        <v>4047</v>
      </c>
      <c r="F2552" s="3072">
        <v>2231</v>
      </c>
      <c r="G2552" s="1442" t="s">
        <v>4052</v>
      </c>
      <c r="H2552" s="741"/>
      <c r="I2552" s="431"/>
      <c r="J2552" s="444"/>
      <c r="K2552" s="685"/>
      <c r="L2552" s="431"/>
      <c r="M2552" s="431">
        <v>1800</v>
      </c>
      <c r="N2552" s="2396" t="s">
        <v>5990</v>
      </c>
      <c r="O2552" s="86"/>
      <c r="P2552" s="1817"/>
    </row>
    <row r="2553" spans="1:16" ht="33.75">
      <c r="A2553" s="2790"/>
      <c r="B2553" s="2790" t="s">
        <v>1248</v>
      </c>
      <c r="C2553" s="2790" t="s">
        <v>507</v>
      </c>
      <c r="D2553" s="1598"/>
      <c r="E2553" s="2104" t="s">
        <v>4047</v>
      </c>
      <c r="F2553" s="3072">
        <v>2231</v>
      </c>
      <c r="G2553" s="3073" t="s">
        <v>4053</v>
      </c>
      <c r="H2553" s="3002"/>
      <c r="I2553" s="2779"/>
      <c r="J2553" s="2776"/>
      <c r="K2553" s="2777"/>
      <c r="L2553" s="2779"/>
      <c r="M2553" s="2779">
        <v>0</v>
      </c>
      <c r="N2553" s="2846"/>
      <c r="O2553" s="86"/>
      <c r="P2553" s="1817"/>
    </row>
    <row r="2554" spans="1:16">
      <c r="A2554" s="2790"/>
      <c r="B2554" s="2790" t="s">
        <v>1248</v>
      </c>
      <c r="C2554" s="2790" t="s">
        <v>507</v>
      </c>
      <c r="D2554" s="1598"/>
      <c r="E2554" s="2104" t="s">
        <v>4047</v>
      </c>
      <c r="F2554" s="3072">
        <v>2231</v>
      </c>
      <c r="G2554" s="3073" t="s">
        <v>5792</v>
      </c>
      <c r="H2554" s="3002"/>
      <c r="I2554" s="2779"/>
      <c r="J2554" s="2776"/>
      <c r="K2554" s="2777"/>
      <c r="L2554" s="2779"/>
      <c r="M2554" s="2779">
        <v>2000</v>
      </c>
      <c r="N2554" s="2846"/>
      <c r="O2554" s="86"/>
      <c r="P2554" s="1817"/>
    </row>
    <row r="2555" spans="1:16">
      <c r="A2555" s="2790"/>
      <c r="B2555" s="2790" t="s">
        <v>1248</v>
      </c>
      <c r="C2555" s="2790" t="s">
        <v>507</v>
      </c>
      <c r="D2555" s="1598"/>
      <c r="E2555" s="2104" t="s">
        <v>4047</v>
      </c>
      <c r="F2555" s="3072">
        <v>2231</v>
      </c>
      <c r="G2555" s="3073" t="s">
        <v>4054</v>
      </c>
      <c r="H2555" s="3002"/>
      <c r="I2555" s="2779"/>
      <c r="J2555" s="2776"/>
      <c r="K2555" s="2777"/>
      <c r="L2555" s="2779"/>
      <c r="M2555" s="2779">
        <v>1000</v>
      </c>
      <c r="N2555" s="2846"/>
      <c r="O2555" s="86"/>
      <c r="P2555" s="1817"/>
    </row>
    <row r="2556" spans="1:16" ht="12" customHeight="1">
      <c r="A2556" s="2790"/>
      <c r="B2556" s="2790" t="s">
        <v>1248</v>
      </c>
      <c r="C2556" s="2790" t="s">
        <v>507</v>
      </c>
      <c r="D2556" s="1598"/>
      <c r="E2556" s="2104" t="s">
        <v>4047</v>
      </c>
      <c r="F2556" s="3072">
        <v>2231</v>
      </c>
      <c r="G2556" s="3096" t="s">
        <v>5991</v>
      </c>
      <c r="H2556" s="3002"/>
      <c r="I2556" s="2779"/>
      <c r="J2556" s="2776"/>
      <c r="K2556" s="2777"/>
      <c r="L2556" s="2779"/>
      <c r="M2556" s="2779">
        <v>2000</v>
      </c>
      <c r="N2556" s="2846"/>
      <c r="O2556" s="86"/>
      <c r="P2556" s="1817"/>
    </row>
    <row r="2557" spans="1:16">
      <c r="A2557" s="2790"/>
      <c r="B2557" s="2790" t="s">
        <v>1248</v>
      </c>
      <c r="C2557" s="2790" t="s">
        <v>507</v>
      </c>
      <c r="D2557" s="1598"/>
      <c r="E2557" s="2104" t="s">
        <v>4047</v>
      </c>
      <c r="F2557" s="3072">
        <v>2231</v>
      </c>
      <c r="G2557" s="3073" t="s">
        <v>4055</v>
      </c>
      <c r="H2557" s="3002"/>
      <c r="I2557" s="2779"/>
      <c r="J2557" s="2776"/>
      <c r="K2557" s="2777"/>
      <c r="L2557" s="2779"/>
      <c r="M2557" s="4283">
        <v>600</v>
      </c>
      <c r="N2557" s="2396" t="s">
        <v>5992</v>
      </c>
      <c r="O2557" s="86"/>
      <c r="P2557" s="1817" t="e">
        <f>INDEX(#REF!,MATCH(F2557,#REF!,0),2)</f>
        <v>#REF!</v>
      </c>
    </row>
    <row r="2558" spans="1:16">
      <c r="A2558" s="2790"/>
      <c r="B2558" s="2790" t="s">
        <v>1248</v>
      </c>
      <c r="C2558" s="2790" t="s">
        <v>507</v>
      </c>
      <c r="D2558" s="1598"/>
      <c r="E2558" s="2104" t="s">
        <v>4047</v>
      </c>
      <c r="F2558" s="3072">
        <v>2231</v>
      </c>
      <c r="G2558" s="276" t="s">
        <v>4056</v>
      </c>
      <c r="H2558" s="3002"/>
      <c r="I2558" s="2779"/>
      <c r="J2558" s="2776"/>
      <c r="K2558" s="2777"/>
      <c r="L2558" s="2779"/>
      <c r="M2558" s="2779">
        <v>0</v>
      </c>
      <c r="N2558" s="2846"/>
      <c r="O2558" s="86"/>
      <c r="P2558" s="1817" t="e">
        <f>INDEX(#REF!,MATCH(F2558,#REF!,0),2)</f>
        <v>#REF!</v>
      </c>
    </row>
    <row r="2559" spans="1:16" ht="33.75">
      <c r="A2559" s="634"/>
      <c r="B2559" s="3084" t="s">
        <v>1248</v>
      </c>
      <c r="C2559" s="3084" t="s">
        <v>507</v>
      </c>
      <c r="D2559" s="3085"/>
      <c r="E2559" s="3093" t="s">
        <v>4047</v>
      </c>
      <c r="F2559" s="3086">
        <v>2232</v>
      </c>
      <c r="G2559" s="3087" t="s">
        <v>3231</v>
      </c>
      <c r="H2559" s="674">
        <v>2000</v>
      </c>
      <c r="I2559" s="736"/>
      <c r="J2559" s="737">
        <v>484</v>
      </c>
      <c r="K2559" s="738"/>
      <c r="L2559" s="674">
        <v>800</v>
      </c>
      <c r="M2559" s="736"/>
      <c r="N2559" s="2847"/>
      <c r="O2559" s="86"/>
      <c r="P2559" s="1817"/>
    </row>
    <row r="2560" spans="1:16">
      <c r="A2560" s="424"/>
      <c r="B2560" s="2790" t="s">
        <v>1248</v>
      </c>
      <c r="C2560" s="2790" t="s">
        <v>507</v>
      </c>
      <c r="D2560" s="1598"/>
      <c r="E2560" s="2104" t="s">
        <v>4047</v>
      </c>
      <c r="F2560" s="3072">
        <v>2232</v>
      </c>
      <c r="G2560" s="3097" t="s">
        <v>4058</v>
      </c>
      <c r="H2560" s="741"/>
      <c r="I2560" s="431"/>
      <c r="J2560" s="444"/>
      <c r="K2560" s="685"/>
      <c r="L2560" s="431"/>
      <c r="M2560" s="4221">
        <v>800</v>
      </c>
      <c r="N2560" s="2396" t="s">
        <v>5156</v>
      </c>
      <c r="O2560" s="86"/>
      <c r="P2560" s="1817" t="e">
        <f>INDEX(#REF!,MATCH(F2560,#REF!,0),2)</f>
        <v>#REF!</v>
      </c>
    </row>
    <row r="2561" spans="1:16" ht="13.5" customHeight="1">
      <c r="A2561" s="2790"/>
      <c r="B2561" s="2790" t="s">
        <v>1248</v>
      </c>
      <c r="C2561" s="2790" t="s">
        <v>507</v>
      </c>
      <c r="D2561" s="1598"/>
      <c r="E2561" s="2104" t="s">
        <v>4047</v>
      </c>
      <c r="F2561" s="3072">
        <v>2232</v>
      </c>
      <c r="G2561" s="276" t="s">
        <v>4057</v>
      </c>
      <c r="H2561" s="3002"/>
      <c r="I2561" s="2779">
        <v>2000</v>
      </c>
      <c r="J2561" s="2776"/>
      <c r="K2561" s="2777"/>
      <c r="L2561" s="2779"/>
      <c r="M2561" s="2779">
        <v>0</v>
      </c>
      <c r="N2561" s="2846"/>
      <c r="O2561" s="86"/>
      <c r="P2561" s="1817" t="e">
        <f>INDEX(#REF!,MATCH(F2561,#REF!,0),2)</f>
        <v>#REF!</v>
      </c>
    </row>
    <row r="2562" spans="1:16">
      <c r="A2562" s="634"/>
      <c r="B2562" s="3084" t="s">
        <v>1248</v>
      </c>
      <c r="C2562" s="3084" t="s">
        <v>507</v>
      </c>
      <c r="D2562" s="3085"/>
      <c r="E2562" s="3093" t="s">
        <v>4047</v>
      </c>
      <c r="F2562" s="3086">
        <v>2233</v>
      </c>
      <c r="G2562" s="3087" t="s">
        <v>263</v>
      </c>
      <c r="H2562" s="674"/>
      <c r="I2562" s="736"/>
      <c r="J2562" s="737"/>
      <c r="K2562" s="738"/>
      <c r="L2562" s="674">
        <v>800</v>
      </c>
      <c r="M2562" s="736"/>
      <c r="N2562" s="2847"/>
      <c r="O2562" s="86"/>
      <c r="P2562" s="1817"/>
    </row>
    <row r="2563" spans="1:16">
      <c r="A2563" s="424"/>
      <c r="B2563" s="2790" t="s">
        <v>1248</v>
      </c>
      <c r="C2563" s="2790" t="s">
        <v>507</v>
      </c>
      <c r="D2563" s="1598"/>
      <c r="E2563" s="2104" t="s">
        <v>4047</v>
      </c>
      <c r="F2563" s="3072">
        <v>2233</v>
      </c>
      <c r="G2563" s="3073" t="s">
        <v>4059</v>
      </c>
      <c r="H2563" s="741"/>
      <c r="I2563" s="431"/>
      <c r="J2563" s="444"/>
      <c r="K2563" s="685"/>
      <c r="L2563" s="431"/>
      <c r="M2563" s="2779">
        <v>300</v>
      </c>
      <c r="N2563" s="2846"/>
      <c r="O2563" s="86"/>
      <c r="P2563" s="1817" t="e">
        <f>INDEX(#REF!,MATCH(F2563,#REF!,0),2)</f>
        <v>#REF!</v>
      </c>
    </row>
    <row r="2564" spans="1:16" ht="22.5">
      <c r="A2564" s="2790"/>
      <c r="B2564" s="2790" t="s">
        <v>1248</v>
      </c>
      <c r="C2564" s="2790" t="s">
        <v>507</v>
      </c>
      <c r="D2564" s="1598"/>
      <c r="E2564" s="2104" t="s">
        <v>4047</v>
      </c>
      <c r="F2564" s="3072">
        <v>2233</v>
      </c>
      <c r="G2564" s="3073" t="s">
        <v>2135</v>
      </c>
      <c r="H2564" s="3002"/>
      <c r="I2564" s="2779"/>
      <c r="J2564" s="2776"/>
      <c r="K2564" s="2777"/>
      <c r="L2564" s="2779"/>
      <c r="M2564" s="2779">
        <v>500</v>
      </c>
      <c r="N2564" s="2846"/>
      <c r="O2564" s="86"/>
      <c r="P2564" s="1817"/>
    </row>
    <row r="2565" spans="1:16">
      <c r="A2565" s="634"/>
      <c r="B2565" s="3084" t="s">
        <v>1248</v>
      </c>
      <c r="C2565" s="3084" t="s">
        <v>507</v>
      </c>
      <c r="D2565" s="3085"/>
      <c r="E2565" s="3093" t="s">
        <v>4047</v>
      </c>
      <c r="F2565" s="3086">
        <v>2239</v>
      </c>
      <c r="G2565" s="3087" t="s">
        <v>266</v>
      </c>
      <c r="H2565" s="674">
        <v>3900</v>
      </c>
      <c r="I2565" s="736"/>
      <c r="J2565" s="737">
        <v>7852</v>
      </c>
      <c r="K2565" s="738"/>
      <c r="L2565" s="674">
        <v>7850</v>
      </c>
      <c r="M2565" s="736"/>
      <c r="N2565" s="2847"/>
      <c r="O2565" s="86"/>
      <c r="P2565" s="1817"/>
    </row>
    <row r="2566" spans="1:16">
      <c r="A2566" s="424"/>
      <c r="B2566" s="2790" t="s">
        <v>1248</v>
      </c>
      <c r="C2566" s="2790" t="s">
        <v>507</v>
      </c>
      <c r="D2566" s="1598"/>
      <c r="E2566" s="2104" t="s">
        <v>4047</v>
      </c>
      <c r="F2566" s="3072">
        <v>2239</v>
      </c>
      <c r="G2566" s="1442" t="s">
        <v>4060</v>
      </c>
      <c r="H2566" s="741"/>
      <c r="I2566" s="431"/>
      <c r="J2566" s="444"/>
      <c r="K2566" s="685"/>
      <c r="L2566" s="431"/>
      <c r="M2566" s="431">
        <v>500</v>
      </c>
      <c r="N2566" s="2846"/>
      <c r="O2566" s="86"/>
      <c r="P2566" s="1817"/>
    </row>
    <row r="2567" spans="1:16" ht="22.5">
      <c r="A2567" s="424"/>
      <c r="B2567" s="2790" t="s">
        <v>1248</v>
      </c>
      <c r="C2567" s="2790" t="s">
        <v>507</v>
      </c>
      <c r="D2567" s="1598"/>
      <c r="E2567" s="2104" t="s">
        <v>4047</v>
      </c>
      <c r="F2567" s="3072">
        <v>2239</v>
      </c>
      <c r="G2567" s="3076" t="s">
        <v>4064</v>
      </c>
      <c r="H2567" s="741"/>
      <c r="I2567" s="431">
        <v>300</v>
      </c>
      <c r="J2567" s="444"/>
      <c r="K2567" s="685"/>
      <c r="L2567" s="431"/>
      <c r="M2567" s="750">
        <v>0</v>
      </c>
      <c r="N2567" s="2846"/>
      <c r="O2567" s="86"/>
      <c r="P2567" s="1817" t="e">
        <f>INDEX(#REF!,MATCH(F2567,#REF!,0),2)</f>
        <v>#REF!</v>
      </c>
    </row>
    <row r="2568" spans="1:16" ht="24" customHeight="1">
      <c r="A2568" s="424"/>
      <c r="B2568" s="2790" t="s">
        <v>1248</v>
      </c>
      <c r="C2568" s="2790" t="s">
        <v>507</v>
      </c>
      <c r="D2568" s="1598"/>
      <c r="E2568" s="2104" t="s">
        <v>4047</v>
      </c>
      <c r="F2568" s="3072">
        <v>2239</v>
      </c>
      <c r="G2568" s="1958" t="s">
        <v>4065</v>
      </c>
      <c r="H2568" s="741"/>
      <c r="I2568" s="431">
        <v>600</v>
      </c>
      <c r="J2568" s="444"/>
      <c r="K2568" s="685"/>
      <c r="L2568" s="431"/>
      <c r="M2568" s="431">
        <v>1000</v>
      </c>
      <c r="N2568" s="2846"/>
      <c r="O2568" s="86"/>
      <c r="P2568" s="1817"/>
    </row>
    <row r="2569" spans="1:16">
      <c r="A2569" s="424"/>
      <c r="B2569" s="2790" t="s">
        <v>1248</v>
      </c>
      <c r="C2569" s="2790" t="s">
        <v>507</v>
      </c>
      <c r="D2569" s="1598"/>
      <c r="E2569" s="2104" t="s">
        <v>4047</v>
      </c>
      <c r="F2569" s="3072">
        <v>2239</v>
      </c>
      <c r="G2569" s="3076" t="s">
        <v>4066</v>
      </c>
      <c r="H2569" s="741"/>
      <c r="I2569" s="431">
        <v>3000</v>
      </c>
      <c r="J2569" s="444"/>
      <c r="K2569" s="685"/>
      <c r="L2569" s="431"/>
      <c r="M2569" s="431">
        <v>3000</v>
      </c>
      <c r="N2569" s="2846"/>
      <c r="O2569" s="86"/>
      <c r="P2569" s="1817"/>
    </row>
    <row r="2570" spans="1:16" ht="14.25" customHeight="1">
      <c r="A2570" s="2790"/>
      <c r="B2570" s="2790" t="s">
        <v>1248</v>
      </c>
      <c r="C2570" s="2790" t="s">
        <v>507</v>
      </c>
      <c r="D2570" s="1598"/>
      <c r="E2570" s="2104" t="s">
        <v>4047</v>
      </c>
      <c r="F2570" s="3072">
        <v>2239</v>
      </c>
      <c r="G2570" s="3076" t="s">
        <v>4068</v>
      </c>
      <c r="H2570" s="3002"/>
      <c r="I2570" s="2779"/>
      <c r="J2570" s="2776"/>
      <c r="K2570" s="2777"/>
      <c r="L2570" s="2779"/>
      <c r="M2570" s="4281">
        <v>1500</v>
      </c>
      <c r="N2570" s="2396" t="s">
        <v>5156</v>
      </c>
      <c r="O2570" s="86"/>
      <c r="P2570" s="1817"/>
    </row>
    <row r="2571" spans="1:16" ht="15" customHeight="1">
      <c r="A2571" s="2790"/>
      <c r="B2571" s="2790" t="s">
        <v>1248</v>
      </c>
      <c r="C2571" s="2790" t="s">
        <v>507</v>
      </c>
      <c r="D2571" s="1598"/>
      <c r="E2571" s="2104" t="s">
        <v>4047</v>
      </c>
      <c r="F2571" s="3072">
        <v>2239</v>
      </c>
      <c r="G2571" s="3076" t="s">
        <v>4069</v>
      </c>
      <c r="H2571" s="3002"/>
      <c r="I2571" s="2779"/>
      <c r="J2571" s="2776"/>
      <c r="K2571" s="2777"/>
      <c r="L2571" s="2779"/>
      <c r="M2571" s="431">
        <v>500</v>
      </c>
      <c r="N2571" s="2846"/>
      <c r="O2571" s="86"/>
      <c r="P2571" s="1817"/>
    </row>
    <row r="2572" spans="1:16" ht="22.5">
      <c r="A2572" s="2790"/>
      <c r="B2572" s="2790" t="s">
        <v>1248</v>
      </c>
      <c r="C2572" s="2790" t="s">
        <v>507</v>
      </c>
      <c r="D2572" s="1598"/>
      <c r="E2572" s="2104" t="s">
        <v>4047</v>
      </c>
      <c r="F2572" s="3072">
        <v>2239</v>
      </c>
      <c r="G2572" s="3077" t="s">
        <v>4071</v>
      </c>
      <c r="H2572" s="3002"/>
      <c r="I2572" s="2779"/>
      <c r="J2572" s="2776"/>
      <c r="K2572" s="2777"/>
      <c r="L2572" s="2779"/>
      <c r="M2572" s="4221">
        <v>900</v>
      </c>
      <c r="N2572" s="2396" t="s">
        <v>5156</v>
      </c>
      <c r="O2572" s="86"/>
      <c r="P2572" s="1817"/>
    </row>
    <row r="2573" spans="1:16">
      <c r="A2573" s="2790"/>
      <c r="B2573" s="2790" t="s">
        <v>1248</v>
      </c>
      <c r="C2573" s="2790" t="s">
        <v>507</v>
      </c>
      <c r="D2573" s="1598"/>
      <c r="E2573" s="2104" t="s">
        <v>4047</v>
      </c>
      <c r="F2573" s="3072">
        <v>2239</v>
      </c>
      <c r="G2573" s="1547" t="s">
        <v>4072</v>
      </c>
      <c r="H2573" s="3002"/>
      <c r="I2573" s="2779"/>
      <c r="J2573" s="2776"/>
      <c r="K2573" s="2777"/>
      <c r="L2573" s="2779"/>
      <c r="M2573" s="2779">
        <v>150</v>
      </c>
      <c r="N2573" s="2846"/>
      <c r="O2573" s="86"/>
      <c r="P2573" s="1817" t="e">
        <f>INDEX(#REF!,MATCH(F2573,#REF!,0),2)</f>
        <v>#REF!</v>
      </c>
    </row>
    <row r="2574" spans="1:16" ht="22.5">
      <c r="A2574" s="2790"/>
      <c r="B2574" s="2790" t="s">
        <v>1248</v>
      </c>
      <c r="C2574" s="2790" t="s">
        <v>507</v>
      </c>
      <c r="D2574" s="1598"/>
      <c r="E2574" s="2104" t="s">
        <v>4047</v>
      </c>
      <c r="F2574" s="3072">
        <v>2239</v>
      </c>
      <c r="G2574" s="3096" t="s">
        <v>4073</v>
      </c>
      <c r="H2574" s="3002"/>
      <c r="I2574" s="2779"/>
      <c r="J2574" s="2776"/>
      <c r="K2574" s="2777"/>
      <c r="L2574" s="2779"/>
      <c r="M2574" s="2778">
        <v>300</v>
      </c>
      <c r="N2574" s="2846"/>
      <c r="O2574" s="86"/>
      <c r="P2574" s="1817" t="e">
        <f>INDEX(#REF!,MATCH(F2574,#REF!,0),2)</f>
        <v>#REF!</v>
      </c>
    </row>
    <row r="2575" spans="1:16" ht="15" customHeight="1">
      <c r="A2575" s="634"/>
      <c r="B2575" s="3103" t="s">
        <v>1249</v>
      </c>
      <c r="C2575" s="3084" t="s">
        <v>507</v>
      </c>
      <c r="D2575" s="3085"/>
      <c r="E2575" s="3093" t="s">
        <v>4047</v>
      </c>
      <c r="F2575" s="3086">
        <v>2239</v>
      </c>
      <c r="G2575" s="3087" t="s">
        <v>266</v>
      </c>
      <c r="H2575" s="674"/>
      <c r="I2575" s="736"/>
      <c r="J2575" s="737"/>
      <c r="K2575" s="738"/>
      <c r="L2575" s="674">
        <v>4400</v>
      </c>
      <c r="M2575" s="736"/>
      <c r="N2575" s="2847"/>
      <c r="O2575" s="86"/>
      <c r="P2575" s="1817"/>
    </row>
    <row r="2576" spans="1:16" ht="25.9" customHeight="1">
      <c r="A2576" s="424"/>
      <c r="B2576" s="2790" t="s">
        <v>1249</v>
      </c>
      <c r="C2576" s="2790" t="s">
        <v>507</v>
      </c>
      <c r="D2576" s="1598"/>
      <c r="E2576" s="2104" t="s">
        <v>4047</v>
      </c>
      <c r="F2576" s="3072">
        <v>2239</v>
      </c>
      <c r="G2576" s="3098" t="s">
        <v>4061</v>
      </c>
      <c r="H2576" s="741"/>
      <c r="I2576" s="431"/>
      <c r="J2576" s="444"/>
      <c r="K2576" s="685"/>
      <c r="L2576" s="431"/>
      <c r="M2576" s="431">
        <v>3000</v>
      </c>
      <c r="N2576" s="2846" t="s">
        <v>4046</v>
      </c>
      <c r="O2576" s="86"/>
      <c r="P2576" s="1817"/>
    </row>
    <row r="2577" spans="1:16" ht="15" customHeight="1">
      <c r="A2577" s="2790"/>
      <c r="B2577" s="2790" t="s">
        <v>1249</v>
      </c>
      <c r="C2577" s="2790" t="s">
        <v>507</v>
      </c>
      <c r="D2577" s="1598"/>
      <c r="E2577" s="2104" t="s">
        <v>4047</v>
      </c>
      <c r="F2577" s="3072">
        <v>2239</v>
      </c>
      <c r="G2577" s="3098" t="s">
        <v>4062</v>
      </c>
      <c r="H2577" s="3002"/>
      <c r="I2577" s="2779"/>
      <c r="J2577" s="2776"/>
      <c r="K2577" s="2777"/>
      <c r="L2577" s="2779"/>
      <c r="M2577" s="2779">
        <v>0</v>
      </c>
      <c r="N2577" s="2846" t="s">
        <v>4046</v>
      </c>
      <c r="O2577" s="86"/>
      <c r="P2577" s="1817" t="e">
        <f>INDEX(#REF!,MATCH(F2577,#REF!,0),2)</f>
        <v>#REF!</v>
      </c>
    </row>
    <row r="2578" spans="1:16" ht="46.15" customHeight="1">
      <c r="A2578" s="2790"/>
      <c r="B2578" s="2790" t="s">
        <v>1249</v>
      </c>
      <c r="C2578" s="2790" t="s">
        <v>507</v>
      </c>
      <c r="D2578" s="1598"/>
      <c r="E2578" s="2104" t="s">
        <v>4047</v>
      </c>
      <c r="F2578" s="3072">
        <v>2239</v>
      </c>
      <c r="G2578" s="3098" t="s">
        <v>5794</v>
      </c>
      <c r="H2578" s="3002"/>
      <c r="I2578" s="2779"/>
      <c r="J2578" s="2776"/>
      <c r="K2578" s="2777"/>
      <c r="L2578" s="2779"/>
      <c r="M2578" s="2779">
        <v>1400</v>
      </c>
      <c r="N2578" s="2846" t="s">
        <v>4063</v>
      </c>
      <c r="O2578" s="86"/>
      <c r="P2578" s="1817" t="e">
        <f>INDEX(#REF!,MATCH(F2578,#REF!,0),2)</f>
        <v>#REF!</v>
      </c>
    </row>
    <row r="2579" spans="1:16" ht="32.450000000000003" customHeight="1">
      <c r="A2579" s="634"/>
      <c r="B2579" s="3084" t="s">
        <v>1249</v>
      </c>
      <c r="C2579" s="3084" t="s">
        <v>509</v>
      </c>
      <c r="D2579" s="3085"/>
      <c r="E2579" s="3093" t="s">
        <v>4047</v>
      </c>
      <c r="F2579" s="3086">
        <v>2239</v>
      </c>
      <c r="G2579" s="3087" t="s">
        <v>266</v>
      </c>
      <c r="H2579" s="674">
        <v>0</v>
      </c>
      <c r="I2579" s="736"/>
      <c r="J2579" s="737"/>
      <c r="K2579" s="738"/>
      <c r="L2579" s="674">
        <v>3000</v>
      </c>
      <c r="M2579" s="736"/>
      <c r="N2579" s="2847"/>
      <c r="O2579" s="86"/>
      <c r="P2579" s="1817" t="e">
        <f>INDEX(#REF!,MATCH(F2579,#REF!,0),2)</f>
        <v>#REF!</v>
      </c>
    </row>
    <row r="2580" spans="1:16" ht="13.5" customHeight="1">
      <c r="A2580" s="424"/>
      <c r="B2580" s="424" t="s">
        <v>1249</v>
      </c>
      <c r="C2580" s="424" t="s">
        <v>509</v>
      </c>
      <c r="D2580" s="1598"/>
      <c r="E2580" s="2104" t="s">
        <v>4047</v>
      </c>
      <c r="F2580" s="3072">
        <v>2239</v>
      </c>
      <c r="G2580" s="3098" t="s">
        <v>5793</v>
      </c>
      <c r="H2580" s="3002"/>
      <c r="I2580" s="2779"/>
      <c r="J2580" s="2776"/>
      <c r="K2580" s="2777"/>
      <c r="L2580" s="2779"/>
      <c r="M2580" s="2779">
        <v>3000</v>
      </c>
      <c r="N2580" s="2846" t="s">
        <v>4067</v>
      </c>
      <c r="O2580" s="86"/>
      <c r="P2580" s="1817" t="e">
        <f>INDEX(#REF!,MATCH(F2580,#REF!,0),2)</f>
        <v>#REF!</v>
      </c>
    </row>
    <row r="2581" spans="1:16">
      <c r="A2581" s="634"/>
      <c r="B2581" s="3084" t="s">
        <v>1249</v>
      </c>
      <c r="C2581" s="3084" t="s">
        <v>505</v>
      </c>
      <c r="D2581" s="3085"/>
      <c r="E2581" s="3093" t="s">
        <v>4047</v>
      </c>
      <c r="F2581" s="3086">
        <v>2239</v>
      </c>
      <c r="G2581" s="3087" t="s">
        <v>266</v>
      </c>
      <c r="H2581" s="674">
        <v>2500</v>
      </c>
      <c r="I2581" s="736"/>
      <c r="J2581" s="737"/>
      <c r="K2581" s="738"/>
      <c r="L2581" s="674">
        <v>3000</v>
      </c>
      <c r="M2581" s="736"/>
      <c r="N2581" s="2847"/>
      <c r="O2581" s="86"/>
      <c r="P2581" s="1817"/>
    </row>
    <row r="2582" spans="1:16" ht="21" customHeight="1">
      <c r="A2582" s="424"/>
      <c r="B2582" s="2790" t="s">
        <v>1249</v>
      </c>
      <c r="C2582" s="2790" t="s">
        <v>505</v>
      </c>
      <c r="D2582" s="1598"/>
      <c r="E2582" s="2104" t="s">
        <v>4047</v>
      </c>
      <c r="F2582" s="3072">
        <v>2239</v>
      </c>
      <c r="G2582" s="1958" t="s">
        <v>4070</v>
      </c>
      <c r="H2582" s="741"/>
      <c r="I2582" s="431"/>
      <c r="J2582" s="444"/>
      <c r="K2582" s="685"/>
      <c r="L2582" s="431"/>
      <c r="M2582" s="750">
        <v>500</v>
      </c>
      <c r="N2582" s="2846"/>
      <c r="O2582" s="86"/>
      <c r="P2582" s="1817" t="e">
        <f>INDEX(#REF!,MATCH(F2582,#REF!,0),2)</f>
        <v>#REF!</v>
      </c>
    </row>
    <row r="2583" spans="1:16" ht="33.75">
      <c r="A2583" s="2790"/>
      <c r="B2583" s="2790" t="s">
        <v>1249</v>
      </c>
      <c r="C2583" s="2790" t="s">
        <v>505</v>
      </c>
      <c r="D2583" s="1598"/>
      <c r="E2583" s="2104" t="s">
        <v>4047</v>
      </c>
      <c r="F2583" s="3072">
        <v>2239</v>
      </c>
      <c r="G2583" s="4171" t="s">
        <v>2881</v>
      </c>
      <c r="H2583" s="3002"/>
      <c r="I2583" s="2779">
        <v>2500</v>
      </c>
      <c r="J2583" s="2776"/>
      <c r="K2583" s="2777"/>
      <c r="L2583" s="2779"/>
      <c r="M2583" s="2778">
        <v>2500</v>
      </c>
      <c r="N2583" s="2396" t="s">
        <v>5795</v>
      </c>
      <c r="O2583" s="86"/>
      <c r="P2583" s="1817" t="e">
        <f>INDEX(#REF!,MATCH(F2583,#REF!,0),2)</f>
        <v>#REF!</v>
      </c>
    </row>
    <row r="2584" spans="1:16" ht="13.5" customHeight="1">
      <c r="A2584" s="634"/>
      <c r="B2584" s="3084" t="s">
        <v>1249</v>
      </c>
      <c r="C2584" s="3084" t="s">
        <v>507</v>
      </c>
      <c r="D2584" s="3085"/>
      <c r="E2584" s="3093" t="s">
        <v>4047</v>
      </c>
      <c r="F2584" s="3086">
        <v>2241</v>
      </c>
      <c r="G2584" s="3087" t="s">
        <v>276</v>
      </c>
      <c r="H2584" s="674"/>
      <c r="I2584" s="736"/>
      <c r="J2584" s="737"/>
      <c r="K2584" s="738"/>
      <c r="L2584" s="674">
        <v>1000</v>
      </c>
      <c r="M2584" s="736"/>
      <c r="N2584" s="2847"/>
      <c r="O2584" s="86"/>
      <c r="P2584" s="1817" t="e">
        <f>INDEX(#REF!,MATCH(F2584,#REF!,0),2)</f>
        <v>#REF!</v>
      </c>
    </row>
    <row r="2585" spans="1:16" ht="22.5">
      <c r="A2585" s="424"/>
      <c r="B2585" s="2790" t="s">
        <v>1249</v>
      </c>
      <c r="C2585" s="2790" t="s">
        <v>507</v>
      </c>
      <c r="D2585" s="1598"/>
      <c r="E2585" s="2104" t="s">
        <v>4047</v>
      </c>
      <c r="F2585" s="3072">
        <v>2241</v>
      </c>
      <c r="G2585" s="3074" t="s">
        <v>4074</v>
      </c>
      <c r="H2585" s="741"/>
      <c r="I2585" s="431"/>
      <c r="J2585" s="444"/>
      <c r="K2585" s="685"/>
      <c r="L2585" s="431"/>
      <c r="M2585" s="431">
        <v>1000</v>
      </c>
      <c r="N2585" s="2846"/>
      <c r="O2585" s="86"/>
      <c r="P2585" s="1817" t="e">
        <f>INDEX(#REF!,MATCH(F2585,#REF!,0),2)</f>
        <v>#REF!</v>
      </c>
    </row>
    <row r="2586" spans="1:16" ht="16.899999999999999" customHeight="1">
      <c r="A2586" s="634"/>
      <c r="B2586" s="3084" t="s">
        <v>1248</v>
      </c>
      <c r="C2586" s="3084" t="s">
        <v>507</v>
      </c>
      <c r="D2586" s="3085"/>
      <c r="E2586" s="3093" t="s">
        <v>4047</v>
      </c>
      <c r="F2586" s="3086">
        <v>2243</v>
      </c>
      <c r="G2586" s="3087" t="s">
        <v>329</v>
      </c>
      <c r="H2586" s="674"/>
      <c r="I2586" s="736"/>
      <c r="J2586" s="737"/>
      <c r="K2586" s="738"/>
      <c r="L2586" s="674">
        <v>2400</v>
      </c>
      <c r="M2586" s="736"/>
      <c r="N2586" s="2847"/>
      <c r="O2586" s="86"/>
      <c r="P2586" s="1817" t="e">
        <f>INDEX(#REF!,MATCH(F2586,#REF!,0),2)</f>
        <v>#REF!</v>
      </c>
    </row>
    <row r="2587" spans="1:16" ht="11.25" customHeight="1">
      <c r="A2587" s="424"/>
      <c r="B2587" s="2790" t="s">
        <v>1248</v>
      </c>
      <c r="C2587" s="2790" t="s">
        <v>507</v>
      </c>
      <c r="D2587" s="1598"/>
      <c r="E2587" s="2104" t="s">
        <v>4047</v>
      </c>
      <c r="F2587" s="3072">
        <v>2243</v>
      </c>
      <c r="G2587" s="3099" t="s">
        <v>4075</v>
      </c>
      <c r="H2587" s="741"/>
      <c r="I2587" s="431"/>
      <c r="J2587" s="444"/>
      <c r="K2587" s="685"/>
      <c r="L2587" s="431"/>
      <c r="M2587" s="4281">
        <v>2400</v>
      </c>
      <c r="N2587" s="2846" t="s">
        <v>6105</v>
      </c>
      <c r="O2587" s="86"/>
      <c r="P2587" s="1817" t="e">
        <f>INDEX(#REF!,MATCH(F2587,#REF!,0),2)</f>
        <v>#REF!</v>
      </c>
    </row>
    <row r="2588" spans="1:16">
      <c r="A2588" s="634"/>
      <c r="B2588" s="3084" t="s">
        <v>1248</v>
      </c>
      <c r="C2588" s="3084" t="s">
        <v>507</v>
      </c>
      <c r="D2588" s="3085"/>
      <c r="E2588" s="3093" t="s">
        <v>4047</v>
      </c>
      <c r="F2588" s="3086">
        <v>2244</v>
      </c>
      <c r="G2588" s="3087" t="s">
        <v>518</v>
      </c>
      <c r="H2588" s="674"/>
      <c r="I2588" s="736"/>
      <c r="J2588" s="737"/>
      <c r="K2588" s="738"/>
      <c r="L2588" s="674">
        <v>200</v>
      </c>
      <c r="M2588" s="736"/>
      <c r="N2588" s="2847"/>
      <c r="O2588" s="86"/>
      <c r="P2588" s="1817"/>
    </row>
    <row r="2589" spans="1:16" ht="23.25" customHeight="1">
      <c r="A2589" s="424"/>
      <c r="B2589" s="2790" t="s">
        <v>1248</v>
      </c>
      <c r="C2589" s="2790" t="s">
        <v>507</v>
      </c>
      <c r="D2589" s="1598"/>
      <c r="E2589" s="2104" t="s">
        <v>4047</v>
      </c>
      <c r="F2589" s="3072">
        <v>2244</v>
      </c>
      <c r="G2589" s="2774" t="s">
        <v>4013</v>
      </c>
      <c r="H2589" s="741"/>
      <c r="I2589" s="431"/>
      <c r="J2589" s="444"/>
      <c r="K2589" s="685"/>
      <c r="L2589" s="431"/>
      <c r="M2589" s="2779">
        <v>200</v>
      </c>
      <c r="N2589" s="2846"/>
      <c r="O2589" s="86"/>
      <c r="P2589" s="1817" t="e">
        <f>INDEX(#REF!,MATCH(F2589,#REF!,0),2)</f>
        <v>#REF!</v>
      </c>
    </row>
    <row r="2590" spans="1:16">
      <c r="A2590" s="2790"/>
      <c r="B2590" s="2790" t="s">
        <v>1248</v>
      </c>
      <c r="C2590" s="2790" t="s">
        <v>507</v>
      </c>
      <c r="D2590" s="1598"/>
      <c r="E2590" s="2104" t="s">
        <v>4047</v>
      </c>
      <c r="F2590" s="3072">
        <v>2244</v>
      </c>
      <c r="G2590" s="2774" t="s">
        <v>4076</v>
      </c>
      <c r="H2590" s="3002"/>
      <c r="I2590" s="2779"/>
      <c r="J2590" s="2776"/>
      <c r="K2590" s="2777"/>
      <c r="L2590" s="2779"/>
      <c r="M2590" s="2778">
        <v>0</v>
      </c>
      <c r="N2590" s="2846"/>
      <c r="O2590" s="86"/>
      <c r="P2590" s="1817" t="e">
        <f>INDEX(#REF!,MATCH(F2590,#REF!,0),2)</f>
        <v>#REF!</v>
      </c>
    </row>
    <row r="2591" spans="1:16" ht="13.5" customHeight="1">
      <c r="A2591" s="634"/>
      <c r="B2591" s="3084" t="s">
        <v>1248</v>
      </c>
      <c r="C2591" s="3084" t="s">
        <v>507</v>
      </c>
      <c r="D2591" s="3085"/>
      <c r="E2591" s="3093" t="s">
        <v>4047</v>
      </c>
      <c r="F2591" s="3086">
        <v>2247</v>
      </c>
      <c r="G2591" s="3087" t="s">
        <v>281</v>
      </c>
      <c r="H2591" s="674"/>
      <c r="I2591" s="736"/>
      <c r="J2591" s="737"/>
      <c r="K2591" s="738"/>
      <c r="L2591" s="674">
        <v>100</v>
      </c>
      <c r="M2591" s="736"/>
      <c r="N2591" s="2847"/>
      <c r="O2591" s="86"/>
      <c r="P2591" s="1817" t="e">
        <f>INDEX(#REF!,MATCH(F2591,#REF!,0),2)</f>
        <v>#REF!</v>
      </c>
    </row>
    <row r="2592" spans="1:16">
      <c r="A2592" s="424"/>
      <c r="B2592" s="2790" t="s">
        <v>1248</v>
      </c>
      <c r="C2592" s="2790" t="s">
        <v>507</v>
      </c>
      <c r="D2592" s="1598"/>
      <c r="E2592" s="2104" t="s">
        <v>4047</v>
      </c>
      <c r="F2592" s="3072">
        <v>2247</v>
      </c>
      <c r="G2592" s="2774" t="s">
        <v>4077</v>
      </c>
      <c r="H2592" s="741"/>
      <c r="I2592" s="431"/>
      <c r="J2592" s="444"/>
      <c r="K2592" s="685"/>
      <c r="L2592" s="431"/>
      <c r="M2592" s="431">
        <v>100</v>
      </c>
      <c r="N2592" s="2846"/>
      <c r="O2592" s="86"/>
      <c r="P2592" s="1817" t="e">
        <f>INDEX(#REF!,MATCH(F2592,#REF!,0),2)</f>
        <v>#REF!</v>
      </c>
    </row>
    <row r="2593" spans="1:16" ht="11.25" customHeight="1">
      <c r="A2593" s="634"/>
      <c r="B2593" s="3084" t="s">
        <v>1248</v>
      </c>
      <c r="C2593" s="3084" t="s">
        <v>507</v>
      </c>
      <c r="D2593" s="3085"/>
      <c r="E2593" s="3093" t="s">
        <v>4047</v>
      </c>
      <c r="F2593" s="3086">
        <v>2249</v>
      </c>
      <c r="G2593" s="3087" t="s">
        <v>1215</v>
      </c>
      <c r="H2593" s="674">
        <v>200</v>
      </c>
      <c r="I2593" s="736"/>
      <c r="J2593" s="737"/>
      <c r="K2593" s="738"/>
      <c r="L2593" s="674">
        <v>200</v>
      </c>
      <c r="M2593" s="736"/>
      <c r="N2593" s="2847"/>
      <c r="O2593" s="86"/>
      <c r="P2593" s="1817" t="e">
        <f>INDEX(#REF!,MATCH(F2593,#REF!,0),2)</f>
        <v>#REF!</v>
      </c>
    </row>
    <row r="2594" spans="1:16">
      <c r="A2594" s="424"/>
      <c r="B2594" s="2790" t="s">
        <v>1248</v>
      </c>
      <c r="C2594" s="2790" t="s">
        <v>507</v>
      </c>
      <c r="D2594" s="1598"/>
      <c r="E2594" s="2104" t="s">
        <v>4047</v>
      </c>
      <c r="F2594" s="3072">
        <v>2249</v>
      </c>
      <c r="G2594" s="2774" t="s">
        <v>1379</v>
      </c>
      <c r="H2594" s="741"/>
      <c r="I2594" s="431">
        <v>200</v>
      </c>
      <c r="J2594" s="444"/>
      <c r="K2594" s="685"/>
      <c r="L2594" s="431"/>
      <c r="M2594" s="431">
        <v>200</v>
      </c>
      <c r="N2594" s="2846"/>
      <c r="O2594" s="86"/>
      <c r="P2594" s="1817" t="e">
        <f>INDEX(#REF!,MATCH(F2594,#REF!,0),2)</f>
        <v>#REF!</v>
      </c>
    </row>
    <row r="2595" spans="1:16" ht="9.6" customHeight="1">
      <c r="A2595" s="634"/>
      <c r="B2595" s="3084" t="s">
        <v>1248</v>
      </c>
      <c r="C2595" s="3084" t="s">
        <v>507</v>
      </c>
      <c r="D2595" s="3085"/>
      <c r="E2595" s="3093" t="s">
        <v>4047</v>
      </c>
      <c r="F2595" s="3086">
        <v>2264</v>
      </c>
      <c r="G2595" s="3087" t="s">
        <v>240</v>
      </c>
      <c r="H2595" s="674">
        <v>100</v>
      </c>
      <c r="I2595" s="736"/>
      <c r="J2595" s="737">
        <v>95</v>
      </c>
      <c r="K2595" s="738"/>
      <c r="L2595" s="674">
        <v>100</v>
      </c>
      <c r="M2595" s="736"/>
      <c r="N2595" s="2847"/>
      <c r="O2595" s="86"/>
      <c r="P2595" s="1817" t="e">
        <f>INDEX(#REF!,MATCH(F2595,#REF!,0),2)</f>
        <v>#REF!</v>
      </c>
    </row>
    <row r="2596" spans="1:16">
      <c r="A2596" s="424"/>
      <c r="B2596" s="2790" t="s">
        <v>1248</v>
      </c>
      <c r="C2596" s="2790" t="s">
        <v>507</v>
      </c>
      <c r="D2596" s="1598"/>
      <c r="E2596" s="2104" t="s">
        <v>4047</v>
      </c>
      <c r="F2596" s="3072">
        <v>2264</v>
      </c>
      <c r="G2596" s="3100" t="s">
        <v>4078</v>
      </c>
      <c r="H2596" s="741"/>
      <c r="I2596" s="431">
        <v>100</v>
      </c>
      <c r="J2596" s="444"/>
      <c r="K2596" s="685"/>
      <c r="L2596" s="431"/>
      <c r="M2596" s="4281">
        <v>100</v>
      </c>
      <c r="N2596" s="2396" t="s">
        <v>5156</v>
      </c>
      <c r="O2596" s="86"/>
      <c r="P2596" s="1817" t="e">
        <f>INDEX(#REF!,MATCH(F2596,#REF!,0),2)</f>
        <v>#REF!</v>
      </c>
    </row>
    <row r="2597" spans="1:16">
      <c r="A2597" s="634"/>
      <c r="B2597" s="3084" t="s">
        <v>1248</v>
      </c>
      <c r="C2597" s="3084" t="s">
        <v>507</v>
      </c>
      <c r="D2597" s="3085"/>
      <c r="E2597" s="3093" t="s">
        <v>4047</v>
      </c>
      <c r="F2597" s="3086">
        <v>2311</v>
      </c>
      <c r="G2597" s="3087" t="s">
        <v>426</v>
      </c>
      <c r="H2597" s="674">
        <v>250</v>
      </c>
      <c r="I2597" s="736"/>
      <c r="J2597" s="737">
        <v>156</v>
      </c>
      <c r="K2597" s="738"/>
      <c r="L2597" s="674">
        <v>200</v>
      </c>
      <c r="M2597" s="736"/>
      <c r="N2597" s="2847"/>
      <c r="O2597" s="86"/>
      <c r="P2597" s="1817" t="e">
        <f>INDEX(#REF!,MATCH(F2597,#REF!,0),2)</f>
        <v>#REF!</v>
      </c>
    </row>
    <row r="2598" spans="1:16" ht="22.15" customHeight="1">
      <c r="A2598" s="424"/>
      <c r="B2598" s="2790" t="s">
        <v>1248</v>
      </c>
      <c r="C2598" s="2790" t="s">
        <v>507</v>
      </c>
      <c r="D2598" s="1598"/>
      <c r="E2598" s="2104" t="s">
        <v>4047</v>
      </c>
      <c r="F2598" s="3072">
        <v>2311</v>
      </c>
      <c r="G2598" s="2774" t="s">
        <v>4079</v>
      </c>
      <c r="H2598" s="741"/>
      <c r="I2598" s="431">
        <v>250</v>
      </c>
      <c r="J2598" s="444"/>
      <c r="K2598" s="685"/>
      <c r="L2598" s="431"/>
      <c r="M2598" s="4279">
        <v>200</v>
      </c>
      <c r="N2598" s="2396" t="s">
        <v>5156</v>
      </c>
      <c r="O2598" s="86"/>
      <c r="P2598" s="1817" t="e">
        <f>INDEX(#REF!,MATCH(F2598,#REF!,0),2)</f>
        <v>#REF!</v>
      </c>
    </row>
    <row r="2599" spans="1:16">
      <c r="A2599" s="634"/>
      <c r="B2599" s="3084" t="s">
        <v>1250</v>
      </c>
      <c r="C2599" s="3084" t="s">
        <v>509</v>
      </c>
      <c r="D2599" s="3085"/>
      <c r="E2599" s="3093" t="s">
        <v>4047</v>
      </c>
      <c r="F2599" s="3086">
        <v>2312</v>
      </c>
      <c r="G2599" s="3087" t="s">
        <v>249</v>
      </c>
      <c r="H2599" s="674">
        <v>4400</v>
      </c>
      <c r="I2599" s="736"/>
      <c r="J2599" s="737"/>
      <c r="K2599" s="738"/>
      <c r="L2599" s="674">
        <v>1000</v>
      </c>
      <c r="M2599" s="736"/>
      <c r="N2599" s="2847"/>
      <c r="O2599" s="86"/>
      <c r="P2599" s="1817"/>
    </row>
    <row r="2600" spans="1:16">
      <c r="A2600" s="424"/>
      <c r="B2600" s="424" t="s">
        <v>1250</v>
      </c>
      <c r="C2600" s="424" t="s">
        <v>509</v>
      </c>
      <c r="D2600" s="1598"/>
      <c r="E2600" s="2104" t="s">
        <v>4047</v>
      </c>
      <c r="F2600" s="3072">
        <v>2312</v>
      </c>
      <c r="G2600" s="3082" t="s">
        <v>4080</v>
      </c>
      <c r="H2600" s="741"/>
      <c r="I2600" s="431">
        <v>4400</v>
      </c>
      <c r="J2600" s="444"/>
      <c r="K2600" s="685"/>
      <c r="L2600" s="431"/>
      <c r="M2600" s="431">
        <v>500</v>
      </c>
      <c r="N2600" s="2846"/>
      <c r="O2600" s="86"/>
      <c r="P2600" s="1817" t="e">
        <f>INDEX(#REF!,MATCH(F2600,#REF!,0),2)</f>
        <v>#REF!</v>
      </c>
    </row>
    <row r="2601" spans="1:16" ht="14.25" customHeight="1">
      <c r="A2601" s="2790"/>
      <c r="B2601" s="424" t="s">
        <v>1250</v>
      </c>
      <c r="C2601" s="424" t="s">
        <v>509</v>
      </c>
      <c r="D2601" s="1598"/>
      <c r="E2601" s="2104" t="s">
        <v>4047</v>
      </c>
      <c r="F2601" s="3072">
        <v>2312</v>
      </c>
      <c r="G2601" s="3082" t="s">
        <v>4081</v>
      </c>
      <c r="H2601" s="3002"/>
      <c r="I2601" s="2779"/>
      <c r="J2601" s="2776"/>
      <c r="K2601" s="2777"/>
      <c r="L2601" s="2779"/>
      <c r="M2601" s="2779">
        <v>500</v>
      </c>
      <c r="N2601" s="2846"/>
      <c r="O2601" s="86"/>
      <c r="P2601" s="1817" t="e">
        <f>INDEX(#REF!,MATCH(F2601,#REF!,0),2)</f>
        <v>#REF!</v>
      </c>
    </row>
    <row r="2602" spans="1:16" ht="22.5">
      <c r="A2602" s="634"/>
      <c r="B2602" s="3084" t="s">
        <v>1248</v>
      </c>
      <c r="C2602" s="3084" t="s">
        <v>507</v>
      </c>
      <c r="D2602" s="3085"/>
      <c r="E2602" s="3093" t="s">
        <v>4047</v>
      </c>
      <c r="F2602" s="3086">
        <v>2314</v>
      </c>
      <c r="G2602" s="3102" t="s">
        <v>3761</v>
      </c>
      <c r="H2602" s="674"/>
      <c r="I2602" s="736"/>
      <c r="J2602" s="737"/>
      <c r="K2602" s="738"/>
      <c r="L2602" s="674">
        <v>600</v>
      </c>
      <c r="M2602" s="736"/>
      <c r="N2602" s="2847"/>
      <c r="O2602" s="86"/>
      <c r="P2602" s="1817"/>
    </row>
    <row r="2603" spans="1:16" ht="15" customHeight="1">
      <c r="A2603" s="424"/>
      <c r="B2603" s="2790" t="s">
        <v>1248</v>
      </c>
      <c r="C2603" s="2790" t="s">
        <v>507</v>
      </c>
      <c r="D2603" s="1598"/>
      <c r="E2603" s="2104" t="s">
        <v>4047</v>
      </c>
      <c r="F2603" s="3072">
        <v>2314</v>
      </c>
      <c r="G2603" s="2774" t="s">
        <v>428</v>
      </c>
      <c r="H2603" s="741"/>
      <c r="I2603" s="431"/>
      <c r="J2603" s="444"/>
      <c r="K2603" s="685"/>
      <c r="L2603" s="431"/>
      <c r="M2603" s="2779">
        <v>100</v>
      </c>
      <c r="N2603" s="2846"/>
      <c r="O2603" s="86"/>
      <c r="P2603" s="1817" t="e">
        <f>INDEX(#REF!,MATCH(F2603,#REF!,0),2)</f>
        <v>#REF!</v>
      </c>
    </row>
    <row r="2604" spans="1:16">
      <c r="A2604" s="2790"/>
      <c r="B2604" s="2790" t="s">
        <v>1248</v>
      </c>
      <c r="C2604" s="2790" t="s">
        <v>507</v>
      </c>
      <c r="D2604" s="1598"/>
      <c r="E2604" s="2104" t="s">
        <v>4047</v>
      </c>
      <c r="F2604" s="3072">
        <v>2314</v>
      </c>
      <c r="G2604" s="2774" t="s">
        <v>539</v>
      </c>
      <c r="H2604" s="3002"/>
      <c r="I2604" s="2779"/>
      <c r="J2604" s="2776"/>
      <c r="K2604" s="2777"/>
      <c r="L2604" s="2779"/>
      <c r="M2604" s="2779">
        <v>500</v>
      </c>
      <c r="N2604" s="2846"/>
      <c r="O2604" s="86"/>
      <c r="P2604" s="1817" t="e">
        <f>INDEX(#REF!,MATCH(F2604,#REF!,0),2)</f>
        <v>#REF!</v>
      </c>
    </row>
    <row r="2605" spans="1:16">
      <c r="A2605" s="634"/>
      <c r="B2605" s="3084" t="s">
        <v>1248</v>
      </c>
      <c r="C2605" s="3084" t="s">
        <v>507</v>
      </c>
      <c r="D2605" s="3085"/>
      <c r="E2605" s="3093" t="s">
        <v>4047</v>
      </c>
      <c r="F2605" s="3086">
        <v>2322</v>
      </c>
      <c r="G2605" s="3087" t="s">
        <v>319</v>
      </c>
      <c r="H2605" s="674"/>
      <c r="I2605" s="736"/>
      <c r="J2605" s="737"/>
      <c r="K2605" s="738"/>
      <c r="L2605" s="674">
        <v>500</v>
      </c>
      <c r="M2605" s="736"/>
      <c r="N2605" s="2847"/>
      <c r="O2605" s="86"/>
      <c r="P2605" s="1817" t="e">
        <f>INDEX(#REF!,MATCH(F2605,#REF!,0),2)</f>
        <v>#REF!</v>
      </c>
    </row>
    <row r="2606" spans="1:16">
      <c r="A2606" s="424"/>
      <c r="B2606" s="2790" t="s">
        <v>1248</v>
      </c>
      <c r="C2606" s="2790" t="s">
        <v>507</v>
      </c>
      <c r="D2606" s="1598"/>
      <c r="E2606" s="2104" t="s">
        <v>4047</v>
      </c>
      <c r="F2606" s="3072">
        <v>2322</v>
      </c>
      <c r="G2606" s="2774" t="s">
        <v>4082</v>
      </c>
      <c r="H2606" s="741"/>
      <c r="I2606" s="431"/>
      <c r="J2606" s="444"/>
      <c r="K2606" s="685"/>
      <c r="L2606" s="431"/>
      <c r="M2606" s="431">
        <v>500</v>
      </c>
      <c r="N2606" s="2846"/>
      <c r="O2606" s="86"/>
      <c r="P2606" s="1817" t="e">
        <f>INDEX(#REF!,MATCH(F2606,#REF!,0),2)</f>
        <v>#REF!</v>
      </c>
    </row>
    <row r="2607" spans="1:16" ht="15.75" customHeight="1">
      <c r="A2607" s="634"/>
      <c r="B2607" s="3084" t="s">
        <v>1248</v>
      </c>
      <c r="C2607" s="3084" t="s">
        <v>507</v>
      </c>
      <c r="D2607" s="3085"/>
      <c r="E2607" s="3093" t="s">
        <v>4047</v>
      </c>
      <c r="F2607" s="3091">
        <v>2350</v>
      </c>
      <c r="G2607" s="3087" t="s">
        <v>251</v>
      </c>
      <c r="H2607" s="674"/>
      <c r="I2607" s="736"/>
      <c r="J2607" s="737"/>
      <c r="K2607" s="738"/>
      <c r="L2607" s="674">
        <v>700</v>
      </c>
      <c r="M2607" s="736"/>
      <c r="N2607" s="2847"/>
      <c r="O2607" s="86"/>
      <c r="P2607" s="1817"/>
    </row>
    <row r="2608" spans="1:16">
      <c r="A2608" s="424"/>
      <c r="B2608" s="2790" t="s">
        <v>1248</v>
      </c>
      <c r="C2608" s="2790" t="s">
        <v>507</v>
      </c>
      <c r="D2608" s="1598"/>
      <c r="E2608" s="2104" t="s">
        <v>4047</v>
      </c>
      <c r="F2608" s="3072">
        <v>2350</v>
      </c>
      <c r="G2608" s="61" t="s">
        <v>4083</v>
      </c>
      <c r="H2608" s="741"/>
      <c r="I2608" s="431"/>
      <c r="J2608" s="444"/>
      <c r="K2608" s="685"/>
      <c r="L2608" s="431"/>
      <c r="M2608" s="431">
        <v>200</v>
      </c>
      <c r="N2608" s="2846"/>
      <c r="O2608" s="86"/>
      <c r="P2608" s="1817"/>
    </row>
    <row r="2609" spans="1:16">
      <c r="A2609" s="2790"/>
      <c r="B2609" s="2790" t="s">
        <v>1248</v>
      </c>
      <c r="C2609" s="2790" t="s">
        <v>507</v>
      </c>
      <c r="D2609" s="1598"/>
      <c r="E2609" s="2104" t="s">
        <v>4047</v>
      </c>
      <c r="F2609" s="3072">
        <v>2350</v>
      </c>
      <c r="G2609" s="61" t="s">
        <v>4084</v>
      </c>
      <c r="H2609" s="3002"/>
      <c r="I2609" s="2779"/>
      <c r="J2609" s="2776"/>
      <c r="K2609" s="2777"/>
      <c r="L2609" s="2779"/>
      <c r="M2609" s="431">
        <v>0</v>
      </c>
      <c r="N2609" s="2846"/>
      <c r="O2609" s="86"/>
      <c r="P2609" s="1817" t="e">
        <f>INDEX(#REF!,MATCH(F2609,#REF!,0),2)</f>
        <v>#REF!</v>
      </c>
    </row>
    <row r="2610" spans="1:16">
      <c r="A2610" s="2790"/>
      <c r="B2610" s="2790" t="s">
        <v>1248</v>
      </c>
      <c r="C2610" s="2790" t="s">
        <v>507</v>
      </c>
      <c r="D2610" s="1598"/>
      <c r="E2610" s="2104" t="s">
        <v>4047</v>
      </c>
      <c r="F2610" s="3072">
        <v>2350</v>
      </c>
      <c r="G2610" s="2810" t="s">
        <v>4085</v>
      </c>
      <c r="H2610" s="3002"/>
      <c r="I2610" s="2779"/>
      <c r="J2610" s="2776"/>
      <c r="K2610" s="2777"/>
      <c r="L2610" s="2779"/>
      <c r="M2610" s="431">
        <v>500</v>
      </c>
      <c r="N2610" s="2846"/>
      <c r="O2610" s="86"/>
      <c r="P2610" s="1817" t="e">
        <f>INDEX(#REF!,MATCH(F2610,#REF!,0),2)</f>
        <v>#REF!</v>
      </c>
    </row>
    <row r="2611" spans="1:16">
      <c r="A2611" s="634"/>
      <c r="B2611" s="3084" t="s">
        <v>1250</v>
      </c>
      <c r="C2611" s="3084" t="s">
        <v>507</v>
      </c>
      <c r="D2611" s="3085"/>
      <c r="E2611" s="3093" t="s">
        <v>4047</v>
      </c>
      <c r="F2611" s="3086">
        <v>5239</v>
      </c>
      <c r="G2611" s="3087" t="s">
        <v>1214</v>
      </c>
      <c r="H2611" s="674"/>
      <c r="I2611" s="736"/>
      <c r="J2611" s="737"/>
      <c r="K2611" s="738"/>
      <c r="L2611" s="674">
        <v>0</v>
      </c>
      <c r="M2611" s="736"/>
      <c r="N2611" s="2847"/>
      <c r="O2611" s="86"/>
      <c r="P2611" s="1817" t="e">
        <f>INDEX(#REF!,MATCH(F2611,#REF!,0),2)</f>
        <v>#REF!</v>
      </c>
    </row>
    <row r="2612" spans="1:16" ht="33.75">
      <c r="A2612" s="424"/>
      <c r="B2612" s="424" t="s">
        <v>1250</v>
      </c>
      <c r="C2612" s="2790" t="s">
        <v>507</v>
      </c>
      <c r="D2612" s="1598"/>
      <c r="E2612" s="2104" t="s">
        <v>4047</v>
      </c>
      <c r="F2612" s="3072">
        <v>5239</v>
      </c>
      <c r="G2612" s="2774" t="s">
        <v>4086</v>
      </c>
      <c r="H2612" s="741"/>
      <c r="I2612" s="431"/>
      <c r="J2612" s="444"/>
      <c r="K2612" s="685"/>
      <c r="L2612" s="431"/>
      <c r="M2612" s="4281">
        <v>0</v>
      </c>
      <c r="N2612" s="3092" t="s">
        <v>5993</v>
      </c>
      <c r="O2612" s="86"/>
      <c r="P2612" s="1817" t="e">
        <f>INDEX(#REF!,MATCH(F2612,#REF!,0),2)</f>
        <v>#REF!</v>
      </c>
    </row>
    <row r="2613" spans="1:16">
      <c r="A2613" s="634"/>
      <c r="B2613" s="1581" t="s">
        <v>663</v>
      </c>
      <c r="C2613" s="1581" t="s">
        <v>659</v>
      </c>
      <c r="D2613" s="1597" t="s">
        <v>2274</v>
      </c>
      <c r="E2613" s="2093" t="s">
        <v>3109</v>
      </c>
      <c r="F2613" s="1655">
        <v>1148</v>
      </c>
      <c r="G2613" s="2774" t="s">
        <v>227</v>
      </c>
      <c r="H2613" s="674">
        <v>7300</v>
      </c>
      <c r="I2613" s="736"/>
      <c r="J2613" s="737"/>
      <c r="K2613" s="738"/>
      <c r="L2613" s="1481">
        <v>0</v>
      </c>
      <c r="M2613" s="1500"/>
      <c r="N2613" s="2847" t="s">
        <v>2226</v>
      </c>
      <c r="O2613" s="86"/>
      <c r="P2613" s="1817" t="e">
        <f>INDEX(#REF!,MATCH(F2613,#REF!,0),2)</f>
        <v>#REF!</v>
      </c>
    </row>
    <row r="2614" spans="1:16" ht="33.75">
      <c r="A2614" s="1563"/>
      <c r="B2614" s="1583" t="s">
        <v>663</v>
      </c>
      <c r="C2614" s="1583" t="s">
        <v>659</v>
      </c>
      <c r="D2614" s="1636"/>
      <c r="E2614" s="2279" t="s">
        <v>3109</v>
      </c>
      <c r="F2614" s="1584">
        <v>1148</v>
      </c>
      <c r="G2614" s="1585" t="s">
        <v>2227</v>
      </c>
      <c r="H2614" s="1649"/>
      <c r="I2614" s="1650">
        <v>3200</v>
      </c>
      <c r="J2614" s="1651"/>
      <c r="K2614" s="1652"/>
      <c r="L2614" s="2437"/>
      <c r="M2614" s="750"/>
      <c r="N2614" s="2847"/>
      <c r="O2614" s="86"/>
      <c r="P2614" s="1817" t="e">
        <f>INDEX(#REF!,MATCH(F2614,#REF!,0),2)</f>
        <v>#REF!</v>
      </c>
    </row>
    <row r="2615" spans="1:16" ht="33.75">
      <c r="A2615" s="1563"/>
      <c r="B2615" s="1583" t="s">
        <v>663</v>
      </c>
      <c r="C2615" s="1583" t="s">
        <v>659</v>
      </c>
      <c r="D2615" s="1636"/>
      <c r="E2615" s="2279" t="s">
        <v>3109</v>
      </c>
      <c r="F2615" s="1584">
        <v>1148</v>
      </c>
      <c r="G2615" s="1585" t="s">
        <v>2228</v>
      </c>
      <c r="H2615" s="1649"/>
      <c r="I2615" s="1650">
        <v>2700</v>
      </c>
      <c r="J2615" s="1651"/>
      <c r="K2615" s="1652"/>
      <c r="L2615" s="2437"/>
      <c r="M2615" s="750"/>
      <c r="N2615" s="2847"/>
      <c r="O2615" s="86"/>
      <c r="P2615" s="1817" t="e">
        <f>INDEX(#REF!,MATCH(F2615,#REF!,0),2)</f>
        <v>#REF!</v>
      </c>
    </row>
    <row r="2616" spans="1:16" ht="23.45" customHeight="1">
      <c r="A2616" s="1563"/>
      <c r="B2616" s="1583" t="s">
        <v>663</v>
      </c>
      <c r="C2616" s="1583" t="s">
        <v>659</v>
      </c>
      <c r="D2616" s="1636"/>
      <c r="E2616" s="2279" t="s">
        <v>3109</v>
      </c>
      <c r="F2616" s="1584">
        <v>1148</v>
      </c>
      <c r="G2616" s="1585" t="s">
        <v>2229</v>
      </c>
      <c r="H2616" s="1649"/>
      <c r="I2616" s="1650">
        <v>1400</v>
      </c>
      <c r="J2616" s="1651"/>
      <c r="K2616" s="1652"/>
      <c r="L2616" s="2437"/>
      <c r="M2616" s="750"/>
      <c r="N2616" s="2847"/>
      <c r="O2616" s="86"/>
      <c r="P2616" s="1817" t="e">
        <f>INDEX(#REF!,MATCH(F2616,#REF!,0),2)</f>
        <v>#REF!</v>
      </c>
    </row>
    <row r="2617" spans="1:16" ht="22.9" customHeight="1">
      <c r="A2617" s="634"/>
      <c r="B2617" s="1581" t="s">
        <v>663</v>
      </c>
      <c r="C2617" s="1581" t="s">
        <v>652</v>
      </c>
      <c r="D2617" s="1597" t="s">
        <v>2274</v>
      </c>
      <c r="E2617" s="2093" t="s">
        <v>3109</v>
      </c>
      <c r="F2617" s="1655">
        <v>1210</v>
      </c>
      <c r="G2617" s="1582" t="s">
        <v>228</v>
      </c>
      <c r="H2617" s="674">
        <v>1853</v>
      </c>
      <c r="I2617" s="736"/>
      <c r="J2617" s="737"/>
      <c r="K2617" s="738"/>
      <c r="L2617" s="1481">
        <v>0</v>
      </c>
      <c r="M2617" s="1500"/>
      <c r="N2617" s="2847"/>
      <c r="O2617" s="86"/>
      <c r="P2617" s="1817" t="e">
        <f>INDEX(#REF!,MATCH(F2617,#REF!,0),2)</f>
        <v>#REF!</v>
      </c>
    </row>
    <row r="2618" spans="1:16" ht="20.45" customHeight="1">
      <c r="A2618" s="1563"/>
      <c r="B2618" s="1586" t="s">
        <v>663</v>
      </c>
      <c r="C2618" s="1586" t="s">
        <v>652</v>
      </c>
      <c r="D2618" s="1636"/>
      <c r="E2618" s="2279" t="s">
        <v>3109</v>
      </c>
      <c r="F2618" s="1587">
        <v>1210</v>
      </c>
      <c r="G2618" s="1585" t="s">
        <v>663</v>
      </c>
      <c r="H2618" s="1649"/>
      <c r="I2618" s="1650">
        <v>1853</v>
      </c>
      <c r="J2618" s="1651"/>
      <c r="K2618" s="1652"/>
      <c r="L2618" s="2437"/>
      <c r="M2618" s="750"/>
      <c r="N2618" s="2847"/>
      <c r="O2618" s="86"/>
      <c r="P2618" s="1817" t="e">
        <f>INDEX(#REF!,MATCH(F2618,#REF!,0),2)</f>
        <v>#REF!</v>
      </c>
    </row>
    <row r="2619" spans="1:16">
      <c r="A2619" s="634"/>
      <c r="B2619" s="1581" t="s">
        <v>1248</v>
      </c>
      <c r="C2619" s="1581" t="s">
        <v>505</v>
      </c>
      <c r="D2619" s="1597" t="s">
        <v>2274</v>
      </c>
      <c r="E2619" s="2093" t="s">
        <v>3109</v>
      </c>
      <c r="F2619" s="1655">
        <v>2233</v>
      </c>
      <c r="G2619" s="1582" t="s">
        <v>373</v>
      </c>
      <c r="H2619" s="674">
        <v>80300</v>
      </c>
      <c r="I2619" s="736"/>
      <c r="J2619" s="737"/>
      <c r="K2619" s="738"/>
      <c r="L2619" s="1481">
        <v>0</v>
      </c>
      <c r="M2619" s="1500"/>
      <c r="N2619" s="2847"/>
      <c r="O2619" s="86"/>
      <c r="P2619" s="1817" t="e">
        <f>INDEX(#REF!,MATCH(F2619,#REF!,0),2)</f>
        <v>#REF!</v>
      </c>
    </row>
    <row r="2620" spans="1:16" ht="22.5">
      <c r="A2620" s="1563"/>
      <c r="B2620" s="1583" t="s">
        <v>1248</v>
      </c>
      <c r="C2620" s="1583" t="s">
        <v>505</v>
      </c>
      <c r="D2620" s="1636"/>
      <c r="E2620" s="2279" t="s">
        <v>3109</v>
      </c>
      <c r="F2620" s="1642">
        <v>2233</v>
      </c>
      <c r="G2620" s="1653" t="s">
        <v>2230</v>
      </c>
      <c r="H2620" s="1649"/>
      <c r="I2620" s="1650">
        <v>28350</v>
      </c>
      <c r="J2620" s="1651"/>
      <c r="K2620" s="1652"/>
      <c r="L2620" s="2437"/>
      <c r="M2620" s="750"/>
      <c r="N2620" s="2847" t="s">
        <v>2231</v>
      </c>
      <c r="O2620" s="86"/>
      <c r="P2620" s="1817" t="e">
        <f>INDEX(#REF!,MATCH(F2620,#REF!,0),2)</f>
        <v>#REF!</v>
      </c>
    </row>
    <row r="2621" spans="1:16" ht="13.9" customHeight="1">
      <c r="A2621" s="1563"/>
      <c r="B2621" s="1583" t="s">
        <v>1248</v>
      </c>
      <c r="C2621" s="1583" t="s">
        <v>505</v>
      </c>
      <c r="D2621" s="1636"/>
      <c r="E2621" s="2279" t="s">
        <v>3109</v>
      </c>
      <c r="F2621" s="1642">
        <v>2233</v>
      </c>
      <c r="G2621" s="1653" t="s">
        <v>2232</v>
      </c>
      <c r="H2621" s="1649"/>
      <c r="I2621" s="1650">
        <v>21150</v>
      </c>
      <c r="J2621" s="1651"/>
      <c r="K2621" s="1652"/>
      <c r="L2621" s="2437"/>
      <c r="M2621" s="750"/>
      <c r="N2621" s="2847" t="s">
        <v>2233</v>
      </c>
      <c r="O2621" s="86"/>
      <c r="P2621" s="1817" t="e">
        <f>INDEX(#REF!,MATCH(F2621,#REF!,0),2)</f>
        <v>#REF!</v>
      </c>
    </row>
    <row r="2622" spans="1:16" ht="22.9" customHeight="1">
      <c r="A2622" s="1563"/>
      <c r="B2622" s="1583" t="s">
        <v>1248</v>
      </c>
      <c r="C2622" s="1583" t="s">
        <v>505</v>
      </c>
      <c r="D2622" s="1636"/>
      <c r="E2622" s="2279" t="s">
        <v>3109</v>
      </c>
      <c r="F2622" s="1642">
        <v>2233</v>
      </c>
      <c r="G2622" s="1653" t="s">
        <v>2234</v>
      </c>
      <c r="H2622" s="1649"/>
      <c r="I2622" s="1650">
        <v>10800</v>
      </c>
      <c r="J2622" s="1651"/>
      <c r="K2622" s="1652"/>
      <c r="L2622" s="2437"/>
      <c r="M2622" s="750"/>
      <c r="N2622" s="2847" t="s">
        <v>2235</v>
      </c>
      <c r="O2622" s="86"/>
      <c r="P2622" s="1817" t="e">
        <f>INDEX(#REF!,MATCH(F2622,#REF!,0),2)</f>
        <v>#REF!</v>
      </c>
    </row>
    <row r="2623" spans="1:16" ht="22.5">
      <c r="A2623" s="1882"/>
      <c r="B2623" s="1583" t="s">
        <v>1248</v>
      </c>
      <c r="C2623" s="1583" t="s">
        <v>505</v>
      </c>
      <c r="D2623" s="1636"/>
      <c r="E2623" s="2279" t="s">
        <v>3109</v>
      </c>
      <c r="F2623" s="1642">
        <v>2233</v>
      </c>
      <c r="G2623" s="2354" t="s">
        <v>3204</v>
      </c>
      <c r="H2623" s="1649"/>
      <c r="I2623" s="1650">
        <v>20000</v>
      </c>
      <c r="J2623" s="1651"/>
      <c r="K2623" s="1652"/>
      <c r="L2623" s="2437"/>
      <c r="M2623" s="1968"/>
      <c r="N2623" s="2847"/>
      <c r="O2623" s="86"/>
      <c r="P2623" s="1817" t="e">
        <f>INDEX(#REF!,MATCH(F2623,#REF!,0),2)</f>
        <v>#REF!</v>
      </c>
    </row>
    <row r="2624" spans="1:16">
      <c r="A2624" s="634"/>
      <c r="B2624" s="1581" t="s">
        <v>512</v>
      </c>
      <c r="C2624" s="1581" t="s">
        <v>567</v>
      </c>
      <c r="D2624" s="1597" t="s">
        <v>2274</v>
      </c>
      <c r="E2624" s="2093" t="s">
        <v>3109</v>
      </c>
      <c r="F2624" s="1655">
        <v>2239</v>
      </c>
      <c r="G2624" s="1582" t="s">
        <v>2236</v>
      </c>
      <c r="H2624" s="674">
        <v>47445</v>
      </c>
      <c r="I2624" s="736"/>
      <c r="J2624" s="737"/>
      <c r="K2624" s="738"/>
      <c r="L2624" s="1481">
        <v>0</v>
      </c>
      <c r="M2624" s="1500"/>
      <c r="N2624" s="2847" t="s">
        <v>2275</v>
      </c>
      <c r="O2624" s="86"/>
      <c r="P2624" s="1817" t="e">
        <f>INDEX(#REF!,MATCH(F2624,#REF!,0),2)</f>
        <v>#REF!</v>
      </c>
    </row>
    <row r="2625" spans="1:16">
      <c r="A2625" s="1563"/>
      <c r="B2625" s="1583" t="s">
        <v>512</v>
      </c>
      <c r="C2625" s="1583" t="s">
        <v>567</v>
      </c>
      <c r="D2625" s="1636"/>
      <c r="E2625" s="2279" t="s">
        <v>3109</v>
      </c>
      <c r="F2625" s="1642">
        <v>2239</v>
      </c>
      <c r="G2625" s="1653" t="s">
        <v>2237</v>
      </c>
      <c r="H2625" s="1649"/>
      <c r="I2625" s="1650">
        <v>21042</v>
      </c>
      <c r="J2625" s="1651"/>
      <c r="K2625" s="1652"/>
      <c r="L2625" s="2437"/>
      <c r="M2625" s="750"/>
      <c r="N2625" s="2847" t="s">
        <v>2238</v>
      </c>
      <c r="O2625" s="86"/>
      <c r="P2625" s="1817" t="e">
        <f>INDEX(#REF!,MATCH(F2625,#REF!,0),2)</f>
        <v>#REF!</v>
      </c>
    </row>
    <row r="2626" spans="1:16" ht="22.5">
      <c r="A2626" s="1563"/>
      <c r="B2626" s="1583" t="s">
        <v>512</v>
      </c>
      <c r="C2626" s="1583" t="s">
        <v>567</v>
      </c>
      <c r="D2626" s="1636"/>
      <c r="E2626" s="2279" t="s">
        <v>3109</v>
      </c>
      <c r="F2626" s="1642">
        <v>2239</v>
      </c>
      <c r="G2626" s="1653" t="s">
        <v>2239</v>
      </c>
      <c r="H2626" s="1649"/>
      <c r="I2626" s="1650">
        <v>17401</v>
      </c>
      <c r="J2626" s="1651"/>
      <c r="K2626" s="1652"/>
      <c r="L2626" s="2437"/>
      <c r="M2626" s="750"/>
      <c r="N2626" s="2847" t="s">
        <v>2240</v>
      </c>
      <c r="O2626" s="86"/>
      <c r="P2626" s="1817" t="e">
        <f>INDEX(#REF!,MATCH(F2626,#REF!,0),2)</f>
        <v>#REF!</v>
      </c>
    </row>
    <row r="2627" spans="1:16" ht="22.5">
      <c r="A2627" s="1563"/>
      <c r="B2627" s="1583" t="s">
        <v>512</v>
      </c>
      <c r="C2627" s="1583" t="s">
        <v>567</v>
      </c>
      <c r="D2627" s="1636"/>
      <c r="E2627" s="2279" t="s">
        <v>3109</v>
      </c>
      <c r="F2627" s="1642">
        <v>2239</v>
      </c>
      <c r="G2627" s="1653" t="s">
        <v>2241</v>
      </c>
      <c r="H2627" s="1649"/>
      <c r="I2627" s="1650">
        <v>9002</v>
      </c>
      <c r="J2627" s="1651"/>
      <c r="K2627" s="1652"/>
      <c r="L2627" s="2437"/>
      <c r="M2627" s="750"/>
      <c r="N2627" s="2847" t="s">
        <v>2242</v>
      </c>
      <c r="O2627" s="86"/>
      <c r="P2627" s="1817" t="e">
        <f>INDEX(#REF!,MATCH(F2627,#REF!,0),2)</f>
        <v>#REF!</v>
      </c>
    </row>
    <row r="2628" spans="1:16">
      <c r="A2628" s="634"/>
      <c r="B2628" s="1581" t="s">
        <v>1248</v>
      </c>
      <c r="C2628" s="1581" t="s">
        <v>567</v>
      </c>
      <c r="D2628" s="1597" t="s">
        <v>2274</v>
      </c>
      <c r="E2628" s="2093" t="s">
        <v>3109</v>
      </c>
      <c r="F2628" s="1655">
        <v>2239</v>
      </c>
      <c r="G2628" s="1582" t="s">
        <v>2236</v>
      </c>
      <c r="H2628" s="674">
        <v>2287.6</v>
      </c>
      <c r="I2628" s="736"/>
      <c r="J2628" s="737"/>
      <c r="K2628" s="738"/>
      <c r="L2628" s="1481">
        <v>0</v>
      </c>
      <c r="M2628" s="1500"/>
      <c r="N2628" s="2847" t="s">
        <v>2243</v>
      </c>
      <c r="O2628" s="86"/>
      <c r="P2628" s="1817" t="e">
        <f>INDEX(#REF!,MATCH(F2628,#REF!,0),2)</f>
        <v>#REF!</v>
      </c>
    </row>
    <row r="2629" spans="1:16" ht="22.5">
      <c r="A2629" s="1563"/>
      <c r="B2629" s="1583" t="s">
        <v>1248</v>
      </c>
      <c r="C2629" s="1583" t="s">
        <v>567</v>
      </c>
      <c r="D2629" s="1636"/>
      <c r="E2629" s="2279" t="s">
        <v>3109</v>
      </c>
      <c r="F2629" s="1642">
        <v>2239</v>
      </c>
      <c r="G2629" s="1653" t="s">
        <v>2244</v>
      </c>
      <c r="H2629" s="1649"/>
      <c r="I2629" s="1650">
        <v>1089</v>
      </c>
      <c r="J2629" s="1651"/>
      <c r="K2629" s="1652"/>
      <c r="L2629" s="2437"/>
      <c r="M2629" s="750"/>
      <c r="N2629" s="2847" t="s">
        <v>2245</v>
      </c>
      <c r="O2629" s="86"/>
      <c r="P2629" s="1817" t="e">
        <f>INDEX(#REF!,MATCH(F2629,#REF!,0),2)</f>
        <v>#REF!</v>
      </c>
    </row>
    <row r="2630" spans="1:16" ht="22.5">
      <c r="A2630" s="1563"/>
      <c r="B2630" s="1583" t="s">
        <v>1248</v>
      </c>
      <c r="C2630" s="1583" t="s">
        <v>567</v>
      </c>
      <c r="D2630" s="1636"/>
      <c r="E2630" s="2279" t="s">
        <v>3109</v>
      </c>
      <c r="F2630" s="1642">
        <v>2239</v>
      </c>
      <c r="G2630" s="1653" t="s">
        <v>2246</v>
      </c>
      <c r="H2630" s="1649"/>
      <c r="I2630" s="1650">
        <v>763</v>
      </c>
      <c r="J2630" s="1651"/>
      <c r="K2630" s="1652"/>
      <c r="L2630" s="2437"/>
      <c r="M2630" s="750"/>
      <c r="N2630" s="2847" t="s">
        <v>2247</v>
      </c>
      <c r="O2630" s="86"/>
      <c r="P2630" s="1817" t="e">
        <f>INDEX(#REF!,MATCH(F2630,#REF!,0),2)</f>
        <v>#REF!</v>
      </c>
    </row>
    <row r="2631" spans="1:16" ht="22.5">
      <c r="A2631" s="1563"/>
      <c r="B2631" s="1583" t="s">
        <v>1248</v>
      </c>
      <c r="C2631" s="1583" t="s">
        <v>567</v>
      </c>
      <c r="D2631" s="1636"/>
      <c r="E2631" s="2279" t="s">
        <v>3109</v>
      </c>
      <c r="F2631" s="1642">
        <v>2239</v>
      </c>
      <c r="G2631" s="1653" t="s">
        <v>2248</v>
      </c>
      <c r="H2631" s="1649"/>
      <c r="I2631" s="1650">
        <v>435.6</v>
      </c>
      <c r="J2631" s="1651"/>
      <c r="K2631" s="1652"/>
      <c r="L2631" s="2437"/>
      <c r="M2631" s="750"/>
      <c r="N2631" s="2847" t="s">
        <v>2249</v>
      </c>
      <c r="O2631" s="86"/>
      <c r="P2631" s="1817" t="e">
        <f>INDEX(#REF!,MATCH(F2631,#REF!,0),2)</f>
        <v>#REF!</v>
      </c>
    </row>
    <row r="2632" spans="1:16" ht="12" customHeight="1">
      <c r="A2632" s="634"/>
      <c r="B2632" s="1581" t="s">
        <v>1248</v>
      </c>
      <c r="C2632" s="1581" t="s">
        <v>567</v>
      </c>
      <c r="D2632" s="1597" t="s">
        <v>2274</v>
      </c>
      <c r="E2632" s="2093" t="s">
        <v>3109</v>
      </c>
      <c r="F2632" s="1655">
        <v>2239</v>
      </c>
      <c r="G2632" s="1582" t="s">
        <v>2250</v>
      </c>
      <c r="H2632" s="674">
        <v>2500</v>
      </c>
      <c r="I2632" s="736"/>
      <c r="J2632" s="737"/>
      <c r="K2632" s="738"/>
      <c r="L2632" s="1481">
        <v>0</v>
      </c>
      <c r="M2632" s="1500"/>
      <c r="N2632" s="2847"/>
      <c r="O2632" s="86"/>
      <c r="P2632" s="1817" t="e">
        <f>INDEX(#REF!,MATCH(F2632,#REF!,0),2)</f>
        <v>#REF!</v>
      </c>
    </row>
    <row r="2633" spans="1:16" ht="33.75">
      <c r="A2633" s="1563"/>
      <c r="B2633" s="1583" t="s">
        <v>1248</v>
      </c>
      <c r="C2633" s="1583" t="s">
        <v>567</v>
      </c>
      <c r="D2633" s="1636"/>
      <c r="E2633" s="2279" t="s">
        <v>3109</v>
      </c>
      <c r="F2633" s="1642">
        <v>2239</v>
      </c>
      <c r="G2633" s="1653" t="s">
        <v>2251</v>
      </c>
      <c r="H2633" s="1649"/>
      <c r="I2633" s="1650">
        <v>2500</v>
      </c>
      <c r="J2633" s="1651"/>
      <c r="K2633" s="1652"/>
      <c r="L2633" s="2437"/>
      <c r="M2633" s="750"/>
      <c r="N2633" s="2847"/>
      <c r="O2633" s="86"/>
      <c r="P2633" s="1817" t="e">
        <f>INDEX(#REF!,MATCH(F2633,#REF!,0),2)</f>
        <v>#REF!</v>
      </c>
    </row>
    <row r="2634" spans="1:16">
      <c r="A2634" s="634"/>
      <c r="B2634" s="775" t="s">
        <v>1249</v>
      </c>
      <c r="C2634" s="1581" t="s">
        <v>534</v>
      </c>
      <c r="D2634" s="1597" t="s">
        <v>2274</v>
      </c>
      <c r="E2634" s="2093" t="s">
        <v>3109</v>
      </c>
      <c r="F2634" s="1655">
        <v>2312</v>
      </c>
      <c r="G2634" s="1582" t="s">
        <v>363</v>
      </c>
      <c r="H2634" s="674">
        <v>11960</v>
      </c>
      <c r="I2634" s="736"/>
      <c r="J2634" s="737"/>
      <c r="K2634" s="738"/>
      <c r="L2634" s="1481">
        <v>0</v>
      </c>
      <c r="M2634" s="1500"/>
      <c r="N2634" s="2847"/>
      <c r="O2634" s="86"/>
      <c r="P2634" s="1817" t="e">
        <f>INDEX(#REF!,MATCH(F2634,#REF!,0),2)</f>
        <v>#REF!</v>
      </c>
    </row>
    <row r="2635" spans="1:16">
      <c r="A2635" s="1563"/>
      <c r="B2635" s="489" t="s">
        <v>1249</v>
      </c>
      <c r="C2635" s="1583" t="s">
        <v>534</v>
      </c>
      <c r="D2635" s="1636"/>
      <c r="E2635" s="2279" t="s">
        <v>3109</v>
      </c>
      <c r="F2635" s="1642">
        <v>2312</v>
      </c>
      <c r="G2635" s="1654" t="s">
        <v>2252</v>
      </c>
      <c r="H2635" s="1649"/>
      <c r="I2635" s="1650"/>
      <c r="J2635" s="1651"/>
      <c r="K2635" s="1652"/>
      <c r="L2635" s="2437"/>
      <c r="M2635" s="750"/>
      <c r="N2635" s="2847"/>
      <c r="O2635" s="86"/>
      <c r="P2635" s="1817" t="e">
        <f>INDEX(#REF!,MATCH(F2635,#REF!,0),2)</f>
        <v>#REF!</v>
      </c>
    </row>
    <row r="2636" spans="1:16">
      <c r="A2636" s="1563"/>
      <c r="B2636" s="489" t="s">
        <v>1249</v>
      </c>
      <c r="C2636" s="1583" t="s">
        <v>534</v>
      </c>
      <c r="D2636" s="1636"/>
      <c r="E2636" s="2279" t="s">
        <v>3109</v>
      </c>
      <c r="F2636" s="1642">
        <v>2312</v>
      </c>
      <c r="G2636" s="1653" t="s">
        <v>2253</v>
      </c>
      <c r="H2636" s="1649"/>
      <c r="I2636" s="1650">
        <v>1320</v>
      </c>
      <c r="J2636" s="1651"/>
      <c r="K2636" s="1652"/>
      <c r="L2636" s="2437"/>
      <c r="M2636" s="750"/>
      <c r="N2636" s="2847" t="s">
        <v>2254</v>
      </c>
      <c r="O2636" s="86"/>
      <c r="P2636" s="1817" t="e">
        <f>INDEX(#REF!,MATCH(F2636,#REF!,0),2)</f>
        <v>#REF!</v>
      </c>
    </row>
    <row r="2637" spans="1:16" ht="33.75">
      <c r="A2637" s="1563"/>
      <c r="B2637" s="489" t="s">
        <v>1249</v>
      </c>
      <c r="C2637" s="1583" t="s">
        <v>534</v>
      </c>
      <c r="D2637" s="1636"/>
      <c r="E2637" s="2279" t="s">
        <v>3109</v>
      </c>
      <c r="F2637" s="1642">
        <v>2312</v>
      </c>
      <c r="G2637" s="1653" t="s">
        <v>2255</v>
      </c>
      <c r="H2637" s="1649"/>
      <c r="I2637" s="1650">
        <v>1640</v>
      </c>
      <c r="J2637" s="1651"/>
      <c r="K2637" s="1652"/>
      <c r="L2637" s="2437"/>
      <c r="M2637" s="750"/>
      <c r="N2637" s="2847" t="s">
        <v>2256</v>
      </c>
      <c r="O2637" s="86"/>
      <c r="P2637" s="1817" t="e">
        <f>INDEX(#REF!,MATCH(F2637,#REF!,0),2)</f>
        <v>#REF!</v>
      </c>
    </row>
    <row r="2638" spans="1:16" ht="22.5">
      <c r="A2638" s="1563"/>
      <c r="B2638" s="489" t="s">
        <v>1249</v>
      </c>
      <c r="C2638" s="1583" t="s">
        <v>534</v>
      </c>
      <c r="D2638" s="1636"/>
      <c r="E2638" s="2279" t="s">
        <v>3109</v>
      </c>
      <c r="F2638" s="1642">
        <v>2312</v>
      </c>
      <c r="G2638" s="1653" t="s">
        <v>2257</v>
      </c>
      <c r="H2638" s="1649"/>
      <c r="I2638" s="1650">
        <v>1500</v>
      </c>
      <c r="J2638" s="1651"/>
      <c r="K2638" s="1652"/>
      <c r="L2638" s="2437"/>
      <c r="M2638" s="750"/>
      <c r="N2638" s="2847" t="s">
        <v>2258</v>
      </c>
      <c r="O2638" s="86"/>
      <c r="P2638" s="1817" t="e">
        <f>INDEX(#REF!,MATCH(F2638,#REF!,0),2)</f>
        <v>#REF!</v>
      </c>
    </row>
    <row r="2639" spans="1:16" ht="21">
      <c r="A2639" s="1563"/>
      <c r="B2639" s="489" t="s">
        <v>1249</v>
      </c>
      <c r="C2639" s="1583"/>
      <c r="D2639" s="1636"/>
      <c r="E2639" s="2279" t="s">
        <v>3109</v>
      </c>
      <c r="F2639" s="1584"/>
      <c r="G2639" s="1654" t="s">
        <v>2259</v>
      </c>
      <c r="H2639" s="1649"/>
      <c r="I2639" s="1650">
        <v>0</v>
      </c>
      <c r="J2639" s="1651"/>
      <c r="K2639" s="1652"/>
      <c r="L2639" s="2437"/>
      <c r="M2639" s="750"/>
      <c r="N2639" s="2847"/>
      <c r="O2639" s="86"/>
      <c r="P2639" s="1817" t="e">
        <f>INDEX(#REF!,MATCH(F2639,#REF!,0),2)</f>
        <v>#REF!</v>
      </c>
    </row>
    <row r="2640" spans="1:16">
      <c r="A2640" s="1563"/>
      <c r="B2640" s="489" t="s">
        <v>1249</v>
      </c>
      <c r="C2640" s="1583" t="s">
        <v>534</v>
      </c>
      <c r="D2640" s="1636"/>
      <c r="E2640" s="2279" t="s">
        <v>3109</v>
      </c>
      <c r="F2640" s="1642">
        <v>2312</v>
      </c>
      <c r="G2640" s="1653" t="s">
        <v>2260</v>
      </c>
      <c r="H2640" s="1649"/>
      <c r="I2640" s="1650">
        <v>3500</v>
      </c>
      <c r="J2640" s="1651"/>
      <c r="K2640" s="1652"/>
      <c r="L2640" s="2437"/>
      <c r="M2640" s="750"/>
      <c r="N2640" s="2847" t="s">
        <v>2261</v>
      </c>
      <c r="O2640" s="86"/>
      <c r="P2640" s="1817" t="e">
        <f>INDEX(#REF!,MATCH(F2640,#REF!,0),2)</f>
        <v>#REF!</v>
      </c>
    </row>
    <row r="2641" spans="1:48" s="79" customFormat="1" ht="11.45" customHeight="1">
      <c r="A2641" s="1563"/>
      <c r="B2641" s="489" t="s">
        <v>1249</v>
      </c>
      <c r="C2641" s="1583" t="s">
        <v>534</v>
      </c>
      <c r="D2641" s="1636"/>
      <c r="E2641" s="2279" t="s">
        <v>3109</v>
      </c>
      <c r="F2641" s="1642">
        <v>2312</v>
      </c>
      <c r="G2641" s="1653" t="s">
        <v>2262</v>
      </c>
      <c r="H2641" s="1649"/>
      <c r="I2641" s="1650">
        <v>2000</v>
      </c>
      <c r="J2641" s="1651"/>
      <c r="K2641" s="1652"/>
      <c r="L2641" s="2437"/>
      <c r="M2641" s="750"/>
      <c r="N2641" s="2847" t="s">
        <v>2263</v>
      </c>
      <c r="O2641" s="86"/>
      <c r="P2641" s="1817" t="e">
        <f>INDEX(#REF!,MATCH(F2641,#REF!,0),2)</f>
        <v>#REF!</v>
      </c>
      <c r="Q2641" s="1025"/>
      <c r="R2641" s="1025"/>
      <c r="S2641" s="1025"/>
      <c r="T2641" s="1025"/>
      <c r="U2641" s="1025"/>
      <c r="V2641" s="1025"/>
      <c r="W2641" s="43"/>
      <c r="X2641" s="1025"/>
      <c r="Y2641" s="1025"/>
      <c r="Z2641" s="1025"/>
      <c r="AA2641" s="1025"/>
      <c r="AB2641" s="1025"/>
      <c r="AC2641" s="1025"/>
      <c r="AD2641" s="1025"/>
      <c r="AE2641" s="1025"/>
      <c r="AF2641" s="1025"/>
      <c r="AG2641" s="1025"/>
      <c r="AH2641" s="1025"/>
      <c r="AI2641" s="1025"/>
      <c r="AJ2641" s="1025"/>
      <c r="AK2641" s="1025"/>
      <c r="AL2641" s="1025"/>
      <c r="AM2641" s="1025"/>
      <c r="AN2641" s="1025"/>
      <c r="AO2641" s="1025"/>
      <c r="AP2641" s="1025"/>
      <c r="AQ2641" s="1025"/>
      <c r="AR2641" s="1025"/>
      <c r="AS2641" s="1025"/>
      <c r="AT2641" s="1025"/>
      <c r="AU2641" s="1025"/>
      <c r="AV2641" s="1025"/>
    </row>
    <row r="2642" spans="1:48" s="79" customFormat="1" ht="11.45" customHeight="1">
      <c r="A2642" s="1563"/>
      <c r="B2642" s="489" t="s">
        <v>1249</v>
      </c>
      <c r="C2642" s="1583" t="s">
        <v>534</v>
      </c>
      <c r="D2642" s="1636"/>
      <c r="E2642" s="2279" t="s">
        <v>3109</v>
      </c>
      <c r="F2642" s="1642">
        <v>2312</v>
      </c>
      <c r="G2642" s="1653" t="s">
        <v>2264</v>
      </c>
      <c r="H2642" s="1649"/>
      <c r="I2642" s="1650">
        <v>2000</v>
      </c>
      <c r="J2642" s="1651"/>
      <c r="K2642" s="1652"/>
      <c r="L2642" s="2437"/>
      <c r="M2642" s="750"/>
      <c r="N2642" s="2847" t="s">
        <v>2265</v>
      </c>
      <c r="O2642" s="86"/>
      <c r="P2642" s="1817" t="e">
        <f>INDEX(#REF!,MATCH(F2642,#REF!,0),2)</f>
        <v>#REF!</v>
      </c>
      <c r="Q2642" s="1025"/>
      <c r="R2642" s="1025"/>
      <c r="S2642" s="1025"/>
      <c r="T2642" s="1025"/>
      <c r="U2642" s="1025"/>
      <c r="V2642" s="1025"/>
      <c r="W2642" s="43"/>
      <c r="X2642" s="1025"/>
      <c r="Y2642" s="1025"/>
      <c r="Z2642" s="1025"/>
      <c r="AA2642" s="1025"/>
      <c r="AB2642" s="1025"/>
      <c r="AC2642" s="1025"/>
      <c r="AD2642" s="1025"/>
      <c r="AE2642" s="1025"/>
      <c r="AF2642" s="1025"/>
      <c r="AG2642" s="1025"/>
      <c r="AH2642" s="1025"/>
      <c r="AI2642" s="1025"/>
      <c r="AJ2642" s="1025"/>
      <c r="AK2642" s="1025"/>
      <c r="AL2642" s="1025"/>
      <c r="AM2642" s="1025"/>
      <c r="AN2642" s="1025"/>
      <c r="AO2642" s="1025"/>
      <c r="AP2642" s="1025"/>
      <c r="AQ2642" s="1025"/>
      <c r="AR2642" s="1025"/>
      <c r="AS2642" s="1025"/>
      <c r="AT2642" s="1025"/>
      <c r="AU2642" s="1025"/>
      <c r="AV2642" s="1025"/>
    </row>
    <row r="2643" spans="1:48" s="79" customFormat="1" ht="11.45" customHeight="1">
      <c r="A2643" s="634"/>
      <c r="B2643" s="1581" t="s">
        <v>1248</v>
      </c>
      <c r="C2643" s="1581" t="s">
        <v>505</v>
      </c>
      <c r="D2643" s="1597" t="s">
        <v>2274</v>
      </c>
      <c r="E2643" s="2093" t="s">
        <v>3109</v>
      </c>
      <c r="F2643" s="1655">
        <v>2390</v>
      </c>
      <c r="G2643" s="1582" t="s">
        <v>253</v>
      </c>
      <c r="H2643" s="674">
        <v>1500</v>
      </c>
      <c r="I2643" s="736"/>
      <c r="J2643" s="737"/>
      <c r="K2643" s="738"/>
      <c r="L2643" s="1481">
        <v>0</v>
      </c>
      <c r="M2643" s="1500"/>
      <c r="N2643" s="2847"/>
      <c r="O2643" s="86"/>
      <c r="P2643" s="1817" t="e">
        <f>INDEX(#REF!,MATCH(F2643,#REF!,0),2)</f>
        <v>#REF!</v>
      </c>
      <c r="Q2643" s="1025"/>
      <c r="R2643" s="1025"/>
      <c r="S2643" s="1025"/>
      <c r="T2643" s="1025"/>
      <c r="U2643" s="1025"/>
      <c r="V2643" s="1025"/>
      <c r="W2643" s="43"/>
      <c r="X2643" s="1025"/>
      <c r="Y2643" s="1025"/>
      <c r="Z2643" s="1025"/>
      <c r="AA2643" s="1025"/>
      <c r="AB2643" s="1025"/>
      <c r="AC2643" s="1025"/>
      <c r="AD2643" s="1025"/>
      <c r="AE2643" s="1025"/>
      <c r="AF2643" s="1025"/>
      <c r="AG2643" s="1025"/>
      <c r="AH2643" s="1025"/>
      <c r="AI2643" s="1025"/>
      <c r="AJ2643" s="1025"/>
      <c r="AK2643" s="1025"/>
      <c r="AL2643" s="1025"/>
      <c r="AM2643" s="1025"/>
      <c r="AN2643" s="1025"/>
      <c r="AO2643" s="1025"/>
      <c r="AP2643" s="1025"/>
      <c r="AQ2643" s="1025"/>
      <c r="AR2643" s="1025"/>
      <c r="AS2643" s="1025"/>
      <c r="AT2643" s="1025"/>
      <c r="AU2643" s="1025"/>
      <c r="AV2643" s="1025"/>
    </row>
    <row r="2644" spans="1:48" s="79" customFormat="1" ht="11.45" customHeight="1">
      <c r="A2644" s="1563"/>
      <c r="B2644" s="1583" t="s">
        <v>1248</v>
      </c>
      <c r="C2644" s="1583" t="s">
        <v>505</v>
      </c>
      <c r="D2644" s="1636"/>
      <c r="E2644" s="2279" t="s">
        <v>3109</v>
      </c>
      <c r="F2644" s="1642">
        <v>2390</v>
      </c>
      <c r="G2644" s="1653" t="s">
        <v>2266</v>
      </c>
      <c r="H2644" s="1649"/>
      <c r="I2644" s="1650">
        <v>1500</v>
      </c>
      <c r="J2644" s="1651"/>
      <c r="K2644" s="1652"/>
      <c r="L2644" s="2437"/>
      <c r="M2644" s="750"/>
      <c r="N2644" s="2847"/>
      <c r="O2644" s="86"/>
      <c r="P2644" s="1817" t="e">
        <f>INDEX(#REF!,MATCH(F2644,#REF!,0),2)</f>
        <v>#REF!</v>
      </c>
      <c r="Q2644" s="1025"/>
      <c r="R2644" s="1025"/>
      <c r="S2644" s="1025"/>
      <c r="T2644" s="1025"/>
      <c r="U2644" s="1025"/>
      <c r="V2644" s="1025"/>
      <c r="W2644" s="43"/>
      <c r="X2644" s="1025"/>
      <c r="Y2644" s="1025"/>
      <c r="Z2644" s="1025"/>
      <c r="AA2644" s="1025"/>
      <c r="AB2644" s="1025"/>
      <c r="AC2644" s="1025"/>
      <c r="AD2644" s="1025"/>
      <c r="AE2644" s="1025"/>
      <c r="AF2644" s="1025"/>
      <c r="AG2644" s="1025"/>
      <c r="AH2644" s="1025"/>
      <c r="AI2644" s="1025"/>
      <c r="AJ2644" s="1025"/>
      <c r="AK2644" s="1025"/>
      <c r="AL2644" s="1025"/>
      <c r="AM2644" s="1025"/>
      <c r="AN2644" s="1025"/>
      <c r="AO2644" s="1025"/>
      <c r="AP2644" s="1025"/>
      <c r="AQ2644" s="1025"/>
      <c r="AR2644" s="1025"/>
      <c r="AS2644" s="1025"/>
      <c r="AT2644" s="1025"/>
      <c r="AU2644" s="1025"/>
      <c r="AV2644" s="1025"/>
    </row>
    <row r="2645" spans="1:48" s="79" customFormat="1" ht="11.45" customHeight="1">
      <c r="A2645" s="803"/>
      <c r="B2645" s="755" t="s">
        <v>663</v>
      </c>
      <c r="C2645" s="755" t="s">
        <v>652</v>
      </c>
      <c r="D2645" s="1600">
        <v>952</v>
      </c>
      <c r="E2645" s="2248" t="s">
        <v>1936</v>
      </c>
      <c r="F2645" s="756">
        <v>1119</v>
      </c>
      <c r="G2645" s="757" t="s">
        <v>224</v>
      </c>
      <c r="H2645" s="2842">
        <v>188862.79999999996</v>
      </c>
      <c r="I2645" s="2842"/>
      <c r="J2645" s="2842">
        <v>131981.25</v>
      </c>
      <c r="K2645" s="3654"/>
      <c r="L2645" s="2842">
        <v>217818.39999999997</v>
      </c>
      <c r="M2645" s="2842"/>
      <c r="N2645" s="2847"/>
      <c r="O2645" s="86"/>
      <c r="P2645" s="1817" t="e">
        <f>INDEX(#REF!,MATCH(F2645,#REF!,0),2)</f>
        <v>#REF!</v>
      </c>
      <c r="Q2645" s="1025"/>
      <c r="R2645" s="1025"/>
      <c r="S2645" s="1025"/>
      <c r="T2645" s="1025"/>
      <c r="U2645" s="1025"/>
      <c r="V2645" s="1025"/>
      <c r="W2645" s="43"/>
      <c r="X2645" s="1025"/>
      <c r="Y2645" s="1025"/>
      <c r="Z2645" s="1025"/>
      <c r="AA2645" s="1025"/>
      <c r="AB2645" s="1025"/>
      <c r="AC2645" s="1025"/>
      <c r="AD2645" s="1025"/>
      <c r="AE2645" s="1025"/>
      <c r="AF2645" s="1025"/>
      <c r="AG2645" s="1025"/>
      <c r="AH2645" s="1025"/>
      <c r="AI2645" s="1025"/>
      <c r="AJ2645" s="1025"/>
      <c r="AK2645" s="1025"/>
      <c r="AL2645" s="1025"/>
      <c r="AM2645" s="1025"/>
      <c r="AN2645" s="1025"/>
      <c r="AO2645" s="1025"/>
      <c r="AP2645" s="1025"/>
      <c r="AQ2645" s="1025"/>
      <c r="AR2645" s="1025"/>
      <c r="AS2645" s="1025"/>
      <c r="AT2645" s="1025"/>
      <c r="AU2645" s="1025"/>
      <c r="AV2645" s="1025"/>
    </row>
    <row r="2646" spans="1:48" s="79" customFormat="1" ht="22.5" customHeight="1">
      <c r="A2646" s="771"/>
      <c r="B2646" s="762" t="s">
        <v>663</v>
      </c>
      <c r="C2646" s="762" t="s">
        <v>652</v>
      </c>
      <c r="D2646" s="1599"/>
      <c r="E2646" s="2245" t="s">
        <v>1936</v>
      </c>
      <c r="F2646" s="763">
        <v>1119</v>
      </c>
      <c r="G2646" s="805" t="s">
        <v>663</v>
      </c>
      <c r="H2646" s="2779"/>
      <c r="I2646" s="2779">
        <v>188862.79999999996</v>
      </c>
      <c r="J2646" s="2779"/>
      <c r="K2646" s="2777"/>
      <c r="L2646" s="2779"/>
      <c r="M2646" s="2779">
        <v>217818.39999999997</v>
      </c>
      <c r="N2646" s="2847"/>
      <c r="O2646" s="86"/>
      <c r="P2646" s="1817" t="e">
        <f>INDEX(#REF!,MATCH(F2646,#REF!,0),2)</f>
        <v>#REF!</v>
      </c>
      <c r="Q2646" s="1025"/>
      <c r="R2646" s="1025"/>
      <c r="S2646" s="1025"/>
      <c r="T2646" s="1025"/>
      <c r="U2646" s="1025"/>
      <c r="V2646" s="1025"/>
      <c r="W2646" s="43"/>
      <c r="X2646" s="1025"/>
      <c r="Y2646" s="1025"/>
      <c r="Z2646" s="1025"/>
      <c r="AA2646" s="1025"/>
      <c r="AB2646" s="1025"/>
      <c r="AC2646" s="1025"/>
      <c r="AD2646" s="1025"/>
      <c r="AE2646" s="1025"/>
      <c r="AF2646" s="1025"/>
      <c r="AG2646" s="1025"/>
      <c r="AH2646" s="1025"/>
      <c r="AI2646" s="1025"/>
      <c r="AJ2646" s="1025"/>
      <c r="AK2646" s="1025"/>
      <c r="AL2646" s="1025"/>
      <c r="AM2646" s="1025"/>
      <c r="AN2646" s="1025"/>
      <c r="AO2646" s="1025"/>
      <c r="AP2646" s="1025"/>
      <c r="AQ2646" s="1025"/>
      <c r="AR2646" s="1025"/>
      <c r="AS2646" s="1025"/>
      <c r="AT2646" s="1025"/>
      <c r="AU2646" s="1025"/>
      <c r="AV2646" s="1025"/>
    </row>
    <row r="2647" spans="1:48" s="79" customFormat="1" ht="11.45" customHeight="1">
      <c r="A2647" s="771"/>
      <c r="B2647" s="762" t="s">
        <v>663</v>
      </c>
      <c r="C2647" s="762" t="s">
        <v>652</v>
      </c>
      <c r="D2647" s="1599"/>
      <c r="E2647" s="2245" t="s">
        <v>1936</v>
      </c>
      <c r="F2647" s="763">
        <v>1119</v>
      </c>
      <c r="G2647" s="805" t="s">
        <v>2064</v>
      </c>
      <c r="H2647" s="2779"/>
      <c r="I2647" s="2779"/>
      <c r="J2647" s="2779"/>
      <c r="K2647" s="2777"/>
      <c r="L2647" s="2779"/>
      <c r="M2647" s="2779"/>
      <c r="N2647" s="2847"/>
      <c r="O2647" s="86"/>
      <c r="P2647" s="1817" t="e">
        <f>INDEX(#REF!,MATCH(F2647,#REF!,0),2)</f>
        <v>#REF!</v>
      </c>
      <c r="Q2647" s="1025"/>
      <c r="R2647" s="1025"/>
      <c r="S2647" s="1025"/>
      <c r="T2647" s="1025"/>
      <c r="U2647" s="1025"/>
      <c r="V2647" s="1025"/>
      <c r="W2647" s="43"/>
      <c r="X2647" s="1025"/>
      <c r="Y2647" s="1025"/>
      <c r="Z2647" s="1025"/>
      <c r="AA2647" s="1025"/>
      <c r="AB2647" s="1025"/>
      <c r="AC2647" s="1025"/>
      <c r="AD2647" s="1025"/>
      <c r="AE2647" s="1025"/>
      <c r="AF2647" s="1025"/>
      <c r="AG2647" s="1025"/>
      <c r="AH2647" s="1025"/>
      <c r="AI2647" s="1025"/>
      <c r="AJ2647" s="1025"/>
      <c r="AK2647" s="1025"/>
      <c r="AL2647" s="1025"/>
      <c r="AM2647" s="1025"/>
      <c r="AN2647" s="1025"/>
      <c r="AO2647" s="1025"/>
      <c r="AP2647" s="1025"/>
      <c r="AQ2647" s="1025"/>
      <c r="AR2647" s="1025"/>
      <c r="AS2647" s="1025"/>
      <c r="AT2647" s="1025"/>
      <c r="AU2647" s="1025"/>
      <c r="AV2647" s="1025"/>
    </row>
    <row r="2648" spans="1:48" s="79" customFormat="1" ht="11.45" customHeight="1">
      <c r="A2648" s="803"/>
      <c r="B2648" s="755" t="s">
        <v>512</v>
      </c>
      <c r="C2648" s="755" t="s">
        <v>506</v>
      </c>
      <c r="D2648" s="1600">
        <v>952</v>
      </c>
      <c r="E2648" s="2247" t="s">
        <v>1937</v>
      </c>
      <c r="F2648" s="756">
        <v>1119</v>
      </c>
      <c r="G2648" s="757" t="s">
        <v>366</v>
      </c>
      <c r="H2648" s="3655">
        <v>67798.600000000006</v>
      </c>
      <c r="I2648" s="2842"/>
      <c r="J2648" s="2842"/>
      <c r="K2648" s="3654"/>
      <c r="L2648" s="3656">
        <v>116585.79999999999</v>
      </c>
      <c r="M2648" s="2839"/>
      <c r="N2648" s="2847"/>
      <c r="O2648" s="86"/>
      <c r="P2648" s="1817" t="e">
        <f>INDEX(#REF!,MATCH(F2648,#REF!,0),2)</f>
        <v>#REF!</v>
      </c>
      <c r="Q2648" s="1025"/>
      <c r="R2648" s="1025"/>
      <c r="S2648" s="1025"/>
      <c r="T2648" s="1025"/>
      <c r="U2648" s="1025"/>
      <c r="V2648" s="1025"/>
      <c r="W2648" s="43"/>
      <c r="X2648" s="1025"/>
      <c r="Y2648" s="1025"/>
      <c r="Z2648" s="1025"/>
      <c r="AA2648" s="1025"/>
      <c r="AB2648" s="1025"/>
      <c r="AC2648" s="1025"/>
      <c r="AD2648" s="1025"/>
      <c r="AE2648" s="1025"/>
      <c r="AF2648" s="1025"/>
      <c r="AG2648" s="1025"/>
      <c r="AH2648" s="1025"/>
      <c r="AI2648" s="1025"/>
      <c r="AJ2648" s="1025"/>
      <c r="AK2648" s="1025"/>
      <c r="AL2648" s="1025"/>
      <c r="AM2648" s="1025"/>
      <c r="AN2648" s="1025"/>
      <c r="AO2648" s="1025"/>
      <c r="AP2648" s="1025"/>
      <c r="AQ2648" s="1025"/>
      <c r="AR2648" s="1025"/>
      <c r="AS2648" s="1025"/>
      <c r="AT2648" s="1025"/>
      <c r="AU2648" s="1025"/>
    </row>
    <row r="2649" spans="1:48" s="79" customFormat="1" ht="11.45" customHeight="1">
      <c r="A2649" s="771"/>
      <c r="B2649" s="762" t="s">
        <v>512</v>
      </c>
      <c r="C2649" s="762" t="s">
        <v>506</v>
      </c>
      <c r="D2649" s="1599"/>
      <c r="E2649" s="2245" t="s">
        <v>1937</v>
      </c>
      <c r="F2649" s="763">
        <v>1119</v>
      </c>
      <c r="G2649" s="805" t="s">
        <v>1216</v>
      </c>
      <c r="H2649" s="2779"/>
      <c r="I2649" s="2779">
        <v>61130.600000000006</v>
      </c>
      <c r="J2649" s="2779"/>
      <c r="K2649" s="2777"/>
      <c r="L2649" s="2778"/>
      <c r="M2649" s="2778">
        <v>109917.79999999999</v>
      </c>
      <c r="N2649" s="2847"/>
      <c r="O2649" s="86"/>
      <c r="P2649" s="1817" t="e">
        <f>INDEX(#REF!,MATCH(F2649,#REF!,0),2)</f>
        <v>#REF!</v>
      </c>
      <c r="Q2649" s="1025"/>
      <c r="R2649" s="1025"/>
      <c r="S2649" s="1025"/>
      <c r="T2649" s="1025"/>
      <c r="U2649" s="1025"/>
      <c r="V2649" s="1025"/>
      <c r="W2649" s="43"/>
      <c r="X2649" s="1025"/>
      <c r="Y2649" s="1025"/>
      <c r="Z2649" s="1025"/>
      <c r="AA2649" s="1025"/>
      <c r="AB2649" s="1025"/>
      <c r="AC2649" s="1025"/>
      <c r="AD2649" s="1025"/>
      <c r="AE2649" s="1025"/>
      <c r="AF2649" s="1025"/>
      <c r="AG2649" s="1025"/>
      <c r="AH2649" s="1025"/>
      <c r="AI2649" s="1025"/>
      <c r="AJ2649" s="1025"/>
      <c r="AK2649" s="1025"/>
      <c r="AL2649" s="1025"/>
      <c r="AM2649" s="1025"/>
      <c r="AN2649" s="1025"/>
      <c r="AO2649" s="1025"/>
      <c r="AP2649" s="1025"/>
      <c r="AQ2649" s="1025"/>
      <c r="AR2649" s="1025"/>
      <c r="AS2649" s="1025"/>
      <c r="AT2649" s="1025"/>
      <c r="AU2649" s="1025"/>
      <c r="AV2649" s="1025"/>
    </row>
    <row r="2650" spans="1:48" s="79" customFormat="1" ht="20.45" customHeight="1">
      <c r="A2650" s="1471"/>
      <c r="B2650" s="762" t="s">
        <v>512</v>
      </c>
      <c r="C2650" s="762" t="s">
        <v>506</v>
      </c>
      <c r="D2650" s="1599"/>
      <c r="E2650" s="2245" t="s">
        <v>1937</v>
      </c>
      <c r="F2650" s="763">
        <v>1119</v>
      </c>
      <c r="G2650" s="1472" t="s">
        <v>2053</v>
      </c>
      <c r="H2650" s="2779"/>
      <c r="I2650" s="2779">
        <v>6668</v>
      </c>
      <c r="J2650" s="2779"/>
      <c r="K2650" s="2777"/>
      <c r="L2650" s="2778"/>
      <c r="M2650" s="2778">
        <v>6668</v>
      </c>
      <c r="N2650" s="2847"/>
      <c r="O2650" s="86"/>
      <c r="P2650" s="1817" t="e">
        <f>INDEX(#REF!,MATCH(F2650,#REF!,0),2)</f>
        <v>#REF!</v>
      </c>
      <c r="Q2650" s="1025"/>
      <c r="R2650" s="1025"/>
      <c r="S2650" s="1025"/>
      <c r="T2650" s="1025"/>
      <c r="U2650" s="1025"/>
      <c r="V2650" s="1025"/>
      <c r="W2650" s="43"/>
      <c r="X2650" s="1025"/>
      <c r="Y2650" s="1025"/>
      <c r="Z2650" s="1025"/>
      <c r="AA2650" s="1025"/>
      <c r="AB2650" s="1025"/>
      <c r="AC2650" s="1025"/>
      <c r="AD2650" s="1025"/>
      <c r="AE2650" s="1025"/>
      <c r="AF2650" s="1025"/>
      <c r="AG2650" s="1025"/>
      <c r="AH2650" s="1025"/>
      <c r="AI2650" s="1025"/>
      <c r="AJ2650" s="1025"/>
      <c r="AK2650" s="1025"/>
      <c r="AL2650" s="1025"/>
      <c r="AM2650" s="1025"/>
      <c r="AN2650" s="1025"/>
      <c r="AO2650" s="1025"/>
      <c r="AP2650" s="1025"/>
      <c r="AQ2650" s="1025"/>
      <c r="AR2650" s="1025"/>
      <c r="AS2650" s="1025"/>
      <c r="AT2650" s="1025"/>
    </row>
    <row r="2651" spans="1:48" s="79" customFormat="1" ht="11.45" customHeight="1">
      <c r="A2651" s="1394"/>
      <c r="B2651" s="762" t="s">
        <v>512</v>
      </c>
      <c r="C2651" s="762" t="s">
        <v>506</v>
      </c>
      <c r="D2651" s="1599"/>
      <c r="E2651" s="2245" t="s">
        <v>1937</v>
      </c>
      <c r="F2651" s="763">
        <v>1119</v>
      </c>
      <c r="G2651" s="1460" t="s">
        <v>1177</v>
      </c>
      <c r="H2651" s="2779"/>
      <c r="I2651" s="2779"/>
      <c r="J2651" s="2779"/>
      <c r="K2651" s="2777"/>
      <c r="L2651" s="2778"/>
      <c r="M2651" s="2778"/>
      <c r="N2651" s="2847"/>
      <c r="O2651" s="86"/>
      <c r="P2651" s="1817" t="e">
        <f>INDEX(#REF!,MATCH(F2651,#REF!,0),2)</f>
        <v>#REF!</v>
      </c>
      <c r="Q2651" s="1025"/>
      <c r="R2651" s="1025"/>
      <c r="S2651" s="1025"/>
      <c r="T2651" s="1025"/>
      <c r="U2651" s="1025"/>
      <c r="V2651" s="1025"/>
      <c r="W2651" s="43"/>
      <c r="X2651" s="1025"/>
      <c r="Y2651" s="1025"/>
      <c r="Z2651" s="1025"/>
      <c r="AA2651" s="1025"/>
      <c r="AB2651" s="1025"/>
      <c r="AC2651" s="1025"/>
      <c r="AD2651" s="1025"/>
      <c r="AE2651" s="1025"/>
      <c r="AF2651" s="1025"/>
      <c r="AG2651" s="1025"/>
      <c r="AH2651" s="1025"/>
      <c r="AI2651" s="1025"/>
      <c r="AJ2651" s="1025"/>
      <c r="AK2651" s="1025"/>
      <c r="AL2651" s="1025"/>
      <c r="AM2651" s="1025"/>
      <c r="AN2651" s="1025"/>
      <c r="AO2651" s="1025"/>
      <c r="AP2651" s="1025"/>
      <c r="AQ2651" s="1025"/>
      <c r="AR2651" s="1025"/>
      <c r="AS2651" s="1025"/>
      <c r="AT2651" s="1025"/>
      <c r="AU2651" s="1025"/>
      <c r="AV2651" s="1025"/>
    </row>
    <row r="2652" spans="1:48" s="79" customFormat="1" ht="20.45" customHeight="1">
      <c r="A2652" s="803"/>
      <c r="B2652" s="755" t="s">
        <v>663</v>
      </c>
      <c r="C2652" s="755" t="s">
        <v>652</v>
      </c>
      <c r="D2652" s="1600">
        <v>952</v>
      </c>
      <c r="E2652" s="2247" t="s">
        <v>1936</v>
      </c>
      <c r="F2652" s="756">
        <v>1141</v>
      </c>
      <c r="G2652" s="757" t="s">
        <v>268</v>
      </c>
      <c r="H2652" s="2842">
        <v>0</v>
      </c>
      <c r="I2652" s="2842"/>
      <c r="J2652" s="2842"/>
      <c r="K2652" s="3654"/>
      <c r="L2652" s="2842">
        <v>0</v>
      </c>
      <c r="M2652" s="2842"/>
      <c r="N2652" s="2847"/>
      <c r="O2652" s="86"/>
      <c r="P2652" s="1817" t="e">
        <f>INDEX(#REF!,MATCH(F2652,#REF!,0),2)</f>
        <v>#REF!</v>
      </c>
      <c r="Q2652" s="1025"/>
      <c r="R2652" s="1025"/>
      <c r="S2652" s="1025"/>
      <c r="T2652" s="1025"/>
      <c r="U2652" s="1025"/>
      <c r="V2652" s="1025"/>
      <c r="W2652" s="43"/>
      <c r="X2652" s="1025"/>
      <c r="Y2652" s="1025"/>
      <c r="Z2652" s="1025"/>
      <c r="AA2652" s="1025"/>
      <c r="AB2652" s="1025"/>
      <c r="AC2652" s="1025"/>
      <c r="AD2652" s="1025"/>
      <c r="AE2652" s="1025"/>
      <c r="AF2652" s="1025"/>
      <c r="AG2652" s="1025"/>
      <c r="AH2652" s="1025"/>
      <c r="AI2652" s="1025"/>
      <c r="AJ2652" s="1025"/>
      <c r="AK2652" s="1025"/>
      <c r="AL2652" s="1025"/>
      <c r="AM2652" s="1025"/>
      <c r="AN2652" s="1025"/>
      <c r="AO2652" s="1025"/>
      <c r="AP2652" s="1025"/>
      <c r="AQ2652" s="1025"/>
      <c r="AR2652" s="1025"/>
      <c r="AS2652" s="1025"/>
    </row>
    <row r="2653" spans="1:48" s="79" customFormat="1" ht="11.45" customHeight="1">
      <c r="A2653" s="771"/>
      <c r="B2653" s="762" t="s">
        <v>663</v>
      </c>
      <c r="C2653" s="762" t="s">
        <v>652</v>
      </c>
      <c r="D2653" s="1599"/>
      <c r="E2653" s="2245" t="s">
        <v>1936</v>
      </c>
      <c r="F2653" s="763">
        <v>1141</v>
      </c>
      <c r="G2653" s="805"/>
      <c r="H2653" s="2779"/>
      <c r="I2653" s="2779"/>
      <c r="J2653" s="2779"/>
      <c r="K2653" s="2777"/>
      <c r="L2653" s="2779"/>
      <c r="M2653" s="2779"/>
      <c r="N2653" s="2847"/>
      <c r="O2653" s="86"/>
      <c r="P2653" s="1817" t="e">
        <f>INDEX(#REF!,MATCH(F2653,#REF!,0),2)</f>
        <v>#REF!</v>
      </c>
      <c r="Q2653" s="1025"/>
      <c r="R2653" s="1025"/>
      <c r="S2653" s="1025"/>
      <c r="T2653" s="1025"/>
      <c r="U2653" s="1025"/>
      <c r="V2653" s="1025"/>
      <c r="W2653" s="43"/>
      <c r="X2653" s="1025"/>
      <c r="Y2653" s="1025"/>
      <c r="Z2653" s="1025"/>
      <c r="AA2653" s="1025"/>
      <c r="AB2653" s="1025"/>
      <c r="AC2653" s="1025"/>
      <c r="AD2653" s="1025"/>
      <c r="AE2653" s="1025"/>
      <c r="AF2653" s="1025"/>
      <c r="AG2653" s="1025"/>
      <c r="AH2653" s="1025"/>
      <c r="AI2653" s="1025"/>
      <c r="AJ2653" s="1025"/>
      <c r="AK2653" s="1025"/>
      <c r="AL2653" s="1025"/>
      <c r="AM2653" s="1025"/>
      <c r="AN2653" s="1025"/>
      <c r="AO2653" s="1025"/>
      <c r="AP2653" s="1025"/>
      <c r="AQ2653" s="1025"/>
      <c r="AR2653" s="1025"/>
      <c r="AS2653" s="1025"/>
      <c r="AT2653" s="1025"/>
      <c r="AU2653" s="1025"/>
      <c r="AV2653" s="1025"/>
    </row>
    <row r="2654" spans="1:48" s="79" customFormat="1" ht="20.45" customHeight="1">
      <c r="A2654" s="803"/>
      <c r="B2654" s="755" t="s">
        <v>663</v>
      </c>
      <c r="C2654" s="755" t="s">
        <v>652</v>
      </c>
      <c r="D2654" s="1600">
        <v>952</v>
      </c>
      <c r="E2654" s="2247" t="s">
        <v>1936</v>
      </c>
      <c r="F2654" s="756">
        <v>1142</v>
      </c>
      <c r="G2654" s="757" t="s">
        <v>225</v>
      </c>
      <c r="H2654" s="2842">
        <v>0</v>
      </c>
      <c r="I2654" s="2842"/>
      <c r="J2654" s="2842"/>
      <c r="K2654" s="3654"/>
      <c r="L2654" s="2842">
        <v>0</v>
      </c>
      <c r="M2654" s="2842"/>
      <c r="N2654" s="2847"/>
      <c r="O2654" s="86"/>
      <c r="P2654" s="1817" t="e">
        <f>INDEX(#REF!,MATCH(F2654,#REF!,0),2)</f>
        <v>#REF!</v>
      </c>
      <c r="Q2654" s="1025"/>
      <c r="R2654" s="1025"/>
      <c r="S2654" s="1025"/>
      <c r="T2654" s="1025"/>
      <c r="U2654" s="1025"/>
      <c r="V2654" s="1025"/>
      <c r="W2654" s="43"/>
      <c r="X2654" s="1025"/>
      <c r="Y2654" s="1025"/>
      <c r="Z2654" s="1025"/>
      <c r="AA2654" s="1025"/>
      <c r="AB2654" s="1025"/>
      <c r="AC2654" s="1025"/>
      <c r="AD2654" s="1025"/>
      <c r="AE2654" s="1025"/>
      <c r="AF2654" s="1025"/>
      <c r="AG2654" s="1025"/>
      <c r="AH2654" s="1025"/>
      <c r="AI2654" s="1025"/>
      <c r="AJ2654" s="1025"/>
      <c r="AK2654" s="1025"/>
      <c r="AL2654" s="1025"/>
      <c r="AM2654" s="1025"/>
      <c r="AN2654" s="1025"/>
      <c r="AO2654" s="1025"/>
      <c r="AP2654" s="1025"/>
      <c r="AQ2654" s="1025"/>
      <c r="AR2654" s="1025"/>
      <c r="AS2654" s="1025"/>
    </row>
    <row r="2655" spans="1:48" s="79" customFormat="1" ht="11.45" customHeight="1">
      <c r="A2655" s="771"/>
      <c r="B2655" s="762" t="s">
        <v>663</v>
      </c>
      <c r="C2655" s="762" t="s">
        <v>652</v>
      </c>
      <c r="D2655" s="1599"/>
      <c r="E2655" s="2245" t="s">
        <v>1936</v>
      </c>
      <c r="F2655" s="763">
        <v>1142</v>
      </c>
      <c r="G2655" s="805"/>
      <c r="H2655" s="2779"/>
      <c r="I2655" s="2779"/>
      <c r="J2655" s="2779"/>
      <c r="K2655" s="2777"/>
      <c r="L2655" s="2779"/>
      <c r="M2655" s="2779"/>
      <c r="N2655" s="2847"/>
      <c r="O2655" s="86"/>
      <c r="P2655" s="1817" t="e">
        <f>INDEX(#REF!,MATCH(F2655,#REF!,0),2)</f>
        <v>#REF!</v>
      </c>
      <c r="Q2655" s="1025"/>
      <c r="R2655" s="1025"/>
      <c r="S2655" s="1025"/>
      <c r="T2655" s="1025"/>
      <c r="U2655" s="1025"/>
      <c r="V2655" s="1025"/>
      <c r="W2655" s="43"/>
      <c r="X2655" s="1025"/>
      <c r="Y2655" s="1025"/>
      <c r="Z2655" s="1025"/>
      <c r="AA2655" s="1025"/>
      <c r="AB2655" s="1025"/>
      <c r="AC2655" s="1025"/>
      <c r="AD2655" s="1025"/>
      <c r="AE2655" s="1025"/>
      <c r="AF2655" s="1025"/>
      <c r="AG2655" s="1025"/>
      <c r="AH2655" s="1025"/>
      <c r="AI2655" s="1025"/>
      <c r="AJ2655" s="1025"/>
      <c r="AK2655" s="1025"/>
      <c r="AL2655" s="1025"/>
      <c r="AM2655" s="1025"/>
      <c r="AN2655" s="1025"/>
      <c r="AO2655" s="1025"/>
      <c r="AP2655" s="1025"/>
      <c r="AQ2655" s="1025"/>
      <c r="AR2655" s="1025"/>
      <c r="AS2655" s="1025"/>
      <c r="AT2655" s="1025"/>
      <c r="AU2655" s="1025"/>
      <c r="AV2655" s="1025"/>
    </row>
    <row r="2656" spans="1:48" s="79" customFormat="1" ht="18" customHeight="1">
      <c r="A2656" s="803"/>
      <c r="B2656" s="755" t="s">
        <v>663</v>
      </c>
      <c r="C2656" s="755" t="s">
        <v>652</v>
      </c>
      <c r="D2656" s="1600">
        <v>952</v>
      </c>
      <c r="E2656" s="2247" t="s">
        <v>1936</v>
      </c>
      <c r="F2656" s="756">
        <v>1146</v>
      </c>
      <c r="G2656" s="757" t="s">
        <v>889</v>
      </c>
      <c r="H2656" s="2842">
        <v>0</v>
      </c>
      <c r="I2656" s="2842"/>
      <c r="J2656" s="2842"/>
      <c r="K2656" s="3654"/>
      <c r="L2656" s="2842">
        <v>0</v>
      </c>
      <c r="M2656" s="2842"/>
      <c r="N2656" s="2847"/>
      <c r="O2656" s="86"/>
      <c r="P2656" s="1817" t="e">
        <f>INDEX(#REF!,MATCH(F2656,#REF!,0),2)</f>
        <v>#REF!</v>
      </c>
      <c r="Q2656" s="1025"/>
      <c r="R2656" s="1025"/>
      <c r="S2656" s="1025"/>
      <c r="T2656" s="1025"/>
      <c r="U2656" s="1025"/>
      <c r="V2656" s="1025"/>
      <c r="W2656" s="43"/>
      <c r="X2656" s="1025"/>
      <c r="Y2656" s="1025"/>
      <c r="Z2656" s="1025"/>
      <c r="AA2656" s="1025"/>
      <c r="AB2656" s="1025"/>
      <c r="AC2656" s="1025"/>
      <c r="AD2656" s="1025"/>
      <c r="AE2656" s="1025"/>
      <c r="AF2656" s="1025"/>
      <c r="AG2656" s="1025"/>
      <c r="AH2656" s="1025"/>
      <c r="AI2656" s="1025"/>
      <c r="AJ2656" s="1025"/>
      <c r="AK2656" s="1025"/>
      <c r="AL2656" s="1025"/>
      <c r="AM2656" s="1025"/>
      <c r="AN2656" s="1025"/>
      <c r="AO2656" s="1025"/>
      <c r="AP2656" s="1025"/>
      <c r="AQ2656" s="1025"/>
      <c r="AR2656" s="1025"/>
      <c r="AS2656" s="1025"/>
      <c r="AT2656" s="1025"/>
      <c r="AU2656" s="1025"/>
      <c r="AV2656" s="1025"/>
    </row>
    <row r="2657" spans="1:48" s="79" customFormat="1" ht="11.45" customHeight="1">
      <c r="A2657" s="771"/>
      <c r="B2657" s="762" t="s">
        <v>663</v>
      </c>
      <c r="C2657" s="762" t="s">
        <v>652</v>
      </c>
      <c r="D2657" s="1599"/>
      <c r="E2657" s="2245" t="s">
        <v>1936</v>
      </c>
      <c r="F2657" s="763">
        <v>1146</v>
      </c>
      <c r="G2657" s="805"/>
      <c r="H2657" s="2779"/>
      <c r="I2657" s="2779"/>
      <c r="J2657" s="2779"/>
      <c r="K2657" s="2777"/>
      <c r="L2657" s="2779"/>
      <c r="M2657" s="2779"/>
      <c r="N2657" s="2847"/>
      <c r="O2657" s="86"/>
      <c r="P2657" s="1817" t="e">
        <f>INDEX(#REF!,MATCH(F2657,#REF!,0),2)</f>
        <v>#REF!</v>
      </c>
      <c r="Q2657" s="1025"/>
      <c r="R2657" s="1025"/>
      <c r="S2657" s="1025"/>
      <c r="T2657" s="1025"/>
      <c r="U2657" s="1025"/>
      <c r="V2657" s="1025"/>
      <c r="W2657" s="43"/>
      <c r="X2657" s="1025"/>
      <c r="Y2657" s="1025"/>
      <c r="Z2657" s="1025"/>
      <c r="AA2657" s="1025"/>
      <c r="AB2657" s="1025"/>
      <c r="AC2657" s="1025"/>
      <c r="AD2657" s="1025"/>
      <c r="AE2657" s="1025"/>
      <c r="AF2657" s="1025"/>
      <c r="AG2657" s="1025"/>
      <c r="AH2657" s="1025"/>
      <c r="AI2657" s="1025"/>
      <c r="AJ2657" s="1025"/>
      <c r="AK2657" s="1025"/>
      <c r="AL2657" s="1025"/>
      <c r="AM2657" s="1025"/>
      <c r="AN2657" s="1025"/>
      <c r="AO2657" s="1025"/>
      <c r="AP2657" s="1025"/>
      <c r="AQ2657" s="1025"/>
      <c r="AR2657" s="1025"/>
      <c r="AS2657" s="1025"/>
      <c r="AT2657" s="1025"/>
      <c r="AU2657" s="1025"/>
      <c r="AV2657" s="1025"/>
    </row>
    <row r="2658" spans="1:48" s="79" customFormat="1" ht="11.45" customHeight="1">
      <c r="A2658" s="803"/>
      <c r="B2658" s="755" t="s">
        <v>512</v>
      </c>
      <c r="C2658" s="755" t="s">
        <v>506</v>
      </c>
      <c r="D2658" s="1600">
        <v>952</v>
      </c>
      <c r="E2658" s="2247" t="s">
        <v>1937</v>
      </c>
      <c r="F2658" s="756">
        <v>1146</v>
      </c>
      <c r="G2658" s="757" t="s">
        <v>889</v>
      </c>
      <c r="H2658" s="3657">
        <v>0</v>
      </c>
      <c r="I2658" s="2842"/>
      <c r="J2658" s="2842"/>
      <c r="K2658" s="3654"/>
      <c r="L2658" s="3658">
        <v>0</v>
      </c>
      <c r="M2658" s="2839"/>
      <c r="N2658" s="2847"/>
      <c r="O2658" s="86"/>
      <c r="P2658" s="1817" t="e">
        <f>INDEX(#REF!,MATCH(F2658,#REF!,0),2)</f>
        <v>#REF!</v>
      </c>
      <c r="Q2658" s="1025"/>
      <c r="R2658" s="1025"/>
      <c r="S2658" s="1025"/>
      <c r="T2658" s="1025"/>
      <c r="U2658" s="1025"/>
      <c r="V2658" s="1025"/>
      <c r="W2658" s="43"/>
      <c r="X2658" s="1025"/>
      <c r="Y2658" s="1025"/>
      <c r="Z2658" s="1025"/>
      <c r="AA2658" s="1025"/>
      <c r="AB2658" s="1025"/>
      <c r="AC2658" s="1025"/>
      <c r="AD2658" s="1025"/>
      <c r="AE2658" s="1025"/>
      <c r="AF2658" s="1025"/>
      <c r="AG2658" s="1025"/>
      <c r="AH2658" s="1025"/>
      <c r="AI2658" s="1025"/>
      <c r="AJ2658" s="1025"/>
      <c r="AK2658" s="1025"/>
      <c r="AL2658" s="1025"/>
      <c r="AM2658" s="1025"/>
      <c r="AN2658" s="1025"/>
      <c r="AO2658" s="1025"/>
      <c r="AP2658" s="1025"/>
      <c r="AQ2658" s="1025"/>
      <c r="AR2658" s="1025"/>
      <c r="AS2658" s="1025"/>
      <c r="AT2658" s="1025"/>
      <c r="AU2658" s="1025"/>
      <c r="AV2658" s="1025"/>
    </row>
    <row r="2659" spans="1:48" s="79" customFormat="1" ht="20.45" customHeight="1">
      <c r="A2659" s="771"/>
      <c r="B2659" s="762" t="s">
        <v>512</v>
      </c>
      <c r="C2659" s="762" t="s">
        <v>506</v>
      </c>
      <c r="D2659" s="1599"/>
      <c r="E2659" s="2245" t="s">
        <v>1937</v>
      </c>
      <c r="F2659" s="763">
        <v>1146</v>
      </c>
      <c r="G2659" s="805" t="s">
        <v>1216</v>
      </c>
      <c r="H2659" s="2779"/>
      <c r="I2659" s="2779"/>
      <c r="J2659" s="2779"/>
      <c r="K2659" s="2777"/>
      <c r="L2659" s="2778"/>
      <c r="M2659" s="2778"/>
      <c r="N2659" s="2847"/>
      <c r="O2659" s="86"/>
      <c r="P2659" s="1817" t="e">
        <f>INDEX(#REF!,MATCH(F2659,#REF!,0),2)</f>
        <v>#REF!</v>
      </c>
      <c r="Q2659" s="1025"/>
      <c r="R2659" s="1025"/>
      <c r="S2659" s="1025"/>
      <c r="T2659" s="1025"/>
      <c r="U2659" s="1025"/>
      <c r="V2659" s="1025"/>
      <c r="W2659" s="43"/>
      <c r="X2659" s="1025"/>
      <c r="Y2659" s="1025"/>
      <c r="Z2659" s="1025"/>
      <c r="AA2659" s="1025"/>
      <c r="AB2659" s="1025"/>
      <c r="AC2659" s="1025"/>
      <c r="AD2659" s="1025"/>
      <c r="AE2659" s="1025"/>
      <c r="AF2659" s="1025"/>
      <c r="AG2659" s="1025"/>
      <c r="AH2659" s="1025"/>
      <c r="AI2659" s="1025"/>
      <c r="AJ2659" s="1025"/>
      <c r="AK2659" s="1025"/>
      <c r="AL2659" s="1025"/>
      <c r="AM2659" s="1025"/>
      <c r="AN2659" s="1025"/>
      <c r="AO2659" s="1025"/>
      <c r="AP2659" s="1025"/>
      <c r="AQ2659" s="1025"/>
      <c r="AR2659" s="1025"/>
      <c r="AS2659" s="1025"/>
      <c r="AT2659" s="1025"/>
      <c r="AU2659" s="1025"/>
    </row>
    <row r="2660" spans="1:48" s="79" customFormat="1" ht="11.45" customHeight="1">
      <c r="A2660" s="803"/>
      <c r="B2660" s="755" t="s">
        <v>663</v>
      </c>
      <c r="C2660" s="755" t="s">
        <v>652</v>
      </c>
      <c r="D2660" s="1600">
        <v>952</v>
      </c>
      <c r="E2660" s="2247" t="s">
        <v>1936</v>
      </c>
      <c r="F2660" s="756">
        <v>1147</v>
      </c>
      <c r="G2660" s="757" t="s">
        <v>226</v>
      </c>
      <c r="H2660" s="2842">
        <v>33810.464000000007</v>
      </c>
      <c r="I2660" s="2842"/>
      <c r="J2660" s="2842">
        <v>12461.88</v>
      </c>
      <c r="K2660" s="3654"/>
      <c r="L2660" s="2842">
        <v>44289.048000000003</v>
      </c>
      <c r="M2660" s="2842"/>
      <c r="N2660" s="2847"/>
      <c r="O2660" s="86"/>
      <c r="P2660" s="1817" t="e">
        <f>INDEX(#REF!,MATCH(F2660,#REF!,0),2)</f>
        <v>#REF!</v>
      </c>
      <c r="Q2660" s="1025"/>
      <c r="R2660" s="1025"/>
      <c r="S2660" s="1025"/>
      <c r="T2660" s="1025"/>
      <c r="U2660" s="1025"/>
      <c r="V2660" s="1025"/>
      <c r="W2660" s="43"/>
      <c r="X2660" s="1025"/>
      <c r="Y2660" s="1025"/>
      <c r="Z2660" s="1025"/>
      <c r="AA2660" s="1025"/>
      <c r="AB2660" s="1025"/>
      <c r="AC2660" s="1025"/>
      <c r="AD2660" s="1025"/>
      <c r="AE2660" s="1025"/>
      <c r="AF2660" s="1025"/>
      <c r="AG2660" s="1025"/>
      <c r="AH2660" s="1025"/>
      <c r="AI2660" s="1025"/>
      <c r="AJ2660" s="1025"/>
      <c r="AK2660" s="1025"/>
      <c r="AL2660" s="1025"/>
      <c r="AM2660" s="1025"/>
      <c r="AN2660" s="1025"/>
      <c r="AO2660" s="1025"/>
      <c r="AP2660" s="1025"/>
      <c r="AQ2660" s="1025"/>
      <c r="AR2660" s="1025"/>
      <c r="AS2660" s="1025"/>
      <c r="AT2660" s="1025"/>
      <c r="AU2660" s="1025"/>
      <c r="AV2660" s="1025"/>
    </row>
    <row r="2661" spans="1:48" s="79" customFormat="1" ht="11.45" customHeight="1">
      <c r="A2661" s="771"/>
      <c r="B2661" s="762" t="s">
        <v>663</v>
      </c>
      <c r="C2661" s="762" t="s">
        <v>652</v>
      </c>
      <c r="D2661" s="1599"/>
      <c r="E2661" s="2245" t="s">
        <v>1936</v>
      </c>
      <c r="F2661" s="763">
        <v>1147</v>
      </c>
      <c r="G2661" s="805" t="s">
        <v>663</v>
      </c>
      <c r="H2661" s="2779"/>
      <c r="I2661" s="2779">
        <v>33810.464000000007</v>
      </c>
      <c r="J2661" s="2779"/>
      <c r="K2661" s="2777"/>
      <c r="L2661" s="2779"/>
      <c r="M2661" s="2779">
        <v>44289.048000000003</v>
      </c>
      <c r="N2661" s="2847"/>
      <c r="O2661" s="86"/>
      <c r="P2661" s="1817" t="e">
        <f>INDEX(#REF!,MATCH(F2661,#REF!,0),2)</f>
        <v>#REF!</v>
      </c>
      <c r="Q2661" s="1025"/>
      <c r="R2661" s="1025"/>
      <c r="S2661" s="1025"/>
      <c r="T2661" s="1025"/>
      <c r="U2661" s="1025"/>
      <c r="V2661" s="1025"/>
      <c r="W2661" s="43"/>
      <c r="X2661" s="1025"/>
      <c r="Y2661" s="1025"/>
      <c r="Z2661" s="1025"/>
      <c r="AA2661" s="1025"/>
      <c r="AB2661" s="1025"/>
      <c r="AC2661" s="1025"/>
      <c r="AD2661" s="1025"/>
      <c r="AE2661" s="1025"/>
      <c r="AF2661" s="1025"/>
      <c r="AG2661" s="1025"/>
      <c r="AH2661" s="1025"/>
      <c r="AI2661" s="1025"/>
      <c r="AJ2661" s="1025"/>
      <c r="AK2661" s="1025"/>
      <c r="AL2661" s="1025"/>
      <c r="AM2661" s="1025"/>
      <c r="AN2661" s="1025"/>
      <c r="AO2661" s="1025"/>
      <c r="AP2661" s="1025"/>
      <c r="AQ2661" s="1025"/>
      <c r="AR2661" s="1025"/>
      <c r="AS2661" s="1025"/>
      <c r="AT2661" s="1025"/>
      <c r="AU2661" s="1025"/>
      <c r="AV2661" s="1025"/>
    </row>
    <row r="2662" spans="1:48" s="79" customFormat="1" ht="11.45" customHeight="1">
      <c r="A2662" s="1897"/>
      <c r="B2662" s="762" t="s">
        <v>663</v>
      </c>
      <c r="C2662" s="762" t="s">
        <v>652</v>
      </c>
      <c r="D2662" s="1599"/>
      <c r="E2662" s="2245" t="s">
        <v>1936</v>
      </c>
      <c r="F2662" s="763">
        <v>1147</v>
      </c>
      <c r="G2662" s="1900" t="s">
        <v>2585</v>
      </c>
      <c r="H2662" s="2779"/>
      <c r="I2662" s="2779">
        <v>0</v>
      </c>
      <c r="J2662" s="2779"/>
      <c r="K2662" s="2777"/>
      <c r="L2662" s="2779"/>
      <c r="M2662" s="4085">
        <v>0</v>
      </c>
      <c r="N2662" s="2847"/>
      <c r="O2662" s="86"/>
      <c r="P2662" s="1817" t="e">
        <f>INDEX(#REF!,MATCH(F2662,#REF!,0),2)</f>
        <v>#REF!</v>
      </c>
      <c r="Q2662" s="1025"/>
      <c r="R2662" s="1025"/>
      <c r="S2662" s="1025"/>
      <c r="T2662" s="1025"/>
      <c r="U2662" s="1025"/>
      <c r="V2662" s="1025"/>
      <c r="W2662" s="43"/>
      <c r="X2662" s="1025"/>
      <c r="Y2662" s="1025"/>
      <c r="Z2662" s="1025"/>
      <c r="AA2662" s="1025"/>
      <c r="AB2662" s="1025"/>
      <c r="AC2662" s="1025"/>
      <c r="AD2662" s="1025"/>
      <c r="AE2662" s="1025"/>
      <c r="AF2662" s="1025"/>
      <c r="AG2662" s="1025"/>
      <c r="AH2662" s="1025"/>
      <c r="AI2662" s="1025"/>
      <c r="AJ2662" s="1025"/>
      <c r="AK2662" s="1025"/>
      <c r="AL2662" s="1025"/>
      <c r="AM2662" s="1025"/>
      <c r="AN2662" s="1025"/>
      <c r="AO2662" s="1025"/>
      <c r="AP2662" s="1025"/>
      <c r="AQ2662" s="1025"/>
      <c r="AR2662" s="1025"/>
      <c r="AS2662" s="1025"/>
      <c r="AT2662" s="1025"/>
      <c r="AU2662" s="1025"/>
      <c r="AV2662" s="1025"/>
    </row>
    <row r="2663" spans="1:48" s="79" customFormat="1" ht="24.75" customHeight="1">
      <c r="A2663" s="803"/>
      <c r="B2663" s="755" t="s">
        <v>512</v>
      </c>
      <c r="C2663" s="755" t="s">
        <v>506</v>
      </c>
      <c r="D2663" s="1600">
        <v>952</v>
      </c>
      <c r="E2663" s="2247" t="s">
        <v>1937</v>
      </c>
      <c r="F2663" s="756">
        <v>1147</v>
      </c>
      <c r="G2663" s="757" t="s">
        <v>893</v>
      </c>
      <c r="H2663" s="3657">
        <v>0</v>
      </c>
      <c r="I2663" s="2842"/>
      <c r="J2663" s="2842"/>
      <c r="K2663" s="3654"/>
      <c r="L2663" s="3656">
        <v>0</v>
      </c>
      <c r="M2663" s="2839"/>
      <c r="N2663" s="2847"/>
      <c r="O2663" s="86"/>
      <c r="P2663" s="1817" t="e">
        <f>INDEX(#REF!,MATCH(F2663,#REF!,0),2)</f>
        <v>#REF!</v>
      </c>
      <c r="Q2663" s="1025"/>
      <c r="R2663" s="1025"/>
      <c r="S2663" s="1025"/>
      <c r="T2663" s="1025"/>
      <c r="U2663" s="1025"/>
      <c r="V2663" s="1025"/>
      <c r="W2663" s="43"/>
      <c r="X2663" s="1025"/>
      <c r="Y2663" s="1025"/>
      <c r="Z2663" s="1025"/>
      <c r="AA2663" s="1025"/>
      <c r="AB2663" s="1025"/>
      <c r="AC2663" s="1025"/>
      <c r="AD2663" s="1025"/>
      <c r="AE2663" s="1025"/>
      <c r="AF2663" s="1025"/>
      <c r="AG2663" s="1025"/>
      <c r="AH2663" s="1025"/>
      <c r="AI2663" s="1025"/>
      <c r="AJ2663" s="1025"/>
      <c r="AK2663" s="1025"/>
      <c r="AL2663" s="1025"/>
      <c r="AM2663" s="1025"/>
      <c r="AN2663" s="1025"/>
      <c r="AO2663" s="1025"/>
      <c r="AP2663" s="1025"/>
      <c r="AQ2663" s="1025"/>
      <c r="AR2663" s="1025"/>
      <c r="AS2663" s="1025"/>
      <c r="AT2663" s="1025"/>
      <c r="AU2663" s="1025"/>
      <c r="AV2663" s="1025"/>
    </row>
    <row r="2664" spans="1:48" s="79" customFormat="1" ht="11.45" customHeight="1">
      <c r="A2664" s="771"/>
      <c r="B2664" s="762" t="s">
        <v>512</v>
      </c>
      <c r="C2664" s="762" t="s">
        <v>506</v>
      </c>
      <c r="D2664" s="1599"/>
      <c r="E2664" s="2245" t="s">
        <v>1937</v>
      </c>
      <c r="F2664" s="763">
        <v>1147</v>
      </c>
      <c r="G2664" s="805"/>
      <c r="H2664" s="2779"/>
      <c r="I2664" s="2779"/>
      <c r="J2664" s="2779"/>
      <c r="K2664" s="2777"/>
      <c r="L2664" s="2778"/>
      <c r="M2664" s="2778"/>
      <c r="N2664" s="2847"/>
      <c r="O2664" s="86"/>
      <c r="P2664" s="1817" t="e">
        <f>INDEX(#REF!,MATCH(F2664,#REF!,0),2)</f>
        <v>#REF!</v>
      </c>
      <c r="Q2664" s="1025"/>
      <c r="R2664" s="1025"/>
      <c r="S2664" s="1025"/>
      <c r="T2664" s="1025"/>
      <c r="U2664" s="1025"/>
      <c r="V2664" s="1025"/>
      <c r="W2664" s="43"/>
      <c r="X2664" s="1025"/>
      <c r="Y2664" s="1025"/>
      <c r="Z2664" s="1025"/>
      <c r="AA2664" s="1025"/>
      <c r="AB2664" s="1025"/>
      <c r="AC2664" s="1025"/>
      <c r="AD2664" s="1025"/>
      <c r="AE2664" s="1025"/>
      <c r="AF2664" s="1025"/>
      <c r="AG2664" s="1025"/>
      <c r="AH2664" s="1025"/>
      <c r="AI2664" s="1025"/>
      <c r="AJ2664" s="1025"/>
      <c r="AK2664" s="1025"/>
      <c r="AL2664" s="1025"/>
      <c r="AM2664" s="1025"/>
      <c r="AN2664" s="1025"/>
      <c r="AO2664" s="1025"/>
      <c r="AP2664" s="1025"/>
      <c r="AQ2664" s="1025"/>
      <c r="AR2664" s="1025"/>
      <c r="AS2664" s="1025"/>
      <c r="AT2664" s="1025"/>
      <c r="AU2664" s="1025"/>
      <c r="AV2664" s="1025"/>
    </row>
    <row r="2665" spans="1:48" s="79" customFormat="1" ht="11.45" customHeight="1">
      <c r="A2665" s="803"/>
      <c r="B2665" s="755" t="s">
        <v>663</v>
      </c>
      <c r="C2665" s="755" t="s">
        <v>652</v>
      </c>
      <c r="D2665" s="1600">
        <v>952</v>
      </c>
      <c r="E2665" s="2247" t="s">
        <v>1936</v>
      </c>
      <c r="F2665" s="756">
        <v>1148</v>
      </c>
      <c r="G2665" s="757" t="s">
        <v>551</v>
      </c>
      <c r="H2665" s="2842">
        <v>0</v>
      </c>
      <c r="I2665" s="2842"/>
      <c r="J2665" s="2842"/>
      <c r="K2665" s="3654"/>
      <c r="L2665" s="2842">
        <v>0</v>
      </c>
      <c r="M2665" s="2842"/>
      <c r="N2665" s="2847"/>
      <c r="O2665" s="86"/>
      <c r="P2665" s="1817" t="e">
        <f>INDEX(#REF!,MATCH(F2665,#REF!,0),2)</f>
        <v>#REF!</v>
      </c>
      <c r="Q2665" s="1025"/>
      <c r="R2665" s="1025"/>
      <c r="S2665" s="1025"/>
      <c r="T2665" s="1025"/>
      <c r="U2665" s="1025"/>
      <c r="V2665" s="1025"/>
      <c r="W2665" s="43"/>
      <c r="X2665" s="1025"/>
      <c r="Y2665" s="1025"/>
      <c r="Z2665" s="1025"/>
      <c r="AA2665" s="1025"/>
      <c r="AB2665" s="1025"/>
      <c r="AC2665" s="1025"/>
      <c r="AD2665" s="1025"/>
      <c r="AE2665" s="1025"/>
      <c r="AF2665" s="1025"/>
      <c r="AG2665" s="1025"/>
      <c r="AH2665" s="1025"/>
      <c r="AI2665" s="1025"/>
      <c r="AJ2665" s="1025"/>
      <c r="AK2665" s="1025"/>
      <c r="AL2665" s="1025"/>
      <c r="AM2665" s="1025"/>
      <c r="AN2665" s="1025"/>
      <c r="AO2665" s="1025"/>
      <c r="AP2665" s="1025"/>
      <c r="AQ2665" s="1025"/>
      <c r="AR2665" s="1025"/>
      <c r="AS2665" s="1025"/>
      <c r="AT2665" s="1025"/>
      <c r="AU2665" s="1025"/>
      <c r="AV2665" s="1025"/>
    </row>
    <row r="2666" spans="1:48" s="79" customFormat="1" ht="11.45" customHeight="1">
      <c r="A2666" s="771"/>
      <c r="B2666" s="762" t="s">
        <v>663</v>
      </c>
      <c r="C2666" s="762" t="s">
        <v>652</v>
      </c>
      <c r="D2666" s="1599"/>
      <c r="E2666" s="2245" t="s">
        <v>1936</v>
      </c>
      <c r="F2666" s="763">
        <v>1148</v>
      </c>
      <c r="G2666" s="807" t="s">
        <v>943</v>
      </c>
      <c r="H2666" s="2779"/>
      <c r="I2666" s="2779"/>
      <c r="J2666" s="2779"/>
      <c r="K2666" s="2777"/>
      <c r="L2666" s="2779"/>
      <c r="M2666" s="2779"/>
      <c r="N2666" s="2847"/>
      <c r="O2666" s="86"/>
      <c r="P2666" s="1817" t="e">
        <f>INDEX(#REF!,MATCH(F2666,#REF!,0),2)</f>
        <v>#REF!</v>
      </c>
      <c r="Q2666" s="1025"/>
      <c r="R2666" s="1025"/>
      <c r="S2666" s="1025"/>
      <c r="T2666" s="1025"/>
      <c r="U2666" s="1025"/>
      <c r="V2666" s="1025"/>
      <c r="W2666" s="43"/>
      <c r="X2666" s="1025"/>
      <c r="Y2666" s="1025"/>
      <c r="Z2666" s="1025"/>
      <c r="AA2666" s="1025"/>
      <c r="AB2666" s="1025"/>
      <c r="AC2666" s="1025"/>
      <c r="AD2666" s="1025"/>
      <c r="AE2666" s="1025"/>
      <c r="AF2666" s="1025"/>
      <c r="AG2666" s="1025"/>
      <c r="AH2666" s="1025"/>
      <c r="AI2666" s="1025"/>
      <c r="AJ2666" s="1025"/>
      <c r="AK2666" s="1025"/>
      <c r="AL2666" s="1025"/>
      <c r="AM2666" s="1025"/>
      <c r="AN2666" s="1025"/>
      <c r="AO2666" s="1025"/>
      <c r="AP2666" s="1025"/>
      <c r="AQ2666" s="1025"/>
      <c r="AR2666" s="1025"/>
      <c r="AS2666" s="1025"/>
      <c r="AT2666" s="1025"/>
      <c r="AU2666" s="1025"/>
      <c r="AV2666" s="1025"/>
    </row>
    <row r="2667" spans="1:48" s="79" customFormat="1" ht="11.45" customHeight="1">
      <c r="A2667" s="1471"/>
      <c r="B2667" s="762" t="s">
        <v>663</v>
      </c>
      <c r="C2667" s="762" t="s">
        <v>652</v>
      </c>
      <c r="D2667" s="1599"/>
      <c r="E2667" s="2245" t="s">
        <v>1936</v>
      </c>
      <c r="F2667" s="763">
        <v>1148</v>
      </c>
      <c r="G2667" s="1536" t="s">
        <v>2047</v>
      </c>
      <c r="H2667" s="2779"/>
      <c r="I2667" s="2779"/>
      <c r="J2667" s="2779"/>
      <c r="K2667" s="2777"/>
      <c r="L2667" s="2779"/>
      <c r="M2667" s="2779"/>
      <c r="N2667" s="2847"/>
      <c r="O2667" s="86"/>
      <c r="P2667" s="1817" t="e">
        <f>INDEX(#REF!,MATCH(F2667,#REF!,0),2)</f>
        <v>#REF!</v>
      </c>
      <c r="Q2667" s="1025"/>
      <c r="R2667" s="1025"/>
      <c r="S2667" s="1025"/>
      <c r="T2667" s="1025"/>
      <c r="U2667" s="1025"/>
      <c r="V2667" s="1025"/>
      <c r="W2667" s="43"/>
      <c r="X2667" s="1025"/>
      <c r="Y2667" s="1025"/>
      <c r="Z2667" s="1025"/>
      <c r="AA2667" s="1025"/>
      <c r="AB2667" s="1025"/>
      <c r="AC2667" s="1025"/>
      <c r="AD2667" s="1025"/>
      <c r="AE2667" s="1025"/>
      <c r="AF2667" s="1025"/>
      <c r="AG2667" s="1025"/>
      <c r="AH2667" s="1025"/>
      <c r="AI2667" s="1025"/>
      <c r="AJ2667" s="1025"/>
      <c r="AK2667" s="1025"/>
      <c r="AL2667" s="1025"/>
      <c r="AM2667" s="1025"/>
      <c r="AN2667" s="1025"/>
      <c r="AO2667" s="1025"/>
      <c r="AP2667" s="1025"/>
      <c r="AQ2667" s="1025"/>
      <c r="AR2667" s="1025"/>
      <c r="AS2667" s="1025"/>
      <c r="AT2667" s="1025"/>
      <c r="AU2667" s="1025"/>
      <c r="AV2667" s="1025"/>
    </row>
    <row r="2668" spans="1:48" s="79" customFormat="1" ht="21.6" customHeight="1">
      <c r="A2668" s="803"/>
      <c r="B2668" s="755" t="s">
        <v>663</v>
      </c>
      <c r="C2668" s="755" t="s">
        <v>652</v>
      </c>
      <c r="D2668" s="1600">
        <v>952</v>
      </c>
      <c r="E2668" s="2247" t="s">
        <v>1936</v>
      </c>
      <c r="F2668" s="756">
        <v>1210</v>
      </c>
      <c r="G2668" s="757" t="s">
        <v>228</v>
      </c>
      <c r="H2668" s="2842">
        <v>54360.942696774015</v>
      </c>
      <c r="I2668" s="2842"/>
      <c r="J2668" s="2842">
        <v>33366.68</v>
      </c>
      <c r="K2668" s="3654"/>
      <c r="L2668" s="2842">
        <v>64224.858375468008</v>
      </c>
      <c r="M2668" s="2842"/>
      <c r="N2668" s="2847"/>
      <c r="O2668" s="86"/>
      <c r="P2668" s="1817" t="e">
        <f>INDEX(#REF!,MATCH(F2668,#REF!,0),2)</f>
        <v>#REF!</v>
      </c>
      <c r="Q2668" s="1025"/>
      <c r="R2668" s="1025"/>
      <c r="S2668" s="1025"/>
      <c r="T2668" s="1025"/>
      <c r="U2668" s="1025"/>
      <c r="V2668" s="1025"/>
      <c r="W2668" s="43"/>
      <c r="X2668" s="1025"/>
      <c r="Y2668" s="1025"/>
      <c r="Z2668" s="1025"/>
      <c r="AA2668" s="1025"/>
      <c r="AB2668" s="1025"/>
      <c r="AC2668" s="1025"/>
      <c r="AD2668" s="1025"/>
      <c r="AE2668" s="1025"/>
      <c r="AF2668" s="1025"/>
      <c r="AG2668" s="1025"/>
      <c r="AH2668" s="1025"/>
      <c r="AI2668" s="1025"/>
      <c r="AJ2668" s="1025"/>
      <c r="AK2668" s="1025"/>
      <c r="AL2668" s="1025"/>
      <c r="AM2668" s="1025"/>
      <c r="AN2668" s="1025"/>
      <c r="AO2668" s="1025"/>
      <c r="AP2668" s="1025"/>
      <c r="AQ2668" s="1025"/>
      <c r="AR2668" s="1025"/>
      <c r="AS2668" s="1025"/>
      <c r="AT2668" s="1025"/>
      <c r="AU2668" s="1025"/>
      <c r="AV2668" s="1025"/>
    </row>
    <row r="2669" spans="1:48" s="79" customFormat="1" ht="11.45" customHeight="1">
      <c r="A2669" s="771"/>
      <c r="B2669" s="762" t="s">
        <v>663</v>
      </c>
      <c r="C2669" s="762" t="s">
        <v>652</v>
      </c>
      <c r="D2669" s="1599"/>
      <c r="E2669" s="2245" t="s">
        <v>1936</v>
      </c>
      <c r="F2669" s="763">
        <v>1210</v>
      </c>
      <c r="G2669" s="805" t="s">
        <v>663</v>
      </c>
      <c r="H2669" s="2779"/>
      <c r="I2669" s="2779">
        <v>54360.942696774015</v>
      </c>
      <c r="J2669" s="2779"/>
      <c r="K2669" s="2777"/>
      <c r="L2669" s="2779"/>
      <c r="M2669" s="2779">
        <v>64224.858375468008</v>
      </c>
      <c r="N2669" s="2847"/>
      <c r="O2669" s="86"/>
      <c r="P2669" s="1817" t="e">
        <f>INDEX(#REF!,MATCH(F2669,#REF!,0),2)</f>
        <v>#REF!</v>
      </c>
      <c r="Q2669" s="1025"/>
      <c r="R2669" s="1025"/>
      <c r="S2669" s="1025"/>
      <c r="T2669" s="1025"/>
      <c r="U2669" s="1025"/>
      <c r="V2669" s="1025"/>
      <c r="W2669" s="43"/>
      <c r="X2669" s="1025"/>
      <c r="Y2669" s="1025"/>
      <c r="Z2669" s="1025"/>
      <c r="AA2669" s="1025"/>
      <c r="AB2669" s="1025"/>
      <c r="AC2669" s="1025"/>
      <c r="AD2669" s="1025"/>
      <c r="AE2669" s="1025"/>
      <c r="AF2669" s="1025"/>
      <c r="AG2669" s="1025"/>
      <c r="AH2669" s="1025"/>
      <c r="AI2669" s="1025"/>
      <c r="AJ2669" s="1025"/>
      <c r="AK2669" s="1025"/>
      <c r="AL2669" s="1025"/>
      <c r="AM2669" s="1025"/>
      <c r="AN2669" s="1025"/>
      <c r="AO2669" s="1025"/>
      <c r="AP2669" s="1025"/>
      <c r="AQ2669" s="1025"/>
      <c r="AR2669" s="1025"/>
      <c r="AS2669" s="1025"/>
      <c r="AT2669" s="1025"/>
      <c r="AU2669" s="1025"/>
      <c r="AV2669" s="1025"/>
    </row>
    <row r="2670" spans="1:48" s="79" customFormat="1" ht="24" customHeight="1">
      <c r="A2670" s="1897"/>
      <c r="B2670" s="762" t="s">
        <v>663</v>
      </c>
      <c r="C2670" s="762" t="s">
        <v>652</v>
      </c>
      <c r="D2670" s="1599"/>
      <c r="E2670" s="2245" t="s">
        <v>1936</v>
      </c>
      <c r="F2670" s="763">
        <v>1210</v>
      </c>
      <c r="G2670" s="1900" t="s">
        <v>2585</v>
      </c>
      <c r="H2670" s="2779"/>
      <c r="I2670" s="2779">
        <v>0</v>
      </c>
      <c r="J2670" s="2779"/>
      <c r="K2670" s="2777"/>
      <c r="L2670" s="2779"/>
      <c r="M2670" s="4085">
        <v>0</v>
      </c>
      <c r="N2670" s="2847"/>
      <c r="O2670" s="86"/>
      <c r="P2670" s="1817" t="e">
        <f>INDEX(#REF!,MATCH(F2670,#REF!,0),2)</f>
        <v>#REF!</v>
      </c>
      <c r="Q2670" s="1025"/>
      <c r="R2670" s="1025"/>
      <c r="S2670" s="1025"/>
      <c r="T2670" s="1025"/>
      <c r="U2670" s="1025"/>
      <c r="V2670" s="1025"/>
      <c r="W2670" s="43"/>
      <c r="X2670" s="1025"/>
      <c r="Y2670" s="1025"/>
      <c r="Z2670" s="1025"/>
      <c r="AA2670" s="1025"/>
      <c r="AB2670" s="1025"/>
      <c r="AC2670" s="1025"/>
      <c r="AD2670" s="1025"/>
      <c r="AE2670" s="1025"/>
      <c r="AF2670" s="1025"/>
      <c r="AG2670" s="1025"/>
      <c r="AH2670" s="1025"/>
      <c r="AI2670" s="1025"/>
      <c r="AJ2670" s="1025"/>
      <c r="AK2670" s="1025"/>
      <c r="AL2670" s="1025"/>
      <c r="AM2670" s="1025"/>
      <c r="AN2670" s="1025"/>
      <c r="AO2670" s="1025"/>
      <c r="AP2670" s="1025"/>
      <c r="AQ2670" s="1025"/>
      <c r="AR2670" s="1025"/>
      <c r="AS2670" s="1025"/>
      <c r="AT2670" s="1025"/>
      <c r="AU2670" s="1025"/>
      <c r="AV2670" s="1025"/>
    </row>
    <row r="2671" spans="1:48" s="79" customFormat="1" ht="11.45" customHeight="1">
      <c r="A2671" s="1394"/>
      <c r="B2671" s="762" t="s">
        <v>663</v>
      </c>
      <c r="C2671" s="762" t="s">
        <v>652</v>
      </c>
      <c r="D2671" s="1599"/>
      <c r="E2671" s="2245" t="s">
        <v>1936</v>
      </c>
      <c r="F2671" s="763">
        <v>1210</v>
      </c>
      <c r="G2671" s="1460" t="s">
        <v>1177</v>
      </c>
      <c r="H2671" s="2779"/>
      <c r="I2671" s="2779"/>
      <c r="J2671" s="2779"/>
      <c r="K2671" s="2777"/>
      <c r="L2671" s="2779"/>
      <c r="M2671" s="2779"/>
      <c r="N2671" s="2847"/>
      <c r="O2671" s="86"/>
      <c r="P2671" s="1817" t="e">
        <f>INDEX(#REF!,MATCH(F2671,#REF!,0),2)</f>
        <v>#REF!</v>
      </c>
      <c r="Q2671" s="1025"/>
      <c r="R2671" s="1025"/>
      <c r="S2671" s="1025"/>
      <c r="T2671" s="1025"/>
      <c r="U2671" s="1025"/>
      <c r="V2671" s="1025"/>
      <c r="W2671" s="43"/>
      <c r="X2671" s="1025"/>
      <c r="Y2671" s="1025"/>
      <c r="Z2671" s="1025"/>
      <c r="AA2671" s="1025"/>
      <c r="AB2671" s="1025"/>
      <c r="AC2671" s="1025"/>
      <c r="AD2671" s="1025"/>
      <c r="AE2671" s="1025"/>
      <c r="AF2671" s="1025"/>
      <c r="AG2671" s="1025"/>
      <c r="AH2671" s="1025"/>
      <c r="AI2671" s="1025"/>
      <c r="AJ2671" s="1025"/>
      <c r="AK2671" s="1025"/>
      <c r="AL2671" s="1025"/>
      <c r="AM2671" s="1025"/>
      <c r="AN2671" s="1025"/>
      <c r="AO2671" s="1025"/>
      <c r="AP2671" s="1025"/>
      <c r="AQ2671" s="1025"/>
      <c r="AR2671" s="1025"/>
      <c r="AS2671" s="1025"/>
      <c r="AT2671" s="1025"/>
      <c r="AU2671" s="1025"/>
      <c r="AV2671" s="1025"/>
    </row>
    <row r="2672" spans="1:48" s="79" customFormat="1" ht="11.45" customHeight="1">
      <c r="A2672" s="803"/>
      <c r="B2672" s="755" t="s">
        <v>512</v>
      </c>
      <c r="C2672" s="755" t="s">
        <v>506</v>
      </c>
      <c r="D2672" s="1600">
        <v>952</v>
      </c>
      <c r="E2672" s="2247" t="s">
        <v>1937</v>
      </c>
      <c r="F2672" s="756">
        <v>1210</v>
      </c>
      <c r="G2672" s="757" t="s">
        <v>367</v>
      </c>
      <c r="H2672" s="3655">
        <v>15989.698240000002</v>
      </c>
      <c r="I2672" s="2842"/>
      <c r="J2672" s="2842"/>
      <c r="K2672" s="3654"/>
      <c r="L2672" s="3656">
        <v>27498.598719999998</v>
      </c>
      <c r="M2672" s="2839"/>
      <c r="N2672" s="2847"/>
      <c r="O2672" s="86"/>
      <c r="P2672" s="1817" t="e">
        <f>INDEX(#REF!,MATCH(F2672,#REF!,0),2)</f>
        <v>#REF!</v>
      </c>
      <c r="Q2672" s="1025"/>
      <c r="R2672" s="1025"/>
      <c r="S2672" s="1025"/>
      <c r="T2672" s="1025"/>
      <c r="U2672" s="1025"/>
      <c r="V2672" s="1025"/>
      <c r="W2672" s="43"/>
      <c r="X2672" s="1025"/>
      <c r="Y2672" s="1025"/>
      <c r="Z2672" s="1025"/>
      <c r="AA2672" s="1025"/>
      <c r="AB2672" s="1025"/>
      <c r="AC2672" s="1025"/>
      <c r="AD2672" s="1025"/>
      <c r="AE2672" s="1025"/>
      <c r="AF2672" s="1025"/>
      <c r="AG2672" s="1025"/>
      <c r="AH2672" s="1025"/>
      <c r="AI2672" s="1025"/>
      <c r="AJ2672" s="1025"/>
      <c r="AK2672" s="1025"/>
      <c r="AL2672" s="1025"/>
      <c r="AM2672" s="1025"/>
      <c r="AN2672" s="1025"/>
      <c r="AO2672" s="1025"/>
      <c r="AP2672" s="1025"/>
      <c r="AQ2672" s="1025"/>
      <c r="AR2672" s="1025"/>
      <c r="AS2672" s="1025"/>
      <c r="AT2672" s="1025"/>
      <c r="AU2672" s="1025"/>
      <c r="AV2672" s="1025"/>
    </row>
    <row r="2673" spans="1:48" s="79" customFormat="1" ht="11.45" customHeight="1">
      <c r="A2673" s="771"/>
      <c r="B2673" s="762" t="s">
        <v>512</v>
      </c>
      <c r="C2673" s="762" t="s">
        <v>506</v>
      </c>
      <c r="D2673" s="1599"/>
      <c r="E2673" s="2245" t="s">
        <v>1937</v>
      </c>
      <c r="F2673" s="763">
        <v>1210</v>
      </c>
      <c r="G2673" s="805" t="s">
        <v>1216</v>
      </c>
      <c r="H2673" s="2779"/>
      <c r="I2673" s="2779">
        <v>14416.698240000002</v>
      </c>
      <c r="J2673" s="2779"/>
      <c r="K2673" s="2777"/>
      <c r="L2673" s="2778"/>
      <c r="M2673" s="2778">
        <v>25925.598719999998</v>
      </c>
      <c r="N2673" s="2847"/>
      <c r="O2673" s="86"/>
      <c r="P2673" s="1817" t="e">
        <f>INDEX(#REF!,MATCH(F2673,#REF!,0),2)</f>
        <v>#REF!</v>
      </c>
      <c r="Q2673" s="1025"/>
      <c r="R2673" s="1025"/>
      <c r="S2673" s="1025"/>
      <c r="T2673" s="1025"/>
      <c r="U2673" s="1025"/>
      <c r="V2673" s="1025"/>
      <c r="W2673" s="43"/>
      <c r="X2673" s="1025"/>
      <c r="Y2673" s="1025"/>
      <c r="Z2673" s="1025"/>
      <c r="AA2673" s="1025"/>
      <c r="AB2673" s="1025"/>
      <c r="AC2673" s="1025"/>
      <c r="AD2673" s="1025"/>
      <c r="AE2673" s="1025"/>
      <c r="AF2673" s="1025"/>
      <c r="AG2673" s="1025"/>
      <c r="AH2673" s="1025"/>
      <c r="AI2673" s="1025"/>
      <c r="AJ2673" s="1025"/>
      <c r="AK2673" s="1025"/>
      <c r="AL2673" s="1025"/>
      <c r="AM2673" s="1025"/>
      <c r="AN2673" s="1025"/>
      <c r="AO2673" s="1025"/>
      <c r="AP2673" s="1025"/>
      <c r="AQ2673" s="1025"/>
      <c r="AR2673" s="1025"/>
      <c r="AS2673" s="1025"/>
      <c r="AT2673" s="1025"/>
      <c r="AU2673" s="1025"/>
      <c r="AV2673" s="1025"/>
    </row>
    <row r="2674" spans="1:48" s="79" customFormat="1" ht="11.45" customHeight="1">
      <c r="A2674" s="1471"/>
      <c r="B2674" s="762" t="s">
        <v>512</v>
      </c>
      <c r="C2674" s="762" t="s">
        <v>506</v>
      </c>
      <c r="D2674" s="1599"/>
      <c r="E2674" s="2245" t="s">
        <v>1937</v>
      </c>
      <c r="F2674" s="763">
        <v>1210</v>
      </c>
      <c r="G2674" s="1472" t="s">
        <v>2053</v>
      </c>
      <c r="H2674" s="2779"/>
      <c r="I2674" s="2779">
        <v>1573</v>
      </c>
      <c r="J2674" s="2779"/>
      <c r="K2674" s="2777"/>
      <c r="L2674" s="2778"/>
      <c r="M2674" s="2778">
        <v>1573</v>
      </c>
      <c r="N2674" s="2847"/>
      <c r="O2674" s="86"/>
      <c r="P2674" s="1817" t="e">
        <f>INDEX(#REF!,MATCH(F2674,#REF!,0),2)</f>
        <v>#REF!</v>
      </c>
      <c r="Q2674" s="1025"/>
      <c r="R2674" s="1025"/>
      <c r="S2674" s="1025"/>
      <c r="T2674" s="1025"/>
      <c r="U2674" s="1025"/>
      <c r="V2674" s="1025"/>
      <c r="W2674" s="43"/>
      <c r="X2674" s="1025"/>
      <c r="Y2674" s="1025"/>
      <c r="Z2674" s="1025"/>
      <c r="AA2674" s="1025"/>
      <c r="AB2674" s="1025"/>
      <c r="AC2674" s="1025"/>
      <c r="AD2674" s="1025"/>
      <c r="AE2674" s="1025"/>
      <c r="AF2674" s="1025"/>
      <c r="AG2674" s="1025"/>
      <c r="AH2674" s="1025"/>
      <c r="AI2674" s="1025"/>
      <c r="AJ2674" s="1025"/>
      <c r="AK2674" s="1025"/>
      <c r="AL2674" s="1025"/>
      <c r="AM2674" s="1025"/>
      <c r="AN2674" s="1025"/>
      <c r="AO2674" s="1025"/>
      <c r="AP2674" s="1025"/>
      <c r="AQ2674" s="1025"/>
      <c r="AR2674" s="1025"/>
      <c r="AS2674" s="1025"/>
      <c r="AT2674" s="1025"/>
      <c r="AU2674" s="1025"/>
      <c r="AV2674" s="1025"/>
    </row>
    <row r="2675" spans="1:48" s="79" customFormat="1" ht="11.45" customHeight="1">
      <c r="A2675" s="1394"/>
      <c r="B2675" s="762" t="s">
        <v>512</v>
      </c>
      <c r="C2675" s="762" t="s">
        <v>506</v>
      </c>
      <c r="D2675" s="1599"/>
      <c r="E2675" s="2245" t="s">
        <v>1937</v>
      </c>
      <c r="F2675" s="763">
        <v>1210</v>
      </c>
      <c r="G2675" s="1460"/>
      <c r="H2675" s="2779"/>
      <c r="I2675" s="2779"/>
      <c r="J2675" s="2779"/>
      <c r="K2675" s="2777"/>
      <c r="L2675" s="2778"/>
      <c r="M2675" s="2778"/>
      <c r="N2675" s="2847"/>
      <c r="O2675" s="86"/>
      <c r="P2675" s="1817" t="e">
        <f>INDEX(#REF!,MATCH(F2675,#REF!,0),2)</f>
        <v>#REF!</v>
      </c>
      <c r="Q2675" s="1025"/>
      <c r="R2675" s="1025"/>
      <c r="S2675" s="1025"/>
      <c r="T2675" s="1025"/>
      <c r="U2675" s="1025"/>
      <c r="V2675" s="1025"/>
      <c r="W2675" s="43"/>
      <c r="X2675" s="1025"/>
      <c r="Y2675" s="1025"/>
      <c r="Z2675" s="1025"/>
      <c r="AA2675" s="1025"/>
      <c r="AB2675" s="1025"/>
      <c r="AC2675" s="1025"/>
      <c r="AD2675" s="1025"/>
      <c r="AE2675" s="1025"/>
      <c r="AF2675" s="1025"/>
      <c r="AG2675" s="1025"/>
      <c r="AH2675" s="1025"/>
      <c r="AI2675" s="1025"/>
      <c r="AJ2675" s="1025"/>
      <c r="AK2675" s="1025"/>
      <c r="AL2675" s="1025"/>
      <c r="AM2675" s="1025"/>
      <c r="AN2675" s="1025"/>
      <c r="AO2675" s="1025"/>
      <c r="AP2675" s="1025"/>
      <c r="AQ2675" s="1025"/>
      <c r="AR2675" s="1025"/>
      <c r="AS2675" s="1025"/>
      <c r="AT2675" s="1025"/>
      <c r="AU2675" s="1025"/>
      <c r="AV2675" s="1025"/>
    </row>
    <row r="2676" spans="1:48" s="79" customFormat="1" ht="11.45" customHeight="1">
      <c r="A2676" s="803"/>
      <c r="B2676" s="755" t="s">
        <v>663</v>
      </c>
      <c r="C2676" s="755" t="s">
        <v>652</v>
      </c>
      <c r="D2676" s="1600">
        <v>952</v>
      </c>
      <c r="E2676" s="2247" t="s">
        <v>1936</v>
      </c>
      <c r="F2676" s="756">
        <v>1221</v>
      </c>
      <c r="G2676" s="757" t="s">
        <v>683</v>
      </c>
      <c r="H2676" s="2842">
        <v>11407.073645826002</v>
      </c>
      <c r="I2676" s="2842"/>
      <c r="J2676" s="2842">
        <v>9693.92</v>
      </c>
      <c r="K2676" s="3654"/>
      <c r="L2676" s="2842">
        <v>14917.910677731999</v>
      </c>
      <c r="M2676" s="2842"/>
      <c r="N2676" s="2847"/>
      <c r="O2676" s="86"/>
      <c r="P2676" s="1817" t="e">
        <f>INDEX(#REF!,MATCH(F2676,#REF!,0),2)</f>
        <v>#REF!</v>
      </c>
      <c r="Q2676" s="1025"/>
      <c r="R2676" s="1025"/>
      <c r="S2676" s="1025"/>
      <c r="T2676" s="1025"/>
      <c r="U2676" s="1025"/>
      <c r="V2676" s="1025"/>
      <c r="W2676" s="43"/>
      <c r="X2676" s="1025"/>
      <c r="Y2676" s="1025"/>
      <c r="Z2676" s="1025"/>
      <c r="AA2676" s="1025"/>
      <c r="AB2676" s="1025"/>
      <c r="AC2676" s="1025"/>
      <c r="AD2676" s="1025"/>
      <c r="AE2676" s="1025"/>
      <c r="AF2676" s="1025"/>
      <c r="AG2676" s="1025"/>
      <c r="AH2676" s="1025"/>
      <c r="AI2676" s="1025"/>
      <c r="AJ2676" s="1025"/>
      <c r="AK2676" s="1025"/>
      <c r="AL2676" s="1025"/>
      <c r="AM2676" s="1025"/>
      <c r="AN2676" s="1025"/>
      <c r="AO2676" s="1025"/>
      <c r="AP2676" s="1025"/>
      <c r="AQ2676" s="1025"/>
      <c r="AR2676" s="1025"/>
      <c r="AS2676" s="1025"/>
      <c r="AT2676" s="1025"/>
      <c r="AU2676" s="1025"/>
      <c r="AV2676" s="1025"/>
    </row>
    <row r="2677" spans="1:48" s="79" customFormat="1" ht="11.45" customHeight="1">
      <c r="A2677" s="1394"/>
      <c r="B2677" s="762" t="s">
        <v>663</v>
      </c>
      <c r="C2677" s="762" t="s">
        <v>652</v>
      </c>
      <c r="D2677" s="1599"/>
      <c r="E2677" s="2245" t="s">
        <v>1936</v>
      </c>
      <c r="F2677" s="763">
        <v>1221</v>
      </c>
      <c r="G2677" s="1460" t="s">
        <v>663</v>
      </c>
      <c r="H2677" s="2779"/>
      <c r="I2677" s="2779">
        <v>11407.073645826002</v>
      </c>
      <c r="J2677" s="2779"/>
      <c r="K2677" s="2777"/>
      <c r="L2677" s="2779"/>
      <c r="M2677" s="2779">
        <v>14917.910677731999</v>
      </c>
      <c r="N2677" s="2847"/>
      <c r="O2677" s="86"/>
      <c r="P2677" s="1817" t="e">
        <f>INDEX(#REF!,MATCH(F2677,#REF!,0),2)</f>
        <v>#REF!</v>
      </c>
      <c r="Q2677" s="1025"/>
      <c r="R2677" s="1025"/>
      <c r="S2677" s="1025"/>
      <c r="T2677" s="1025"/>
      <c r="U2677" s="1025"/>
      <c r="V2677" s="1025"/>
      <c r="W2677" s="43"/>
      <c r="X2677" s="1025"/>
      <c r="Y2677" s="1025"/>
      <c r="Z2677" s="1025"/>
      <c r="AA2677" s="1025"/>
      <c r="AB2677" s="1025"/>
      <c r="AC2677" s="1025"/>
      <c r="AD2677" s="1025"/>
      <c r="AE2677" s="1025"/>
      <c r="AF2677" s="1025"/>
      <c r="AG2677" s="1025"/>
      <c r="AH2677" s="1025"/>
      <c r="AI2677" s="1025"/>
      <c r="AJ2677" s="1025"/>
      <c r="AK2677" s="1025"/>
      <c r="AL2677" s="1025"/>
      <c r="AM2677" s="1025"/>
      <c r="AN2677" s="1025"/>
      <c r="AO2677" s="1025"/>
      <c r="AP2677" s="1025"/>
      <c r="AQ2677" s="1025"/>
      <c r="AR2677" s="1025"/>
      <c r="AS2677" s="1025"/>
      <c r="AT2677" s="1025"/>
      <c r="AU2677" s="1025"/>
      <c r="AV2677" s="1025"/>
    </row>
    <row r="2678" spans="1:48" s="79" customFormat="1" ht="11.45" customHeight="1">
      <c r="A2678" s="771"/>
      <c r="B2678" s="762" t="s">
        <v>663</v>
      </c>
      <c r="C2678" s="762" t="s">
        <v>652</v>
      </c>
      <c r="D2678" s="1599"/>
      <c r="E2678" s="2245" t="s">
        <v>1936</v>
      </c>
      <c r="F2678" s="763">
        <v>1221</v>
      </c>
      <c r="G2678" s="805" t="s">
        <v>1177</v>
      </c>
      <c r="H2678" s="2779"/>
      <c r="I2678" s="2779"/>
      <c r="J2678" s="2779"/>
      <c r="K2678" s="2777"/>
      <c r="L2678" s="2779"/>
      <c r="M2678" s="2779"/>
      <c r="N2678" s="2847"/>
      <c r="O2678" s="86"/>
      <c r="P2678" s="1817" t="e">
        <f>INDEX(#REF!,MATCH(F2678,#REF!,0),2)</f>
        <v>#REF!</v>
      </c>
      <c r="Q2678" s="1025"/>
      <c r="R2678" s="1025"/>
      <c r="S2678" s="1025"/>
      <c r="T2678" s="1025"/>
      <c r="U2678" s="1025"/>
      <c r="V2678" s="1025"/>
      <c r="W2678" s="43"/>
      <c r="X2678" s="1025"/>
      <c r="Y2678" s="1025"/>
      <c r="Z2678" s="1025"/>
      <c r="AA2678" s="1025"/>
      <c r="AB2678" s="1025"/>
      <c r="AC2678" s="1025"/>
      <c r="AD2678" s="1025"/>
      <c r="AE2678" s="1025"/>
      <c r="AF2678" s="1025"/>
      <c r="AG2678" s="1025"/>
      <c r="AH2678" s="1025"/>
      <c r="AI2678" s="1025"/>
      <c r="AJ2678" s="1025"/>
      <c r="AK2678" s="1025"/>
      <c r="AL2678" s="1025"/>
      <c r="AM2678" s="1025"/>
      <c r="AN2678" s="1025"/>
      <c r="AO2678" s="1025"/>
      <c r="AP2678" s="1025"/>
      <c r="AQ2678" s="1025"/>
      <c r="AR2678" s="1025"/>
      <c r="AS2678" s="1025"/>
      <c r="AT2678" s="1025"/>
      <c r="AU2678" s="1025"/>
      <c r="AV2678" s="1025"/>
    </row>
    <row r="2679" spans="1:48" s="79" customFormat="1" ht="19.149999999999999" customHeight="1">
      <c r="A2679" s="803"/>
      <c r="B2679" s="755" t="s">
        <v>512</v>
      </c>
      <c r="C2679" s="755" t="s">
        <v>506</v>
      </c>
      <c r="D2679" s="1600">
        <v>952</v>
      </c>
      <c r="E2679" s="2247" t="s">
        <v>1937</v>
      </c>
      <c r="F2679" s="756">
        <v>1221</v>
      </c>
      <c r="G2679" s="757" t="s">
        <v>684</v>
      </c>
      <c r="H2679" s="3655">
        <v>0</v>
      </c>
      <c r="I2679" s="2842"/>
      <c r="J2679" s="2842"/>
      <c r="K2679" s="3654"/>
      <c r="L2679" s="3656">
        <v>0</v>
      </c>
      <c r="M2679" s="2839"/>
      <c r="N2679" s="2847"/>
      <c r="O2679" s="86"/>
      <c r="P2679" s="1817" t="e">
        <f>INDEX(#REF!,MATCH(F2679,#REF!,0),2)</f>
        <v>#REF!</v>
      </c>
      <c r="Q2679" s="1025"/>
      <c r="R2679" s="1025"/>
      <c r="S2679" s="1025"/>
      <c r="T2679" s="1025"/>
      <c r="U2679" s="1025"/>
      <c r="V2679" s="1025"/>
      <c r="W2679" s="43"/>
      <c r="X2679" s="1025"/>
      <c r="Y2679" s="1025"/>
      <c r="Z2679" s="1025"/>
      <c r="AA2679" s="1025"/>
      <c r="AB2679" s="1025"/>
      <c r="AC2679" s="1025"/>
      <c r="AD2679" s="1025"/>
      <c r="AE2679" s="1025"/>
      <c r="AF2679" s="1025"/>
      <c r="AG2679" s="1025"/>
      <c r="AH2679" s="1025"/>
      <c r="AI2679" s="1025"/>
      <c r="AJ2679" s="1025"/>
      <c r="AK2679" s="1025"/>
      <c r="AL2679" s="1025"/>
      <c r="AM2679" s="1025"/>
      <c r="AN2679" s="1025"/>
      <c r="AO2679" s="1025"/>
      <c r="AP2679" s="1025"/>
      <c r="AQ2679" s="1025"/>
      <c r="AR2679" s="1025"/>
      <c r="AS2679" s="1025"/>
      <c r="AT2679" s="1025"/>
      <c r="AU2679" s="1025"/>
      <c r="AV2679" s="1025"/>
    </row>
    <row r="2680" spans="1:48" s="79" customFormat="1" ht="22.9" customHeight="1">
      <c r="A2680" s="771"/>
      <c r="B2680" s="762" t="s">
        <v>512</v>
      </c>
      <c r="C2680" s="762" t="s">
        <v>506</v>
      </c>
      <c r="D2680" s="1599"/>
      <c r="E2680" s="2245" t="s">
        <v>1937</v>
      </c>
      <c r="F2680" s="763">
        <v>1221</v>
      </c>
      <c r="G2680" s="805" t="s">
        <v>1216</v>
      </c>
      <c r="H2680" s="2779"/>
      <c r="I2680" s="2779"/>
      <c r="J2680" s="2779"/>
      <c r="K2680" s="3654"/>
      <c r="L2680" s="2778"/>
      <c r="M2680" s="2778"/>
      <c r="N2680" s="2847"/>
      <c r="O2680" s="86"/>
      <c r="P2680" s="1817" t="e">
        <f>INDEX(#REF!,MATCH(F2680,#REF!,0),2)</f>
        <v>#REF!</v>
      </c>
      <c r="Q2680" s="1025"/>
      <c r="R2680" s="1025"/>
      <c r="S2680" s="1025"/>
      <c r="T2680" s="1025"/>
      <c r="U2680" s="1025"/>
      <c r="V2680" s="1025"/>
      <c r="W2680" s="43"/>
      <c r="X2680" s="1025"/>
      <c r="Y2680" s="1025"/>
      <c r="Z2680" s="1025"/>
      <c r="AA2680" s="1025"/>
      <c r="AB2680" s="1025"/>
      <c r="AC2680" s="1025"/>
      <c r="AD2680" s="1025"/>
      <c r="AE2680" s="1025"/>
      <c r="AF2680" s="1025"/>
      <c r="AG2680" s="1025"/>
      <c r="AH2680" s="1025"/>
      <c r="AI2680" s="1025"/>
      <c r="AJ2680" s="1025"/>
      <c r="AK2680" s="1025"/>
      <c r="AL2680" s="1025"/>
      <c r="AM2680" s="1025"/>
      <c r="AN2680" s="1025"/>
      <c r="AO2680" s="1025"/>
      <c r="AP2680" s="1025"/>
      <c r="AQ2680" s="1025"/>
      <c r="AR2680" s="1025"/>
      <c r="AS2680" s="1025"/>
      <c r="AT2680" s="1025"/>
      <c r="AU2680" s="1025"/>
      <c r="AV2680" s="1025"/>
    </row>
    <row r="2681" spans="1:48" s="79" customFormat="1" ht="20.45" customHeight="1">
      <c r="A2681" s="803"/>
      <c r="B2681" s="755" t="s">
        <v>663</v>
      </c>
      <c r="C2681" s="755" t="s">
        <v>652</v>
      </c>
      <c r="D2681" s="1600">
        <v>952</v>
      </c>
      <c r="E2681" s="2247" t="s">
        <v>1936</v>
      </c>
      <c r="F2681" s="756">
        <v>1223</v>
      </c>
      <c r="G2681" s="757" t="s">
        <v>2429</v>
      </c>
      <c r="H2681" s="2842"/>
      <c r="I2681" s="2842"/>
      <c r="J2681" s="2842"/>
      <c r="K2681" s="3654"/>
      <c r="L2681" s="2842">
        <v>3000</v>
      </c>
      <c r="M2681" s="2842"/>
      <c r="N2681" s="2847"/>
      <c r="O2681" s="86"/>
      <c r="P2681" s="1817" t="e">
        <f>INDEX(#REF!,MATCH(F2681,#REF!,0),2)</f>
        <v>#REF!</v>
      </c>
      <c r="Q2681" s="83"/>
      <c r="R2681" s="83"/>
      <c r="S2681" s="83"/>
      <c r="T2681" s="83"/>
      <c r="U2681" s="83"/>
      <c r="V2681" s="83"/>
      <c r="W2681" s="4"/>
      <c r="X2681" s="83"/>
      <c r="Y2681" s="83"/>
      <c r="Z2681" s="83"/>
      <c r="AA2681" s="83"/>
      <c r="AB2681" s="83"/>
      <c r="AC2681" s="83"/>
      <c r="AD2681" s="83"/>
      <c r="AE2681" s="83"/>
      <c r="AF2681" s="83"/>
      <c r="AG2681" s="83"/>
      <c r="AH2681" s="83"/>
      <c r="AI2681" s="83"/>
      <c r="AJ2681" s="83"/>
      <c r="AK2681" s="83"/>
      <c r="AL2681" s="83"/>
      <c r="AM2681" s="83"/>
      <c r="AN2681" s="83"/>
      <c r="AO2681" s="83"/>
      <c r="AP2681" s="83"/>
      <c r="AQ2681" s="83"/>
      <c r="AR2681" s="83"/>
      <c r="AS2681" s="83"/>
      <c r="AT2681" s="83"/>
      <c r="AU2681" s="83"/>
      <c r="AV2681" s="83"/>
    </row>
    <row r="2682" spans="1:48" s="79" customFormat="1" ht="24.6" customHeight="1">
      <c r="A2682" s="1394"/>
      <c r="B2682" s="762" t="s">
        <v>663</v>
      </c>
      <c r="C2682" s="762" t="s">
        <v>652</v>
      </c>
      <c r="D2682" s="1599"/>
      <c r="E2682" s="2245" t="s">
        <v>1936</v>
      </c>
      <c r="F2682" s="763">
        <v>1223</v>
      </c>
      <c r="G2682" s="3653" t="s">
        <v>4920</v>
      </c>
      <c r="H2682" s="2779"/>
      <c r="I2682" s="2779"/>
      <c r="J2682" s="2779"/>
      <c r="K2682" s="2777"/>
      <c r="L2682" s="2779"/>
      <c r="M2682" s="2779">
        <v>3000</v>
      </c>
      <c r="N2682" s="2847" t="s">
        <v>4921</v>
      </c>
      <c r="O2682" s="86"/>
      <c r="P2682" s="1817" t="e">
        <f>INDEX(#REF!,MATCH(F2682,#REF!,0),2)</f>
        <v>#REF!</v>
      </c>
      <c r="Q2682" s="1025"/>
      <c r="R2682" s="1025"/>
      <c r="S2682" s="1025"/>
      <c r="T2682" s="1025"/>
      <c r="U2682" s="1025"/>
      <c r="V2682" s="1025"/>
      <c r="W2682" s="43"/>
      <c r="X2682" s="1025"/>
      <c r="Y2682" s="1025"/>
      <c r="Z2682" s="1025"/>
      <c r="AA2682" s="1025"/>
      <c r="AB2682" s="1025"/>
      <c r="AC2682" s="1025"/>
      <c r="AD2682" s="1025"/>
      <c r="AE2682" s="1025"/>
      <c r="AF2682" s="1025"/>
      <c r="AG2682" s="1025"/>
      <c r="AH2682" s="1025"/>
      <c r="AI2682" s="1025"/>
      <c r="AJ2682" s="1025"/>
      <c r="AK2682" s="1025"/>
      <c r="AL2682" s="1025"/>
      <c r="AM2682" s="1025"/>
      <c r="AN2682" s="1025"/>
      <c r="AO2682" s="1025"/>
      <c r="AP2682" s="1025"/>
      <c r="AQ2682" s="1025"/>
      <c r="AR2682" s="1025"/>
      <c r="AS2682" s="1025"/>
      <c r="AT2682" s="1025"/>
      <c r="AU2682" s="1025"/>
      <c r="AV2682" s="1025"/>
    </row>
    <row r="2683" spans="1:48" s="79" customFormat="1" ht="20.45" customHeight="1">
      <c r="A2683" s="803"/>
      <c r="B2683" s="755" t="s">
        <v>1248</v>
      </c>
      <c r="C2683" s="755" t="s">
        <v>652</v>
      </c>
      <c r="D2683" s="1600">
        <v>952</v>
      </c>
      <c r="E2683" s="2247" t="s">
        <v>1936</v>
      </c>
      <c r="F2683" s="756">
        <v>1228</v>
      </c>
      <c r="G2683" s="757" t="s">
        <v>368</v>
      </c>
      <c r="H2683" s="2842">
        <v>4300</v>
      </c>
      <c r="I2683" s="2842"/>
      <c r="J2683" s="2842">
        <v>250</v>
      </c>
      <c r="K2683" s="3654"/>
      <c r="L2683" s="2842">
        <v>700</v>
      </c>
      <c r="M2683" s="2842"/>
      <c r="N2683" s="2847"/>
      <c r="O2683" s="86"/>
      <c r="P2683" s="1817" t="e">
        <f>INDEX(#REF!,MATCH(F2683,#REF!,0),2)</f>
        <v>#REF!</v>
      </c>
      <c r="Q2683" s="83"/>
      <c r="R2683" s="83"/>
      <c r="S2683" s="83"/>
      <c r="T2683" s="83"/>
      <c r="U2683" s="83"/>
      <c r="V2683" s="83"/>
      <c r="W2683" s="4"/>
      <c r="X2683" s="83"/>
      <c r="Y2683" s="83"/>
      <c r="Z2683" s="83"/>
      <c r="AA2683" s="83"/>
      <c r="AB2683" s="83"/>
      <c r="AC2683" s="83"/>
      <c r="AD2683" s="83"/>
      <c r="AE2683" s="83"/>
      <c r="AF2683" s="83"/>
      <c r="AG2683" s="83"/>
      <c r="AH2683" s="83"/>
      <c r="AI2683" s="83"/>
      <c r="AJ2683" s="83"/>
      <c r="AK2683" s="83"/>
      <c r="AL2683" s="83"/>
      <c r="AM2683" s="83"/>
      <c r="AN2683" s="83"/>
      <c r="AO2683" s="83"/>
      <c r="AP2683" s="83"/>
      <c r="AQ2683" s="83"/>
      <c r="AR2683" s="83"/>
      <c r="AS2683" s="83"/>
      <c r="AT2683" s="83"/>
      <c r="AU2683" s="83"/>
      <c r="AV2683" s="83"/>
    </row>
    <row r="2684" spans="1:48" s="244" customFormat="1" ht="13.9" customHeight="1">
      <c r="A2684" s="771"/>
      <c r="B2684" s="762" t="s">
        <v>1248</v>
      </c>
      <c r="C2684" s="762" t="s">
        <v>652</v>
      </c>
      <c r="D2684" s="1599"/>
      <c r="E2684" s="2245" t="s">
        <v>1936</v>
      </c>
      <c r="F2684" s="763">
        <v>1228</v>
      </c>
      <c r="G2684" s="1008" t="s">
        <v>4922</v>
      </c>
      <c r="H2684" s="2779"/>
      <c r="I2684" s="2779">
        <v>4300</v>
      </c>
      <c r="J2684" s="2779"/>
      <c r="K2684" s="3654"/>
      <c r="L2684" s="2779"/>
      <c r="M2684" s="2779">
        <v>700</v>
      </c>
      <c r="N2684" s="2847"/>
      <c r="O2684" s="86"/>
      <c r="P2684" s="1817" t="e">
        <f>INDEX(#REF!,MATCH(F2684,#REF!,0),2)</f>
        <v>#REF!</v>
      </c>
      <c r="W2684" s="1812"/>
    </row>
    <row r="2685" spans="1:48" s="79" customFormat="1" ht="21" customHeight="1">
      <c r="A2685" s="803"/>
      <c r="B2685" s="755" t="s">
        <v>1248</v>
      </c>
      <c r="C2685" s="755" t="s">
        <v>507</v>
      </c>
      <c r="D2685" s="1600">
        <v>952</v>
      </c>
      <c r="E2685" s="2247" t="s">
        <v>1936</v>
      </c>
      <c r="F2685" s="756">
        <v>2234</v>
      </c>
      <c r="G2685" s="757" t="s">
        <v>375</v>
      </c>
      <c r="H2685" s="2842">
        <v>600</v>
      </c>
      <c r="I2685" s="2842"/>
      <c r="J2685" s="2842"/>
      <c r="K2685" s="3654"/>
      <c r="L2685" s="2842">
        <v>500</v>
      </c>
      <c r="M2685" s="2842"/>
      <c r="N2685" s="2847"/>
      <c r="O2685" s="86"/>
      <c r="P2685" s="1817" t="e">
        <f>INDEX(#REF!,MATCH(F2685,#REF!,0),2)</f>
        <v>#REF!</v>
      </c>
      <c r="Q2685" s="1025"/>
      <c r="R2685" s="1025"/>
      <c r="S2685" s="1025"/>
      <c r="T2685" s="1025"/>
      <c r="U2685" s="1025"/>
      <c r="V2685" s="1025"/>
      <c r="W2685" s="43"/>
      <c r="X2685" s="1025"/>
      <c r="Y2685" s="1025"/>
      <c r="Z2685" s="1025"/>
      <c r="AA2685" s="1025"/>
      <c r="AB2685" s="1025"/>
      <c r="AC2685" s="1025"/>
      <c r="AD2685" s="1025"/>
      <c r="AE2685" s="1025"/>
      <c r="AF2685" s="1025"/>
      <c r="AG2685" s="1025"/>
      <c r="AH2685" s="1025"/>
      <c r="AI2685" s="1025"/>
      <c r="AJ2685" s="1025"/>
      <c r="AK2685" s="1025"/>
      <c r="AL2685" s="1025"/>
      <c r="AM2685" s="1025"/>
      <c r="AN2685" s="1025"/>
      <c r="AO2685" s="1025"/>
      <c r="AP2685" s="1025"/>
      <c r="AQ2685" s="1025"/>
      <c r="AR2685" s="1025"/>
      <c r="AS2685" s="1025"/>
      <c r="AT2685" s="1025"/>
      <c r="AU2685" s="1025"/>
      <c r="AV2685" s="1025"/>
    </row>
    <row r="2686" spans="1:48" s="79" customFormat="1" ht="22.5">
      <c r="A2686" s="808"/>
      <c r="B2686" s="778" t="s">
        <v>1248</v>
      </c>
      <c r="C2686" s="778" t="s">
        <v>507</v>
      </c>
      <c r="D2686" s="1599"/>
      <c r="E2686" s="2245" t="s">
        <v>1936</v>
      </c>
      <c r="F2686" s="763">
        <v>2234</v>
      </c>
      <c r="G2686" s="1008" t="s">
        <v>4923</v>
      </c>
      <c r="H2686" s="2779"/>
      <c r="I2686" s="2779">
        <v>600</v>
      </c>
      <c r="J2686" s="2779"/>
      <c r="K2686" s="2777"/>
      <c r="L2686" s="2779"/>
      <c r="M2686" s="2779">
        <v>500</v>
      </c>
      <c r="N2686" s="2847"/>
      <c r="O2686" s="86"/>
      <c r="P2686" s="1817" t="e">
        <f>INDEX(#REF!,MATCH(F2686,#REF!,0),2)</f>
        <v>#REF!</v>
      </c>
      <c r="Q2686" s="1025"/>
      <c r="R2686" s="1025"/>
      <c r="S2686" s="1025"/>
      <c r="T2686" s="1025"/>
      <c r="U2686" s="1025"/>
      <c r="V2686" s="1025"/>
      <c r="W2686" s="43"/>
      <c r="X2686" s="1025"/>
      <c r="Y2686" s="1025"/>
      <c r="Z2686" s="1025"/>
      <c r="AA2686" s="1025"/>
      <c r="AB2686" s="1025"/>
      <c r="AC2686" s="1025"/>
      <c r="AD2686" s="1025"/>
      <c r="AE2686" s="1025"/>
      <c r="AF2686" s="1025"/>
      <c r="AG2686" s="1025"/>
      <c r="AH2686" s="1025"/>
      <c r="AI2686" s="1025"/>
      <c r="AJ2686" s="1025"/>
      <c r="AK2686" s="1025"/>
      <c r="AL2686" s="1025"/>
      <c r="AM2686" s="1025"/>
      <c r="AN2686" s="1025"/>
      <c r="AO2686" s="1025"/>
      <c r="AP2686" s="1025"/>
      <c r="AQ2686" s="1025"/>
      <c r="AR2686" s="1025"/>
      <c r="AS2686" s="1025"/>
      <c r="AT2686" s="1025"/>
      <c r="AU2686" s="1025"/>
      <c r="AV2686" s="1025"/>
    </row>
    <row r="2687" spans="1:48" s="79" customFormat="1" ht="11.45" customHeight="1">
      <c r="A2687" s="803"/>
      <c r="B2687" s="755" t="s">
        <v>1248</v>
      </c>
      <c r="C2687" s="755" t="s">
        <v>507</v>
      </c>
      <c r="D2687" s="1600"/>
      <c r="E2687" s="2247" t="s">
        <v>1936</v>
      </c>
      <c r="F2687" s="756">
        <v>2235</v>
      </c>
      <c r="G2687" s="757" t="s">
        <v>2431</v>
      </c>
      <c r="H2687" s="2842">
        <v>500</v>
      </c>
      <c r="I2687" s="2842"/>
      <c r="J2687" s="2842"/>
      <c r="K2687" s="3654"/>
      <c r="L2687" s="2842">
        <v>500</v>
      </c>
      <c r="M2687" s="2842"/>
      <c r="N2687" s="2847"/>
      <c r="O2687" s="86"/>
      <c r="P2687" s="1817" t="e">
        <f>INDEX(#REF!,MATCH(F2687,#REF!,0),2)</f>
        <v>#REF!</v>
      </c>
      <c r="Q2687" s="1025"/>
      <c r="R2687" s="1025"/>
      <c r="S2687" s="1025"/>
      <c r="T2687" s="1025"/>
      <c r="U2687" s="1025"/>
      <c r="V2687" s="1025"/>
      <c r="W2687" s="43"/>
      <c r="X2687" s="1025"/>
      <c r="Y2687" s="1025"/>
      <c r="Z2687" s="1025"/>
      <c r="AA2687" s="1025"/>
      <c r="AB2687" s="1025"/>
      <c r="AC2687" s="1025"/>
      <c r="AD2687" s="1025"/>
      <c r="AE2687" s="1025"/>
      <c r="AF2687" s="1025"/>
      <c r="AG2687" s="1025"/>
      <c r="AH2687" s="1025"/>
      <c r="AI2687" s="1025"/>
      <c r="AJ2687" s="1025"/>
      <c r="AK2687" s="1025"/>
      <c r="AL2687" s="1025"/>
      <c r="AM2687" s="1025"/>
      <c r="AN2687" s="1025"/>
      <c r="AO2687" s="1025"/>
      <c r="AP2687" s="1025"/>
      <c r="AQ2687" s="1025"/>
      <c r="AR2687" s="1025"/>
      <c r="AS2687" s="1025"/>
      <c r="AT2687" s="1025"/>
      <c r="AU2687" s="1025"/>
      <c r="AV2687" s="1025"/>
    </row>
    <row r="2688" spans="1:48" s="79" customFormat="1" ht="21" customHeight="1">
      <c r="A2688" s="771"/>
      <c r="B2688" s="762" t="s">
        <v>1248</v>
      </c>
      <c r="C2688" s="762" t="s">
        <v>507</v>
      </c>
      <c r="D2688" s="1599"/>
      <c r="E2688" s="2245" t="s">
        <v>1936</v>
      </c>
      <c r="F2688" s="763">
        <v>2235</v>
      </c>
      <c r="G2688" s="772" t="s">
        <v>4925</v>
      </c>
      <c r="H2688" s="2779"/>
      <c r="I2688" s="2779">
        <v>500</v>
      </c>
      <c r="J2688" s="2779"/>
      <c r="K2688" s="2777"/>
      <c r="L2688" s="2779"/>
      <c r="M2688" s="2779">
        <v>500</v>
      </c>
      <c r="N2688" s="2847"/>
      <c r="O2688" s="86"/>
      <c r="P2688" s="1817" t="e">
        <f>INDEX(#REF!,MATCH(F2688,#REF!,0),2)</f>
        <v>#REF!</v>
      </c>
      <c r="Q2688" s="83"/>
      <c r="R2688" s="83"/>
      <c r="S2688" s="83"/>
      <c r="T2688" s="83"/>
      <c r="U2688" s="83"/>
      <c r="V2688" s="83"/>
      <c r="W2688" s="4"/>
      <c r="X2688" s="83"/>
      <c r="Y2688" s="83"/>
      <c r="Z2688" s="83"/>
      <c r="AA2688" s="83"/>
      <c r="AB2688" s="83"/>
      <c r="AC2688" s="83"/>
      <c r="AD2688" s="83"/>
      <c r="AE2688" s="83"/>
      <c r="AF2688" s="83"/>
      <c r="AG2688" s="83"/>
      <c r="AH2688" s="83"/>
      <c r="AI2688" s="83"/>
      <c r="AJ2688" s="83"/>
      <c r="AK2688" s="83"/>
      <c r="AL2688" s="83"/>
      <c r="AM2688" s="83"/>
      <c r="AN2688" s="83"/>
      <c r="AO2688" s="83"/>
      <c r="AP2688" s="83"/>
      <c r="AQ2688" s="83"/>
      <c r="AR2688" s="83"/>
      <c r="AS2688" s="83"/>
      <c r="AT2688" s="83"/>
      <c r="AU2688" s="83"/>
      <c r="AV2688" s="83"/>
    </row>
    <row r="2689" spans="1:48" s="79" customFormat="1" ht="11.45" customHeight="1">
      <c r="A2689" s="803"/>
      <c r="B2689" s="755" t="s">
        <v>1248</v>
      </c>
      <c r="C2689" s="755" t="s">
        <v>507</v>
      </c>
      <c r="D2689" s="1600">
        <v>952</v>
      </c>
      <c r="E2689" s="2247" t="s">
        <v>1936</v>
      </c>
      <c r="F2689" s="756">
        <v>2239</v>
      </c>
      <c r="G2689" s="757" t="s">
        <v>297</v>
      </c>
      <c r="H2689" s="2842">
        <v>3500</v>
      </c>
      <c r="I2689" s="2842"/>
      <c r="J2689" s="2842">
        <v>1620.25</v>
      </c>
      <c r="K2689" s="2841"/>
      <c r="L2689" s="2842">
        <v>3500</v>
      </c>
      <c r="M2689" s="2842"/>
      <c r="N2689" s="2847"/>
      <c r="O2689" s="86"/>
      <c r="P2689" s="1817" t="e">
        <f>INDEX(#REF!,MATCH(F2689,#REF!,0),2)</f>
        <v>#REF!</v>
      </c>
      <c r="Q2689" s="1025"/>
      <c r="R2689" s="1025"/>
      <c r="S2689" s="1025"/>
      <c r="T2689" s="1025"/>
      <c r="U2689" s="1025"/>
      <c r="V2689" s="1025"/>
      <c r="W2689" s="43"/>
      <c r="X2689" s="1025"/>
      <c r="Y2689" s="1025"/>
      <c r="Z2689" s="1025"/>
      <c r="AA2689" s="1025"/>
      <c r="AB2689" s="1025"/>
      <c r="AC2689" s="1025"/>
      <c r="AD2689" s="1025"/>
      <c r="AE2689" s="1025"/>
      <c r="AF2689" s="1025"/>
      <c r="AG2689" s="1025"/>
      <c r="AH2689" s="1025"/>
      <c r="AI2689" s="1025"/>
      <c r="AJ2689" s="1025"/>
      <c r="AK2689" s="1025"/>
      <c r="AL2689" s="1025"/>
      <c r="AM2689" s="1025"/>
      <c r="AN2689" s="1025"/>
      <c r="AO2689" s="1025"/>
      <c r="AP2689" s="1025"/>
      <c r="AQ2689" s="1025"/>
      <c r="AR2689" s="1025"/>
      <c r="AS2689" s="1025"/>
      <c r="AT2689" s="1025"/>
      <c r="AU2689" s="1025"/>
      <c r="AV2689" s="1025"/>
    </row>
    <row r="2690" spans="1:48" s="79" customFormat="1" ht="21" customHeight="1">
      <c r="A2690" s="808"/>
      <c r="B2690" s="778" t="s">
        <v>1248</v>
      </c>
      <c r="C2690" s="778" t="s">
        <v>507</v>
      </c>
      <c r="D2690" s="1599"/>
      <c r="E2690" s="2245" t="s">
        <v>1936</v>
      </c>
      <c r="F2690" s="763">
        <v>2239</v>
      </c>
      <c r="G2690" s="996" t="s">
        <v>1121</v>
      </c>
      <c r="H2690" s="2779"/>
      <c r="I2690" s="2779">
        <v>3000</v>
      </c>
      <c r="J2690" s="2779"/>
      <c r="K2690" s="3515"/>
      <c r="L2690" s="2779"/>
      <c r="M2690" s="2779">
        <v>3000</v>
      </c>
      <c r="N2690" s="2847"/>
      <c r="O2690" s="86"/>
      <c r="P2690" s="1817" t="e">
        <f>INDEX(#REF!,MATCH(F2690,#REF!,0),2)</f>
        <v>#REF!</v>
      </c>
      <c r="Q2690" s="83"/>
      <c r="R2690" s="83"/>
      <c r="S2690" s="83"/>
      <c r="T2690" s="83"/>
      <c r="U2690" s="83"/>
      <c r="V2690" s="83"/>
      <c r="W2690" s="4"/>
      <c r="X2690" s="83"/>
      <c r="Y2690" s="83"/>
      <c r="Z2690" s="83"/>
      <c r="AA2690" s="83"/>
      <c r="AB2690" s="83"/>
      <c r="AC2690" s="83"/>
      <c r="AD2690" s="83"/>
      <c r="AE2690" s="83"/>
      <c r="AF2690" s="83"/>
      <c r="AG2690" s="83"/>
      <c r="AH2690" s="83"/>
      <c r="AI2690" s="83"/>
      <c r="AJ2690" s="83"/>
      <c r="AK2690" s="83"/>
      <c r="AL2690" s="83"/>
      <c r="AM2690" s="83"/>
      <c r="AN2690" s="83"/>
      <c r="AO2690" s="83"/>
      <c r="AP2690" s="83"/>
      <c r="AQ2690" s="83"/>
      <c r="AR2690" s="83"/>
      <c r="AS2690" s="83"/>
      <c r="AT2690" s="83"/>
      <c r="AU2690" s="83"/>
      <c r="AV2690" s="83"/>
    </row>
    <row r="2691" spans="1:48" s="79" customFormat="1" ht="11.45" customHeight="1">
      <c r="A2691" s="771"/>
      <c r="B2691" s="762" t="s">
        <v>1248</v>
      </c>
      <c r="C2691" s="778" t="s">
        <v>507</v>
      </c>
      <c r="D2691" s="1599"/>
      <c r="E2691" s="2245" t="s">
        <v>1936</v>
      </c>
      <c r="F2691" s="763">
        <v>2239</v>
      </c>
      <c r="G2691" s="996" t="s">
        <v>1012</v>
      </c>
      <c r="H2691" s="2779"/>
      <c r="I2691" s="2779">
        <v>500</v>
      </c>
      <c r="J2691" s="2779"/>
      <c r="K2691" s="3515"/>
      <c r="L2691" s="2779"/>
      <c r="M2691" s="2779">
        <v>500</v>
      </c>
      <c r="N2691" s="2847"/>
      <c r="O2691" s="86"/>
      <c r="P2691" s="1817" t="e">
        <f>INDEX(#REF!,MATCH(F2691,#REF!,0),2)</f>
        <v>#REF!</v>
      </c>
      <c r="Q2691" s="1025"/>
      <c r="R2691" s="1025"/>
      <c r="S2691" s="1025"/>
      <c r="T2691" s="1025"/>
      <c r="U2691" s="1025"/>
      <c r="V2691" s="1025"/>
      <c r="W2691" s="43"/>
      <c r="X2691" s="1025"/>
      <c r="Y2691" s="1025"/>
      <c r="Z2691" s="1025"/>
      <c r="AA2691" s="1025"/>
      <c r="AB2691" s="1025"/>
      <c r="AC2691" s="1025"/>
      <c r="AD2691" s="1025"/>
      <c r="AE2691" s="1025"/>
      <c r="AF2691" s="1025"/>
      <c r="AG2691" s="1025"/>
      <c r="AH2691" s="1025"/>
      <c r="AI2691" s="1025"/>
      <c r="AJ2691" s="1025"/>
      <c r="AK2691" s="1025"/>
      <c r="AL2691" s="1025"/>
      <c r="AM2691" s="1025"/>
      <c r="AN2691" s="1025"/>
      <c r="AO2691" s="1025"/>
      <c r="AP2691" s="1025"/>
      <c r="AQ2691" s="1025"/>
      <c r="AR2691" s="1025"/>
      <c r="AS2691" s="1025"/>
      <c r="AT2691" s="1025"/>
      <c r="AU2691" s="1025"/>
      <c r="AV2691" s="1025"/>
    </row>
    <row r="2692" spans="1:48" s="79" customFormat="1" ht="11.45" customHeight="1">
      <c r="A2692" s="803"/>
      <c r="B2692" s="755" t="s">
        <v>1248</v>
      </c>
      <c r="C2692" s="755" t="s">
        <v>505</v>
      </c>
      <c r="D2692" s="1600">
        <v>952</v>
      </c>
      <c r="E2692" s="2247" t="s">
        <v>1936</v>
      </c>
      <c r="F2692" s="809">
        <v>2243</v>
      </c>
      <c r="G2692" s="757" t="s">
        <v>329</v>
      </c>
      <c r="H2692" s="2842">
        <v>500</v>
      </c>
      <c r="I2692" s="2842"/>
      <c r="J2692" s="2842">
        <v>108.9</v>
      </c>
      <c r="K2692" s="2841"/>
      <c r="L2692" s="2842">
        <v>500</v>
      </c>
      <c r="M2692" s="2842"/>
      <c r="N2692" s="2847"/>
      <c r="O2692" s="86"/>
      <c r="P2692" s="1817" t="e">
        <f>INDEX(#REF!,MATCH(F2692,#REF!,0),2)</f>
        <v>#REF!</v>
      </c>
      <c r="Q2692" s="83"/>
      <c r="R2692" s="83"/>
      <c r="S2692" s="83"/>
      <c r="T2692" s="83"/>
      <c r="U2692" s="83"/>
      <c r="V2692" s="83"/>
      <c r="W2692" s="4"/>
      <c r="X2692" s="83"/>
      <c r="Y2692" s="83"/>
      <c r="Z2692" s="83"/>
      <c r="AA2692" s="83"/>
      <c r="AB2692" s="83"/>
      <c r="AC2692" s="83"/>
      <c r="AD2692" s="83"/>
      <c r="AE2692" s="83"/>
      <c r="AF2692" s="83"/>
      <c r="AG2692" s="83"/>
      <c r="AH2692" s="83"/>
      <c r="AI2692" s="83"/>
      <c r="AJ2692" s="83"/>
      <c r="AK2692" s="83"/>
      <c r="AL2692" s="83"/>
      <c r="AM2692" s="83"/>
      <c r="AN2692" s="83"/>
      <c r="AO2692" s="83"/>
      <c r="AP2692" s="83"/>
      <c r="AQ2692" s="83"/>
      <c r="AR2692" s="83"/>
      <c r="AS2692" s="83"/>
      <c r="AT2692" s="83"/>
      <c r="AU2692" s="83"/>
      <c r="AV2692" s="83"/>
    </row>
    <row r="2693" spans="1:48" s="81" customFormat="1" ht="22.9" customHeight="1">
      <c r="A2693" s="771"/>
      <c r="B2693" s="762" t="s">
        <v>1248</v>
      </c>
      <c r="C2693" s="762" t="s">
        <v>505</v>
      </c>
      <c r="D2693" s="1599"/>
      <c r="E2693" s="2245" t="s">
        <v>1936</v>
      </c>
      <c r="F2693" s="763">
        <v>2243</v>
      </c>
      <c r="G2693" s="772" t="s">
        <v>2387</v>
      </c>
      <c r="H2693" s="2779"/>
      <c r="I2693" s="2779">
        <v>500</v>
      </c>
      <c r="J2693" s="2779"/>
      <c r="K2693" s="3515"/>
      <c r="L2693" s="2779"/>
      <c r="M2693" s="2779">
        <v>500</v>
      </c>
      <c r="N2693" s="2847"/>
      <c r="O2693" s="86"/>
      <c r="P2693" s="1817" t="e">
        <f>INDEX(#REF!,MATCH(F2693,#REF!,0),2)</f>
        <v>#REF!</v>
      </c>
      <c r="Q2693" s="43"/>
      <c r="R2693" s="43"/>
      <c r="S2693" s="43"/>
      <c r="T2693" s="43"/>
      <c r="U2693" s="43"/>
      <c r="V2693" s="43"/>
      <c r="W2693" s="43"/>
      <c r="X2693" s="43"/>
      <c r="Y2693" s="43"/>
      <c r="Z2693" s="43"/>
      <c r="AA2693" s="43"/>
      <c r="AB2693" s="43"/>
      <c r="AC2693" s="43"/>
      <c r="AD2693" s="43"/>
      <c r="AE2693" s="43"/>
      <c r="AF2693" s="43"/>
      <c r="AG2693" s="43"/>
      <c r="AH2693" s="43"/>
      <c r="AI2693" s="43"/>
      <c r="AJ2693" s="43"/>
      <c r="AK2693" s="43"/>
      <c r="AL2693" s="43"/>
      <c r="AM2693" s="43"/>
      <c r="AN2693" s="43"/>
      <c r="AO2693" s="43"/>
      <c r="AP2693" s="43"/>
      <c r="AQ2693" s="43"/>
      <c r="AR2693" s="43"/>
      <c r="AS2693" s="43"/>
      <c r="AT2693" s="43"/>
      <c r="AU2693" s="43"/>
      <c r="AV2693" s="43"/>
    </row>
    <row r="2694" spans="1:48" s="81" customFormat="1" ht="11.45" customHeight="1">
      <c r="A2694" s="803"/>
      <c r="B2694" s="755" t="s">
        <v>1248</v>
      </c>
      <c r="C2694" s="755" t="s">
        <v>505</v>
      </c>
      <c r="D2694" s="1600">
        <v>952</v>
      </c>
      <c r="E2694" s="2247" t="s">
        <v>1936</v>
      </c>
      <c r="F2694" s="809">
        <v>2247</v>
      </c>
      <c r="G2694" s="757" t="s">
        <v>281</v>
      </c>
      <c r="H2694" s="2842"/>
      <c r="I2694" s="2842"/>
      <c r="J2694" s="2842"/>
      <c r="K2694" s="2841"/>
      <c r="L2694" s="2842">
        <v>4000</v>
      </c>
      <c r="M2694" s="2842"/>
      <c r="N2694" s="2847"/>
      <c r="O2694" s="86"/>
      <c r="P2694" s="1817" t="e">
        <f>INDEX(#REF!,MATCH(F2694,#REF!,0),2)</f>
        <v>#REF!</v>
      </c>
      <c r="Q2694" s="43"/>
      <c r="R2694" s="43"/>
      <c r="S2694" s="43"/>
      <c r="T2694" s="43"/>
      <c r="U2694" s="43"/>
      <c r="V2694" s="43"/>
      <c r="W2694" s="43"/>
      <c r="X2694" s="43"/>
      <c r="Y2694" s="43"/>
      <c r="Z2694" s="43"/>
      <c r="AA2694" s="43"/>
      <c r="AB2694" s="43"/>
      <c r="AC2694" s="43"/>
      <c r="AD2694" s="43"/>
      <c r="AE2694" s="43"/>
      <c r="AF2694" s="43"/>
      <c r="AG2694" s="43"/>
      <c r="AH2694" s="43"/>
      <c r="AI2694" s="43"/>
      <c r="AJ2694" s="43"/>
      <c r="AK2694" s="43"/>
      <c r="AL2694" s="43"/>
      <c r="AM2694" s="43"/>
      <c r="AN2694" s="43"/>
      <c r="AO2694" s="43"/>
      <c r="AP2694" s="43"/>
      <c r="AQ2694" s="43"/>
      <c r="AR2694" s="43"/>
      <c r="AS2694" s="43"/>
      <c r="AT2694" s="43"/>
      <c r="AU2694" s="43"/>
      <c r="AV2694" s="43"/>
    </row>
    <row r="2695" spans="1:48" s="81" customFormat="1" ht="11.45" customHeight="1">
      <c r="A2695" s="1338"/>
      <c r="B2695" s="762" t="s">
        <v>1248</v>
      </c>
      <c r="C2695" s="762" t="s">
        <v>652</v>
      </c>
      <c r="D2695" s="1599"/>
      <c r="E2695" s="2245" t="s">
        <v>1936</v>
      </c>
      <c r="F2695" s="763">
        <v>2247</v>
      </c>
      <c r="G2695" s="1008" t="s">
        <v>4924</v>
      </c>
      <c r="H2695" s="2779"/>
      <c r="I2695" s="2779"/>
      <c r="J2695" s="2779"/>
      <c r="K2695" s="3654"/>
      <c r="L2695" s="2779"/>
      <c r="M2695" s="2779">
        <v>4000</v>
      </c>
      <c r="N2695" s="2847"/>
      <c r="O2695" s="86"/>
      <c r="P2695" s="1817" t="e">
        <f>INDEX(#REF!,MATCH(F2695,#REF!,0),2)</f>
        <v>#REF!</v>
      </c>
      <c r="Q2695" s="4"/>
      <c r="R2695" s="4"/>
      <c r="S2695" s="4"/>
      <c r="T2695" s="4"/>
      <c r="U2695" s="4"/>
      <c r="V2695" s="4"/>
      <c r="W2695" s="4"/>
      <c r="X2695" s="4"/>
      <c r="Y2695" s="4"/>
      <c r="Z2695" s="4"/>
      <c r="AA2695" s="4"/>
      <c r="AB2695" s="4"/>
      <c r="AC2695" s="4"/>
      <c r="AD2695" s="4"/>
      <c r="AE2695" s="4"/>
      <c r="AF2695" s="4"/>
      <c r="AG2695" s="4"/>
      <c r="AH2695" s="4"/>
      <c r="AI2695" s="4"/>
      <c r="AJ2695" s="4"/>
      <c r="AK2695" s="4"/>
      <c r="AL2695" s="4"/>
      <c r="AM2695" s="4"/>
      <c r="AN2695" s="4"/>
      <c r="AO2695" s="4"/>
      <c r="AP2695" s="4"/>
      <c r="AQ2695" s="4"/>
      <c r="AR2695" s="4"/>
      <c r="AS2695" s="4"/>
      <c r="AT2695" s="4"/>
      <c r="AU2695" s="4"/>
      <c r="AV2695" s="4"/>
    </row>
    <row r="2696" spans="1:48" s="81" customFormat="1" ht="11.45" customHeight="1">
      <c r="A2696" s="755"/>
      <c r="B2696" s="755" t="s">
        <v>1248</v>
      </c>
      <c r="C2696" s="755" t="s">
        <v>507</v>
      </c>
      <c r="D2696" s="1600">
        <v>952</v>
      </c>
      <c r="E2696" s="2247" t="s">
        <v>1936</v>
      </c>
      <c r="F2696" s="756">
        <v>2311</v>
      </c>
      <c r="G2696" s="757" t="s">
        <v>552</v>
      </c>
      <c r="H2696" s="2842">
        <v>1000</v>
      </c>
      <c r="I2696" s="2842"/>
      <c r="J2696" s="2842">
        <v>515.61</v>
      </c>
      <c r="K2696" s="3654"/>
      <c r="L2696" s="2842">
        <v>1000</v>
      </c>
      <c r="M2696" s="2842"/>
      <c r="N2696" s="2847"/>
      <c r="O2696" s="86"/>
      <c r="P2696" s="1817" t="e">
        <f>INDEX(#REF!,MATCH(F2696,#REF!,0),2)</f>
        <v>#REF!</v>
      </c>
      <c r="Q2696" s="4"/>
      <c r="R2696" s="4"/>
      <c r="S2696" s="4"/>
      <c r="T2696" s="4"/>
      <c r="U2696" s="4"/>
      <c r="V2696" s="4"/>
      <c r="W2696" s="4"/>
      <c r="X2696" s="4"/>
      <c r="Y2696" s="4"/>
      <c r="Z2696" s="4"/>
      <c r="AA2696" s="4"/>
      <c r="AB2696" s="4"/>
      <c r="AC2696" s="4"/>
      <c r="AD2696" s="4"/>
      <c r="AE2696" s="4"/>
      <c r="AF2696" s="4"/>
      <c r="AG2696" s="4"/>
      <c r="AH2696" s="4"/>
      <c r="AI2696" s="4"/>
      <c r="AJ2696" s="4"/>
      <c r="AK2696" s="4"/>
      <c r="AL2696" s="4"/>
      <c r="AM2696" s="4"/>
      <c r="AN2696" s="4"/>
      <c r="AO2696" s="4"/>
      <c r="AP2696" s="4"/>
      <c r="AQ2696" s="4"/>
      <c r="AR2696" s="4"/>
      <c r="AS2696" s="4"/>
      <c r="AT2696" s="4"/>
      <c r="AU2696" s="4"/>
      <c r="AV2696" s="4"/>
    </row>
    <row r="2697" spans="1:48" s="81" customFormat="1" ht="11.45" customHeight="1">
      <c r="A2697" s="762"/>
      <c r="B2697" s="762" t="s">
        <v>1248</v>
      </c>
      <c r="C2697" s="762" t="s">
        <v>507</v>
      </c>
      <c r="D2697" s="1599"/>
      <c r="E2697" s="2245" t="s">
        <v>1936</v>
      </c>
      <c r="F2697" s="763">
        <v>2311</v>
      </c>
      <c r="G2697" s="772" t="s">
        <v>4926</v>
      </c>
      <c r="H2697" s="2779"/>
      <c r="I2697" s="2779">
        <v>1000</v>
      </c>
      <c r="J2697" s="2779"/>
      <c r="K2697" s="3515"/>
      <c r="L2697" s="2779"/>
      <c r="M2697" s="2779">
        <v>1000</v>
      </c>
      <c r="N2697" s="2847"/>
      <c r="O2697" s="86"/>
      <c r="P2697" s="1817" t="e">
        <f>INDEX(#REF!,MATCH(F2697,#REF!,0),2)</f>
        <v>#REF!</v>
      </c>
      <c r="Q2697" s="43"/>
      <c r="R2697" s="43"/>
      <c r="S2697" s="43"/>
      <c r="T2697" s="43"/>
      <c r="U2697" s="43"/>
      <c r="V2697" s="43"/>
      <c r="W2697" s="43"/>
      <c r="X2697" s="43"/>
      <c r="Y2697" s="43"/>
      <c r="Z2697" s="43"/>
      <c r="AA2697" s="43"/>
      <c r="AB2697" s="43"/>
      <c r="AC2697" s="43"/>
      <c r="AD2697" s="43"/>
      <c r="AE2697" s="43"/>
      <c r="AF2697" s="43"/>
      <c r="AG2697" s="43"/>
      <c r="AH2697" s="43"/>
      <c r="AI2697" s="43"/>
      <c r="AJ2697" s="43"/>
      <c r="AK2697" s="43"/>
      <c r="AL2697" s="43"/>
      <c r="AM2697" s="43"/>
      <c r="AN2697" s="43"/>
      <c r="AO2697" s="43"/>
      <c r="AP2697" s="43"/>
      <c r="AQ2697" s="43"/>
      <c r="AR2697" s="43"/>
      <c r="AS2697" s="43"/>
      <c r="AT2697" s="43"/>
      <c r="AU2697" s="43"/>
      <c r="AV2697" s="43"/>
    </row>
    <row r="2698" spans="1:48" s="79" customFormat="1" ht="18" customHeight="1">
      <c r="A2698" s="755"/>
      <c r="B2698" s="755" t="s">
        <v>1248</v>
      </c>
      <c r="C2698" s="755" t="s">
        <v>509</v>
      </c>
      <c r="D2698" s="1600">
        <v>952</v>
      </c>
      <c r="E2698" s="2247" t="s">
        <v>1936</v>
      </c>
      <c r="F2698" s="756">
        <v>2312</v>
      </c>
      <c r="G2698" s="757" t="s">
        <v>378</v>
      </c>
      <c r="H2698" s="2842">
        <v>200</v>
      </c>
      <c r="I2698" s="2842"/>
      <c r="J2698" s="2842">
        <v>199.75</v>
      </c>
      <c r="K2698" s="2841"/>
      <c r="L2698" s="2842">
        <v>200</v>
      </c>
      <c r="M2698" s="2842"/>
      <c r="N2698" s="2847"/>
      <c r="O2698" s="86"/>
      <c r="P2698" s="1817" t="e">
        <f>INDEX(#REF!,MATCH(F2698,#REF!,0),2)</f>
        <v>#REF!</v>
      </c>
      <c r="Q2698" s="83"/>
      <c r="R2698" s="83"/>
      <c r="S2698" s="83"/>
      <c r="T2698" s="83"/>
      <c r="U2698" s="83"/>
      <c r="V2698" s="83"/>
      <c r="W2698" s="4"/>
      <c r="X2698" s="83"/>
      <c r="Y2698" s="83"/>
      <c r="Z2698" s="83"/>
      <c r="AA2698" s="83"/>
      <c r="AB2698" s="83"/>
      <c r="AC2698" s="83"/>
      <c r="AD2698" s="83"/>
      <c r="AE2698" s="83"/>
      <c r="AF2698" s="83"/>
      <c r="AG2698" s="83"/>
      <c r="AH2698" s="83"/>
      <c r="AI2698" s="83"/>
      <c r="AJ2698" s="83"/>
      <c r="AK2698" s="83"/>
      <c r="AL2698" s="83"/>
      <c r="AM2698" s="83"/>
      <c r="AN2698" s="83"/>
      <c r="AO2698" s="83"/>
      <c r="AP2698" s="83"/>
      <c r="AQ2698" s="83"/>
      <c r="AR2698" s="83"/>
      <c r="AS2698" s="83"/>
      <c r="AT2698" s="83"/>
      <c r="AU2698" s="83"/>
      <c r="AV2698" s="83"/>
    </row>
    <row r="2699" spans="1:48" s="79" customFormat="1" ht="26.45" customHeight="1">
      <c r="A2699" s="762"/>
      <c r="B2699" s="762" t="s">
        <v>1248</v>
      </c>
      <c r="C2699" s="762" t="s">
        <v>509</v>
      </c>
      <c r="D2699" s="1599"/>
      <c r="E2699" s="2245" t="s">
        <v>1936</v>
      </c>
      <c r="F2699" s="763">
        <v>2312</v>
      </c>
      <c r="G2699" s="810" t="s">
        <v>363</v>
      </c>
      <c r="H2699" s="2779"/>
      <c r="I2699" s="2779">
        <v>200</v>
      </c>
      <c r="J2699" s="2779"/>
      <c r="K2699" s="3515"/>
      <c r="L2699" s="2779"/>
      <c r="M2699" s="3660">
        <v>200</v>
      </c>
      <c r="N2699" s="2847"/>
      <c r="O2699" s="86"/>
      <c r="P2699" s="1817" t="e">
        <f>INDEX(#REF!,MATCH(F2699,#REF!,0),2)</f>
        <v>#REF!</v>
      </c>
      <c r="Q2699" s="1025"/>
      <c r="R2699" s="1025"/>
      <c r="S2699" s="1025"/>
      <c r="T2699" s="1025"/>
      <c r="U2699" s="1025"/>
      <c r="V2699" s="1025"/>
      <c r="W2699" s="43"/>
      <c r="X2699" s="1025"/>
      <c r="Y2699" s="1025"/>
      <c r="Z2699" s="1025"/>
      <c r="AA2699" s="1025"/>
      <c r="AB2699" s="1025"/>
      <c r="AC2699" s="1025"/>
      <c r="AD2699" s="1025"/>
      <c r="AE2699" s="1025"/>
      <c r="AF2699" s="1025"/>
      <c r="AG2699" s="1025"/>
      <c r="AH2699" s="1025"/>
      <c r="AI2699" s="1025"/>
      <c r="AJ2699" s="1025"/>
      <c r="AK2699" s="1025"/>
      <c r="AL2699" s="1025"/>
      <c r="AM2699" s="1025"/>
      <c r="AN2699" s="1025"/>
      <c r="AO2699" s="1025"/>
      <c r="AP2699" s="1025"/>
      <c r="AQ2699" s="1025"/>
      <c r="AR2699" s="1025"/>
      <c r="AS2699" s="1025"/>
      <c r="AT2699" s="1025"/>
      <c r="AU2699" s="1025"/>
      <c r="AV2699" s="1025"/>
    </row>
    <row r="2700" spans="1:48" s="81" customFormat="1" ht="11.45" customHeight="1">
      <c r="A2700" s="755"/>
      <c r="B2700" s="755" t="s">
        <v>1248</v>
      </c>
      <c r="C2700" s="755" t="s">
        <v>507</v>
      </c>
      <c r="D2700" s="1600">
        <v>952</v>
      </c>
      <c r="E2700" s="2247" t="s">
        <v>1936</v>
      </c>
      <c r="F2700" s="756">
        <v>2341</v>
      </c>
      <c r="G2700" s="757" t="s">
        <v>364</v>
      </c>
      <c r="H2700" s="2842">
        <v>500</v>
      </c>
      <c r="I2700" s="2842"/>
      <c r="J2700" s="2842"/>
      <c r="K2700" s="2841"/>
      <c r="L2700" s="2842">
        <v>500</v>
      </c>
      <c r="M2700" s="2842"/>
      <c r="N2700" s="2847"/>
      <c r="O2700" s="86"/>
      <c r="P2700" s="1817" t="e">
        <f>INDEX(#REF!,MATCH(F2700,#REF!,0),2)</f>
        <v>#REF!</v>
      </c>
      <c r="Q2700" s="43"/>
      <c r="R2700" s="43"/>
      <c r="S2700" s="43"/>
      <c r="T2700" s="43"/>
      <c r="U2700" s="43"/>
      <c r="V2700" s="43"/>
      <c r="W2700" s="43"/>
      <c r="X2700" s="43"/>
      <c r="Y2700" s="43"/>
      <c r="Z2700" s="43"/>
      <c r="AA2700" s="43"/>
      <c r="AB2700" s="43"/>
      <c r="AC2700" s="43"/>
      <c r="AD2700" s="43"/>
      <c r="AE2700" s="43"/>
      <c r="AF2700" s="43"/>
      <c r="AG2700" s="43"/>
      <c r="AH2700" s="43"/>
      <c r="AI2700" s="43"/>
      <c r="AJ2700" s="43"/>
      <c r="AK2700" s="43"/>
      <c r="AL2700" s="43"/>
      <c r="AM2700" s="43"/>
      <c r="AN2700" s="43"/>
      <c r="AO2700" s="43"/>
      <c r="AP2700" s="43"/>
      <c r="AQ2700" s="43"/>
      <c r="AR2700" s="43"/>
      <c r="AS2700" s="43"/>
      <c r="AT2700" s="43"/>
      <c r="AU2700" s="43"/>
      <c r="AV2700" s="43"/>
    </row>
    <row r="2701" spans="1:48" s="81" customFormat="1" ht="21" customHeight="1">
      <c r="A2701" s="762"/>
      <c r="B2701" s="762" t="s">
        <v>1248</v>
      </c>
      <c r="C2701" s="762" t="s">
        <v>507</v>
      </c>
      <c r="D2701" s="1599"/>
      <c r="E2701" s="2245" t="s">
        <v>1936</v>
      </c>
      <c r="F2701" s="763">
        <v>2341</v>
      </c>
      <c r="G2701" s="2787" t="s">
        <v>884</v>
      </c>
      <c r="H2701" s="2779"/>
      <c r="I2701" s="2779">
        <v>500</v>
      </c>
      <c r="J2701" s="2779"/>
      <c r="K2701" s="3515"/>
      <c r="L2701" s="2779"/>
      <c r="M2701" s="2779">
        <v>500</v>
      </c>
      <c r="N2701" s="2847"/>
      <c r="O2701" s="86"/>
      <c r="P2701" s="1817" t="e">
        <f>INDEX(#REF!,MATCH(F2701,#REF!,0),2)</f>
        <v>#REF!</v>
      </c>
      <c r="Q2701" s="43"/>
      <c r="R2701" s="43"/>
      <c r="S2701" s="43"/>
      <c r="T2701" s="43"/>
      <c r="U2701" s="43"/>
      <c r="V2701" s="43"/>
      <c r="W2701" s="43"/>
      <c r="X2701" s="43"/>
      <c r="Y2701" s="43"/>
      <c r="Z2701" s="43"/>
      <c r="AA2701" s="43"/>
      <c r="AB2701" s="43"/>
      <c r="AC2701" s="43"/>
      <c r="AD2701" s="43"/>
      <c r="AE2701" s="43"/>
      <c r="AF2701" s="43"/>
      <c r="AG2701" s="43"/>
      <c r="AH2701" s="43"/>
      <c r="AI2701" s="43"/>
      <c r="AJ2701" s="43"/>
      <c r="AK2701" s="43"/>
      <c r="AL2701" s="43"/>
      <c r="AM2701" s="43"/>
      <c r="AN2701" s="43"/>
      <c r="AO2701" s="43"/>
      <c r="AP2701" s="43"/>
      <c r="AQ2701" s="43"/>
      <c r="AR2701" s="43"/>
      <c r="AS2701" s="43"/>
      <c r="AT2701" s="43"/>
      <c r="AU2701" s="43"/>
      <c r="AV2701" s="43"/>
    </row>
    <row r="2702" spans="1:48" s="81" customFormat="1" ht="11.45" customHeight="1">
      <c r="A2702" s="755"/>
      <c r="B2702" s="755" t="s">
        <v>1248</v>
      </c>
      <c r="C2702" s="755" t="s">
        <v>505</v>
      </c>
      <c r="D2702" s="1600">
        <v>952</v>
      </c>
      <c r="E2702" s="2247" t="s">
        <v>1936</v>
      </c>
      <c r="F2702" s="756">
        <v>2350</v>
      </c>
      <c r="G2702" s="757" t="s">
        <v>251</v>
      </c>
      <c r="H2702" s="2842">
        <v>5500</v>
      </c>
      <c r="I2702" s="2842"/>
      <c r="J2702" s="2842">
        <v>3639.93</v>
      </c>
      <c r="K2702" s="2841"/>
      <c r="L2702" s="2842">
        <v>5500</v>
      </c>
      <c r="M2702" s="2842"/>
      <c r="N2702" s="2847"/>
      <c r="O2702" s="86"/>
      <c r="P2702" s="1817" t="e">
        <f>INDEX(#REF!,MATCH(F2702,#REF!,0),2)</f>
        <v>#REF!</v>
      </c>
      <c r="Q2702" s="43"/>
      <c r="R2702" s="43"/>
      <c r="S2702" s="43"/>
      <c r="T2702" s="43"/>
      <c r="U2702" s="43"/>
      <c r="V2702" s="43"/>
      <c r="W2702" s="43"/>
      <c r="X2702" s="43"/>
      <c r="Y2702" s="43"/>
      <c r="Z2702" s="43"/>
      <c r="AA2702" s="43"/>
      <c r="AB2702" s="43"/>
      <c r="AC2702" s="43"/>
      <c r="AD2702" s="43"/>
      <c r="AE2702" s="43"/>
      <c r="AF2702" s="43"/>
      <c r="AG2702" s="43"/>
      <c r="AH2702" s="43"/>
      <c r="AI2702" s="43"/>
      <c r="AJ2702" s="43"/>
      <c r="AK2702" s="43"/>
      <c r="AL2702" s="43"/>
      <c r="AM2702" s="43"/>
      <c r="AN2702" s="43"/>
      <c r="AO2702" s="43"/>
      <c r="AP2702" s="43"/>
      <c r="AQ2702" s="43"/>
      <c r="AR2702" s="43"/>
      <c r="AS2702" s="43"/>
      <c r="AT2702" s="43"/>
      <c r="AU2702" s="43"/>
      <c r="AV2702" s="43"/>
    </row>
    <row r="2703" spans="1:48" s="81" customFormat="1" ht="11.45" customHeight="1">
      <c r="A2703" s="762"/>
      <c r="B2703" s="762" t="s">
        <v>1248</v>
      </c>
      <c r="C2703" s="762" t="s">
        <v>505</v>
      </c>
      <c r="D2703" s="1599"/>
      <c r="E2703" s="2245" t="s">
        <v>1936</v>
      </c>
      <c r="F2703" s="763">
        <v>2350</v>
      </c>
      <c r="G2703" s="3388" t="s">
        <v>4927</v>
      </c>
      <c r="H2703" s="2779"/>
      <c r="I2703" s="2779">
        <v>5500</v>
      </c>
      <c r="J2703" s="2779"/>
      <c r="K2703" s="3515"/>
      <c r="L2703" s="2779"/>
      <c r="M2703" s="2779">
        <v>5500</v>
      </c>
      <c r="N2703" s="2847"/>
      <c r="O2703" s="86"/>
      <c r="P2703" s="1817" t="e">
        <f>INDEX(#REF!,MATCH(F2703,#REF!,0),2)</f>
        <v>#REF!</v>
      </c>
      <c r="Q2703" s="43"/>
      <c r="R2703" s="43"/>
      <c r="S2703" s="43"/>
      <c r="T2703" s="43"/>
      <c r="U2703" s="43"/>
      <c r="V2703" s="43"/>
      <c r="W2703" s="43"/>
      <c r="X2703" s="43"/>
      <c r="Y2703" s="43"/>
      <c r="Z2703" s="43"/>
      <c r="AA2703" s="43"/>
      <c r="AB2703" s="43"/>
      <c r="AC2703" s="43"/>
      <c r="AD2703" s="43"/>
      <c r="AE2703" s="43"/>
      <c r="AF2703" s="43"/>
      <c r="AG2703" s="43"/>
      <c r="AH2703" s="43"/>
      <c r="AI2703" s="43"/>
      <c r="AJ2703" s="43"/>
      <c r="AK2703" s="43"/>
      <c r="AL2703" s="43"/>
      <c r="AM2703" s="43"/>
      <c r="AN2703" s="43"/>
      <c r="AO2703" s="43"/>
      <c r="AP2703" s="43"/>
      <c r="AQ2703" s="43"/>
      <c r="AR2703" s="43"/>
      <c r="AS2703" s="43"/>
      <c r="AT2703" s="43"/>
      <c r="AU2703" s="43"/>
      <c r="AV2703" s="43"/>
    </row>
    <row r="2704" spans="1:48" s="81" customFormat="1" ht="11.45" customHeight="1">
      <c r="A2704" s="755"/>
      <c r="B2704" s="755" t="s">
        <v>1248</v>
      </c>
      <c r="C2704" s="755" t="s">
        <v>507</v>
      </c>
      <c r="D2704" s="1600">
        <v>952</v>
      </c>
      <c r="E2704" s="2247" t="s">
        <v>1936</v>
      </c>
      <c r="F2704" s="756">
        <v>2370</v>
      </c>
      <c r="G2704" s="757" t="s">
        <v>382</v>
      </c>
      <c r="H2704" s="2842">
        <v>6000</v>
      </c>
      <c r="I2704" s="2842"/>
      <c r="J2704" s="2842">
        <v>2686.56</v>
      </c>
      <c r="K2704" s="2841"/>
      <c r="L2704" s="2842">
        <v>6300</v>
      </c>
      <c r="M2704" s="2842"/>
      <c r="N2704" s="2847"/>
      <c r="O2704" s="86"/>
      <c r="P2704" s="1817" t="e">
        <f>INDEX(#REF!,MATCH(F2704,#REF!,0),2)</f>
        <v>#REF!</v>
      </c>
      <c r="Q2704" s="43"/>
      <c r="R2704" s="43"/>
      <c r="S2704" s="43"/>
      <c r="T2704" s="43"/>
      <c r="U2704" s="43"/>
      <c r="V2704" s="43"/>
      <c r="W2704" s="43"/>
      <c r="X2704" s="43"/>
      <c r="Y2704" s="43"/>
      <c r="Z2704" s="43"/>
      <c r="AA2704" s="43"/>
      <c r="AB2704" s="43"/>
      <c r="AC2704" s="43"/>
      <c r="AD2704" s="43"/>
      <c r="AE2704" s="43"/>
      <c r="AF2704" s="43"/>
      <c r="AG2704" s="43"/>
      <c r="AH2704" s="43"/>
      <c r="AI2704" s="43"/>
      <c r="AJ2704" s="43"/>
      <c r="AK2704" s="43"/>
      <c r="AL2704" s="43"/>
      <c r="AM2704" s="43"/>
      <c r="AN2704" s="43"/>
      <c r="AO2704" s="43"/>
      <c r="AP2704" s="43"/>
      <c r="AQ2704" s="43"/>
      <c r="AR2704" s="43"/>
      <c r="AS2704" s="43"/>
      <c r="AT2704" s="43"/>
      <c r="AU2704" s="43"/>
      <c r="AV2704" s="43"/>
    </row>
    <row r="2705" spans="1:48" s="81" customFormat="1" ht="11.45" customHeight="1">
      <c r="A2705" s="992"/>
      <c r="B2705" s="762" t="s">
        <v>1248</v>
      </c>
      <c r="C2705" s="762" t="s">
        <v>507</v>
      </c>
      <c r="D2705" s="1599"/>
      <c r="E2705" s="2245" t="s">
        <v>1936</v>
      </c>
      <c r="F2705" s="763">
        <v>2370</v>
      </c>
      <c r="G2705" s="996" t="s">
        <v>1466</v>
      </c>
      <c r="H2705" s="2779"/>
      <c r="I2705" s="2779">
        <v>900</v>
      </c>
      <c r="J2705" s="2779"/>
      <c r="K2705" s="3515"/>
      <c r="L2705" s="2779"/>
      <c r="M2705" s="2779">
        <v>900</v>
      </c>
      <c r="N2705" s="2847"/>
      <c r="O2705" s="86"/>
      <c r="P2705" s="1817" t="e">
        <f>INDEX(#REF!,MATCH(F2705,#REF!,0),2)</f>
        <v>#REF!</v>
      </c>
      <c r="Q2705" s="43"/>
      <c r="R2705" s="43"/>
      <c r="S2705" s="43"/>
      <c r="T2705" s="43"/>
      <c r="U2705" s="43"/>
      <c r="V2705" s="43"/>
      <c r="W2705" s="43"/>
      <c r="X2705" s="43"/>
      <c r="Y2705" s="43"/>
      <c r="Z2705" s="43"/>
      <c r="AA2705" s="43"/>
      <c r="AB2705" s="43"/>
      <c r="AC2705" s="43"/>
      <c r="AD2705" s="43"/>
      <c r="AE2705" s="43"/>
      <c r="AF2705" s="43"/>
      <c r="AG2705" s="43"/>
      <c r="AH2705" s="43"/>
      <c r="AI2705" s="43"/>
      <c r="AJ2705" s="43"/>
      <c r="AK2705" s="43"/>
      <c r="AL2705" s="43"/>
      <c r="AM2705" s="43"/>
      <c r="AN2705" s="43"/>
      <c r="AO2705" s="43"/>
      <c r="AP2705" s="43"/>
      <c r="AQ2705" s="43"/>
      <c r="AR2705" s="43"/>
      <c r="AS2705" s="43"/>
      <c r="AT2705" s="43"/>
      <c r="AU2705" s="43"/>
      <c r="AV2705" s="43"/>
    </row>
    <row r="2706" spans="1:48" s="81" customFormat="1" ht="11.45" customHeight="1">
      <c r="A2706" s="992"/>
      <c r="B2706" s="762" t="s">
        <v>1248</v>
      </c>
      <c r="C2706" s="762" t="s">
        <v>507</v>
      </c>
      <c r="D2706" s="1599"/>
      <c r="E2706" s="2245" t="s">
        <v>1936</v>
      </c>
      <c r="F2706" s="763">
        <v>2370</v>
      </c>
      <c r="G2706" s="996" t="s">
        <v>1467</v>
      </c>
      <c r="H2706" s="2779"/>
      <c r="I2706" s="2779">
        <v>900</v>
      </c>
      <c r="J2706" s="2779"/>
      <c r="K2706" s="3515"/>
      <c r="L2706" s="2779"/>
      <c r="M2706" s="2779">
        <v>900</v>
      </c>
      <c r="N2706" s="2847"/>
      <c r="O2706" s="86"/>
      <c r="P2706" s="1817" t="e">
        <f>INDEX(#REF!,MATCH(F2706,#REF!,0),2)</f>
        <v>#REF!</v>
      </c>
      <c r="Q2706" s="43"/>
      <c r="R2706" s="43"/>
      <c r="S2706" s="43"/>
      <c r="T2706" s="43"/>
      <c r="U2706" s="43"/>
      <c r="V2706" s="43"/>
      <c r="W2706" s="43"/>
      <c r="X2706" s="43"/>
      <c r="Y2706" s="43"/>
      <c r="Z2706" s="43"/>
      <c r="AA2706" s="43"/>
      <c r="AB2706" s="43"/>
      <c r="AC2706" s="43"/>
      <c r="AD2706" s="43"/>
      <c r="AE2706" s="43"/>
      <c r="AF2706" s="43"/>
      <c r="AG2706" s="43"/>
      <c r="AH2706" s="43"/>
      <c r="AI2706" s="43"/>
      <c r="AJ2706" s="43"/>
      <c r="AK2706" s="43"/>
      <c r="AL2706" s="43"/>
      <c r="AM2706" s="43"/>
      <c r="AN2706" s="43"/>
      <c r="AO2706" s="43"/>
      <c r="AP2706" s="43"/>
      <c r="AQ2706" s="43"/>
      <c r="AR2706" s="43"/>
      <c r="AS2706" s="43"/>
      <c r="AT2706" s="43"/>
      <c r="AU2706" s="43"/>
      <c r="AV2706" s="43"/>
    </row>
    <row r="2707" spans="1:48" s="81" customFormat="1" ht="11.45" customHeight="1">
      <c r="A2707" s="992"/>
      <c r="B2707" s="762" t="s">
        <v>1248</v>
      </c>
      <c r="C2707" s="762" t="s">
        <v>507</v>
      </c>
      <c r="D2707" s="1599"/>
      <c r="E2707" s="2245" t="s">
        <v>1936</v>
      </c>
      <c r="F2707" s="763">
        <v>2370</v>
      </c>
      <c r="G2707" s="996" t="s">
        <v>1468</v>
      </c>
      <c r="H2707" s="2779"/>
      <c r="I2707" s="2779">
        <v>900</v>
      </c>
      <c r="J2707" s="2779"/>
      <c r="K2707" s="3515"/>
      <c r="L2707" s="2779"/>
      <c r="M2707" s="2779">
        <v>900</v>
      </c>
      <c r="N2707" s="2847"/>
      <c r="O2707" s="86"/>
      <c r="P2707" s="1817" t="e">
        <f>INDEX(#REF!,MATCH(F2707,#REF!,0),2)</f>
        <v>#REF!</v>
      </c>
      <c r="Q2707" s="43"/>
      <c r="R2707" s="43"/>
      <c r="S2707" s="43"/>
      <c r="T2707" s="43"/>
      <c r="U2707" s="43"/>
      <c r="V2707" s="43"/>
      <c r="W2707" s="43"/>
      <c r="X2707" s="43"/>
      <c r="Y2707" s="43"/>
      <c r="Z2707" s="43"/>
      <c r="AA2707" s="43"/>
      <c r="AB2707" s="43"/>
      <c r="AC2707" s="43"/>
      <c r="AD2707" s="43"/>
      <c r="AE2707" s="43"/>
      <c r="AF2707" s="43"/>
      <c r="AG2707" s="43"/>
      <c r="AH2707" s="43"/>
      <c r="AI2707" s="43"/>
      <c r="AJ2707" s="43"/>
      <c r="AK2707" s="43"/>
      <c r="AL2707" s="43"/>
      <c r="AM2707" s="43"/>
      <c r="AN2707" s="43"/>
      <c r="AO2707" s="43"/>
      <c r="AP2707" s="43"/>
      <c r="AQ2707" s="43"/>
      <c r="AR2707" s="43"/>
      <c r="AS2707" s="43"/>
      <c r="AT2707" s="43"/>
      <c r="AU2707" s="43"/>
      <c r="AV2707" s="43"/>
    </row>
    <row r="2708" spans="1:48" s="81" customFormat="1" ht="11.45" customHeight="1">
      <c r="A2708" s="992"/>
      <c r="B2708" s="762" t="s">
        <v>1248</v>
      </c>
      <c r="C2708" s="762" t="s">
        <v>507</v>
      </c>
      <c r="D2708" s="1599"/>
      <c r="E2708" s="2245" t="s">
        <v>1936</v>
      </c>
      <c r="F2708" s="763">
        <v>2370</v>
      </c>
      <c r="G2708" s="996" t="s">
        <v>1469</v>
      </c>
      <c r="H2708" s="2779"/>
      <c r="I2708" s="2779">
        <v>900</v>
      </c>
      <c r="J2708" s="2779"/>
      <c r="K2708" s="3515"/>
      <c r="L2708" s="2779"/>
      <c r="M2708" s="2779">
        <v>900</v>
      </c>
      <c r="N2708" s="2847"/>
      <c r="O2708" s="86"/>
      <c r="P2708" s="1817" t="e">
        <f>INDEX(#REF!,MATCH(F2708,#REF!,0),2)</f>
        <v>#REF!</v>
      </c>
      <c r="Q2708" s="43"/>
      <c r="R2708" s="43"/>
      <c r="S2708" s="43"/>
      <c r="T2708" s="43"/>
      <c r="U2708" s="43"/>
      <c r="V2708" s="43"/>
      <c r="W2708" s="43"/>
      <c r="X2708" s="43"/>
      <c r="Y2708" s="43"/>
      <c r="Z2708" s="43"/>
      <c r="AA2708" s="43"/>
      <c r="AB2708" s="43"/>
      <c r="AC2708" s="43"/>
      <c r="AD2708" s="43"/>
      <c r="AE2708" s="43"/>
      <c r="AF2708" s="43"/>
      <c r="AG2708" s="43"/>
      <c r="AH2708" s="43"/>
      <c r="AI2708" s="43"/>
      <c r="AJ2708" s="43"/>
      <c r="AK2708" s="43"/>
      <c r="AL2708" s="43"/>
      <c r="AM2708" s="43"/>
      <c r="AN2708" s="43"/>
      <c r="AO2708" s="43"/>
      <c r="AP2708" s="43"/>
      <c r="AQ2708" s="43"/>
      <c r="AR2708" s="43"/>
      <c r="AS2708" s="43"/>
      <c r="AT2708" s="43"/>
      <c r="AU2708" s="43"/>
      <c r="AV2708" s="43"/>
    </row>
    <row r="2709" spans="1:48" s="81" customFormat="1" ht="11.45" customHeight="1">
      <c r="A2709" s="992"/>
      <c r="B2709" s="762" t="s">
        <v>1248</v>
      </c>
      <c r="C2709" s="762" t="s">
        <v>507</v>
      </c>
      <c r="D2709" s="1599"/>
      <c r="E2709" s="2245" t="s">
        <v>1936</v>
      </c>
      <c r="F2709" s="763">
        <v>2370</v>
      </c>
      <c r="G2709" s="996" t="s">
        <v>1470</v>
      </c>
      <c r="H2709" s="2779"/>
      <c r="I2709" s="2779">
        <v>900</v>
      </c>
      <c r="J2709" s="2779"/>
      <c r="K2709" s="3515"/>
      <c r="L2709" s="2779"/>
      <c r="M2709" s="2779">
        <v>900</v>
      </c>
      <c r="N2709" s="2847"/>
      <c r="O2709" s="86"/>
      <c r="P2709" s="1817" t="e">
        <f>INDEX(#REF!,MATCH(F2709,#REF!,0),2)</f>
        <v>#REF!</v>
      </c>
      <c r="Q2709" s="43"/>
      <c r="R2709" s="43"/>
      <c r="S2709" s="43"/>
      <c r="T2709" s="43"/>
      <c r="U2709" s="43"/>
      <c r="V2709" s="43"/>
      <c r="W2709" s="43"/>
      <c r="X2709" s="43"/>
      <c r="Y2709" s="43"/>
      <c r="Z2709" s="43"/>
      <c r="AA2709" s="43"/>
      <c r="AB2709" s="43"/>
      <c r="AC2709" s="43"/>
      <c r="AD2709" s="43"/>
      <c r="AE2709" s="43"/>
      <c r="AF2709" s="43"/>
      <c r="AG2709" s="43"/>
      <c r="AH2709" s="43"/>
      <c r="AI2709" s="43"/>
      <c r="AJ2709" s="43"/>
      <c r="AK2709" s="43"/>
      <c r="AL2709" s="43"/>
      <c r="AM2709" s="43"/>
      <c r="AN2709" s="43"/>
      <c r="AO2709" s="43"/>
      <c r="AP2709" s="43"/>
      <c r="AQ2709" s="43"/>
      <c r="AR2709" s="43"/>
      <c r="AS2709" s="43"/>
      <c r="AT2709" s="43"/>
      <c r="AU2709" s="43"/>
      <c r="AV2709" s="43"/>
    </row>
    <row r="2710" spans="1:48" s="81" customFormat="1" ht="11.45" customHeight="1">
      <c r="A2710" s="992"/>
      <c r="B2710" s="762" t="s">
        <v>1248</v>
      </c>
      <c r="C2710" s="762" t="s">
        <v>507</v>
      </c>
      <c r="D2710" s="1599"/>
      <c r="E2710" s="2245" t="s">
        <v>1936</v>
      </c>
      <c r="F2710" s="763">
        <v>2370</v>
      </c>
      <c r="G2710" s="996" t="s">
        <v>1471</v>
      </c>
      <c r="H2710" s="2779"/>
      <c r="I2710" s="2779">
        <v>900</v>
      </c>
      <c r="J2710" s="2779"/>
      <c r="K2710" s="3515"/>
      <c r="L2710" s="2779"/>
      <c r="M2710" s="2779">
        <v>900</v>
      </c>
      <c r="N2710" s="2847"/>
      <c r="O2710" s="86"/>
      <c r="P2710" s="1817" t="e">
        <f>INDEX(#REF!,MATCH(F2710,#REF!,0),2)</f>
        <v>#REF!</v>
      </c>
      <c r="Q2710" s="4"/>
      <c r="R2710" s="4"/>
      <c r="S2710" s="4"/>
      <c r="T2710" s="4"/>
      <c r="U2710" s="4"/>
      <c r="V2710" s="4"/>
      <c r="W2710" s="4"/>
      <c r="X2710" s="4"/>
      <c r="Y2710" s="4"/>
      <c r="Z2710" s="4"/>
      <c r="AA2710" s="4"/>
      <c r="AB2710" s="4"/>
      <c r="AC2710" s="4"/>
      <c r="AD2710" s="4"/>
      <c r="AE2710" s="4"/>
      <c r="AF2710" s="4"/>
      <c r="AG2710" s="4"/>
      <c r="AH2710" s="4"/>
      <c r="AI2710" s="4"/>
      <c r="AJ2710" s="4"/>
      <c r="AK2710" s="4"/>
      <c r="AL2710" s="4"/>
      <c r="AM2710" s="4"/>
      <c r="AN2710" s="4"/>
      <c r="AO2710" s="4"/>
      <c r="AP2710" s="4"/>
      <c r="AQ2710" s="4"/>
      <c r="AR2710" s="4"/>
      <c r="AS2710" s="4"/>
      <c r="AT2710" s="4"/>
      <c r="AU2710" s="4"/>
      <c r="AV2710" s="4"/>
    </row>
    <row r="2711" spans="1:48" s="81" customFormat="1" ht="11.45" customHeight="1">
      <c r="A2711" s="992"/>
      <c r="B2711" s="762" t="s">
        <v>1248</v>
      </c>
      <c r="C2711" s="762" t="s">
        <v>507</v>
      </c>
      <c r="D2711" s="1599"/>
      <c r="E2711" s="2245" t="s">
        <v>1936</v>
      </c>
      <c r="F2711" s="763">
        <v>2370</v>
      </c>
      <c r="G2711" s="996" t="s">
        <v>1472</v>
      </c>
      <c r="H2711" s="2779"/>
      <c r="I2711" s="2779">
        <v>300</v>
      </c>
      <c r="J2711" s="2779"/>
      <c r="K2711" s="3515"/>
      <c r="L2711" s="2779"/>
      <c r="M2711" s="2779">
        <v>300</v>
      </c>
      <c r="N2711" s="2847"/>
      <c r="O2711" s="86"/>
      <c r="P2711" s="1817" t="e">
        <f>INDEX(#REF!,MATCH(F2711,#REF!,0),2)</f>
        <v>#REF!</v>
      </c>
      <c r="Q2711" s="43"/>
      <c r="R2711" s="43"/>
      <c r="S2711" s="43"/>
      <c r="T2711" s="43"/>
      <c r="U2711" s="43"/>
      <c r="V2711" s="43"/>
      <c r="W2711" s="43"/>
      <c r="X2711" s="43"/>
      <c r="Y2711" s="43"/>
      <c r="Z2711" s="43"/>
      <c r="AA2711" s="43"/>
      <c r="AB2711" s="43"/>
      <c r="AC2711" s="43"/>
      <c r="AD2711" s="43"/>
      <c r="AE2711" s="43"/>
      <c r="AF2711" s="43"/>
      <c r="AG2711" s="43"/>
      <c r="AH2711" s="43"/>
      <c r="AI2711" s="43"/>
      <c r="AJ2711" s="43"/>
      <c r="AK2711" s="43"/>
      <c r="AL2711" s="43"/>
      <c r="AM2711" s="43"/>
      <c r="AN2711" s="43"/>
      <c r="AO2711" s="43"/>
      <c r="AP2711" s="43"/>
      <c r="AQ2711" s="43"/>
      <c r="AR2711" s="43"/>
      <c r="AS2711" s="43"/>
      <c r="AT2711" s="43"/>
      <c r="AU2711" s="43"/>
      <c r="AV2711" s="43"/>
    </row>
    <row r="2712" spans="1:48" s="81" customFormat="1" ht="11.45" customHeight="1">
      <c r="A2712" s="992"/>
      <c r="B2712" s="762" t="s">
        <v>1248</v>
      </c>
      <c r="C2712" s="762" t="s">
        <v>507</v>
      </c>
      <c r="D2712" s="1599"/>
      <c r="E2712" s="2245" t="s">
        <v>1936</v>
      </c>
      <c r="F2712" s="763">
        <v>2370</v>
      </c>
      <c r="G2712" s="996" t="s">
        <v>1473</v>
      </c>
      <c r="H2712" s="2779"/>
      <c r="I2712" s="2779">
        <v>300</v>
      </c>
      <c r="J2712" s="2779"/>
      <c r="K2712" s="3515"/>
      <c r="L2712" s="2779"/>
      <c r="M2712" s="2779">
        <v>300</v>
      </c>
      <c r="N2712" s="2847"/>
      <c r="O2712" s="86"/>
      <c r="P2712" s="1817" t="e">
        <f>INDEX(#REF!,MATCH(F2712,#REF!,0),2)</f>
        <v>#REF!</v>
      </c>
      <c r="Q2712" s="43"/>
      <c r="R2712" s="43"/>
      <c r="S2712" s="43"/>
      <c r="T2712" s="43"/>
      <c r="U2712" s="43"/>
      <c r="V2712" s="43"/>
      <c r="W2712" s="43"/>
      <c r="X2712" s="43"/>
      <c r="Y2712" s="43"/>
      <c r="Z2712" s="43"/>
      <c r="AA2712" s="43"/>
      <c r="AB2712" s="43"/>
      <c r="AC2712" s="43"/>
      <c r="AD2712" s="43"/>
      <c r="AE2712" s="43"/>
      <c r="AF2712" s="43"/>
      <c r="AG2712" s="43"/>
      <c r="AH2712" s="43"/>
      <c r="AI2712" s="43"/>
      <c r="AJ2712" s="43"/>
      <c r="AK2712" s="43"/>
      <c r="AL2712" s="43"/>
      <c r="AM2712" s="43"/>
      <c r="AN2712" s="43"/>
      <c r="AO2712" s="43"/>
      <c r="AP2712" s="43"/>
      <c r="AQ2712" s="43"/>
      <c r="AR2712" s="43"/>
      <c r="AS2712" s="43"/>
      <c r="AT2712" s="43"/>
      <c r="AU2712" s="43"/>
      <c r="AV2712" s="43"/>
    </row>
    <row r="2713" spans="1:48" s="81" customFormat="1" ht="11.45" customHeight="1">
      <c r="A2713" s="1370"/>
      <c r="B2713" s="762" t="s">
        <v>1248</v>
      </c>
      <c r="C2713" s="762" t="s">
        <v>507</v>
      </c>
      <c r="D2713" s="1599"/>
      <c r="E2713" s="2245" t="s">
        <v>1936</v>
      </c>
      <c r="F2713" s="763">
        <v>2370</v>
      </c>
      <c r="G2713" s="2774" t="s">
        <v>4928</v>
      </c>
      <c r="H2713" s="2779"/>
      <c r="I2713" s="2779"/>
      <c r="J2713" s="2779"/>
      <c r="K2713" s="3515"/>
      <c r="L2713" s="2779"/>
      <c r="M2713" s="2779">
        <v>300</v>
      </c>
      <c r="N2713" s="2847"/>
      <c r="O2713" s="86"/>
      <c r="P2713" s="1817" t="e">
        <f>INDEX(#REF!,MATCH(F2713,#REF!,0),2)</f>
        <v>#REF!</v>
      </c>
      <c r="Q2713" s="43"/>
      <c r="R2713" s="43"/>
      <c r="S2713" s="43"/>
      <c r="T2713" s="43"/>
      <c r="U2713" s="43"/>
      <c r="V2713" s="43"/>
      <c r="W2713" s="43"/>
      <c r="X2713" s="43"/>
      <c r="Y2713" s="43"/>
      <c r="Z2713" s="43"/>
      <c r="AA2713" s="43"/>
      <c r="AB2713" s="43"/>
      <c r="AC2713" s="43"/>
      <c r="AD2713" s="43"/>
      <c r="AE2713" s="43"/>
      <c r="AF2713" s="43"/>
      <c r="AG2713" s="43"/>
      <c r="AH2713" s="43"/>
      <c r="AI2713" s="43"/>
      <c r="AJ2713" s="43"/>
      <c r="AK2713" s="43"/>
      <c r="AL2713" s="43"/>
      <c r="AM2713" s="43"/>
      <c r="AN2713" s="43"/>
      <c r="AO2713" s="43"/>
      <c r="AP2713" s="43"/>
      <c r="AQ2713" s="43"/>
      <c r="AR2713" s="43"/>
      <c r="AS2713" s="43"/>
      <c r="AT2713" s="43"/>
      <c r="AU2713" s="43"/>
      <c r="AV2713" s="43"/>
    </row>
    <row r="2714" spans="1:48" s="81" customFormat="1" ht="11.45" customHeight="1">
      <c r="A2714" s="755"/>
      <c r="B2714" s="755" t="s">
        <v>512</v>
      </c>
      <c r="C2714" s="755" t="s">
        <v>506</v>
      </c>
      <c r="D2714" s="1600">
        <v>952</v>
      </c>
      <c r="E2714" s="2247" t="s">
        <v>1937</v>
      </c>
      <c r="F2714" s="756">
        <v>2370</v>
      </c>
      <c r="G2714" s="757" t="s">
        <v>382</v>
      </c>
      <c r="H2714" s="3657">
        <v>1240</v>
      </c>
      <c r="I2714" s="2842"/>
      <c r="J2714" s="2842"/>
      <c r="K2714" s="3515"/>
      <c r="L2714" s="3658">
        <v>0</v>
      </c>
      <c r="M2714" s="2839"/>
      <c r="N2714" s="2847"/>
      <c r="O2714" s="86"/>
      <c r="P2714" s="1817" t="e">
        <f>INDEX(#REF!,MATCH(F2714,#REF!,0),2)</f>
        <v>#REF!</v>
      </c>
      <c r="Q2714" s="43"/>
      <c r="R2714" s="43"/>
      <c r="S2714" s="43"/>
      <c r="T2714" s="43"/>
      <c r="U2714" s="43"/>
      <c r="V2714" s="43"/>
      <c r="W2714" s="43"/>
      <c r="X2714" s="43"/>
      <c r="Y2714" s="43"/>
      <c r="Z2714" s="43"/>
      <c r="AA2714" s="43"/>
      <c r="AB2714" s="43"/>
      <c r="AC2714" s="43"/>
      <c r="AD2714" s="43"/>
      <c r="AE2714" s="43"/>
      <c r="AF2714" s="43"/>
      <c r="AG2714" s="43"/>
      <c r="AH2714" s="43"/>
      <c r="AI2714" s="43"/>
      <c r="AJ2714" s="43"/>
      <c r="AK2714" s="43"/>
      <c r="AL2714" s="43"/>
      <c r="AM2714" s="43"/>
      <c r="AN2714" s="43"/>
      <c r="AO2714" s="43"/>
      <c r="AP2714" s="43"/>
      <c r="AQ2714" s="43"/>
      <c r="AR2714" s="43"/>
      <c r="AS2714" s="43"/>
      <c r="AT2714" s="43"/>
      <c r="AU2714" s="43"/>
    </row>
    <row r="2715" spans="1:48" s="81" customFormat="1" ht="12.6" customHeight="1">
      <c r="A2715" s="762"/>
      <c r="B2715" s="762" t="s">
        <v>512</v>
      </c>
      <c r="C2715" s="762" t="s">
        <v>506</v>
      </c>
      <c r="D2715" s="1599"/>
      <c r="E2715" s="2245" t="s">
        <v>1937</v>
      </c>
      <c r="F2715" s="763">
        <v>2370</v>
      </c>
      <c r="G2715" s="810" t="s">
        <v>3240</v>
      </c>
      <c r="H2715" s="2779"/>
      <c r="I2715" s="2779">
        <v>1240</v>
      </c>
      <c r="J2715" s="2779"/>
      <c r="K2715" s="3515"/>
      <c r="L2715" s="2778"/>
      <c r="M2715" s="2778"/>
      <c r="N2715" s="2847"/>
      <c r="O2715" s="86"/>
      <c r="P2715" s="1817" t="e">
        <f>INDEX(#REF!,MATCH(F2715,#REF!,0),2)</f>
        <v>#REF!</v>
      </c>
      <c r="Q2715" s="43"/>
      <c r="R2715" s="43"/>
      <c r="S2715" s="43"/>
      <c r="T2715" s="43"/>
      <c r="U2715" s="43"/>
      <c r="V2715" s="43"/>
      <c r="W2715" s="43"/>
      <c r="X2715" s="43"/>
      <c r="Y2715" s="43"/>
      <c r="Z2715" s="43"/>
      <c r="AA2715" s="43"/>
      <c r="AB2715" s="43"/>
      <c r="AC2715" s="43"/>
      <c r="AD2715" s="43"/>
      <c r="AE2715" s="43"/>
      <c r="AF2715" s="43"/>
      <c r="AG2715" s="43"/>
      <c r="AH2715" s="43"/>
      <c r="AI2715" s="43"/>
      <c r="AJ2715" s="43"/>
      <c r="AK2715" s="43"/>
      <c r="AL2715" s="43"/>
      <c r="AM2715" s="43"/>
      <c r="AN2715" s="43"/>
      <c r="AO2715" s="43"/>
      <c r="AP2715" s="43"/>
      <c r="AQ2715" s="43"/>
      <c r="AR2715" s="43"/>
      <c r="AS2715" s="43"/>
      <c r="AT2715" s="43"/>
      <c r="AU2715" s="43"/>
    </row>
    <row r="2716" spans="1:48" s="81" customFormat="1" ht="12.6" customHeight="1">
      <c r="A2716" s="755"/>
      <c r="B2716" s="755" t="s">
        <v>1248</v>
      </c>
      <c r="C2716" s="755" t="s">
        <v>505</v>
      </c>
      <c r="D2716" s="1600">
        <v>952</v>
      </c>
      <c r="E2716" s="2247" t="s">
        <v>1936</v>
      </c>
      <c r="F2716" s="756">
        <v>2390</v>
      </c>
      <c r="G2716" s="757" t="s">
        <v>253</v>
      </c>
      <c r="H2716" s="2842">
        <v>200</v>
      </c>
      <c r="I2716" s="2842"/>
      <c r="J2716" s="2842"/>
      <c r="K2716" s="2841"/>
      <c r="L2716" s="2842">
        <v>200</v>
      </c>
      <c r="M2716" s="2842"/>
      <c r="N2716" s="2847"/>
      <c r="O2716" s="86"/>
      <c r="P2716" s="1817" t="e">
        <f>INDEX(#REF!,MATCH(F2716,#REF!,0),2)</f>
        <v>#REF!</v>
      </c>
      <c r="Q2716" s="43"/>
      <c r="R2716" s="43"/>
      <c r="S2716" s="43"/>
      <c r="T2716" s="43"/>
      <c r="U2716" s="43"/>
      <c r="V2716" s="43"/>
      <c r="W2716" s="43"/>
      <c r="X2716" s="43"/>
      <c r="Y2716" s="43"/>
      <c r="Z2716" s="43"/>
      <c r="AA2716" s="43"/>
      <c r="AB2716" s="43"/>
      <c r="AC2716" s="43"/>
      <c r="AD2716" s="43"/>
      <c r="AE2716" s="43"/>
      <c r="AF2716" s="43"/>
      <c r="AG2716" s="43"/>
      <c r="AH2716" s="43"/>
      <c r="AI2716" s="43"/>
      <c r="AJ2716" s="43"/>
      <c r="AK2716" s="43"/>
      <c r="AL2716" s="43"/>
      <c r="AM2716" s="43"/>
      <c r="AN2716" s="43"/>
      <c r="AO2716" s="43"/>
      <c r="AP2716" s="43"/>
      <c r="AQ2716" s="43"/>
      <c r="AR2716" s="43"/>
      <c r="AS2716" s="43"/>
      <c r="AT2716" s="43"/>
      <c r="AU2716" s="43"/>
    </row>
    <row r="2717" spans="1:48" s="81" customFormat="1" ht="11.45" customHeight="1">
      <c r="A2717" s="762"/>
      <c r="B2717" s="762" t="s">
        <v>1248</v>
      </c>
      <c r="C2717" s="762" t="s">
        <v>505</v>
      </c>
      <c r="D2717" s="1599"/>
      <c r="E2717" s="2245" t="s">
        <v>1936</v>
      </c>
      <c r="F2717" s="763">
        <v>2390</v>
      </c>
      <c r="G2717" s="2787" t="s">
        <v>4929</v>
      </c>
      <c r="H2717" s="2779"/>
      <c r="I2717" s="2779">
        <v>200</v>
      </c>
      <c r="J2717" s="2779"/>
      <c r="K2717" s="3515"/>
      <c r="L2717" s="2779"/>
      <c r="M2717" s="2779">
        <v>200</v>
      </c>
      <c r="N2717" s="2847"/>
      <c r="O2717" s="86"/>
      <c r="P2717" s="1817" t="e">
        <f>INDEX(#REF!,MATCH(F2717,#REF!,0),2)</f>
        <v>#REF!</v>
      </c>
      <c r="Q2717" s="4"/>
      <c r="R2717" s="4"/>
      <c r="S2717" s="4"/>
      <c r="T2717" s="4"/>
      <c r="U2717" s="4"/>
      <c r="V2717" s="4"/>
      <c r="W2717" s="4"/>
      <c r="X2717" s="4"/>
      <c r="Y2717" s="4"/>
      <c r="Z2717" s="4"/>
      <c r="AA2717" s="4"/>
      <c r="AB2717" s="4"/>
      <c r="AC2717" s="4"/>
      <c r="AD2717" s="4"/>
      <c r="AE2717" s="4"/>
      <c r="AF2717" s="4"/>
      <c r="AG2717" s="4"/>
      <c r="AH2717" s="4"/>
      <c r="AI2717" s="4"/>
      <c r="AJ2717" s="4"/>
      <c r="AK2717" s="4"/>
      <c r="AL2717" s="4"/>
      <c r="AM2717" s="4"/>
      <c r="AN2717" s="4"/>
      <c r="AO2717" s="4"/>
      <c r="AP2717" s="4"/>
      <c r="AQ2717" s="4"/>
      <c r="AR2717" s="4"/>
      <c r="AS2717" s="4"/>
      <c r="AT2717" s="4"/>
      <c r="AU2717" s="4"/>
      <c r="AV2717" s="4"/>
    </row>
    <row r="2718" spans="1:48" s="81" customFormat="1" ht="11.45" customHeight="1">
      <c r="A2718" s="755"/>
      <c r="B2718" s="755" t="s">
        <v>1250</v>
      </c>
      <c r="C2718" s="755" t="s">
        <v>509</v>
      </c>
      <c r="D2718" s="1600">
        <v>952</v>
      </c>
      <c r="E2718" s="2247" t="s">
        <v>1936</v>
      </c>
      <c r="F2718" s="756">
        <v>5233</v>
      </c>
      <c r="G2718" s="757" t="s">
        <v>450</v>
      </c>
      <c r="H2718" s="2842">
        <v>300</v>
      </c>
      <c r="I2718" s="2842"/>
      <c r="J2718" s="2842"/>
      <c r="K2718" s="2841"/>
      <c r="L2718" s="2842">
        <v>300</v>
      </c>
      <c r="M2718" s="3661"/>
      <c r="N2718" s="2847"/>
      <c r="O2718" s="86"/>
      <c r="P2718" s="1817" t="e">
        <f>INDEX(#REF!,MATCH(F2718,#REF!,0),2)</f>
        <v>#REF!</v>
      </c>
      <c r="Q2718" s="43"/>
      <c r="R2718" s="43"/>
      <c r="S2718" s="43"/>
      <c r="T2718" s="43"/>
      <c r="U2718" s="43"/>
      <c r="V2718" s="43"/>
      <c r="W2718" s="43"/>
      <c r="X2718" s="43"/>
      <c r="Y2718" s="43"/>
      <c r="Z2718" s="43"/>
      <c r="AA2718" s="43"/>
      <c r="AB2718" s="43"/>
      <c r="AC2718" s="43"/>
      <c r="AD2718" s="43"/>
      <c r="AE2718" s="43"/>
      <c r="AF2718" s="43"/>
      <c r="AG2718" s="43"/>
      <c r="AH2718" s="43"/>
      <c r="AI2718" s="43"/>
      <c r="AJ2718" s="43"/>
      <c r="AK2718" s="43"/>
      <c r="AL2718" s="43"/>
      <c r="AM2718" s="43"/>
      <c r="AN2718" s="43"/>
      <c r="AO2718" s="43"/>
      <c r="AP2718" s="43"/>
      <c r="AQ2718" s="43"/>
      <c r="AR2718" s="43"/>
      <c r="AS2718" s="43"/>
      <c r="AT2718" s="43"/>
      <c r="AU2718" s="43"/>
      <c r="AV2718" s="43"/>
    </row>
    <row r="2719" spans="1:48" ht="20.45" customHeight="1">
      <c r="A2719" s="762"/>
      <c r="B2719" s="762" t="s">
        <v>1250</v>
      </c>
      <c r="C2719" s="762" t="s">
        <v>509</v>
      </c>
      <c r="D2719" s="1599"/>
      <c r="E2719" s="2245" t="s">
        <v>1936</v>
      </c>
      <c r="F2719" s="763">
        <v>5233</v>
      </c>
      <c r="G2719" s="772" t="s">
        <v>1474</v>
      </c>
      <c r="H2719" s="2779"/>
      <c r="I2719" s="2779">
        <v>200</v>
      </c>
      <c r="J2719" s="2779"/>
      <c r="K2719" s="3515"/>
      <c r="L2719" s="2779"/>
      <c r="M2719" s="3662">
        <v>200</v>
      </c>
      <c r="N2719" s="2847"/>
      <c r="O2719" s="86"/>
      <c r="P2719" s="1817" t="e">
        <f>INDEX(#REF!,MATCH(F2719,#REF!,0),2)</f>
        <v>#REF!</v>
      </c>
      <c r="Q2719" s="1779"/>
      <c r="R2719" s="1779"/>
      <c r="S2719" s="1779"/>
      <c r="T2719" s="1779"/>
      <c r="U2719" s="1779"/>
      <c r="V2719" s="1779"/>
      <c r="W2719" s="43"/>
      <c r="X2719" s="1779"/>
      <c r="Y2719" s="1779"/>
      <c r="Z2719" s="1779"/>
      <c r="AA2719" s="1779"/>
      <c r="AB2719" s="1779"/>
      <c r="AC2719" s="1779"/>
      <c r="AD2719" s="1779"/>
      <c r="AE2719" s="1779"/>
      <c r="AF2719" s="1779"/>
      <c r="AG2719" s="1779"/>
    </row>
    <row r="2720" spans="1:48" ht="17.45" customHeight="1">
      <c r="A2720" s="992"/>
      <c r="B2720" s="762" t="s">
        <v>1250</v>
      </c>
      <c r="C2720" s="762" t="s">
        <v>509</v>
      </c>
      <c r="D2720" s="1599"/>
      <c r="E2720" s="2245" t="s">
        <v>1936</v>
      </c>
      <c r="F2720" s="763">
        <v>5233</v>
      </c>
      <c r="G2720" s="996" t="s">
        <v>1465</v>
      </c>
      <c r="H2720" s="2779"/>
      <c r="I2720" s="2779">
        <v>100</v>
      </c>
      <c r="J2720" s="2779"/>
      <c r="K2720" s="3515"/>
      <c r="L2720" s="2779"/>
      <c r="M2720" s="3662">
        <v>100</v>
      </c>
      <c r="N2720" s="2847"/>
      <c r="O2720" s="86"/>
      <c r="P2720" s="1817" t="e">
        <f>INDEX(#REF!,MATCH(F2720,#REF!,0),2)</f>
        <v>#REF!</v>
      </c>
      <c r="Q2720" s="1779"/>
      <c r="R2720" s="1779"/>
      <c r="S2720" s="1779"/>
      <c r="T2720" s="1779"/>
      <c r="U2720" s="1779"/>
      <c r="V2720" s="1779"/>
      <c r="W2720" s="43"/>
      <c r="X2720" s="1779"/>
      <c r="Y2720" s="1779"/>
      <c r="Z2720" s="1779"/>
      <c r="AA2720" s="1779"/>
      <c r="AB2720" s="1779"/>
      <c r="AC2720" s="1779"/>
      <c r="AD2720" s="1779"/>
      <c r="AE2720" s="1779"/>
      <c r="AF2720" s="1779"/>
      <c r="AG2720" s="1779"/>
    </row>
    <row r="2721" spans="1:33" ht="17.45" customHeight="1">
      <c r="A2721" s="755"/>
      <c r="B2721" s="755" t="s">
        <v>1250</v>
      </c>
      <c r="C2721" s="755" t="s">
        <v>509</v>
      </c>
      <c r="D2721" s="1600">
        <v>952</v>
      </c>
      <c r="E2721" s="2247" t="s">
        <v>1936</v>
      </c>
      <c r="F2721" s="756">
        <v>5239</v>
      </c>
      <c r="G2721" s="757" t="s">
        <v>256</v>
      </c>
      <c r="H2721" s="2842">
        <v>0</v>
      </c>
      <c r="I2721" s="2842"/>
      <c r="J2721" s="2842"/>
      <c r="K2721" s="2841"/>
      <c r="L2721" s="2842">
        <v>2500</v>
      </c>
      <c r="M2721" s="2839"/>
      <c r="N2721" s="2847"/>
      <c r="O2721" s="86"/>
      <c r="P2721" s="1817" t="e">
        <f>INDEX(#REF!,MATCH(F2721,#REF!,0),2)</f>
        <v>#REF!</v>
      </c>
      <c r="Q2721" s="1779"/>
      <c r="R2721" s="1779"/>
      <c r="S2721" s="1779"/>
      <c r="T2721" s="1779"/>
      <c r="U2721" s="1779"/>
      <c r="V2721" s="1779"/>
      <c r="W2721" s="43"/>
      <c r="X2721" s="1779"/>
      <c r="Y2721" s="1779"/>
      <c r="Z2721" s="1779"/>
      <c r="AA2721" s="1779"/>
      <c r="AB2721" s="1779"/>
      <c r="AC2721" s="1779"/>
      <c r="AD2721" s="1779"/>
      <c r="AE2721" s="1779"/>
      <c r="AF2721" s="1779"/>
      <c r="AG2721" s="1779"/>
    </row>
    <row r="2722" spans="1:33" ht="17.45" customHeight="1">
      <c r="A2722" s="762"/>
      <c r="B2722" s="762" t="s">
        <v>1250</v>
      </c>
      <c r="C2722" s="762" t="s">
        <v>509</v>
      </c>
      <c r="D2722" s="1599"/>
      <c r="E2722" s="2245" t="s">
        <v>1936</v>
      </c>
      <c r="F2722" s="763">
        <v>5239</v>
      </c>
      <c r="G2722" s="996" t="s">
        <v>4930</v>
      </c>
      <c r="H2722" s="2779"/>
      <c r="I2722" s="2779"/>
      <c r="J2722" s="2779"/>
      <c r="K2722" s="3515"/>
      <c r="L2722" s="2778"/>
      <c r="M2722" s="3662">
        <v>2500</v>
      </c>
      <c r="N2722" s="2847" t="s">
        <v>4931</v>
      </c>
      <c r="O2722" s="86"/>
      <c r="P2722" s="1817" t="e">
        <f>INDEX(#REF!,MATCH(F2722,#REF!,0),2)</f>
        <v>#REF!</v>
      </c>
      <c r="Q2722" s="1779"/>
      <c r="R2722" s="1779"/>
      <c r="S2722" s="1779"/>
      <c r="T2722" s="1779"/>
      <c r="U2722" s="1779"/>
      <c r="V2722" s="1779"/>
      <c r="W2722" s="43"/>
      <c r="X2722" s="1779"/>
      <c r="Y2722" s="1779"/>
      <c r="Z2722" s="1779"/>
      <c r="AA2722" s="1779"/>
      <c r="AB2722" s="1779"/>
      <c r="AC2722" s="1779"/>
      <c r="AD2722" s="1779"/>
      <c r="AE2722" s="1779"/>
      <c r="AF2722" s="1779"/>
      <c r="AG2722" s="1779"/>
    </row>
    <row r="2723" spans="1:33" ht="11.45" customHeight="1">
      <c r="A2723" s="634"/>
      <c r="B2723" s="634" t="s">
        <v>663</v>
      </c>
      <c r="C2723" s="634" t="s">
        <v>659</v>
      </c>
      <c r="D2723" s="1597">
        <v>950</v>
      </c>
      <c r="E2723" s="2244" t="s">
        <v>1912</v>
      </c>
      <c r="F2723" s="635">
        <v>1119</v>
      </c>
      <c r="G2723" s="432" t="s">
        <v>430</v>
      </c>
      <c r="H2723" s="641">
        <v>491682.12000000005</v>
      </c>
      <c r="I2723" s="1683"/>
      <c r="J2723" s="628">
        <v>384751.73</v>
      </c>
      <c r="K2723" s="629"/>
      <c r="L2723" s="641">
        <v>484755.83999999997</v>
      </c>
      <c r="M2723" s="643"/>
      <c r="N2723" s="2847"/>
      <c r="O2723" s="86"/>
      <c r="P2723" s="1817" t="e">
        <f>INDEX(#REF!,MATCH(F2723,#REF!,0),2)</f>
        <v>#REF!</v>
      </c>
      <c r="Q2723" s="1779"/>
      <c r="R2723" s="1779"/>
      <c r="S2723" s="1779"/>
      <c r="T2723" s="1779"/>
      <c r="U2723" s="1779"/>
      <c r="V2723" s="1779"/>
      <c r="W2723" s="43"/>
      <c r="X2723" s="1779"/>
      <c r="Y2723" s="1779"/>
      <c r="Z2723" s="1779"/>
      <c r="AA2723" s="1779"/>
      <c r="AB2723" s="1779"/>
      <c r="AC2723" s="1779"/>
      <c r="AD2723" s="1779"/>
      <c r="AE2723" s="1779"/>
      <c r="AF2723" s="1779"/>
      <c r="AG2723" s="1779"/>
    </row>
    <row r="2724" spans="1:33" ht="16.149999999999999" customHeight="1">
      <c r="A2724" s="454"/>
      <c r="B2724" s="424" t="s">
        <v>663</v>
      </c>
      <c r="C2724" s="424" t="s">
        <v>659</v>
      </c>
      <c r="D2724" s="1598"/>
      <c r="E2724" s="2104" t="s">
        <v>1912</v>
      </c>
      <c r="F2724" s="438">
        <v>1119</v>
      </c>
      <c r="G2724" s="426" t="s">
        <v>663</v>
      </c>
      <c r="H2724" s="517"/>
      <c r="I2724" s="650">
        <v>491682.12000000005</v>
      </c>
      <c r="J2724" s="525"/>
      <c r="K2724" s="300"/>
      <c r="L2724" s="517"/>
      <c r="M2724" s="645">
        <v>484755.83999999997</v>
      </c>
      <c r="N2724" s="2847"/>
      <c r="O2724" s="86"/>
      <c r="P2724" s="1817" t="e">
        <f>INDEX(#REF!,MATCH(F2724,#REF!,0),2)</f>
        <v>#REF!</v>
      </c>
      <c r="Q2724" s="1779"/>
      <c r="R2724" s="1779"/>
      <c r="S2724" s="1779"/>
      <c r="T2724" s="1779"/>
      <c r="U2724" s="1779"/>
      <c r="V2724" s="1779"/>
      <c r="W2724" s="43"/>
      <c r="X2724" s="1779"/>
      <c r="Y2724" s="1779"/>
      <c r="Z2724" s="1779"/>
      <c r="AA2724" s="1779"/>
      <c r="AB2724" s="1779"/>
      <c r="AC2724" s="1779"/>
      <c r="AD2724" s="1779"/>
      <c r="AE2724" s="1779"/>
      <c r="AF2724" s="1779"/>
      <c r="AG2724" s="1779"/>
    </row>
    <row r="2725" spans="1:33" ht="11.45" customHeight="1">
      <c r="A2725" s="1339"/>
      <c r="B2725" s="424" t="s">
        <v>663</v>
      </c>
      <c r="C2725" s="424" t="s">
        <v>659</v>
      </c>
      <c r="D2725" s="1598"/>
      <c r="E2725" s="2104" t="s">
        <v>1912</v>
      </c>
      <c r="F2725" s="438">
        <v>1119</v>
      </c>
      <c r="G2725" s="1366" t="s">
        <v>1867</v>
      </c>
      <c r="H2725" s="1343"/>
      <c r="I2725" s="1689"/>
      <c r="J2725" s="1161"/>
      <c r="K2725" s="1365"/>
      <c r="L2725" s="1343"/>
      <c r="M2725" s="4077"/>
      <c r="N2725" s="2847"/>
      <c r="O2725" s="86"/>
      <c r="P2725" s="1817" t="e">
        <f>INDEX(#REF!,MATCH(F2725,#REF!,0),2)</f>
        <v>#REF!</v>
      </c>
      <c r="Q2725" s="1779"/>
      <c r="R2725" s="1779"/>
      <c r="S2725" s="1779"/>
      <c r="T2725" s="1779"/>
      <c r="U2725" s="1779"/>
      <c r="V2725" s="1779"/>
      <c r="W2725" s="43"/>
      <c r="X2725" s="1779"/>
      <c r="Y2725" s="1779"/>
      <c r="Z2725" s="1779"/>
      <c r="AA2725" s="1779"/>
      <c r="AB2725" s="1779"/>
      <c r="AC2725" s="1779"/>
      <c r="AD2725" s="1779"/>
      <c r="AE2725" s="1779"/>
      <c r="AF2725" s="1779"/>
      <c r="AG2725" s="1779"/>
    </row>
    <row r="2726" spans="1:33" ht="20.45" customHeight="1">
      <c r="A2726" s="1339"/>
      <c r="B2726" s="424" t="s">
        <v>663</v>
      </c>
      <c r="C2726" s="424" t="s">
        <v>659</v>
      </c>
      <c r="D2726" s="1598"/>
      <c r="E2726" s="2104" t="s">
        <v>1912</v>
      </c>
      <c r="F2726" s="438">
        <v>1119</v>
      </c>
      <c r="G2726" s="426" t="s">
        <v>2062</v>
      </c>
      <c r="H2726" s="1343"/>
      <c r="I2726" s="1689"/>
      <c r="J2726" s="1161"/>
      <c r="K2726" s="1365"/>
      <c r="L2726" s="1343"/>
      <c r="M2726" s="4077"/>
      <c r="N2726" s="2847"/>
      <c r="O2726" s="86"/>
      <c r="P2726" s="1817" t="e">
        <f>INDEX(#REF!,MATCH(F2726,#REF!,0),2)</f>
        <v>#REF!</v>
      </c>
      <c r="Q2726" s="1779"/>
      <c r="R2726" s="1779"/>
      <c r="S2726" s="1779"/>
      <c r="T2726" s="1779"/>
      <c r="U2726" s="1779"/>
      <c r="V2726" s="1779"/>
      <c r="W2726" s="43"/>
      <c r="X2726" s="1779"/>
      <c r="Y2726" s="1779"/>
      <c r="Z2726" s="1779"/>
      <c r="AA2726" s="1779"/>
      <c r="AB2726" s="1779"/>
      <c r="AC2726" s="1779"/>
      <c r="AD2726" s="1779"/>
      <c r="AE2726" s="1779"/>
      <c r="AF2726" s="1779"/>
      <c r="AG2726" s="1779"/>
    </row>
    <row r="2727" spans="1:33" ht="20.45" customHeight="1">
      <c r="A2727" s="634"/>
      <c r="B2727" s="634" t="s">
        <v>566</v>
      </c>
      <c r="C2727" s="634" t="s">
        <v>1296</v>
      </c>
      <c r="D2727" s="1597">
        <v>950</v>
      </c>
      <c r="E2727" s="2093" t="s">
        <v>2035</v>
      </c>
      <c r="F2727" s="635">
        <v>1119</v>
      </c>
      <c r="G2727" s="432" t="s">
        <v>711</v>
      </c>
      <c r="H2727" s="955">
        <v>1704</v>
      </c>
      <c r="I2727" s="642"/>
      <c r="J2727" s="628"/>
      <c r="K2727" s="629"/>
      <c r="L2727" s="1504">
        <v>0</v>
      </c>
      <c r="M2727" s="1507"/>
      <c r="N2727" s="2847"/>
      <c r="O2727" s="86"/>
      <c r="P2727" s="1817" t="e">
        <f>INDEX(#REF!,MATCH(F2727,#REF!,0),2)</f>
        <v>#REF!</v>
      </c>
      <c r="Q2727" s="1779"/>
      <c r="R2727" s="1779"/>
      <c r="S2727" s="1779"/>
      <c r="T2727" s="1779"/>
      <c r="U2727" s="1779"/>
      <c r="V2727" s="1779"/>
      <c r="W2727" s="43"/>
      <c r="X2727" s="1779"/>
      <c r="Y2727" s="1779"/>
      <c r="Z2727" s="1779"/>
      <c r="AA2727" s="1779"/>
      <c r="AB2727" s="1779"/>
      <c r="AC2727" s="1779"/>
      <c r="AD2727" s="1779"/>
      <c r="AE2727" s="1779"/>
      <c r="AF2727" s="1779"/>
      <c r="AG2727" s="1779"/>
    </row>
    <row r="2728" spans="1:33" ht="11.45" customHeight="1">
      <c r="A2728" s="454"/>
      <c r="B2728" s="424" t="s">
        <v>566</v>
      </c>
      <c r="C2728" s="424" t="s">
        <v>1296</v>
      </c>
      <c r="D2728" s="1598"/>
      <c r="E2728" s="2104" t="s">
        <v>2035</v>
      </c>
      <c r="F2728" s="438">
        <v>1119</v>
      </c>
      <c r="G2728" s="434" t="s">
        <v>1037</v>
      </c>
      <c r="H2728" s="954"/>
      <c r="I2728" s="644">
        <v>1704</v>
      </c>
      <c r="J2728" s="644">
        <v>1704</v>
      </c>
      <c r="K2728" s="300"/>
      <c r="L2728" s="1505"/>
      <c r="M2728" s="1508"/>
      <c r="N2728" s="2847"/>
      <c r="O2728" s="86"/>
      <c r="P2728" s="1817" t="e">
        <f>INDEX(#REF!,MATCH(F2728,#REF!,0),2)</f>
        <v>#REF!</v>
      </c>
      <c r="Q2728" s="1779"/>
      <c r="R2728" s="1779"/>
      <c r="S2728" s="1779"/>
      <c r="T2728" s="1779"/>
      <c r="U2728" s="1779"/>
      <c r="V2728" s="1779"/>
      <c r="W2728" s="43"/>
      <c r="X2728" s="1779"/>
      <c r="Y2728" s="1779"/>
      <c r="Z2728" s="1779"/>
      <c r="AA2728" s="1779"/>
      <c r="AB2728" s="1779"/>
      <c r="AC2728" s="1779"/>
      <c r="AD2728" s="1779"/>
      <c r="AE2728" s="1779"/>
      <c r="AF2728" s="1779"/>
      <c r="AG2728" s="1779"/>
    </row>
    <row r="2729" spans="1:33" ht="32.25" customHeight="1">
      <c r="A2729" s="634"/>
      <c r="B2729" s="634" t="s">
        <v>512</v>
      </c>
      <c r="C2729" s="634" t="s">
        <v>506</v>
      </c>
      <c r="D2729" s="1597">
        <v>950</v>
      </c>
      <c r="E2729" s="2093" t="s">
        <v>1913</v>
      </c>
      <c r="F2729" s="635">
        <v>1119</v>
      </c>
      <c r="G2729" s="432" t="s">
        <v>431</v>
      </c>
      <c r="H2729" s="953">
        <v>2626012.9994740677</v>
      </c>
      <c r="I2729" s="153"/>
      <c r="J2729" s="646"/>
      <c r="K2729" s="402"/>
      <c r="L2729" s="2439">
        <v>2626012.9994740677</v>
      </c>
      <c r="M2729" s="2440"/>
      <c r="N2729" s="2847"/>
      <c r="O2729" s="86"/>
      <c r="P2729" s="1817" t="e">
        <f>INDEX(#REF!,MATCH(F2729,#REF!,0),2)</f>
        <v>#REF!</v>
      </c>
      <c r="Q2729" s="1779"/>
      <c r="R2729" s="1779"/>
      <c r="S2729" s="1779"/>
      <c r="T2729" s="1779"/>
      <c r="U2729" s="1779"/>
      <c r="V2729" s="1779"/>
      <c r="W2729" s="43"/>
      <c r="X2729" s="1779"/>
      <c r="Y2729" s="1779"/>
      <c r="Z2729" s="1779"/>
      <c r="AA2729" s="1779"/>
      <c r="AB2729" s="1779"/>
      <c r="AC2729" s="1779"/>
      <c r="AD2729" s="1779"/>
      <c r="AE2729" s="1779"/>
      <c r="AF2729" s="1779"/>
      <c r="AG2729" s="1779"/>
    </row>
    <row r="2730" spans="1:33" ht="17.25" customHeight="1">
      <c r="A2730" s="454"/>
      <c r="B2730" s="424" t="s">
        <v>512</v>
      </c>
      <c r="C2730" s="424" t="s">
        <v>506</v>
      </c>
      <c r="D2730" s="1598"/>
      <c r="E2730" s="2104" t="s">
        <v>1913</v>
      </c>
      <c r="F2730" s="438">
        <v>1119</v>
      </c>
      <c r="G2730" s="2115" t="s">
        <v>3060</v>
      </c>
      <c r="H2730" s="954"/>
      <c r="I2730" s="235">
        <v>53252.999474067481</v>
      </c>
      <c r="J2730" s="401"/>
      <c r="K2730" s="402"/>
      <c r="L2730" s="1505"/>
      <c r="M2730" s="2441">
        <v>53252.999474067481</v>
      </c>
      <c r="N2730" s="2847"/>
      <c r="O2730" s="86"/>
      <c r="P2730" s="1817" t="e">
        <f>INDEX(#REF!,MATCH(F2730,#REF!,0),2)</f>
        <v>#REF!</v>
      </c>
      <c r="Q2730" s="1779"/>
      <c r="R2730" s="1779"/>
      <c r="S2730" s="1779"/>
      <c r="T2730" s="1779"/>
      <c r="U2730" s="1779"/>
      <c r="V2730" s="1779"/>
      <c r="W2730" s="43"/>
      <c r="X2730" s="1779"/>
      <c r="Y2730" s="1779"/>
      <c r="Z2730" s="1779"/>
      <c r="AA2730" s="1779"/>
      <c r="AB2730" s="1779"/>
      <c r="AC2730" s="1779"/>
      <c r="AD2730" s="1779"/>
      <c r="AE2730" s="1779"/>
      <c r="AF2730" s="1779"/>
      <c r="AG2730" s="1779"/>
    </row>
    <row r="2731" spans="1:33" s="81" customFormat="1" ht="20.45" customHeight="1">
      <c r="A2731" s="1339"/>
      <c r="B2731" s="424" t="s">
        <v>512</v>
      </c>
      <c r="C2731" s="424" t="s">
        <v>506</v>
      </c>
      <c r="D2731" s="1598"/>
      <c r="E2731" s="2104" t="s">
        <v>1913</v>
      </c>
      <c r="F2731" s="438">
        <v>1119</v>
      </c>
      <c r="G2731" s="1269" t="s">
        <v>1784</v>
      </c>
      <c r="H2731" s="1340"/>
      <c r="I2731" s="235"/>
      <c r="J2731" s="1341"/>
      <c r="K2731" s="1342"/>
      <c r="L2731" s="2438"/>
      <c r="M2731" s="2442"/>
      <c r="N2731" s="2847"/>
      <c r="O2731" s="86"/>
      <c r="P2731" s="1817" t="e">
        <f>INDEX(#REF!,MATCH(F2731,#REF!,0),2)</f>
        <v>#REF!</v>
      </c>
      <c r="Q2731" s="43"/>
      <c r="R2731" s="43"/>
      <c r="S2731" s="43"/>
      <c r="T2731" s="43"/>
      <c r="U2731" s="43"/>
      <c r="V2731" s="43"/>
      <c r="W2731" s="43"/>
      <c r="X2731" s="43"/>
      <c r="Y2731" s="43"/>
      <c r="Z2731" s="43"/>
      <c r="AA2731" s="43"/>
      <c r="AB2731" s="43"/>
      <c r="AC2731" s="43"/>
      <c r="AD2731" s="43"/>
      <c r="AE2731" s="43"/>
      <c r="AF2731" s="43"/>
      <c r="AG2731" s="43"/>
    </row>
    <row r="2732" spans="1:33" ht="20.45" customHeight="1">
      <c r="A2732" s="454"/>
      <c r="B2732" s="424" t="s">
        <v>512</v>
      </c>
      <c r="C2732" s="424" t="s">
        <v>506</v>
      </c>
      <c r="D2732" s="1598"/>
      <c r="E2732" s="2104" t="s">
        <v>1913</v>
      </c>
      <c r="F2732" s="438">
        <v>1119</v>
      </c>
      <c r="G2732" s="426" t="s">
        <v>1216</v>
      </c>
      <c r="H2732" s="954"/>
      <c r="I2732" s="235">
        <v>2572760</v>
      </c>
      <c r="J2732" s="401"/>
      <c r="K2732" s="402"/>
      <c r="L2732" s="1505"/>
      <c r="M2732" s="2442">
        <v>2572760</v>
      </c>
      <c r="N2732" s="2847"/>
      <c r="O2732" s="86"/>
      <c r="P2732" s="1817" t="e">
        <f>INDEX(#REF!,MATCH(F2732,#REF!,0),2)</f>
        <v>#REF!</v>
      </c>
      <c r="Q2732" s="1779"/>
      <c r="R2732" s="1779"/>
      <c r="S2732" s="1779"/>
      <c r="T2732" s="1779"/>
      <c r="U2732" s="1779"/>
      <c r="V2732" s="1779"/>
      <c r="W2732" s="43"/>
      <c r="X2732" s="1779"/>
      <c r="Y2732" s="1779"/>
      <c r="Z2732" s="1779"/>
      <c r="AA2732" s="1779"/>
      <c r="AB2732" s="1779"/>
      <c r="AC2732" s="1779"/>
      <c r="AD2732" s="1779"/>
      <c r="AE2732" s="1779"/>
      <c r="AF2732" s="1779"/>
      <c r="AG2732" s="1779"/>
    </row>
    <row r="2733" spans="1:33" s="81" customFormat="1" ht="11.45" customHeight="1">
      <c r="A2733" s="1473"/>
      <c r="B2733" s="424" t="s">
        <v>512</v>
      </c>
      <c r="C2733" s="424" t="s">
        <v>506</v>
      </c>
      <c r="D2733" s="1598"/>
      <c r="E2733" s="2104" t="s">
        <v>1913</v>
      </c>
      <c r="F2733" s="438">
        <v>1119</v>
      </c>
      <c r="G2733" s="1466" t="s">
        <v>2054</v>
      </c>
      <c r="H2733" s="1474"/>
      <c r="I2733" s="235"/>
      <c r="J2733" s="1341"/>
      <c r="K2733" s="1342"/>
      <c r="L2733" s="2443"/>
      <c r="M2733" s="2442"/>
      <c r="N2733" s="2847"/>
      <c r="O2733" s="1698"/>
      <c r="P2733" s="1817" t="e">
        <f>INDEX(#REF!,MATCH(F2733,#REF!,0),2)</f>
        <v>#REF!</v>
      </c>
      <c r="Q2733" s="43"/>
      <c r="R2733" s="43"/>
      <c r="S2733" s="43"/>
      <c r="T2733" s="43"/>
      <c r="U2733" s="43"/>
      <c r="V2733" s="43"/>
      <c r="W2733" s="43"/>
      <c r="X2733" s="43"/>
      <c r="Y2733" s="43"/>
      <c r="Z2733" s="43"/>
      <c r="AA2733" s="43"/>
      <c r="AB2733" s="43"/>
      <c r="AC2733" s="43"/>
      <c r="AD2733" s="43"/>
      <c r="AE2733" s="43"/>
      <c r="AF2733" s="43"/>
      <c r="AG2733" s="43"/>
    </row>
    <row r="2734" spans="1:33" s="81" customFormat="1" ht="36" customHeight="1">
      <c r="A2734" s="1410"/>
      <c r="B2734" s="424" t="s">
        <v>512</v>
      </c>
      <c r="C2734" s="424" t="s">
        <v>506</v>
      </c>
      <c r="D2734" s="1598"/>
      <c r="E2734" s="2104" t="s">
        <v>1913</v>
      </c>
      <c r="F2734" s="438">
        <v>1119</v>
      </c>
      <c r="G2734" s="1411"/>
      <c r="H2734" s="1340"/>
      <c r="I2734" s="235"/>
      <c r="J2734" s="1341"/>
      <c r="K2734" s="1342"/>
      <c r="L2734" s="2438"/>
      <c r="M2734" s="2442"/>
      <c r="N2734" s="2847"/>
      <c r="O2734" s="86"/>
      <c r="P2734" s="1817" t="e">
        <f>INDEX(#REF!,MATCH(F2734,#REF!,0),2)</f>
        <v>#REF!</v>
      </c>
      <c r="Q2734" s="43"/>
      <c r="R2734" s="43"/>
      <c r="S2734" s="43"/>
      <c r="T2734" s="43"/>
      <c r="U2734" s="43"/>
      <c r="V2734" s="43"/>
      <c r="W2734" s="43"/>
      <c r="X2734" s="43"/>
      <c r="Y2734" s="43"/>
      <c r="Z2734" s="43"/>
      <c r="AA2734" s="43"/>
      <c r="AB2734" s="43"/>
      <c r="AC2734" s="43"/>
      <c r="AD2734" s="43"/>
      <c r="AE2734" s="43"/>
      <c r="AF2734" s="43"/>
      <c r="AG2734" s="43"/>
    </row>
    <row r="2735" spans="1:33" s="81" customFormat="1" ht="36" customHeight="1">
      <c r="A2735" s="634"/>
      <c r="B2735" s="634" t="s">
        <v>512</v>
      </c>
      <c r="C2735" s="634" t="s">
        <v>506</v>
      </c>
      <c r="D2735" s="1597">
        <v>950</v>
      </c>
      <c r="E2735" s="2093" t="s">
        <v>1913</v>
      </c>
      <c r="F2735" s="635">
        <v>1119</v>
      </c>
      <c r="G2735" s="432" t="s">
        <v>1098</v>
      </c>
      <c r="H2735" s="2088">
        <v>105232.00487175338</v>
      </c>
      <c r="I2735" s="643"/>
      <c r="J2735" s="2089"/>
      <c r="K2735" s="647"/>
      <c r="L2735" s="2444">
        <v>105232.00487175338</v>
      </c>
      <c r="M2735" s="642"/>
      <c r="N2735" s="2847"/>
      <c r="O2735" s="1698"/>
      <c r="P2735" s="1817" t="e">
        <f>INDEX(#REF!,MATCH(F2735,#REF!,0),2)</f>
        <v>#REF!</v>
      </c>
      <c r="Q2735" s="43"/>
      <c r="R2735" s="43"/>
      <c r="S2735" s="43"/>
      <c r="T2735" s="43"/>
      <c r="U2735" s="43"/>
      <c r="V2735" s="43"/>
      <c r="W2735" s="43"/>
      <c r="X2735" s="43"/>
      <c r="Y2735" s="43"/>
      <c r="Z2735" s="43"/>
      <c r="AA2735" s="43"/>
      <c r="AB2735" s="43"/>
      <c r="AC2735" s="43"/>
      <c r="AD2735" s="43"/>
      <c r="AE2735" s="43"/>
      <c r="AF2735" s="43"/>
      <c r="AG2735" s="43"/>
    </row>
    <row r="2736" spans="1:33" s="81" customFormat="1" ht="14.45" customHeight="1">
      <c r="A2736" s="454"/>
      <c r="B2736" s="424" t="s">
        <v>512</v>
      </c>
      <c r="C2736" s="424" t="s">
        <v>506</v>
      </c>
      <c r="D2736" s="1598"/>
      <c r="E2736" s="2104" t="s">
        <v>1913</v>
      </c>
      <c r="F2736" s="438">
        <v>1119</v>
      </c>
      <c r="G2736" s="2115" t="s">
        <v>3060</v>
      </c>
      <c r="H2736" s="954"/>
      <c r="I2736" s="235"/>
      <c r="J2736" s="401"/>
      <c r="K2736" s="402"/>
      <c r="L2736" s="1505"/>
      <c r="M2736" s="2441"/>
      <c r="N2736" s="2847"/>
      <c r="O2736" s="1698"/>
      <c r="P2736" s="1817" t="e">
        <f>INDEX(#REF!,MATCH(F2736,#REF!,0),2)</f>
        <v>#REF!</v>
      </c>
      <c r="Q2736" s="43"/>
      <c r="R2736" s="43"/>
      <c r="S2736" s="43"/>
      <c r="T2736" s="43"/>
      <c r="U2736" s="43"/>
      <c r="V2736" s="43"/>
      <c r="W2736" s="43"/>
      <c r="X2736" s="43"/>
      <c r="Y2736" s="43"/>
      <c r="Z2736" s="43"/>
      <c r="AA2736" s="43"/>
      <c r="AB2736" s="43"/>
      <c r="AC2736" s="43"/>
      <c r="AD2736" s="43"/>
      <c r="AE2736" s="43"/>
      <c r="AF2736" s="43"/>
      <c r="AG2736" s="43"/>
    </row>
    <row r="2737" spans="1:33" ht="11.45" customHeight="1">
      <c r="A2737" s="454"/>
      <c r="B2737" s="424" t="s">
        <v>512</v>
      </c>
      <c r="C2737" s="424" t="s">
        <v>506</v>
      </c>
      <c r="D2737" s="1598"/>
      <c r="E2737" s="2104" t="s">
        <v>1913</v>
      </c>
      <c r="F2737" s="438">
        <v>1119</v>
      </c>
      <c r="G2737" s="434" t="s">
        <v>1216</v>
      </c>
      <c r="H2737" s="517"/>
      <c r="I2737" s="1167">
        <v>105232.00487175338</v>
      </c>
      <c r="J2737" s="2090"/>
      <c r="K2737" s="402"/>
      <c r="L2737" s="1505"/>
      <c r="M2737" s="2445">
        <v>105232.00487175338</v>
      </c>
      <c r="N2737" s="2847"/>
      <c r="O2737" s="1698"/>
      <c r="P2737" s="1817" t="e">
        <f>INDEX(#REF!,MATCH(F2737,#REF!,0),2)</f>
        <v>#REF!</v>
      </c>
      <c r="Q2737" s="1779"/>
      <c r="R2737" s="1779"/>
      <c r="S2737" s="1779"/>
      <c r="T2737" s="1779"/>
      <c r="U2737" s="1779"/>
      <c r="V2737" s="1779"/>
      <c r="W2737" s="43"/>
      <c r="X2737" s="1779"/>
      <c r="Y2737" s="1779"/>
      <c r="Z2737" s="1779"/>
      <c r="AA2737" s="1779"/>
      <c r="AB2737" s="1779"/>
      <c r="AC2737" s="1779"/>
      <c r="AD2737" s="1779"/>
      <c r="AE2737" s="1779"/>
      <c r="AF2737" s="1779"/>
      <c r="AG2737" s="1779"/>
    </row>
    <row r="2738" spans="1:33" ht="20.45" customHeight="1">
      <c r="A2738" s="1473"/>
      <c r="B2738" s="424" t="s">
        <v>512</v>
      </c>
      <c r="C2738" s="424" t="s">
        <v>506</v>
      </c>
      <c r="D2738" s="1598"/>
      <c r="E2738" s="2104" t="s">
        <v>1913</v>
      </c>
      <c r="F2738" s="438">
        <v>1119</v>
      </c>
      <c r="G2738" s="1904" t="s">
        <v>2055</v>
      </c>
      <c r="H2738" s="2091"/>
      <c r="I2738" s="1167"/>
      <c r="J2738" s="2092"/>
      <c r="K2738" s="1342"/>
      <c r="L2738" s="2443"/>
      <c r="M2738" s="2446"/>
      <c r="N2738" s="2847"/>
      <c r="O2738" s="1698"/>
      <c r="P2738" s="1817" t="e">
        <f>INDEX(#REF!,MATCH(F2738,#REF!,0),2)</f>
        <v>#REF!</v>
      </c>
      <c r="Q2738" s="1779"/>
      <c r="R2738" s="1779"/>
      <c r="S2738" s="1779"/>
      <c r="T2738" s="1779"/>
      <c r="U2738" s="1779"/>
      <c r="V2738" s="1779"/>
      <c r="W2738" s="43"/>
      <c r="X2738" s="1779"/>
      <c r="Y2738" s="1779"/>
      <c r="Z2738" s="1779"/>
      <c r="AA2738" s="1779"/>
      <c r="AB2738" s="1779"/>
      <c r="AC2738" s="1779"/>
      <c r="AD2738" s="1779"/>
      <c r="AE2738" s="1779"/>
      <c r="AF2738" s="1779"/>
      <c r="AG2738" s="1779"/>
    </row>
    <row r="2739" spans="1:33" ht="20.45" customHeight="1">
      <c r="A2739" s="1473"/>
      <c r="B2739" s="424" t="s">
        <v>512</v>
      </c>
      <c r="C2739" s="424" t="s">
        <v>506</v>
      </c>
      <c r="D2739" s="1598"/>
      <c r="E2739" s="2104" t="s">
        <v>1913</v>
      </c>
      <c r="F2739" s="438">
        <v>1119</v>
      </c>
      <c r="G2739" s="434" t="s">
        <v>2056</v>
      </c>
      <c r="H2739" s="2091"/>
      <c r="I2739" s="1167"/>
      <c r="J2739" s="2092"/>
      <c r="K2739" s="1342"/>
      <c r="L2739" s="2443"/>
      <c r="M2739" s="2446"/>
      <c r="N2739" s="2847"/>
      <c r="O2739" s="86"/>
      <c r="P2739" s="1817" t="e">
        <f>INDEX(#REF!,MATCH(F2739,#REF!,0),2)</f>
        <v>#REF!</v>
      </c>
      <c r="Q2739" s="1779"/>
      <c r="R2739" s="1779"/>
      <c r="S2739" s="1779"/>
      <c r="T2739" s="1779"/>
      <c r="U2739" s="1779"/>
      <c r="V2739" s="1779"/>
      <c r="W2739" s="43"/>
      <c r="X2739" s="1779"/>
      <c r="Y2739" s="1779"/>
      <c r="Z2739" s="1779"/>
      <c r="AA2739" s="1779"/>
      <c r="AB2739" s="1779"/>
      <c r="AC2739" s="1779"/>
      <c r="AD2739" s="1779"/>
      <c r="AE2739" s="1779"/>
      <c r="AF2739" s="1779"/>
      <c r="AG2739" s="1779"/>
    </row>
    <row r="2740" spans="1:33" ht="11.45" customHeight="1">
      <c r="A2740" s="454"/>
      <c r="B2740" s="424" t="s">
        <v>512</v>
      </c>
      <c r="C2740" s="424" t="s">
        <v>506</v>
      </c>
      <c r="D2740" s="1598"/>
      <c r="E2740" s="2104" t="s">
        <v>1913</v>
      </c>
      <c r="F2740" s="438">
        <v>1119</v>
      </c>
      <c r="G2740" s="434" t="s">
        <v>1175</v>
      </c>
      <c r="H2740" s="517"/>
      <c r="I2740" s="1167"/>
      <c r="J2740" s="2090"/>
      <c r="K2740" s="402"/>
      <c r="L2740" s="1505"/>
      <c r="M2740" s="2447"/>
      <c r="N2740" s="2847"/>
      <c r="O2740" s="86"/>
      <c r="P2740" s="1817" t="e">
        <f>INDEX(#REF!,MATCH(F2740,#REF!,0),2)</f>
        <v>#REF!</v>
      </c>
      <c r="Q2740" s="1779"/>
      <c r="R2740" s="1779"/>
      <c r="S2740" s="1779"/>
      <c r="T2740" s="1779"/>
      <c r="U2740" s="1779"/>
      <c r="V2740" s="1779"/>
      <c r="W2740" s="43"/>
      <c r="X2740" s="1779"/>
      <c r="Y2740" s="1779"/>
      <c r="Z2740" s="1779"/>
      <c r="AA2740" s="1779"/>
      <c r="AB2740" s="1779"/>
      <c r="AC2740" s="1779"/>
      <c r="AD2740" s="1779"/>
      <c r="AE2740" s="1779"/>
      <c r="AF2740" s="1779"/>
      <c r="AG2740" s="1779"/>
    </row>
    <row r="2741" spans="1:33" ht="11.45" customHeight="1">
      <c r="A2741" s="634"/>
      <c r="B2741" s="634" t="s">
        <v>663</v>
      </c>
      <c r="C2741" s="634" t="s">
        <v>659</v>
      </c>
      <c r="D2741" s="1597">
        <v>950</v>
      </c>
      <c r="E2741" s="2093" t="s">
        <v>1912</v>
      </c>
      <c r="F2741" s="635">
        <v>1141</v>
      </c>
      <c r="G2741" s="432" t="s">
        <v>268</v>
      </c>
      <c r="H2741" s="641">
        <v>4100</v>
      </c>
      <c r="I2741" s="1683"/>
      <c r="J2741" s="628">
        <v>4233.75</v>
      </c>
      <c r="K2741" s="629"/>
      <c r="L2741" s="648">
        <v>4100</v>
      </c>
      <c r="M2741" s="643"/>
      <c r="N2741" s="2847"/>
      <c r="O2741" s="86"/>
      <c r="P2741" s="1817" t="e">
        <f>INDEX(#REF!,MATCH(F2741,#REF!,0),2)</f>
        <v>#REF!</v>
      </c>
      <c r="Q2741" s="1779"/>
      <c r="R2741" s="1779"/>
      <c r="S2741" s="1779"/>
      <c r="T2741" s="1779"/>
      <c r="U2741" s="1779"/>
      <c r="V2741" s="1779"/>
      <c r="W2741" s="43"/>
      <c r="X2741" s="1779"/>
      <c r="Y2741" s="1779"/>
      <c r="Z2741" s="1779"/>
      <c r="AA2741" s="1779"/>
      <c r="AB2741" s="1779"/>
      <c r="AC2741" s="1779"/>
      <c r="AD2741" s="1779"/>
      <c r="AE2741" s="1779"/>
      <c r="AF2741" s="1779"/>
      <c r="AG2741" s="1779"/>
    </row>
    <row r="2742" spans="1:33" ht="11.45" customHeight="1">
      <c r="A2742" s="454"/>
      <c r="B2742" s="424" t="s">
        <v>663</v>
      </c>
      <c r="C2742" s="424" t="s">
        <v>659</v>
      </c>
      <c r="D2742" s="1598"/>
      <c r="E2742" s="2104" t="s">
        <v>1912</v>
      </c>
      <c r="F2742" s="438">
        <v>1141</v>
      </c>
      <c r="G2742" s="426" t="s">
        <v>663</v>
      </c>
      <c r="H2742" s="517"/>
      <c r="I2742" s="650">
        <v>4100</v>
      </c>
      <c r="J2742" s="525"/>
      <c r="K2742" s="300"/>
      <c r="L2742" s="517"/>
      <c r="M2742" s="645">
        <v>4100</v>
      </c>
      <c r="N2742" s="2847"/>
      <c r="O2742" s="86"/>
      <c r="P2742" s="1817" t="e">
        <f>INDEX(#REF!,MATCH(F2742,#REF!,0),2)</f>
        <v>#REF!</v>
      </c>
      <c r="Q2742" s="1779"/>
      <c r="R2742" s="1779"/>
      <c r="S2742" s="1779"/>
      <c r="T2742" s="1779"/>
      <c r="U2742" s="1779"/>
      <c r="V2742" s="1779"/>
      <c r="W2742" s="43"/>
      <c r="X2742" s="1779"/>
      <c r="Y2742" s="1779"/>
      <c r="Z2742" s="1779"/>
      <c r="AA2742" s="1779"/>
      <c r="AB2742" s="1779"/>
      <c r="AC2742" s="1779"/>
      <c r="AD2742" s="1779"/>
      <c r="AE2742" s="1779"/>
      <c r="AF2742" s="1779"/>
      <c r="AG2742" s="1779"/>
    </row>
    <row r="2743" spans="1:33" ht="11.45" customHeight="1">
      <c r="A2743" s="634"/>
      <c r="B2743" s="634" t="s">
        <v>663</v>
      </c>
      <c r="C2743" s="634" t="s">
        <v>659</v>
      </c>
      <c r="D2743" s="1597">
        <v>950</v>
      </c>
      <c r="E2743" s="2093" t="s">
        <v>1912</v>
      </c>
      <c r="F2743" s="635">
        <v>1142</v>
      </c>
      <c r="G2743" s="432" t="s">
        <v>225</v>
      </c>
      <c r="H2743" s="641">
        <v>4500</v>
      </c>
      <c r="I2743" s="1683"/>
      <c r="J2743" s="628">
        <v>4255.9399999999996</v>
      </c>
      <c r="K2743" s="629"/>
      <c r="L2743" s="648">
        <v>2500</v>
      </c>
      <c r="M2743" s="643"/>
      <c r="N2743" s="2847"/>
      <c r="O2743" s="86"/>
      <c r="P2743" s="1817" t="e">
        <f>INDEX(#REF!,MATCH(F2743,#REF!,0),2)</f>
        <v>#REF!</v>
      </c>
      <c r="Q2743" s="1779"/>
      <c r="R2743" s="1779"/>
      <c r="S2743" s="1779"/>
      <c r="T2743" s="1779"/>
      <c r="U2743" s="1779"/>
      <c r="V2743" s="1779"/>
      <c r="W2743" s="43"/>
      <c r="X2743" s="1779"/>
      <c r="Y2743" s="1779"/>
      <c r="Z2743" s="1779"/>
      <c r="AA2743" s="1779"/>
      <c r="AB2743" s="1779"/>
      <c r="AC2743" s="1779"/>
      <c r="AD2743" s="1779"/>
      <c r="AE2743" s="1779"/>
      <c r="AF2743" s="1779"/>
      <c r="AG2743" s="1779"/>
    </row>
    <row r="2744" spans="1:33" ht="11.45" customHeight="1">
      <c r="A2744" s="454"/>
      <c r="B2744" s="424" t="s">
        <v>663</v>
      </c>
      <c r="C2744" s="424" t="s">
        <v>659</v>
      </c>
      <c r="D2744" s="1598"/>
      <c r="E2744" s="2104" t="s">
        <v>1912</v>
      </c>
      <c r="F2744" s="438">
        <v>1142</v>
      </c>
      <c r="G2744" s="426" t="s">
        <v>663</v>
      </c>
      <c r="H2744" s="517"/>
      <c r="I2744" s="650">
        <v>4500</v>
      </c>
      <c r="J2744" s="525"/>
      <c r="K2744" s="300"/>
      <c r="L2744" s="517"/>
      <c r="M2744" s="645">
        <v>2500</v>
      </c>
      <c r="N2744" s="2847"/>
      <c r="O2744" s="86"/>
      <c r="P2744" s="1817" t="e">
        <f>INDEX(#REF!,MATCH(F2744,#REF!,0),2)</f>
        <v>#REF!</v>
      </c>
      <c r="Q2744" s="1779"/>
      <c r="R2744" s="1779"/>
      <c r="S2744" s="1779"/>
      <c r="T2744" s="1779"/>
      <c r="U2744" s="1779"/>
      <c r="V2744" s="1779"/>
      <c r="W2744" s="43"/>
      <c r="X2744" s="1779"/>
      <c r="Y2744" s="1779"/>
      <c r="Z2744" s="1779"/>
      <c r="AA2744" s="1779"/>
      <c r="AB2744" s="1779"/>
      <c r="AC2744" s="1779"/>
      <c r="AD2744" s="1779"/>
      <c r="AE2744" s="1779"/>
      <c r="AF2744" s="1779"/>
      <c r="AG2744" s="1779"/>
    </row>
    <row r="2745" spans="1:33" ht="11.45" customHeight="1">
      <c r="A2745" s="634"/>
      <c r="B2745" s="634" t="s">
        <v>663</v>
      </c>
      <c r="C2745" s="634" t="s">
        <v>659</v>
      </c>
      <c r="D2745" s="1597">
        <v>950</v>
      </c>
      <c r="E2745" s="2093" t="s">
        <v>1912</v>
      </c>
      <c r="F2745" s="635">
        <v>1146</v>
      </c>
      <c r="G2745" s="432" t="s">
        <v>891</v>
      </c>
      <c r="H2745" s="641">
        <v>0</v>
      </c>
      <c r="I2745" s="1683"/>
      <c r="J2745" s="628"/>
      <c r="K2745" s="629"/>
      <c r="L2745" s="648">
        <v>0</v>
      </c>
      <c r="M2745" s="643"/>
      <c r="N2745" s="2847"/>
      <c r="O2745" s="86"/>
      <c r="P2745" s="1817" t="e">
        <f>INDEX(#REF!,MATCH(F2745,#REF!,0),2)</f>
        <v>#REF!</v>
      </c>
      <c r="Q2745" s="1779"/>
      <c r="R2745" s="1779"/>
      <c r="S2745" s="1779"/>
      <c r="T2745" s="1779"/>
      <c r="U2745" s="1779"/>
      <c r="V2745" s="1779"/>
      <c r="W2745" s="43"/>
      <c r="X2745" s="1779"/>
      <c r="Y2745" s="1779"/>
      <c r="Z2745" s="1779"/>
      <c r="AA2745" s="1779"/>
      <c r="AB2745" s="1779"/>
      <c r="AC2745" s="1779"/>
      <c r="AD2745" s="1779"/>
      <c r="AE2745" s="1779"/>
      <c r="AF2745" s="1779"/>
      <c r="AG2745" s="1779"/>
    </row>
    <row r="2746" spans="1:33" ht="11.45" customHeight="1">
      <c r="A2746" s="454"/>
      <c r="B2746" s="424" t="s">
        <v>663</v>
      </c>
      <c r="C2746" s="424" t="s">
        <v>659</v>
      </c>
      <c r="D2746" s="1598"/>
      <c r="E2746" s="2104" t="s">
        <v>1912</v>
      </c>
      <c r="F2746" s="438">
        <v>1146</v>
      </c>
      <c r="G2746" s="1368" t="s">
        <v>1870</v>
      </c>
      <c r="H2746" s="649"/>
      <c r="I2746" s="1690">
        <v>0</v>
      </c>
      <c r="J2746" s="650"/>
      <c r="K2746" s="300"/>
      <c r="L2746" s="517"/>
      <c r="M2746" s="1167">
        <v>0</v>
      </c>
      <c r="N2746" s="2847"/>
      <c r="O2746" s="86"/>
      <c r="P2746" s="1817" t="e">
        <f>INDEX(#REF!,MATCH(F2746,#REF!,0),2)</f>
        <v>#REF!</v>
      </c>
      <c r="Q2746" s="43"/>
      <c r="R2746" s="43"/>
      <c r="S2746" s="43"/>
      <c r="T2746" s="43"/>
      <c r="U2746" s="43"/>
      <c r="V2746" s="43"/>
      <c r="W2746" s="43"/>
      <c r="X2746" s="43"/>
      <c r="Y2746" s="43"/>
      <c r="Z2746" s="43"/>
      <c r="AA2746" s="43"/>
      <c r="AB2746" s="43"/>
      <c r="AC2746" s="43"/>
      <c r="AD2746" s="43"/>
      <c r="AE2746" s="43"/>
      <c r="AF2746" s="43"/>
      <c r="AG2746" s="43"/>
    </row>
    <row r="2747" spans="1:33" ht="11.45" customHeight="1">
      <c r="A2747" s="634"/>
      <c r="B2747" s="634" t="s">
        <v>512</v>
      </c>
      <c r="C2747" s="634" t="s">
        <v>506</v>
      </c>
      <c r="D2747" s="1597">
        <v>950</v>
      </c>
      <c r="E2747" s="2093" t="s">
        <v>1913</v>
      </c>
      <c r="F2747" s="635">
        <v>1146</v>
      </c>
      <c r="G2747" s="432" t="s">
        <v>891</v>
      </c>
      <c r="H2747" s="955">
        <v>7000</v>
      </c>
      <c r="I2747" s="642"/>
      <c r="J2747" s="628"/>
      <c r="K2747" s="629"/>
      <c r="L2747" s="2440">
        <v>7000</v>
      </c>
      <c r="M2747" s="642"/>
      <c r="N2747" s="2847"/>
      <c r="O2747" s="86"/>
      <c r="P2747" s="1817" t="e">
        <f>INDEX(#REF!,MATCH(F2747,#REF!,0),2)</f>
        <v>#REF!</v>
      </c>
      <c r="Q2747" s="43"/>
      <c r="R2747" s="43"/>
      <c r="S2747" s="43"/>
      <c r="T2747" s="43"/>
      <c r="U2747" s="43"/>
      <c r="V2747" s="43"/>
      <c r="W2747" s="43"/>
      <c r="X2747" s="43"/>
      <c r="Y2747" s="43"/>
      <c r="Z2747" s="43"/>
      <c r="AA2747" s="43"/>
      <c r="AB2747" s="43"/>
      <c r="AC2747" s="43"/>
      <c r="AD2747" s="43"/>
      <c r="AE2747" s="43"/>
      <c r="AF2747" s="43"/>
      <c r="AG2747" s="43"/>
    </row>
    <row r="2748" spans="1:33" ht="11.45" customHeight="1">
      <c r="A2748" s="454"/>
      <c r="B2748" s="424" t="s">
        <v>512</v>
      </c>
      <c r="C2748" s="424" t="s">
        <v>506</v>
      </c>
      <c r="D2748" s="1598"/>
      <c r="E2748" s="2104" t="s">
        <v>1913</v>
      </c>
      <c r="F2748" s="438">
        <v>1146</v>
      </c>
      <c r="G2748" s="426" t="s">
        <v>1216</v>
      </c>
      <c r="H2748" s="956"/>
      <c r="I2748" s="235">
        <v>7000</v>
      </c>
      <c r="J2748" s="650"/>
      <c r="K2748" s="300"/>
      <c r="L2748" s="1505"/>
      <c r="M2748" s="2442">
        <v>7000</v>
      </c>
      <c r="N2748" s="2847"/>
      <c r="O2748" s="86"/>
      <c r="P2748" s="1817" t="e">
        <f>INDEX(#REF!,MATCH(F2748,#REF!,0),2)</f>
        <v>#REF!</v>
      </c>
      <c r="Q2748" s="1779"/>
      <c r="R2748" s="1779"/>
      <c r="S2748" s="1779"/>
      <c r="T2748" s="1779"/>
      <c r="U2748" s="1779"/>
      <c r="V2748" s="1779"/>
      <c r="W2748" s="43"/>
      <c r="X2748" s="1779"/>
      <c r="Y2748" s="1779"/>
      <c r="Z2748" s="1779"/>
      <c r="AA2748" s="1779"/>
      <c r="AB2748" s="1779"/>
      <c r="AC2748" s="1779"/>
      <c r="AD2748" s="1779"/>
      <c r="AE2748" s="1779"/>
      <c r="AF2748" s="1779"/>
      <c r="AG2748" s="1779"/>
    </row>
    <row r="2749" spans="1:33" ht="20.45" customHeight="1">
      <c r="A2749" s="634"/>
      <c r="B2749" s="634" t="s">
        <v>512</v>
      </c>
      <c r="C2749" s="634" t="s">
        <v>506</v>
      </c>
      <c r="D2749" s="1597">
        <v>950</v>
      </c>
      <c r="E2749" s="2093" t="s">
        <v>1913</v>
      </c>
      <c r="F2749" s="635">
        <v>1147</v>
      </c>
      <c r="G2749" s="432" t="s">
        <v>568</v>
      </c>
      <c r="H2749" s="955">
        <v>136322</v>
      </c>
      <c r="I2749" s="642"/>
      <c r="J2749" s="628"/>
      <c r="K2749" s="629"/>
      <c r="L2749" s="2440">
        <v>136322</v>
      </c>
      <c r="M2749" s="642"/>
      <c r="N2749" s="2847"/>
      <c r="O2749" s="86"/>
      <c r="P2749" s="1817" t="e">
        <f>INDEX(#REF!,MATCH(F2749,#REF!,0),2)</f>
        <v>#REF!</v>
      </c>
      <c r="Q2749" s="1779"/>
      <c r="R2749" s="1779"/>
      <c r="S2749" s="1779"/>
      <c r="T2749" s="1779"/>
      <c r="U2749" s="1779"/>
      <c r="V2749" s="1779"/>
      <c r="W2749" s="43"/>
      <c r="X2749" s="1779"/>
      <c r="Y2749" s="1779"/>
      <c r="Z2749" s="1779"/>
      <c r="AA2749" s="1779"/>
      <c r="AB2749" s="1779"/>
      <c r="AC2749" s="1779"/>
      <c r="AD2749" s="1779"/>
      <c r="AE2749" s="1779"/>
      <c r="AF2749" s="1779"/>
      <c r="AG2749" s="1779"/>
    </row>
    <row r="2750" spans="1:33" ht="20.45" customHeight="1">
      <c r="A2750" s="454"/>
      <c r="B2750" s="424" t="s">
        <v>512</v>
      </c>
      <c r="C2750" s="424" t="s">
        <v>506</v>
      </c>
      <c r="D2750" s="1598"/>
      <c r="E2750" s="2104" t="s">
        <v>1913</v>
      </c>
      <c r="F2750" s="438">
        <v>1147</v>
      </c>
      <c r="G2750" s="426" t="s">
        <v>1785</v>
      </c>
      <c r="H2750" s="300"/>
      <c r="I2750" s="517">
        <v>6000</v>
      </c>
      <c r="J2750" s="1167"/>
      <c r="K2750" s="606"/>
      <c r="L2750" s="73"/>
      <c r="M2750" s="73">
        <v>6000</v>
      </c>
      <c r="N2750" s="2847"/>
      <c r="O2750" s="86"/>
      <c r="P2750" s="1817" t="e">
        <f>INDEX(#REF!,MATCH(F2750,#REF!,0),2)</f>
        <v>#REF!</v>
      </c>
      <c r="Q2750" s="1779"/>
      <c r="R2750" s="1779"/>
      <c r="S2750" s="1779"/>
      <c r="T2750" s="1779"/>
      <c r="U2750" s="1779"/>
      <c r="V2750" s="1779"/>
      <c r="W2750" s="43"/>
      <c r="X2750" s="1779"/>
      <c r="Y2750" s="1779"/>
      <c r="Z2750" s="1779"/>
      <c r="AA2750" s="1779"/>
      <c r="AB2750" s="1779"/>
      <c r="AC2750" s="1779"/>
      <c r="AD2750" s="1779"/>
      <c r="AE2750" s="1779"/>
      <c r="AF2750" s="1779"/>
      <c r="AG2750" s="1779"/>
    </row>
    <row r="2751" spans="1:33" ht="11.45" customHeight="1">
      <c r="A2751" s="454"/>
      <c r="B2751" s="424" t="s">
        <v>512</v>
      </c>
      <c r="C2751" s="424" t="s">
        <v>506</v>
      </c>
      <c r="D2751" s="1598"/>
      <c r="E2751" s="2104" t="s">
        <v>1913</v>
      </c>
      <c r="F2751" s="438">
        <v>1147</v>
      </c>
      <c r="G2751" s="426"/>
      <c r="H2751" s="956"/>
      <c r="I2751" s="235">
        <v>130322</v>
      </c>
      <c r="J2751" s="650"/>
      <c r="K2751" s="300"/>
      <c r="L2751" s="1505"/>
      <c r="M2751" s="2442">
        <v>130322</v>
      </c>
      <c r="N2751" s="2847"/>
      <c r="O2751" s="86"/>
      <c r="P2751" s="1817" t="e">
        <f>INDEX(#REF!,MATCH(F2751,#REF!,0),2)</f>
        <v>#REF!</v>
      </c>
      <c r="Q2751" s="43"/>
      <c r="R2751" s="43"/>
      <c r="S2751" s="43"/>
      <c r="T2751" s="43"/>
      <c r="U2751" s="43"/>
      <c r="V2751" s="43"/>
      <c r="W2751" s="43"/>
      <c r="X2751" s="43"/>
      <c r="Y2751" s="43"/>
      <c r="Z2751" s="43"/>
      <c r="AA2751" s="43"/>
      <c r="AB2751" s="43"/>
      <c r="AC2751" s="43"/>
      <c r="AD2751" s="43"/>
      <c r="AE2751" s="43"/>
      <c r="AF2751" s="43"/>
      <c r="AG2751" s="43"/>
    </row>
    <row r="2752" spans="1:33" ht="11.45" customHeight="1">
      <c r="A2752" s="634"/>
      <c r="B2752" s="634" t="s">
        <v>663</v>
      </c>
      <c r="C2752" s="634" t="s">
        <v>659</v>
      </c>
      <c r="D2752" s="1597">
        <v>950</v>
      </c>
      <c r="E2752" s="2093" t="s">
        <v>1912</v>
      </c>
      <c r="F2752" s="635">
        <v>1147</v>
      </c>
      <c r="G2752" s="432" t="s">
        <v>568</v>
      </c>
      <c r="H2752" s="641">
        <v>54649</v>
      </c>
      <c r="I2752" s="1683"/>
      <c r="J2752" s="628">
        <v>22173.55</v>
      </c>
      <c r="K2752" s="629"/>
      <c r="L2752" s="648">
        <v>55837.150399999999</v>
      </c>
      <c r="M2752" s="643"/>
      <c r="N2752" s="2847"/>
      <c r="O2752" s="86"/>
      <c r="P2752" s="1817" t="e">
        <f>INDEX(#REF!,MATCH(F2752,#REF!,0),2)</f>
        <v>#REF!</v>
      </c>
      <c r="Q2752" s="1779"/>
      <c r="R2752" s="1779"/>
      <c r="S2752" s="1779"/>
      <c r="T2752" s="1779"/>
      <c r="U2752" s="1779"/>
      <c r="V2752" s="1779"/>
      <c r="W2752" s="43"/>
      <c r="X2752" s="1779"/>
      <c r="Y2752" s="1779"/>
      <c r="Z2752" s="1779"/>
      <c r="AA2752" s="1779"/>
      <c r="AB2752" s="1779"/>
      <c r="AC2752" s="1779"/>
      <c r="AD2752" s="1779"/>
      <c r="AE2752" s="1779"/>
      <c r="AF2752" s="1779"/>
      <c r="AG2752" s="1779"/>
    </row>
    <row r="2753" spans="1:33" ht="11.45" customHeight="1">
      <c r="A2753" s="454"/>
      <c r="B2753" s="424" t="s">
        <v>663</v>
      </c>
      <c r="C2753" s="424" t="s">
        <v>659</v>
      </c>
      <c r="D2753" s="1598"/>
      <c r="E2753" s="2104" t="s">
        <v>1912</v>
      </c>
      <c r="F2753" s="438">
        <v>1147</v>
      </c>
      <c r="G2753" s="426" t="s">
        <v>663</v>
      </c>
      <c r="H2753" s="517"/>
      <c r="I2753" s="650">
        <v>58649.132000000005</v>
      </c>
      <c r="J2753" s="525"/>
      <c r="K2753" s="300"/>
      <c r="L2753" s="517"/>
      <c r="M2753" s="645">
        <v>55837.150399999999</v>
      </c>
      <c r="N2753" s="2847"/>
      <c r="O2753" s="86"/>
      <c r="P2753" s="1817" t="e">
        <f>INDEX(#REF!,MATCH(F2753,#REF!,0),2)</f>
        <v>#REF!</v>
      </c>
      <c r="Q2753" s="1779"/>
      <c r="R2753" s="1779"/>
      <c r="S2753" s="1779"/>
      <c r="T2753" s="1779"/>
      <c r="U2753" s="1779"/>
      <c r="V2753" s="1779"/>
      <c r="W2753" s="43"/>
      <c r="X2753" s="1779"/>
      <c r="Y2753" s="1779"/>
      <c r="Z2753" s="1779"/>
      <c r="AA2753" s="1779"/>
      <c r="AB2753" s="1779"/>
      <c r="AC2753" s="1779"/>
      <c r="AD2753" s="1779"/>
      <c r="AE2753" s="1779"/>
      <c r="AF2753" s="1779"/>
      <c r="AG2753" s="1779"/>
    </row>
    <row r="2754" spans="1:33" ht="11.45" customHeight="1">
      <c r="A2754" s="1410"/>
      <c r="B2754" s="424" t="s">
        <v>663</v>
      </c>
      <c r="C2754" s="424" t="s">
        <v>659</v>
      </c>
      <c r="D2754" s="1598"/>
      <c r="E2754" s="2104" t="s">
        <v>1912</v>
      </c>
      <c r="F2754" s="438">
        <v>1147</v>
      </c>
      <c r="G2754" s="1411" t="s">
        <v>1177</v>
      </c>
      <c r="H2754" s="1343"/>
      <c r="I2754" s="1459"/>
      <c r="J2754" s="1161"/>
      <c r="K2754" s="1365"/>
      <c r="L2754" s="1343"/>
      <c r="M2754" s="4078"/>
      <c r="N2754" s="2847"/>
      <c r="O2754" s="86"/>
      <c r="P2754" s="1817" t="e">
        <f>INDEX(#REF!,MATCH(F2754,#REF!,0),2)</f>
        <v>#REF!</v>
      </c>
      <c r="Q2754" s="43"/>
      <c r="R2754" s="43"/>
      <c r="S2754" s="43"/>
      <c r="T2754" s="43"/>
      <c r="U2754" s="43"/>
      <c r="V2754" s="43"/>
      <c r="W2754" s="43"/>
      <c r="X2754" s="43"/>
      <c r="Y2754" s="43"/>
      <c r="Z2754" s="43"/>
      <c r="AA2754" s="43"/>
      <c r="AB2754" s="43"/>
      <c r="AC2754" s="43"/>
      <c r="AD2754" s="43"/>
      <c r="AE2754" s="43"/>
      <c r="AF2754" s="43"/>
      <c r="AG2754" s="43"/>
    </row>
    <row r="2755" spans="1:33" ht="25.5" customHeight="1">
      <c r="A2755" s="634"/>
      <c r="B2755" s="634" t="s">
        <v>512</v>
      </c>
      <c r="C2755" s="634" t="s">
        <v>506</v>
      </c>
      <c r="D2755" s="1597">
        <v>950</v>
      </c>
      <c r="E2755" s="2093" t="s">
        <v>1913</v>
      </c>
      <c r="F2755" s="635">
        <v>1148</v>
      </c>
      <c r="G2755" s="432" t="s">
        <v>569</v>
      </c>
      <c r="H2755" s="953">
        <v>55200</v>
      </c>
      <c r="I2755" s="642"/>
      <c r="J2755" s="628"/>
      <c r="K2755" s="629"/>
      <c r="L2755" s="2440">
        <v>55200</v>
      </c>
      <c r="M2755" s="642"/>
      <c r="N2755" s="2847"/>
      <c r="O2755" s="86"/>
      <c r="P2755" s="1817" t="e">
        <f>INDEX(#REF!,MATCH(F2755,#REF!,0),2)</f>
        <v>#REF!</v>
      </c>
      <c r="Q2755" s="43"/>
      <c r="R2755" s="43"/>
      <c r="S2755" s="43"/>
      <c r="T2755" s="43"/>
      <c r="U2755" s="43"/>
      <c r="V2755" s="43"/>
      <c r="W2755" s="43"/>
      <c r="X2755" s="43"/>
      <c r="Y2755" s="43"/>
      <c r="Z2755" s="43"/>
      <c r="AA2755" s="43"/>
      <c r="AB2755" s="43"/>
      <c r="AC2755" s="43"/>
      <c r="AD2755" s="43"/>
      <c r="AE2755" s="43"/>
      <c r="AF2755" s="43"/>
      <c r="AG2755" s="43"/>
    </row>
    <row r="2756" spans="1:33" ht="11.45" customHeight="1">
      <c r="A2756" s="424"/>
      <c r="B2756" s="424" t="s">
        <v>512</v>
      </c>
      <c r="C2756" s="424" t="s">
        <v>506</v>
      </c>
      <c r="D2756" s="1598"/>
      <c r="E2756" s="2104" t="s">
        <v>1913</v>
      </c>
      <c r="F2756" s="438">
        <v>1148</v>
      </c>
      <c r="G2756" s="426"/>
      <c r="H2756" s="957"/>
      <c r="I2756" s="651">
        <v>55200</v>
      </c>
      <c r="J2756" s="650"/>
      <c r="K2756" s="629"/>
      <c r="L2756" s="1510"/>
      <c r="M2756" s="2448">
        <v>55200</v>
      </c>
      <c r="N2756" s="2847"/>
      <c r="O2756" s="86"/>
      <c r="P2756" s="1817" t="e">
        <f>INDEX(#REF!,MATCH(F2756,#REF!,0),2)</f>
        <v>#REF!</v>
      </c>
      <c r="Q2756" s="1779"/>
      <c r="R2756" s="1779"/>
      <c r="S2756" s="1779"/>
      <c r="T2756" s="1779"/>
      <c r="U2756" s="1779"/>
      <c r="V2756" s="1779"/>
      <c r="W2756" s="43"/>
      <c r="X2756" s="1779"/>
      <c r="Y2756" s="1779"/>
      <c r="Z2756" s="1779"/>
      <c r="AA2756" s="1779"/>
      <c r="AB2756" s="1779"/>
      <c r="AC2756" s="1779"/>
      <c r="AD2756" s="1779"/>
      <c r="AE2756" s="1779"/>
      <c r="AF2756" s="1779"/>
      <c r="AG2756" s="1779"/>
    </row>
    <row r="2757" spans="1:33" ht="11.45" customHeight="1">
      <c r="A2757" s="634"/>
      <c r="B2757" s="634" t="s">
        <v>663</v>
      </c>
      <c r="C2757" s="634" t="s">
        <v>659</v>
      </c>
      <c r="D2757" s="1597">
        <v>950</v>
      </c>
      <c r="E2757" s="2093" t="s">
        <v>1912</v>
      </c>
      <c r="F2757" s="635">
        <v>1148</v>
      </c>
      <c r="G2757" s="432" t="s">
        <v>569</v>
      </c>
      <c r="H2757" s="652">
        <v>5000</v>
      </c>
      <c r="I2757" s="1687"/>
      <c r="J2757" s="653">
        <v>2250</v>
      </c>
      <c r="K2757" s="654"/>
      <c r="L2757" s="652">
        <v>5000</v>
      </c>
      <c r="M2757" s="655"/>
      <c r="N2757" s="2847"/>
      <c r="O2757" s="86"/>
      <c r="P2757" s="1817" t="e">
        <f>INDEX(#REF!,MATCH(F2757,#REF!,0),2)</f>
        <v>#REF!</v>
      </c>
      <c r="Q2757" s="43"/>
      <c r="R2757" s="43"/>
      <c r="S2757" s="43"/>
      <c r="T2757" s="43"/>
      <c r="U2757" s="43"/>
      <c r="V2757" s="43"/>
      <c r="W2757" s="43"/>
      <c r="X2757" s="43"/>
      <c r="Y2757" s="43"/>
      <c r="Z2757" s="43"/>
      <c r="AA2757" s="43"/>
      <c r="AB2757" s="43"/>
      <c r="AC2757" s="43"/>
      <c r="AD2757" s="43"/>
      <c r="AE2757" s="43"/>
      <c r="AF2757" s="43"/>
      <c r="AG2757" s="43"/>
    </row>
    <row r="2758" spans="1:33" ht="11.45" customHeight="1">
      <c r="A2758" s="454"/>
      <c r="B2758" s="424" t="s">
        <v>663</v>
      </c>
      <c r="C2758" s="424" t="s">
        <v>659</v>
      </c>
      <c r="D2758" s="1598"/>
      <c r="E2758" s="2104" t="s">
        <v>1912</v>
      </c>
      <c r="F2758" s="438">
        <v>1148</v>
      </c>
      <c r="G2758" s="426" t="s">
        <v>663</v>
      </c>
      <c r="H2758" s="517"/>
      <c r="I2758" s="650">
        <v>5000</v>
      </c>
      <c r="J2758" s="525"/>
      <c r="K2758" s="300"/>
      <c r="L2758" s="517"/>
      <c r="M2758" s="645">
        <v>5000</v>
      </c>
      <c r="N2758" s="2847"/>
      <c r="O2758" s="86"/>
      <c r="P2758" s="1817" t="e">
        <f>INDEX(#REF!,MATCH(F2758,#REF!,0),2)</f>
        <v>#REF!</v>
      </c>
      <c r="Q2758" s="43"/>
      <c r="R2758" s="43"/>
      <c r="S2758" s="43"/>
      <c r="T2758" s="43"/>
      <c r="U2758" s="43"/>
      <c r="V2758" s="43"/>
      <c r="W2758" s="43"/>
      <c r="X2758" s="43"/>
      <c r="Y2758" s="43"/>
      <c r="Z2758" s="43"/>
      <c r="AA2758" s="43"/>
      <c r="AB2758" s="43"/>
      <c r="AC2758" s="43"/>
      <c r="AD2758" s="43"/>
      <c r="AE2758" s="43"/>
      <c r="AF2758" s="43"/>
      <c r="AG2758" s="43"/>
    </row>
    <row r="2759" spans="1:33" ht="33" customHeight="1">
      <c r="A2759" s="454"/>
      <c r="B2759" s="424" t="s">
        <v>663</v>
      </c>
      <c r="C2759" s="424" t="s">
        <v>659</v>
      </c>
      <c r="D2759" s="1598"/>
      <c r="E2759" s="2104" t="s">
        <v>1912</v>
      </c>
      <c r="F2759" s="438">
        <v>1148</v>
      </c>
      <c r="G2759" s="426" t="s">
        <v>2047</v>
      </c>
      <c r="H2759" s="517"/>
      <c r="I2759" s="650"/>
      <c r="J2759" s="525"/>
      <c r="K2759" s="300"/>
      <c r="L2759" s="517"/>
      <c r="M2759" s="645"/>
      <c r="N2759" s="2847"/>
      <c r="O2759" s="86"/>
      <c r="P2759" s="1817" t="e">
        <f>INDEX(#REF!,MATCH(F2759,#REF!,0),2)</f>
        <v>#REF!</v>
      </c>
      <c r="Q2759" s="1779"/>
      <c r="R2759" s="1779"/>
      <c r="S2759" s="1779"/>
      <c r="T2759" s="1779"/>
      <c r="U2759" s="1779"/>
      <c r="V2759" s="1779"/>
      <c r="W2759" s="43"/>
      <c r="X2759" s="1779"/>
      <c r="Y2759" s="1779"/>
      <c r="Z2759" s="1779"/>
      <c r="AA2759" s="1779"/>
      <c r="AB2759" s="1779"/>
      <c r="AC2759" s="1779"/>
      <c r="AD2759" s="1779"/>
      <c r="AE2759" s="1779"/>
      <c r="AF2759" s="1779"/>
      <c r="AG2759" s="1779"/>
    </row>
    <row r="2760" spans="1:33" ht="11.45" customHeight="1">
      <c r="A2760" s="634"/>
      <c r="B2760" s="634" t="s">
        <v>512</v>
      </c>
      <c r="C2760" s="634" t="s">
        <v>506</v>
      </c>
      <c r="D2760" s="1597">
        <v>950</v>
      </c>
      <c r="E2760" s="2093" t="s">
        <v>1913</v>
      </c>
      <c r="F2760" s="635">
        <v>1150</v>
      </c>
      <c r="G2760" s="432" t="s">
        <v>625</v>
      </c>
      <c r="H2760" s="955">
        <v>0</v>
      </c>
      <c r="I2760" s="656"/>
      <c r="J2760" s="653"/>
      <c r="K2760" s="654"/>
      <c r="L2760" s="1504">
        <v>0</v>
      </c>
      <c r="M2760" s="675"/>
      <c r="N2760" s="2847"/>
      <c r="O2760" s="86"/>
      <c r="P2760" s="1817" t="e">
        <f>INDEX(#REF!,MATCH(F2760,#REF!,0),2)</f>
        <v>#REF!</v>
      </c>
      <c r="Q2760" s="43"/>
      <c r="R2760" s="43"/>
      <c r="S2760" s="43"/>
      <c r="T2760" s="43"/>
      <c r="U2760" s="43"/>
      <c r="V2760" s="43"/>
      <c r="W2760" s="43"/>
      <c r="X2760" s="43"/>
      <c r="Y2760" s="43"/>
      <c r="Z2760" s="43"/>
      <c r="AA2760" s="43"/>
      <c r="AB2760" s="43"/>
      <c r="AC2760" s="43"/>
      <c r="AD2760" s="43"/>
      <c r="AE2760" s="43"/>
      <c r="AF2760" s="43"/>
      <c r="AG2760" s="43"/>
    </row>
    <row r="2761" spans="1:33" ht="11.45" customHeight="1">
      <c r="A2761" s="424"/>
      <c r="B2761" s="424" t="s">
        <v>512</v>
      </c>
      <c r="C2761" s="424" t="s">
        <v>506</v>
      </c>
      <c r="D2761" s="1598"/>
      <c r="E2761" s="2104" t="s">
        <v>1913</v>
      </c>
      <c r="F2761" s="438">
        <v>1150</v>
      </c>
      <c r="G2761" s="640"/>
      <c r="H2761" s="957"/>
      <c r="I2761" s="657"/>
      <c r="J2761" s="650"/>
      <c r="K2761" s="64"/>
      <c r="L2761" s="1510"/>
      <c r="M2761" s="1510"/>
      <c r="N2761" s="2847"/>
      <c r="O2761" s="86"/>
      <c r="P2761" s="1817" t="e">
        <f>INDEX(#REF!,MATCH(F2761,#REF!,0),2)</f>
        <v>#REF!</v>
      </c>
      <c r="Q2761" s="43"/>
      <c r="R2761" s="43"/>
      <c r="S2761" s="43"/>
      <c r="T2761" s="43"/>
      <c r="U2761" s="43"/>
      <c r="V2761" s="43"/>
      <c r="W2761" s="43"/>
      <c r="X2761" s="43"/>
      <c r="Y2761" s="43"/>
      <c r="Z2761" s="43"/>
      <c r="AA2761" s="43"/>
      <c r="AB2761" s="43"/>
      <c r="AC2761" s="43"/>
      <c r="AD2761" s="43"/>
      <c r="AE2761" s="43"/>
      <c r="AF2761" s="43"/>
      <c r="AG2761" s="43"/>
    </row>
    <row r="2762" spans="1:33" ht="11.45" customHeight="1">
      <c r="A2762" s="634"/>
      <c r="B2762" s="634" t="s">
        <v>1248</v>
      </c>
      <c r="C2762" s="634" t="s">
        <v>505</v>
      </c>
      <c r="D2762" s="1597">
        <v>950</v>
      </c>
      <c r="E2762" s="2093" t="s">
        <v>1912</v>
      </c>
      <c r="F2762" s="635">
        <v>1150</v>
      </c>
      <c r="G2762" s="432" t="s">
        <v>625</v>
      </c>
      <c r="H2762" s="652">
        <v>2000</v>
      </c>
      <c r="I2762" s="1691"/>
      <c r="J2762" s="653">
        <v>1481.68</v>
      </c>
      <c r="K2762" s="654"/>
      <c r="L2762" s="652">
        <v>0</v>
      </c>
      <c r="M2762" s="655"/>
      <c r="N2762" s="2847"/>
      <c r="O2762" s="86"/>
      <c r="P2762" s="1817" t="e">
        <f>INDEX(#REF!,MATCH(F2762,#REF!,0),2)</f>
        <v>#REF!</v>
      </c>
      <c r="Q2762" s="43"/>
      <c r="R2762" s="43"/>
      <c r="S2762" s="43"/>
      <c r="T2762" s="43"/>
      <c r="U2762" s="43"/>
      <c r="V2762" s="43"/>
      <c r="W2762" s="43"/>
      <c r="X2762" s="43"/>
      <c r="Y2762" s="43"/>
      <c r="Z2762" s="43"/>
      <c r="AA2762" s="43"/>
      <c r="AB2762" s="43"/>
      <c r="AC2762" s="43"/>
      <c r="AD2762" s="43"/>
      <c r="AE2762" s="43"/>
      <c r="AF2762" s="43"/>
      <c r="AG2762" s="43"/>
    </row>
    <row r="2763" spans="1:33" ht="11.45" customHeight="1">
      <c r="A2763" s="424"/>
      <c r="B2763" s="424" t="s">
        <v>1248</v>
      </c>
      <c r="C2763" s="424" t="s">
        <v>505</v>
      </c>
      <c r="D2763" s="1598"/>
      <c r="E2763" s="2104" t="s">
        <v>1912</v>
      </c>
      <c r="F2763" s="438">
        <v>1150</v>
      </c>
      <c r="G2763" s="640" t="s">
        <v>1038</v>
      </c>
      <c r="H2763" s="651"/>
      <c r="I2763" s="1692">
        <v>2000</v>
      </c>
      <c r="J2763" s="650"/>
      <c r="K2763" s="64"/>
      <c r="L2763" s="651"/>
      <c r="M2763" s="645"/>
      <c r="N2763" s="2847"/>
      <c r="O2763" s="86"/>
      <c r="P2763" s="1817" t="e">
        <f>INDEX(#REF!,MATCH(F2763,#REF!,0),2)</f>
        <v>#REF!</v>
      </c>
      <c r="Q2763" s="1779"/>
      <c r="R2763" s="1779"/>
      <c r="S2763" s="1779"/>
      <c r="T2763" s="1779"/>
      <c r="U2763" s="1779"/>
      <c r="V2763" s="1779"/>
      <c r="W2763" s="43"/>
      <c r="X2763" s="1779"/>
      <c r="Y2763" s="1779"/>
      <c r="Z2763" s="1779"/>
      <c r="AA2763" s="1779"/>
      <c r="AB2763" s="1779"/>
      <c r="AC2763" s="1779"/>
      <c r="AD2763" s="1779"/>
      <c r="AE2763" s="1779"/>
      <c r="AF2763" s="1779"/>
      <c r="AG2763" s="1779"/>
    </row>
    <row r="2764" spans="1:33" ht="11.45" customHeight="1">
      <c r="A2764" s="634"/>
      <c r="B2764" s="634" t="s">
        <v>566</v>
      </c>
      <c r="C2764" s="634" t="s">
        <v>1296</v>
      </c>
      <c r="D2764" s="1597">
        <v>950</v>
      </c>
      <c r="E2764" s="2093" t="s">
        <v>2035</v>
      </c>
      <c r="F2764" s="635">
        <v>1210</v>
      </c>
      <c r="G2764" s="658" t="s">
        <v>432</v>
      </c>
      <c r="H2764" s="955">
        <v>696</v>
      </c>
      <c r="I2764" s="642"/>
      <c r="J2764" s="628"/>
      <c r="K2764" s="629"/>
      <c r="L2764" s="1504">
        <v>0</v>
      </c>
      <c r="M2764" s="1507"/>
      <c r="N2764" s="2847"/>
      <c r="O2764" s="86"/>
      <c r="P2764" s="1817" t="e">
        <f>INDEX(#REF!,MATCH(F2764,#REF!,0),2)</f>
        <v>#REF!</v>
      </c>
      <c r="Q2764" s="1779"/>
      <c r="R2764" s="1779"/>
      <c r="S2764" s="1779"/>
      <c r="T2764" s="1779"/>
      <c r="U2764" s="1779"/>
      <c r="V2764" s="1779"/>
      <c r="W2764" s="43"/>
      <c r="X2764" s="1779"/>
      <c r="Y2764" s="1779"/>
      <c r="Z2764" s="1779"/>
      <c r="AA2764" s="1779"/>
      <c r="AB2764" s="1779"/>
      <c r="AC2764" s="1779"/>
      <c r="AD2764" s="1779"/>
      <c r="AE2764" s="1779"/>
      <c r="AF2764" s="1779"/>
      <c r="AG2764" s="1779"/>
    </row>
    <row r="2765" spans="1:33" ht="20.45" customHeight="1">
      <c r="A2765" s="424"/>
      <c r="B2765" s="424" t="s">
        <v>566</v>
      </c>
      <c r="C2765" s="424" t="s">
        <v>1296</v>
      </c>
      <c r="D2765" s="1598"/>
      <c r="E2765" s="2104" t="s">
        <v>2035</v>
      </c>
      <c r="F2765" s="438">
        <v>1210</v>
      </c>
      <c r="G2765" s="434" t="s">
        <v>1037</v>
      </c>
      <c r="H2765" s="957"/>
      <c r="I2765" s="644">
        <v>696</v>
      </c>
      <c r="J2765" s="644">
        <v>696</v>
      </c>
      <c r="K2765" s="64"/>
      <c r="L2765" s="1510"/>
      <c r="M2765" s="1508"/>
      <c r="N2765" s="2847"/>
      <c r="O2765" s="86"/>
      <c r="P2765" s="1817" t="e">
        <f>INDEX(#REF!,MATCH(F2765,#REF!,0),2)</f>
        <v>#REF!</v>
      </c>
      <c r="Q2765" s="43"/>
      <c r="R2765" s="43"/>
      <c r="S2765" s="43"/>
      <c r="T2765" s="43"/>
      <c r="U2765" s="43"/>
      <c r="V2765" s="43"/>
      <c r="W2765" s="43"/>
      <c r="X2765" s="43"/>
      <c r="Y2765" s="43"/>
      <c r="Z2765" s="43"/>
      <c r="AA2765" s="43"/>
      <c r="AB2765" s="43"/>
      <c r="AC2765" s="43"/>
      <c r="AD2765" s="43"/>
      <c r="AE2765" s="43"/>
      <c r="AF2765" s="43"/>
      <c r="AG2765" s="43"/>
    </row>
    <row r="2766" spans="1:33" ht="19.899999999999999" customHeight="1">
      <c r="A2766" s="634"/>
      <c r="B2766" s="634" t="s">
        <v>663</v>
      </c>
      <c r="C2766" s="634" t="s">
        <v>659</v>
      </c>
      <c r="D2766" s="1597">
        <v>950</v>
      </c>
      <c r="E2766" s="2093" t="s">
        <v>1912</v>
      </c>
      <c r="F2766" s="635">
        <v>1210</v>
      </c>
      <c r="G2766" s="658" t="s">
        <v>432</v>
      </c>
      <c r="H2766" s="659">
        <v>128058</v>
      </c>
      <c r="I2766" s="1683"/>
      <c r="J2766" s="628">
        <v>93590.94</v>
      </c>
      <c r="K2766" s="629"/>
      <c r="L2766" s="641">
        <v>123715.18201039209</v>
      </c>
      <c r="M2766" s="643"/>
      <c r="N2766" s="2847"/>
      <c r="O2766" s="86"/>
      <c r="P2766" s="1817" t="e">
        <f>INDEX(#REF!,MATCH(F2766,#REF!,0),2)</f>
        <v>#REF!</v>
      </c>
      <c r="Q2766" s="43"/>
      <c r="R2766" s="43"/>
      <c r="S2766" s="43"/>
      <c r="T2766" s="43"/>
      <c r="U2766" s="43"/>
      <c r="V2766" s="43"/>
      <c r="W2766" s="43"/>
      <c r="X2766" s="43"/>
      <c r="Y2766" s="43"/>
      <c r="Z2766" s="43"/>
      <c r="AA2766" s="43"/>
      <c r="AB2766" s="43"/>
      <c r="AC2766" s="43"/>
      <c r="AD2766" s="43"/>
      <c r="AE2766" s="43"/>
      <c r="AF2766" s="43"/>
      <c r="AG2766" s="43"/>
    </row>
    <row r="2767" spans="1:33" ht="20.45" customHeight="1">
      <c r="A2767" s="454"/>
      <c r="B2767" s="424" t="s">
        <v>663</v>
      </c>
      <c r="C2767" s="424" t="s">
        <v>659</v>
      </c>
      <c r="D2767" s="1598"/>
      <c r="E2767" s="2104" t="s">
        <v>1912</v>
      </c>
      <c r="F2767" s="438">
        <v>1210</v>
      </c>
      <c r="G2767" s="426" t="s">
        <v>663</v>
      </c>
      <c r="H2767" s="517"/>
      <c r="I2767" s="650">
        <v>128058</v>
      </c>
      <c r="J2767" s="525"/>
      <c r="K2767" s="300"/>
      <c r="L2767" s="517"/>
      <c r="M2767" s="645">
        <v>123715.18201039209</v>
      </c>
      <c r="N2767" s="2847"/>
      <c r="O2767" s="86"/>
      <c r="P2767" s="1817" t="e">
        <f>INDEX(#REF!,MATCH(F2767,#REF!,0),2)</f>
        <v>#REF!</v>
      </c>
      <c r="Q2767" s="43"/>
      <c r="R2767" s="43"/>
      <c r="S2767" s="43"/>
      <c r="T2767" s="43"/>
      <c r="U2767" s="43"/>
      <c r="V2767" s="43"/>
      <c r="W2767" s="43"/>
      <c r="X2767" s="43"/>
      <c r="Y2767" s="43"/>
      <c r="Z2767" s="43"/>
      <c r="AA2767" s="43"/>
      <c r="AB2767" s="43"/>
      <c r="AC2767" s="43"/>
      <c r="AD2767" s="43"/>
      <c r="AE2767" s="43"/>
      <c r="AF2767" s="43"/>
      <c r="AG2767" s="43"/>
    </row>
    <row r="2768" spans="1:33" ht="33.75" customHeight="1">
      <c r="A2768" s="1339"/>
      <c r="B2768" s="424" t="s">
        <v>663</v>
      </c>
      <c r="C2768" s="424" t="s">
        <v>659</v>
      </c>
      <c r="D2768" s="1598"/>
      <c r="E2768" s="2104" t="s">
        <v>1912</v>
      </c>
      <c r="F2768" s="438">
        <v>1210</v>
      </c>
      <c r="G2768" s="1366" t="s">
        <v>1868</v>
      </c>
      <c r="H2768" s="1343"/>
      <c r="I2768" s="1459"/>
      <c r="J2768" s="1367"/>
      <c r="K2768" s="1365"/>
      <c r="L2768" s="1343"/>
      <c r="M2768" s="4078"/>
      <c r="N2768" s="2847"/>
      <c r="O2768" s="86"/>
      <c r="P2768" s="1817" t="e">
        <f>INDEX(#REF!,MATCH(F2768,#REF!,0),2)</f>
        <v>#REF!</v>
      </c>
      <c r="Q2768" s="43"/>
      <c r="R2768" s="43"/>
      <c r="S2768" s="43"/>
      <c r="T2768" s="43"/>
      <c r="U2768" s="43"/>
      <c r="V2768" s="43"/>
      <c r="W2768" s="43"/>
      <c r="X2768" s="43"/>
      <c r="Y2768" s="43"/>
      <c r="Z2768" s="43"/>
      <c r="AA2768" s="43"/>
      <c r="AB2768" s="43"/>
      <c r="AC2768" s="43"/>
      <c r="AD2768" s="43"/>
      <c r="AE2768" s="43"/>
      <c r="AF2768" s="43"/>
      <c r="AG2768" s="43"/>
    </row>
    <row r="2769" spans="1:33" ht="20.45" customHeight="1">
      <c r="A2769" s="634"/>
      <c r="B2769" s="634" t="s">
        <v>512</v>
      </c>
      <c r="C2769" s="634" t="s">
        <v>506</v>
      </c>
      <c r="D2769" s="1597">
        <v>950</v>
      </c>
      <c r="E2769" s="2093" t="s">
        <v>1913</v>
      </c>
      <c r="F2769" s="635">
        <v>1210</v>
      </c>
      <c r="G2769" s="658" t="s">
        <v>336</v>
      </c>
      <c r="H2769" s="953">
        <v>619509.00052593253</v>
      </c>
      <c r="I2769" s="642"/>
      <c r="J2769" s="660"/>
      <c r="K2769" s="402"/>
      <c r="L2769" s="2440">
        <v>619509.00052593253</v>
      </c>
      <c r="M2769" s="642"/>
      <c r="N2769" s="2847"/>
      <c r="O2769" s="86"/>
      <c r="P2769" s="1817" t="e">
        <f>INDEX(#REF!,MATCH(F2769,#REF!,0),2)</f>
        <v>#REF!</v>
      </c>
      <c r="Q2769" s="43"/>
      <c r="R2769" s="43"/>
      <c r="S2769" s="43"/>
      <c r="T2769" s="43"/>
      <c r="U2769" s="43"/>
      <c r="V2769" s="43"/>
      <c r="W2769" s="43"/>
      <c r="X2769" s="43"/>
      <c r="Y2769" s="43"/>
      <c r="Z2769" s="43"/>
      <c r="AA2769" s="43"/>
      <c r="AB2769" s="43"/>
      <c r="AC2769" s="43"/>
      <c r="AD2769" s="43"/>
      <c r="AE2769" s="43"/>
      <c r="AF2769" s="43"/>
      <c r="AG2769" s="43"/>
    </row>
    <row r="2770" spans="1:33" s="2103" customFormat="1" ht="40.9" customHeight="1">
      <c r="A2770" s="454"/>
      <c r="B2770" s="424" t="s">
        <v>512</v>
      </c>
      <c r="C2770" s="424" t="s">
        <v>506</v>
      </c>
      <c r="D2770" s="1598"/>
      <c r="E2770" s="2104" t="s">
        <v>1913</v>
      </c>
      <c r="F2770" s="438">
        <v>1210</v>
      </c>
      <c r="G2770" s="1269" t="s">
        <v>1763</v>
      </c>
      <c r="H2770" s="954"/>
      <c r="I2770" s="235">
        <v>12563.000525932519</v>
      </c>
      <c r="J2770" s="401"/>
      <c r="K2770" s="402"/>
      <c r="L2770" s="1505"/>
      <c r="M2770" s="2442">
        <v>12563.000525932519</v>
      </c>
      <c r="N2770" s="2847"/>
      <c r="O2770" s="86"/>
      <c r="P2770" s="1817" t="e">
        <f>INDEX(#REF!,MATCH(F2770,#REF!,0),2)</f>
        <v>#REF!</v>
      </c>
      <c r="Q2770" s="2102"/>
      <c r="R2770" s="2102"/>
      <c r="S2770" s="2102"/>
      <c r="T2770" s="2102"/>
      <c r="U2770" s="2102"/>
      <c r="V2770" s="2102"/>
      <c r="W2770" s="2102"/>
      <c r="X2770" s="2102"/>
      <c r="Y2770" s="2102"/>
      <c r="Z2770" s="2102"/>
      <c r="AA2770" s="2102"/>
      <c r="AB2770" s="2102"/>
      <c r="AC2770" s="2102"/>
      <c r="AD2770" s="2102"/>
      <c r="AE2770" s="2102"/>
      <c r="AF2770" s="2102"/>
      <c r="AG2770" s="2102"/>
    </row>
    <row r="2771" spans="1:33" s="2103" customFormat="1" ht="11.45" customHeight="1">
      <c r="A2771" s="424"/>
      <c r="B2771" s="424" t="s">
        <v>512</v>
      </c>
      <c r="C2771" s="424" t="s">
        <v>506</v>
      </c>
      <c r="D2771" s="1598"/>
      <c r="E2771" s="2104" t="s">
        <v>1913</v>
      </c>
      <c r="F2771" s="438">
        <v>1210</v>
      </c>
      <c r="G2771" s="426" t="s">
        <v>1216</v>
      </c>
      <c r="H2771" s="957"/>
      <c r="I2771" s="661">
        <v>606946</v>
      </c>
      <c r="J2771" s="650"/>
      <c r="K2771" s="402"/>
      <c r="L2771" s="1510"/>
      <c r="M2771" s="750">
        <v>606946</v>
      </c>
      <c r="N2771" s="2847"/>
      <c r="O2771" s="86"/>
      <c r="P2771" s="1817" t="e">
        <f>INDEX(#REF!,MATCH(F2771,#REF!,0),2)</f>
        <v>#REF!</v>
      </c>
      <c r="Q2771" s="2102"/>
      <c r="R2771" s="2102"/>
      <c r="S2771" s="2102"/>
      <c r="T2771" s="2102"/>
      <c r="U2771" s="2102"/>
      <c r="V2771" s="2102"/>
      <c r="W2771" s="2102"/>
      <c r="X2771" s="2102"/>
      <c r="Y2771" s="2102"/>
      <c r="Z2771" s="2102"/>
      <c r="AA2771" s="2102"/>
      <c r="AB2771" s="2102"/>
      <c r="AC2771" s="2102"/>
      <c r="AD2771" s="2102"/>
      <c r="AE2771" s="2102"/>
      <c r="AF2771" s="2102"/>
      <c r="AG2771" s="2102"/>
    </row>
    <row r="2772" spans="1:33" s="2103" customFormat="1" ht="11.45" customHeight="1">
      <c r="A2772" s="1465"/>
      <c r="B2772" s="424" t="s">
        <v>512</v>
      </c>
      <c r="C2772" s="424" t="s">
        <v>506</v>
      </c>
      <c r="D2772" s="1598"/>
      <c r="E2772" s="2104" t="s">
        <v>1913</v>
      </c>
      <c r="F2772" s="438">
        <v>1210</v>
      </c>
      <c r="G2772" s="1466" t="s">
        <v>2054</v>
      </c>
      <c r="H2772" s="1475"/>
      <c r="I2772" s="1476"/>
      <c r="J2772" s="1477"/>
      <c r="K2772" s="1342"/>
      <c r="L2772" s="1511"/>
      <c r="M2772" s="1512"/>
      <c r="N2772" s="2847"/>
      <c r="O2772" s="2101"/>
      <c r="P2772" s="1817" t="e">
        <f>INDEX(#REF!,MATCH(F2772,#REF!,0),2)</f>
        <v>#REF!</v>
      </c>
      <c r="Q2772" s="2102"/>
      <c r="R2772" s="2102"/>
      <c r="S2772" s="2102"/>
      <c r="T2772" s="2102"/>
      <c r="U2772" s="2102"/>
      <c r="V2772" s="2102"/>
      <c r="W2772" s="2102"/>
      <c r="X2772" s="2102"/>
      <c r="Y2772" s="2102"/>
      <c r="Z2772" s="2102"/>
      <c r="AA2772" s="2102"/>
      <c r="AB2772" s="2102"/>
      <c r="AC2772" s="2102"/>
      <c r="AD2772" s="2102"/>
      <c r="AE2772" s="2102"/>
      <c r="AF2772" s="2102"/>
      <c r="AG2772" s="2102"/>
    </row>
    <row r="2773" spans="1:33" s="2103" customFormat="1" ht="33.75" customHeight="1">
      <c r="A2773" s="1370"/>
      <c r="B2773" s="424" t="s">
        <v>512</v>
      </c>
      <c r="C2773" s="424" t="s">
        <v>506</v>
      </c>
      <c r="D2773" s="1598"/>
      <c r="E2773" s="2104" t="s">
        <v>1913</v>
      </c>
      <c r="F2773" s="438">
        <v>1210</v>
      </c>
      <c r="G2773" s="1454"/>
      <c r="H2773" s="1457"/>
      <c r="I2773" s="1458"/>
      <c r="J2773" s="1459"/>
      <c r="K2773" s="1342"/>
      <c r="L2773" s="1513"/>
      <c r="M2773" s="1321"/>
      <c r="N2773" s="2847"/>
      <c r="O2773" s="2101"/>
      <c r="P2773" s="1817" t="e">
        <f>INDEX(#REF!,MATCH(F2773,#REF!,0),2)</f>
        <v>#REF!</v>
      </c>
      <c r="Q2773" s="2102"/>
      <c r="R2773" s="2102"/>
      <c r="S2773" s="2102"/>
      <c r="T2773" s="2102"/>
      <c r="U2773" s="2102"/>
      <c r="V2773" s="2102"/>
      <c r="W2773" s="2102"/>
      <c r="X2773" s="2102"/>
      <c r="Y2773" s="2102"/>
      <c r="Z2773" s="2102"/>
      <c r="AA2773" s="2102"/>
      <c r="AB2773" s="2102"/>
      <c r="AC2773" s="2102"/>
      <c r="AD2773" s="2102"/>
      <c r="AE2773" s="2102"/>
      <c r="AF2773" s="2102"/>
      <c r="AG2773" s="2102"/>
    </row>
    <row r="2774" spans="1:33" s="2103" customFormat="1" ht="33.75" customHeight="1">
      <c r="A2774" s="2093"/>
      <c r="B2774" s="2093" t="s">
        <v>512</v>
      </c>
      <c r="C2774" s="2093" t="s">
        <v>506</v>
      </c>
      <c r="D2774" s="2094">
        <v>950</v>
      </c>
      <c r="E2774" s="2093" t="s">
        <v>1913</v>
      </c>
      <c r="F2774" s="2095">
        <v>1210</v>
      </c>
      <c r="G2774" s="2096" t="s">
        <v>433</v>
      </c>
      <c r="H2774" s="2097">
        <v>24823.995128246621</v>
      </c>
      <c r="I2774" s="2098"/>
      <c r="J2774" s="2099"/>
      <c r="K2774" s="2100"/>
      <c r="L2774" s="2450">
        <v>24823.995128246621</v>
      </c>
      <c r="M2774" s="2450"/>
      <c r="N2774" s="2847"/>
      <c r="O2774" s="2101"/>
      <c r="P2774" s="1817" t="e">
        <f>INDEX(#REF!,MATCH(F2774,#REF!,0),2)</f>
        <v>#REF!</v>
      </c>
      <c r="Q2774" s="2102"/>
      <c r="R2774" s="2102"/>
      <c r="S2774" s="2102"/>
      <c r="T2774" s="2102"/>
      <c r="U2774" s="2102"/>
      <c r="V2774" s="2102"/>
      <c r="W2774" s="2102"/>
      <c r="X2774" s="2102"/>
      <c r="Y2774" s="2102"/>
      <c r="Z2774" s="2102"/>
      <c r="AA2774" s="2102"/>
      <c r="AB2774" s="2102"/>
      <c r="AC2774" s="2102"/>
      <c r="AD2774" s="2102"/>
      <c r="AE2774" s="2102"/>
      <c r="AF2774" s="2102"/>
      <c r="AG2774" s="2102"/>
    </row>
    <row r="2775" spans="1:33" ht="11.45" customHeight="1">
      <c r="A2775" s="2104"/>
      <c r="B2775" s="2104" t="s">
        <v>512</v>
      </c>
      <c r="C2775" s="2104" t="s">
        <v>506</v>
      </c>
      <c r="D2775" s="2105"/>
      <c r="E2775" s="2104" t="s">
        <v>1913</v>
      </c>
      <c r="F2775" s="2106">
        <v>1210</v>
      </c>
      <c r="G2775" s="2107" t="s">
        <v>3061</v>
      </c>
      <c r="H2775" s="2108"/>
      <c r="I2775" s="2108"/>
      <c r="J2775" s="2109"/>
      <c r="K2775" s="2110"/>
      <c r="L2775" s="2451"/>
      <c r="M2775" s="2452"/>
      <c r="N2775" s="2847"/>
      <c r="O2775" s="2101"/>
      <c r="P2775" s="1817" t="e">
        <f>INDEX(#REF!,MATCH(F2775,#REF!,0),2)</f>
        <v>#REF!</v>
      </c>
      <c r="Q2775" s="43"/>
      <c r="R2775" s="43"/>
      <c r="S2775" s="43"/>
      <c r="T2775" s="43"/>
      <c r="U2775" s="43"/>
      <c r="V2775" s="43"/>
      <c r="W2775" s="43"/>
      <c r="X2775" s="43"/>
      <c r="Y2775" s="43"/>
      <c r="Z2775" s="43"/>
      <c r="AA2775" s="43"/>
      <c r="AB2775" s="43"/>
      <c r="AC2775" s="43"/>
      <c r="AD2775" s="43"/>
      <c r="AE2775" s="43"/>
      <c r="AF2775" s="43"/>
      <c r="AG2775" s="43"/>
    </row>
    <row r="2776" spans="1:33" ht="11.45" customHeight="1">
      <c r="A2776" s="2104"/>
      <c r="B2776" s="2104" t="s">
        <v>512</v>
      </c>
      <c r="C2776" s="2104" t="s">
        <v>506</v>
      </c>
      <c r="D2776" s="2105"/>
      <c r="E2776" s="2104" t="s">
        <v>1913</v>
      </c>
      <c r="F2776" s="2106">
        <v>1210</v>
      </c>
      <c r="G2776" s="2107" t="s">
        <v>1216</v>
      </c>
      <c r="H2776" s="2108"/>
      <c r="I2776" s="2108">
        <v>24823.995128246621</v>
      </c>
      <c r="J2776" s="2109"/>
      <c r="K2776" s="2110"/>
      <c r="L2776" s="2451"/>
      <c r="M2776" s="2452">
        <v>24823.995128246621</v>
      </c>
      <c r="N2776" s="2847"/>
      <c r="O2776" s="2101"/>
      <c r="P2776" s="1817" t="e">
        <f>INDEX(#REF!,MATCH(F2776,#REF!,0),2)</f>
        <v>#REF!</v>
      </c>
      <c r="Q2776" s="43"/>
      <c r="R2776" s="43"/>
      <c r="S2776" s="43"/>
      <c r="T2776" s="43"/>
      <c r="U2776" s="43"/>
      <c r="V2776" s="43"/>
      <c r="W2776" s="43"/>
      <c r="X2776" s="43"/>
      <c r="Y2776" s="43"/>
      <c r="Z2776" s="43"/>
      <c r="AA2776" s="43"/>
      <c r="AB2776" s="43"/>
      <c r="AC2776" s="43"/>
      <c r="AD2776" s="43"/>
      <c r="AE2776" s="43"/>
      <c r="AF2776" s="43"/>
      <c r="AG2776" s="43"/>
    </row>
    <row r="2777" spans="1:33" ht="10.5" customHeight="1">
      <c r="A2777" s="2104"/>
      <c r="B2777" s="2104" t="s">
        <v>512</v>
      </c>
      <c r="C2777" s="2104" t="s">
        <v>506</v>
      </c>
      <c r="D2777" s="2105"/>
      <c r="E2777" s="2104" t="s">
        <v>1913</v>
      </c>
      <c r="F2777" s="2106">
        <v>1210</v>
      </c>
      <c r="G2777" s="2107" t="s">
        <v>2055</v>
      </c>
      <c r="H2777" s="2111"/>
      <c r="I2777" s="2108"/>
      <c r="J2777" s="2112"/>
      <c r="K2777" s="2110"/>
      <c r="L2777" s="2453"/>
      <c r="M2777" s="2451"/>
      <c r="N2777" s="2847"/>
      <c r="O2777" s="86"/>
      <c r="P2777" s="1817" t="e">
        <f>INDEX(#REF!,MATCH(F2777,#REF!,0),2)</f>
        <v>#REF!</v>
      </c>
      <c r="Q2777" s="43"/>
      <c r="R2777" s="43"/>
      <c r="S2777" s="43"/>
      <c r="T2777" s="43"/>
      <c r="U2777" s="43"/>
      <c r="V2777" s="43"/>
      <c r="W2777" s="43"/>
      <c r="X2777" s="43"/>
      <c r="Y2777" s="43"/>
      <c r="Z2777" s="43"/>
      <c r="AA2777" s="43"/>
      <c r="AB2777" s="43"/>
      <c r="AC2777" s="43"/>
      <c r="AD2777" s="43"/>
      <c r="AE2777" s="43"/>
      <c r="AF2777" s="43"/>
      <c r="AG2777" s="43"/>
    </row>
    <row r="2778" spans="1:33" ht="17.45" customHeight="1">
      <c r="A2778" s="2104"/>
      <c r="B2778" s="2104" t="s">
        <v>512</v>
      </c>
      <c r="C2778" s="2104" t="s">
        <v>506</v>
      </c>
      <c r="D2778" s="2105"/>
      <c r="E2778" s="2104" t="s">
        <v>1913</v>
      </c>
      <c r="F2778" s="2106">
        <v>1210</v>
      </c>
      <c r="G2778" s="2107" t="s">
        <v>2056</v>
      </c>
      <c r="H2778" s="2111"/>
      <c r="I2778" s="2108"/>
      <c r="J2778" s="2112"/>
      <c r="K2778" s="2110"/>
      <c r="L2778" s="2453"/>
      <c r="M2778" s="2451"/>
      <c r="N2778" s="2847"/>
      <c r="O2778" s="86"/>
      <c r="P2778" s="1817" t="e">
        <f>INDEX(#REF!,MATCH(F2778,#REF!,0),2)</f>
        <v>#REF!</v>
      </c>
      <c r="Q2778" s="43"/>
      <c r="R2778" s="43"/>
      <c r="S2778" s="43"/>
      <c r="T2778" s="43"/>
      <c r="U2778" s="43"/>
      <c r="V2778" s="43"/>
      <c r="W2778" s="43"/>
      <c r="X2778" s="43"/>
      <c r="Y2778" s="43"/>
      <c r="Z2778" s="43"/>
      <c r="AA2778" s="43"/>
      <c r="AB2778" s="43"/>
      <c r="AC2778" s="43"/>
      <c r="AD2778" s="43"/>
      <c r="AE2778" s="43"/>
      <c r="AF2778" s="43"/>
      <c r="AG2778" s="43"/>
    </row>
    <row r="2779" spans="1:33" ht="11.45" customHeight="1">
      <c r="A2779" s="634"/>
      <c r="B2779" s="634" t="s">
        <v>663</v>
      </c>
      <c r="C2779" s="634" t="s">
        <v>659</v>
      </c>
      <c r="D2779" s="1597">
        <v>950</v>
      </c>
      <c r="E2779" s="2093" t="s">
        <v>1912</v>
      </c>
      <c r="F2779" s="635">
        <v>1221</v>
      </c>
      <c r="G2779" s="658" t="s">
        <v>434</v>
      </c>
      <c r="H2779" s="662">
        <v>27828.1404966025</v>
      </c>
      <c r="I2779" s="1683"/>
      <c r="J2779" s="628">
        <v>26434.77</v>
      </c>
      <c r="K2779" s="629"/>
      <c r="L2779" s="648">
        <v>26359.485368968006</v>
      </c>
      <c r="M2779" s="643"/>
      <c r="N2779" s="2847"/>
      <c r="O2779" s="86"/>
      <c r="P2779" s="1817" t="e">
        <f>INDEX(#REF!,MATCH(F2779,#REF!,0),2)</f>
        <v>#REF!</v>
      </c>
      <c r="Q2779" s="43"/>
      <c r="R2779" s="43"/>
      <c r="S2779" s="43"/>
      <c r="T2779" s="43"/>
      <c r="U2779" s="43"/>
      <c r="V2779" s="43"/>
      <c r="W2779" s="43"/>
      <c r="X2779" s="43"/>
      <c r="Y2779" s="43"/>
      <c r="Z2779" s="43"/>
      <c r="AA2779" s="43"/>
      <c r="AB2779" s="43"/>
      <c r="AC2779" s="43"/>
      <c r="AD2779" s="43"/>
      <c r="AE2779" s="43"/>
      <c r="AF2779" s="43"/>
      <c r="AG2779" s="43"/>
    </row>
    <row r="2780" spans="1:33" ht="11.45" customHeight="1">
      <c r="A2780" s="454"/>
      <c r="B2780" s="424" t="s">
        <v>663</v>
      </c>
      <c r="C2780" s="424" t="s">
        <v>659</v>
      </c>
      <c r="D2780" s="1598"/>
      <c r="E2780" s="2104" t="s">
        <v>1912</v>
      </c>
      <c r="F2780" s="438">
        <v>1221</v>
      </c>
      <c r="G2780" s="426" t="s">
        <v>663</v>
      </c>
      <c r="H2780" s="517"/>
      <c r="I2780" s="650">
        <v>27828.1404966025</v>
      </c>
      <c r="J2780" s="525"/>
      <c r="K2780" s="300"/>
      <c r="L2780" s="517"/>
      <c r="M2780" s="645">
        <v>26359.485368968006</v>
      </c>
      <c r="N2780" s="2847"/>
      <c r="O2780" s="86"/>
      <c r="P2780" s="1817" t="e">
        <f>INDEX(#REF!,MATCH(F2780,#REF!,0),2)</f>
        <v>#REF!</v>
      </c>
      <c r="Q2780" s="43"/>
      <c r="R2780" s="43"/>
      <c r="S2780" s="43"/>
      <c r="T2780" s="43"/>
      <c r="U2780" s="43"/>
      <c r="V2780" s="43"/>
      <c r="W2780" s="43"/>
      <c r="X2780" s="43"/>
      <c r="Y2780" s="43"/>
      <c r="Z2780" s="43"/>
      <c r="AA2780" s="43"/>
      <c r="AB2780" s="43"/>
      <c r="AC2780" s="43"/>
      <c r="AD2780" s="43"/>
      <c r="AE2780" s="43"/>
      <c r="AF2780" s="43"/>
      <c r="AG2780" s="43"/>
    </row>
    <row r="2781" spans="1:33" ht="11.45" customHeight="1">
      <c r="A2781" s="1410"/>
      <c r="B2781" s="424" t="s">
        <v>663</v>
      </c>
      <c r="C2781" s="424" t="s">
        <v>659</v>
      </c>
      <c r="D2781" s="1598"/>
      <c r="E2781" s="2104" t="s">
        <v>1912</v>
      </c>
      <c r="F2781" s="438">
        <v>1221</v>
      </c>
      <c r="G2781" s="1454" t="s">
        <v>1989</v>
      </c>
      <c r="H2781" s="1343"/>
      <c r="I2781" s="1459"/>
      <c r="J2781" s="1161"/>
      <c r="K2781" s="1365"/>
      <c r="L2781" s="1343"/>
      <c r="M2781" s="4078"/>
      <c r="N2781" s="2847"/>
      <c r="O2781" s="86"/>
      <c r="P2781" s="1817" t="e">
        <f>INDEX(#REF!,MATCH(F2781,#REF!,0),2)</f>
        <v>#REF!</v>
      </c>
      <c r="Q2781" s="43"/>
      <c r="R2781" s="43"/>
      <c r="S2781" s="43"/>
      <c r="T2781" s="43"/>
      <c r="U2781" s="43"/>
      <c r="V2781" s="43"/>
      <c r="W2781" s="43"/>
      <c r="X2781" s="43"/>
      <c r="Y2781" s="43"/>
      <c r="Z2781" s="43"/>
      <c r="AA2781" s="43"/>
      <c r="AB2781" s="43"/>
      <c r="AC2781" s="43"/>
      <c r="AD2781" s="43"/>
      <c r="AE2781" s="43"/>
      <c r="AF2781" s="43"/>
      <c r="AG2781" s="43"/>
    </row>
    <row r="2782" spans="1:33" ht="11.45" customHeight="1">
      <c r="A2782" s="634"/>
      <c r="B2782" s="634" t="s">
        <v>512</v>
      </c>
      <c r="C2782" s="634" t="s">
        <v>506</v>
      </c>
      <c r="D2782" s="1597">
        <v>950</v>
      </c>
      <c r="E2782" s="2093" t="s">
        <v>1913</v>
      </c>
      <c r="F2782" s="635">
        <v>1221</v>
      </c>
      <c r="G2782" s="658" t="s">
        <v>616</v>
      </c>
      <c r="H2782" s="953">
        <v>46000</v>
      </c>
      <c r="I2782" s="642"/>
      <c r="J2782" s="628"/>
      <c r="K2782" s="629"/>
      <c r="L2782" s="2440">
        <v>46000</v>
      </c>
      <c r="M2782" s="642"/>
      <c r="N2782" s="2847"/>
      <c r="O2782" s="86"/>
      <c r="P2782" s="1817" t="e">
        <f>INDEX(#REF!,MATCH(F2782,#REF!,0),2)</f>
        <v>#REF!</v>
      </c>
      <c r="Q2782" s="43"/>
      <c r="R2782" s="43"/>
      <c r="S2782" s="43"/>
      <c r="T2782" s="43"/>
      <c r="U2782" s="43"/>
      <c r="V2782" s="43"/>
      <c r="W2782" s="43"/>
      <c r="X2782" s="43"/>
      <c r="Y2782" s="43"/>
      <c r="Z2782" s="43"/>
      <c r="AA2782" s="43"/>
      <c r="AB2782" s="43"/>
      <c r="AC2782" s="43"/>
      <c r="AD2782" s="43"/>
      <c r="AE2782" s="43"/>
      <c r="AF2782" s="43"/>
      <c r="AG2782" s="43"/>
    </row>
    <row r="2783" spans="1:33" ht="11.45" customHeight="1">
      <c r="A2783" s="424"/>
      <c r="B2783" s="424" t="s">
        <v>512</v>
      </c>
      <c r="C2783" s="424" t="s">
        <v>506</v>
      </c>
      <c r="D2783" s="1598"/>
      <c r="E2783" s="2104" t="s">
        <v>1913</v>
      </c>
      <c r="F2783" s="438">
        <v>1221</v>
      </c>
      <c r="G2783" s="426" t="s">
        <v>1216</v>
      </c>
      <c r="H2783" s="958"/>
      <c r="I2783" s="664">
        <v>46000</v>
      </c>
      <c r="J2783" s="650"/>
      <c r="K2783" s="629"/>
      <c r="L2783" s="688"/>
      <c r="M2783" s="2454">
        <v>46000</v>
      </c>
      <c r="N2783" s="2847"/>
      <c r="O2783" s="86"/>
      <c r="P2783" s="1817" t="e">
        <f>INDEX(#REF!,MATCH(F2783,#REF!,0),2)</f>
        <v>#REF!</v>
      </c>
      <c r="Q2783" s="1779"/>
      <c r="R2783" s="1779"/>
      <c r="S2783" s="1779"/>
      <c r="T2783" s="1779"/>
      <c r="U2783" s="1779"/>
      <c r="V2783" s="1779"/>
      <c r="W2783" s="43"/>
      <c r="X2783" s="1779"/>
      <c r="Y2783" s="1779"/>
      <c r="Z2783" s="1779"/>
      <c r="AA2783" s="1779"/>
      <c r="AB2783" s="1779"/>
      <c r="AC2783" s="1779"/>
      <c r="AD2783" s="1779"/>
      <c r="AE2783" s="1779"/>
      <c r="AF2783" s="1779"/>
      <c r="AG2783" s="1779"/>
    </row>
    <row r="2784" spans="1:33">
      <c r="A2784" s="634"/>
      <c r="B2784" s="634" t="s">
        <v>663</v>
      </c>
      <c r="C2784" s="634" t="s">
        <v>659</v>
      </c>
      <c r="D2784" s="1597">
        <v>950</v>
      </c>
      <c r="E2784" s="2093" t="s">
        <v>1912</v>
      </c>
      <c r="F2784" s="635">
        <v>1223</v>
      </c>
      <c r="G2784" s="658" t="s">
        <v>2429</v>
      </c>
      <c r="H2784" s="662">
        <v>563</v>
      </c>
      <c r="I2784" s="1683"/>
      <c r="J2784" s="628">
        <v>750</v>
      </c>
      <c r="K2784" s="629"/>
      <c r="L2784" s="648">
        <v>9000</v>
      </c>
      <c r="M2784" s="643"/>
      <c r="N2784" s="2847"/>
      <c r="O2784" s="86"/>
      <c r="P2784" s="1817" t="e">
        <f>INDEX(#REF!,MATCH(F2784,#REF!,0),2)</f>
        <v>#REF!</v>
      </c>
      <c r="Q2784" s="43"/>
      <c r="R2784" s="43"/>
      <c r="S2784" s="43"/>
      <c r="T2784" s="43"/>
      <c r="U2784" s="43"/>
      <c r="V2784" s="43"/>
      <c r="W2784" s="43"/>
      <c r="X2784" s="43"/>
      <c r="Y2784" s="43"/>
      <c r="Z2784" s="43"/>
      <c r="AA2784" s="43"/>
      <c r="AB2784" s="43"/>
      <c r="AC2784" s="43"/>
      <c r="AD2784" s="43"/>
      <c r="AE2784" s="43"/>
      <c r="AF2784" s="43"/>
      <c r="AG2784" s="43"/>
    </row>
    <row r="2785" spans="1:33">
      <c r="A2785" s="454"/>
      <c r="B2785" s="424" t="s">
        <v>663</v>
      </c>
      <c r="C2785" s="424" t="s">
        <v>659</v>
      </c>
      <c r="D2785" s="1598"/>
      <c r="E2785" s="2104" t="s">
        <v>1912</v>
      </c>
      <c r="F2785" s="438">
        <v>1223</v>
      </c>
      <c r="G2785" s="2820" t="s">
        <v>4920</v>
      </c>
      <c r="H2785" s="517"/>
      <c r="I2785" s="650">
        <v>563</v>
      </c>
      <c r="J2785" s="525"/>
      <c r="K2785" s="300"/>
      <c r="L2785" s="517"/>
      <c r="M2785" s="645">
        <v>9000</v>
      </c>
      <c r="N2785" s="2847" t="s">
        <v>5000</v>
      </c>
      <c r="O2785" s="86"/>
      <c r="P2785" s="1817" t="e">
        <f>INDEX(#REF!,MATCH(F2785,#REF!,0),2)</f>
        <v>#REF!</v>
      </c>
      <c r="Q2785" s="43"/>
      <c r="R2785" s="43"/>
      <c r="S2785" s="43"/>
      <c r="T2785" s="43"/>
      <c r="U2785" s="43"/>
      <c r="V2785" s="43"/>
      <c r="W2785" s="43"/>
      <c r="X2785" s="43"/>
      <c r="Y2785" s="43"/>
      <c r="Z2785" s="43"/>
      <c r="AA2785" s="43"/>
      <c r="AB2785" s="43"/>
      <c r="AC2785" s="43"/>
      <c r="AD2785" s="43"/>
      <c r="AE2785" s="43"/>
      <c r="AF2785" s="43"/>
      <c r="AG2785" s="43"/>
    </row>
    <row r="2786" spans="1:33" ht="11.45" customHeight="1">
      <c r="A2786" s="634"/>
      <c r="B2786" s="634" t="s">
        <v>512</v>
      </c>
      <c r="C2786" s="634" t="s">
        <v>506</v>
      </c>
      <c r="D2786" s="1597">
        <v>950</v>
      </c>
      <c r="E2786" s="2093" t="s">
        <v>1913</v>
      </c>
      <c r="F2786" s="635">
        <v>1228</v>
      </c>
      <c r="G2786" s="634" t="s">
        <v>409</v>
      </c>
      <c r="H2786" s="953">
        <v>800</v>
      </c>
      <c r="I2786" s="655"/>
      <c r="J2786" s="653"/>
      <c r="K2786" s="654"/>
      <c r="L2786" s="2440">
        <v>800</v>
      </c>
      <c r="M2786" s="675"/>
      <c r="N2786" s="2847"/>
      <c r="O2786" s="86"/>
      <c r="P2786" s="1817" t="e">
        <f>INDEX(#REF!,MATCH(F2786,#REF!,0),2)</f>
        <v>#REF!</v>
      </c>
      <c r="Q2786" s="43"/>
      <c r="R2786" s="43"/>
      <c r="S2786" s="43"/>
      <c r="T2786" s="43"/>
      <c r="U2786" s="43"/>
      <c r="V2786" s="43"/>
      <c r="W2786" s="43"/>
      <c r="X2786" s="43"/>
      <c r="Y2786" s="43"/>
      <c r="Z2786" s="43"/>
      <c r="AA2786" s="43"/>
      <c r="AB2786" s="43"/>
      <c r="AC2786" s="43"/>
      <c r="AD2786" s="43"/>
      <c r="AE2786" s="43"/>
      <c r="AF2786" s="43"/>
      <c r="AG2786" s="43"/>
    </row>
    <row r="2787" spans="1:33" ht="24" customHeight="1">
      <c r="A2787" s="424"/>
      <c r="B2787" s="424" t="s">
        <v>512</v>
      </c>
      <c r="C2787" s="424" t="s">
        <v>506</v>
      </c>
      <c r="D2787" s="1598"/>
      <c r="E2787" s="2104" t="s">
        <v>1913</v>
      </c>
      <c r="F2787" s="438">
        <v>1228</v>
      </c>
      <c r="G2787" s="665"/>
      <c r="H2787" s="959"/>
      <c r="I2787" s="651">
        <v>800</v>
      </c>
      <c r="J2787" s="650"/>
      <c r="K2787" s="667"/>
      <c r="L2787" s="2455"/>
      <c r="M2787" s="1510">
        <v>800</v>
      </c>
      <c r="N2787" s="2847"/>
      <c r="O2787" s="86"/>
      <c r="P2787" s="1817" t="e">
        <f>INDEX(#REF!,MATCH(F2787,#REF!,0),2)</f>
        <v>#REF!</v>
      </c>
      <c r="Q2787" s="1779"/>
      <c r="R2787" s="1779"/>
      <c r="S2787" s="1779"/>
      <c r="T2787" s="1779"/>
      <c r="U2787" s="1779"/>
      <c r="V2787" s="1779"/>
      <c r="W2787" s="43"/>
      <c r="X2787" s="1779"/>
      <c r="Y2787" s="1779"/>
      <c r="Z2787" s="1779"/>
      <c r="AA2787" s="1779"/>
      <c r="AB2787" s="1779"/>
      <c r="AC2787" s="1779"/>
      <c r="AD2787" s="1779"/>
      <c r="AE2787" s="1779"/>
      <c r="AF2787" s="1779"/>
      <c r="AG2787" s="1779"/>
    </row>
    <row r="2788" spans="1:33" ht="22.15" customHeight="1">
      <c r="A2788" s="634"/>
      <c r="B2788" s="506" t="s">
        <v>663</v>
      </c>
      <c r="C2788" s="506" t="s">
        <v>652</v>
      </c>
      <c r="D2788" s="1597">
        <v>950</v>
      </c>
      <c r="E2788" s="2093" t="s">
        <v>1912</v>
      </c>
      <c r="F2788" s="635">
        <v>1227</v>
      </c>
      <c r="G2788" s="1664" t="s">
        <v>409</v>
      </c>
      <c r="H2788" s="652">
        <v>150</v>
      </c>
      <c r="I2788" s="1685"/>
      <c r="J2788" s="653">
        <v>150</v>
      </c>
      <c r="K2788" s="654"/>
      <c r="L2788" s="2449">
        <v>0</v>
      </c>
      <c r="M2788" s="675"/>
      <c r="N2788" s="2847"/>
      <c r="O2788" s="86"/>
      <c r="P2788" s="1817" t="e">
        <f>INDEX(#REF!,MATCH(F2788,#REF!,0),2)</f>
        <v>#REF!</v>
      </c>
      <c r="Q2788" s="1779"/>
      <c r="R2788" s="1779"/>
      <c r="S2788" s="1779"/>
      <c r="T2788" s="1779"/>
      <c r="U2788" s="1779"/>
      <c r="V2788" s="1779"/>
      <c r="W2788" s="43"/>
      <c r="X2788" s="1779"/>
      <c r="Y2788" s="1779"/>
      <c r="Z2788" s="1779"/>
      <c r="AA2788" s="1779"/>
      <c r="AB2788" s="1779"/>
      <c r="AC2788" s="1779"/>
      <c r="AD2788" s="1779"/>
      <c r="AE2788" s="1779"/>
      <c r="AF2788" s="1779"/>
      <c r="AG2788" s="1779"/>
    </row>
    <row r="2789" spans="1:33" ht="11.45" customHeight="1">
      <c r="A2789" s="424"/>
      <c r="B2789" s="412" t="s">
        <v>663</v>
      </c>
      <c r="C2789" s="412" t="s">
        <v>652</v>
      </c>
      <c r="D2789" s="1598"/>
      <c r="E2789" s="2104" t="s">
        <v>1912</v>
      </c>
      <c r="F2789" s="438">
        <v>1227</v>
      </c>
      <c r="G2789" s="1567" t="s">
        <v>2338</v>
      </c>
      <c r="H2789" s="666"/>
      <c r="I2789" s="651">
        <v>150</v>
      </c>
      <c r="J2789" s="650"/>
      <c r="K2789" s="667"/>
      <c r="L2789" s="2455"/>
      <c r="M2789" s="1506"/>
      <c r="N2789" s="2847"/>
      <c r="O2789" s="86"/>
      <c r="P2789" s="1817" t="e">
        <f>INDEX(#REF!,MATCH(F2789,#REF!,0),2)</f>
        <v>#REF!</v>
      </c>
      <c r="Q2789" s="1779"/>
      <c r="R2789" s="1779"/>
      <c r="S2789" s="1779"/>
      <c r="T2789" s="1779"/>
      <c r="U2789" s="1779"/>
      <c r="V2789" s="1779"/>
      <c r="W2789" s="43"/>
      <c r="X2789" s="1779"/>
      <c r="Y2789" s="1779"/>
      <c r="Z2789" s="1779"/>
      <c r="AA2789" s="1779"/>
      <c r="AB2789" s="1779"/>
      <c r="AC2789" s="1779"/>
      <c r="AD2789" s="1779"/>
      <c r="AE2789" s="1779"/>
      <c r="AF2789" s="1779"/>
      <c r="AG2789" s="1779"/>
    </row>
    <row r="2790" spans="1:33" ht="11.45" customHeight="1">
      <c r="A2790" s="634"/>
      <c r="B2790" s="634" t="s">
        <v>663</v>
      </c>
      <c r="C2790" s="755" t="s">
        <v>652</v>
      </c>
      <c r="D2790" s="1597">
        <v>950</v>
      </c>
      <c r="E2790" s="2093" t="s">
        <v>1912</v>
      </c>
      <c r="F2790" s="635">
        <v>1228</v>
      </c>
      <c r="G2790" s="634" t="s">
        <v>409</v>
      </c>
      <c r="H2790" s="652">
        <v>10437</v>
      </c>
      <c r="I2790" s="1685"/>
      <c r="J2790" s="653">
        <v>1934.09</v>
      </c>
      <c r="K2790" s="654"/>
      <c r="L2790" s="652">
        <v>5000</v>
      </c>
      <c r="M2790" s="655"/>
      <c r="N2790" s="2847"/>
      <c r="O2790" s="86"/>
      <c r="P2790" s="1817" t="e">
        <f>INDEX(#REF!,MATCH(F2790,#REF!,0),2)</f>
        <v>#REF!</v>
      </c>
      <c r="Q2790" s="1779"/>
      <c r="R2790" s="1779"/>
      <c r="S2790" s="1779"/>
      <c r="T2790" s="1779"/>
      <c r="U2790" s="1779"/>
      <c r="V2790" s="1779"/>
      <c r="W2790" s="43"/>
      <c r="X2790" s="1779"/>
      <c r="Y2790" s="1779"/>
      <c r="Z2790" s="1779"/>
      <c r="AA2790" s="1779"/>
      <c r="AB2790" s="1779"/>
      <c r="AC2790" s="1779"/>
      <c r="AD2790" s="1779"/>
      <c r="AE2790" s="1779"/>
      <c r="AF2790" s="1779"/>
      <c r="AG2790" s="1779"/>
    </row>
    <row r="2791" spans="1:33" ht="20.45" customHeight="1">
      <c r="A2791" s="424"/>
      <c r="B2791" s="412" t="s">
        <v>663</v>
      </c>
      <c r="C2791" s="412" t="s">
        <v>652</v>
      </c>
      <c r="D2791" s="1598"/>
      <c r="E2791" s="2104" t="s">
        <v>1912</v>
      </c>
      <c r="F2791" s="438">
        <v>1228</v>
      </c>
      <c r="G2791" s="1044" t="s">
        <v>949</v>
      </c>
      <c r="H2791" s="1045"/>
      <c r="I2791" s="1040">
        <v>150</v>
      </c>
      <c r="J2791" s="1046"/>
      <c r="K2791" s="1036"/>
      <c r="L2791" s="1038"/>
      <c r="M2791" s="3707"/>
      <c r="N2791" s="2847"/>
      <c r="O2791" s="86"/>
      <c r="P2791" s="1817" t="e">
        <f>INDEX(#REF!,MATCH(F2791,#REF!,0),2)</f>
        <v>#REF!</v>
      </c>
      <c r="Q2791" s="1779"/>
      <c r="R2791" s="1779"/>
      <c r="S2791" s="1779"/>
      <c r="T2791" s="1779"/>
      <c r="U2791" s="1779"/>
      <c r="V2791" s="1779"/>
      <c r="W2791" s="43"/>
      <c r="X2791" s="1779"/>
      <c r="Y2791" s="1779"/>
      <c r="Z2791" s="1779"/>
      <c r="AA2791" s="1779"/>
      <c r="AB2791" s="1779"/>
      <c r="AC2791" s="1779"/>
      <c r="AD2791" s="1779"/>
      <c r="AE2791" s="1779"/>
      <c r="AF2791" s="1779"/>
      <c r="AG2791" s="1779"/>
    </row>
    <row r="2792" spans="1:33" ht="20.45" customHeight="1">
      <c r="A2792" s="424"/>
      <c r="B2792" s="424" t="s">
        <v>663</v>
      </c>
      <c r="C2792" s="412" t="s">
        <v>652</v>
      </c>
      <c r="D2792" s="1598"/>
      <c r="E2792" s="2104" t="s">
        <v>1912</v>
      </c>
      <c r="F2792" s="438">
        <v>1228</v>
      </c>
      <c r="G2792" s="996" t="s">
        <v>5018</v>
      </c>
      <c r="H2792" s="1049"/>
      <c r="I2792" s="1040">
        <v>3000</v>
      </c>
      <c r="J2792" s="1035"/>
      <c r="K2792" s="1036"/>
      <c r="L2792" s="3715"/>
      <c r="M2792" s="3708">
        <v>5000</v>
      </c>
      <c r="N2792" s="2847" t="s">
        <v>5020</v>
      </c>
      <c r="O2792" s="86"/>
      <c r="P2792" s="1817"/>
      <c r="Q2792" s="1779"/>
      <c r="R2792" s="1779"/>
      <c r="S2792" s="1779"/>
      <c r="T2792" s="1779"/>
      <c r="U2792" s="1779"/>
      <c r="V2792" s="1779"/>
      <c r="W2792" s="43"/>
      <c r="X2792" s="1779"/>
      <c r="Y2792" s="1779"/>
      <c r="Z2792" s="1779"/>
      <c r="AA2792" s="1779"/>
      <c r="AB2792" s="1779"/>
      <c r="AC2792" s="1779"/>
      <c r="AD2792" s="1779"/>
      <c r="AE2792" s="1779"/>
      <c r="AF2792" s="1779"/>
      <c r="AG2792" s="1779"/>
    </row>
    <row r="2793" spans="1:33" ht="11.45" customHeight="1">
      <c r="A2793" s="424"/>
      <c r="B2793" s="412" t="s">
        <v>663</v>
      </c>
      <c r="C2793" s="412" t="s">
        <v>652</v>
      </c>
      <c r="D2793" s="1598"/>
      <c r="E2793" s="2104" t="s">
        <v>1912</v>
      </c>
      <c r="F2793" s="438">
        <v>1228</v>
      </c>
      <c r="G2793" s="1567" t="s">
        <v>2668</v>
      </c>
      <c r="H2793" s="1047"/>
      <c r="I2793" s="1040">
        <v>8000</v>
      </c>
      <c r="J2793" s="1042"/>
      <c r="K2793" s="64"/>
      <c r="L2793" s="1048"/>
      <c r="M2793" s="1506"/>
      <c r="N2793" s="2847"/>
      <c r="O2793" s="86"/>
      <c r="P2793" s="1817" t="e">
        <f>INDEX(#REF!,MATCH(F2793,#REF!,0),2)</f>
        <v>#REF!</v>
      </c>
      <c r="Q2793" s="43"/>
      <c r="R2793" s="43"/>
      <c r="S2793" s="43"/>
      <c r="T2793" s="43"/>
      <c r="U2793" s="43"/>
      <c r="V2793" s="43"/>
      <c r="W2793" s="43"/>
      <c r="X2793" s="43"/>
      <c r="Y2793" s="43"/>
      <c r="Z2793" s="43"/>
      <c r="AA2793" s="43"/>
      <c r="AB2793" s="43"/>
      <c r="AC2793" s="43"/>
      <c r="AD2793" s="43"/>
      <c r="AE2793" s="43"/>
      <c r="AF2793" s="43"/>
      <c r="AG2793" s="43"/>
    </row>
    <row r="2794" spans="1:33" ht="10.5" customHeight="1">
      <c r="A2794" s="4200"/>
      <c r="B2794" s="412" t="s">
        <v>663</v>
      </c>
      <c r="C2794" s="412" t="s">
        <v>652</v>
      </c>
      <c r="D2794" s="1598"/>
      <c r="E2794" s="2104" t="s">
        <v>1912</v>
      </c>
      <c r="F2794" s="438">
        <v>1228</v>
      </c>
      <c r="G2794" s="4356" t="s">
        <v>1180</v>
      </c>
      <c r="H2794" s="4357"/>
      <c r="I2794" s="4358">
        <v>-713</v>
      </c>
      <c r="J2794" s="3669"/>
      <c r="K2794" s="64"/>
      <c r="L2794" s="4359"/>
      <c r="M2794" s="4360"/>
      <c r="N2794" s="2847"/>
      <c r="O2794" s="86"/>
      <c r="P2794" s="1817" t="e">
        <f>INDEX(#REF!,MATCH(F2794,#REF!,0),2)</f>
        <v>#REF!</v>
      </c>
      <c r="Q2794" s="1779"/>
      <c r="R2794" s="1779"/>
      <c r="S2794" s="1779"/>
      <c r="T2794" s="1779"/>
      <c r="U2794" s="1779"/>
      <c r="V2794" s="1779"/>
      <c r="W2794" s="43"/>
      <c r="X2794" s="1779"/>
      <c r="Y2794" s="1779"/>
      <c r="Z2794" s="1779"/>
      <c r="AA2794" s="1779"/>
      <c r="AB2794" s="1779"/>
      <c r="AC2794" s="1779"/>
      <c r="AD2794" s="1779"/>
      <c r="AE2794" s="1779"/>
      <c r="AF2794" s="1779"/>
      <c r="AG2794" s="1779"/>
    </row>
    <row r="2795" spans="1:33" ht="11.45" customHeight="1">
      <c r="A2795" s="634"/>
      <c r="B2795" s="634" t="s">
        <v>1248</v>
      </c>
      <c r="C2795" s="634" t="s">
        <v>507</v>
      </c>
      <c r="D2795" s="1597">
        <v>950</v>
      </c>
      <c r="E2795" s="2093" t="s">
        <v>1912</v>
      </c>
      <c r="F2795" s="635">
        <v>2121</v>
      </c>
      <c r="G2795" s="658" t="s">
        <v>1995</v>
      </c>
      <c r="H2795" s="648">
        <v>500</v>
      </c>
      <c r="I2795" s="1683"/>
      <c r="J2795" s="628">
        <v>320</v>
      </c>
      <c r="K2795" s="629"/>
      <c r="L2795" s="648">
        <v>500</v>
      </c>
      <c r="M2795" s="643"/>
      <c r="N2795" s="2847"/>
      <c r="O2795" s="86"/>
      <c r="P2795" s="1817" t="e">
        <f>INDEX(#REF!,MATCH(F2795,#REF!,0),2)</f>
        <v>#REF!</v>
      </c>
      <c r="Q2795" s="43"/>
      <c r="R2795" s="43"/>
      <c r="S2795" s="43"/>
      <c r="T2795" s="43"/>
      <c r="U2795" s="43"/>
      <c r="V2795" s="43"/>
      <c r="W2795" s="43"/>
      <c r="X2795" s="43"/>
      <c r="Y2795" s="43"/>
      <c r="Z2795" s="43"/>
      <c r="AA2795" s="43"/>
      <c r="AB2795" s="43"/>
      <c r="AC2795" s="43"/>
      <c r="AD2795" s="43"/>
      <c r="AE2795" s="43"/>
      <c r="AF2795" s="43"/>
      <c r="AG2795" s="43"/>
    </row>
    <row r="2796" spans="1:33" ht="25.15" customHeight="1">
      <c r="A2796" s="424"/>
      <c r="B2796" s="424" t="s">
        <v>1248</v>
      </c>
      <c r="C2796" s="424" t="s">
        <v>507</v>
      </c>
      <c r="D2796" s="1598"/>
      <c r="E2796" s="2104" t="s">
        <v>1912</v>
      </c>
      <c r="F2796" s="438">
        <v>2121</v>
      </c>
      <c r="G2796" s="425" t="s">
        <v>2013</v>
      </c>
      <c r="H2796" s="663"/>
      <c r="I2796" s="664">
        <v>500</v>
      </c>
      <c r="J2796" s="496"/>
      <c r="K2796" s="492"/>
      <c r="L2796" s="669"/>
      <c r="M2796" s="3697">
        <v>500</v>
      </c>
      <c r="N2796" s="2847"/>
      <c r="O2796" s="86"/>
      <c r="P2796" s="1817" t="e">
        <f>INDEX(#REF!,MATCH(F2796,#REF!,0),2)</f>
        <v>#REF!</v>
      </c>
      <c r="Q2796" s="43"/>
      <c r="R2796" s="43"/>
      <c r="S2796" s="43"/>
      <c r="T2796" s="43"/>
      <c r="U2796" s="43"/>
      <c r="V2796" s="43"/>
      <c r="W2796" s="43"/>
      <c r="X2796" s="43"/>
      <c r="Y2796" s="43"/>
      <c r="Z2796" s="43"/>
      <c r="AA2796" s="43"/>
      <c r="AB2796" s="43"/>
      <c r="AC2796" s="43"/>
      <c r="AD2796" s="43"/>
      <c r="AE2796" s="43"/>
      <c r="AF2796" s="43"/>
      <c r="AG2796" s="43"/>
    </row>
    <row r="2797" spans="1:33" ht="12.6" customHeight="1">
      <c r="A2797" s="634"/>
      <c r="B2797" s="634" t="s">
        <v>1248</v>
      </c>
      <c r="C2797" s="634" t="s">
        <v>507</v>
      </c>
      <c r="D2797" s="1597">
        <v>950</v>
      </c>
      <c r="E2797" s="2093" t="s">
        <v>1912</v>
      </c>
      <c r="F2797" s="635">
        <v>2122</v>
      </c>
      <c r="G2797" s="658" t="s">
        <v>2015</v>
      </c>
      <c r="H2797" s="648">
        <v>500</v>
      </c>
      <c r="I2797" s="1683"/>
      <c r="J2797" s="628">
        <v>4</v>
      </c>
      <c r="K2797" s="629"/>
      <c r="L2797" s="648">
        <v>500</v>
      </c>
      <c r="M2797" s="643"/>
      <c r="N2797" s="2847"/>
      <c r="O2797" s="86"/>
      <c r="P2797" s="1817" t="e">
        <f>INDEX(#REF!,MATCH(F2797,#REF!,0),2)</f>
        <v>#REF!</v>
      </c>
      <c r="Q2797" s="43"/>
      <c r="R2797" s="43"/>
      <c r="S2797" s="43"/>
      <c r="T2797" s="43"/>
      <c r="U2797" s="43"/>
      <c r="V2797" s="43"/>
      <c r="W2797" s="43"/>
      <c r="X2797" s="43"/>
      <c r="Y2797" s="43"/>
      <c r="Z2797" s="43"/>
      <c r="AA2797" s="43"/>
      <c r="AB2797" s="43"/>
      <c r="AC2797" s="43"/>
      <c r="AD2797" s="43"/>
      <c r="AE2797" s="43"/>
      <c r="AF2797" s="43"/>
      <c r="AG2797" s="43"/>
    </row>
    <row r="2798" spans="1:33" ht="16.149999999999999" customHeight="1">
      <c r="A2798" s="424"/>
      <c r="B2798" s="424" t="s">
        <v>1248</v>
      </c>
      <c r="C2798" s="424" t="s">
        <v>507</v>
      </c>
      <c r="D2798" s="1598"/>
      <c r="E2798" s="2104" t="s">
        <v>1912</v>
      </c>
      <c r="F2798" s="438">
        <v>2122</v>
      </c>
      <c r="G2798" s="425" t="s">
        <v>2014</v>
      </c>
      <c r="H2798" s="663"/>
      <c r="I2798" s="664">
        <v>500</v>
      </c>
      <c r="J2798" s="496"/>
      <c r="K2798" s="492"/>
      <c r="L2798" s="669"/>
      <c r="M2798" s="3697">
        <v>500</v>
      </c>
      <c r="N2798" s="2847"/>
      <c r="O2798" s="86"/>
      <c r="P2798" s="1817" t="e">
        <f>INDEX(#REF!,MATCH(F2798,#REF!,0),2)</f>
        <v>#REF!</v>
      </c>
      <c r="Q2798" s="43"/>
      <c r="R2798" s="43"/>
      <c r="S2798" s="43"/>
      <c r="T2798" s="43"/>
      <c r="U2798" s="43"/>
      <c r="V2798" s="43"/>
      <c r="W2798" s="43"/>
      <c r="X2798" s="43"/>
      <c r="Y2798" s="43"/>
      <c r="Z2798" s="43"/>
      <c r="AA2798" s="43"/>
      <c r="AB2798" s="43"/>
      <c r="AC2798" s="43"/>
      <c r="AD2798" s="43"/>
      <c r="AE2798" s="43"/>
      <c r="AF2798" s="43"/>
      <c r="AG2798" s="43"/>
    </row>
    <row r="2799" spans="1:33" ht="21.6" customHeight="1">
      <c r="A2799" s="634"/>
      <c r="B2799" s="634" t="s">
        <v>566</v>
      </c>
      <c r="C2799" s="634" t="s">
        <v>1296</v>
      </c>
      <c r="D2799" s="1597">
        <v>950</v>
      </c>
      <c r="E2799" s="2093" t="s">
        <v>2035</v>
      </c>
      <c r="F2799" s="635">
        <v>2121</v>
      </c>
      <c r="G2799" s="658" t="s">
        <v>771</v>
      </c>
      <c r="H2799" s="962">
        <v>23020</v>
      </c>
      <c r="I2799" s="668"/>
      <c r="J2799" s="628"/>
      <c r="K2799" s="629"/>
      <c r="L2799" s="648">
        <v>16500</v>
      </c>
      <c r="M2799" s="3671"/>
      <c r="N2799" s="2847"/>
      <c r="O2799" s="86"/>
      <c r="P2799" s="1817" t="e">
        <f>INDEX(#REF!,MATCH(F2799,#REF!,0),2)</f>
        <v>#REF!</v>
      </c>
      <c r="Q2799" s="1779"/>
      <c r="R2799" s="1779"/>
      <c r="S2799" s="1779"/>
      <c r="T2799" s="1779"/>
      <c r="U2799" s="1779"/>
      <c r="V2799" s="1779"/>
      <c r="W2799" s="43"/>
      <c r="X2799" s="1779"/>
      <c r="Y2799" s="1779"/>
      <c r="Z2799" s="1779"/>
      <c r="AA2799" s="1779"/>
      <c r="AB2799" s="1779"/>
      <c r="AC2799" s="1779"/>
      <c r="AD2799" s="1779"/>
      <c r="AE2799" s="1779"/>
      <c r="AF2799" s="1779"/>
      <c r="AG2799" s="1779"/>
    </row>
    <row r="2800" spans="1:33" ht="11.45" customHeight="1">
      <c r="A2800" s="424"/>
      <c r="B2800" s="424" t="s">
        <v>566</v>
      </c>
      <c r="C2800" s="424" t="s">
        <v>1296</v>
      </c>
      <c r="D2800" s="1598"/>
      <c r="E2800" s="2104" t="s">
        <v>2035</v>
      </c>
      <c r="F2800" s="438">
        <v>2121</v>
      </c>
      <c r="G2800" s="1014" t="s">
        <v>1039</v>
      </c>
      <c r="H2800" s="1033"/>
      <c r="I2800" s="1034">
        <v>1890</v>
      </c>
      <c r="J2800" s="3679">
        <v>1890</v>
      </c>
      <c r="K2800" s="1036"/>
      <c r="L2800" s="3672"/>
      <c r="M2800" s="3673"/>
      <c r="N2800" s="2847"/>
      <c r="O2800" s="86"/>
      <c r="P2800" s="1817" t="e">
        <f>INDEX(#REF!,MATCH(F2800,#REF!,0),2)</f>
        <v>#REF!</v>
      </c>
      <c r="Q2800" s="11"/>
      <c r="R2800" s="11"/>
      <c r="S2800" s="11"/>
      <c r="T2800" s="11"/>
      <c r="U2800" s="11"/>
      <c r="V2800" s="11"/>
      <c r="W2800" s="4"/>
      <c r="X2800" s="11"/>
      <c r="Y2800" s="11"/>
      <c r="Z2800" s="11"/>
      <c r="AA2800" s="11"/>
      <c r="AB2800" s="11"/>
      <c r="AC2800" s="11"/>
      <c r="AD2800" s="11"/>
      <c r="AE2800" s="11"/>
      <c r="AF2800" s="11"/>
      <c r="AG2800" s="11"/>
    </row>
    <row r="2801" spans="1:33" ht="11.45" customHeight="1">
      <c r="A2801" s="424"/>
      <c r="B2801" s="424" t="s">
        <v>566</v>
      </c>
      <c r="C2801" s="424" t="s">
        <v>1296</v>
      </c>
      <c r="D2801" s="1598"/>
      <c r="E2801" s="2104" t="s">
        <v>2035</v>
      </c>
      <c r="F2801" s="438">
        <v>2121</v>
      </c>
      <c r="G2801" s="1014" t="s">
        <v>1037</v>
      </c>
      <c r="H2801" s="1033"/>
      <c r="I2801" s="1034">
        <v>1330</v>
      </c>
      <c r="J2801" s="3679">
        <v>1330</v>
      </c>
      <c r="K2801" s="1036"/>
      <c r="L2801" s="3672"/>
      <c r="M2801" s="3673"/>
      <c r="N2801" s="2847"/>
      <c r="O2801" s="86"/>
      <c r="P2801" s="1817" t="e">
        <f>INDEX(#REF!,MATCH(F2801,#REF!,0),2)</f>
        <v>#REF!</v>
      </c>
      <c r="Q2801" s="11"/>
      <c r="R2801" s="11"/>
      <c r="S2801" s="11"/>
      <c r="T2801" s="11"/>
      <c r="U2801" s="11"/>
      <c r="V2801" s="11"/>
      <c r="W2801" s="4"/>
      <c r="X2801" s="11"/>
      <c r="Y2801" s="11"/>
      <c r="Z2801" s="11"/>
      <c r="AA2801" s="11"/>
      <c r="AB2801" s="11"/>
      <c r="AC2801" s="11"/>
      <c r="AD2801" s="11"/>
      <c r="AE2801" s="11"/>
      <c r="AF2801" s="11"/>
      <c r="AG2801" s="11"/>
    </row>
    <row r="2802" spans="1:33" ht="19.899999999999999" customHeight="1">
      <c r="A2802" s="424"/>
      <c r="B2802" s="424" t="s">
        <v>566</v>
      </c>
      <c r="C2802" s="424" t="s">
        <v>1296</v>
      </c>
      <c r="D2802" s="1598"/>
      <c r="E2802" s="2104" t="s">
        <v>2035</v>
      </c>
      <c r="F2802" s="438">
        <v>2121</v>
      </c>
      <c r="G2802" s="1014" t="s">
        <v>1040</v>
      </c>
      <c r="H2802" s="1033"/>
      <c r="I2802" s="1034">
        <v>1500</v>
      </c>
      <c r="J2802" s="3679">
        <v>1500</v>
      </c>
      <c r="K2802" s="1036"/>
      <c r="L2802" s="3672"/>
      <c r="M2802" s="3673"/>
      <c r="N2802" s="2847"/>
      <c r="O2802" s="86"/>
      <c r="P2802" s="1817" t="e">
        <f>INDEX(#REF!,MATCH(F2802,#REF!,0),2)</f>
        <v>#REF!</v>
      </c>
      <c r="Q2802" s="11"/>
      <c r="R2802" s="11"/>
      <c r="S2802" s="11"/>
      <c r="T2802" s="11"/>
      <c r="U2802" s="11"/>
      <c r="V2802" s="11"/>
      <c r="W2802" s="4"/>
      <c r="X2802" s="11"/>
      <c r="Y2802" s="11"/>
      <c r="Z2802" s="11"/>
      <c r="AA2802" s="11"/>
      <c r="AB2802" s="11"/>
      <c r="AC2802" s="11"/>
      <c r="AD2802" s="11"/>
      <c r="AE2802" s="11"/>
      <c r="AF2802" s="11"/>
      <c r="AG2802" s="11"/>
    </row>
    <row r="2803" spans="1:33" ht="11.45" customHeight="1">
      <c r="A2803" s="424"/>
      <c r="B2803" s="424" t="s">
        <v>566</v>
      </c>
      <c r="C2803" s="424" t="s">
        <v>1296</v>
      </c>
      <c r="D2803" s="1598"/>
      <c r="E2803" s="2104" t="s">
        <v>2035</v>
      </c>
      <c r="F2803" s="438">
        <v>2121</v>
      </c>
      <c r="G2803" s="1014" t="s">
        <v>1041</v>
      </c>
      <c r="H2803" s="1033"/>
      <c r="I2803" s="1034">
        <v>1500</v>
      </c>
      <c r="J2803" s="3679">
        <v>1500</v>
      </c>
      <c r="K2803" s="1036"/>
      <c r="L2803" s="3672"/>
      <c r="M2803" s="3673"/>
      <c r="N2803" s="2847"/>
      <c r="O2803" s="86"/>
      <c r="P2803" s="1817"/>
      <c r="Q2803" s="1779"/>
      <c r="R2803" s="1779"/>
      <c r="S2803" s="1779"/>
      <c r="T2803" s="1779"/>
      <c r="U2803" s="1779"/>
      <c r="V2803" s="1779"/>
      <c r="W2803" s="43"/>
      <c r="X2803" s="1779"/>
      <c r="Y2803" s="1779"/>
      <c r="Z2803" s="1779"/>
      <c r="AA2803" s="1779"/>
      <c r="AB2803" s="1779"/>
      <c r="AC2803" s="1779"/>
      <c r="AD2803" s="1779"/>
      <c r="AE2803" s="1779"/>
      <c r="AF2803" s="1779"/>
      <c r="AG2803" s="1779"/>
    </row>
    <row r="2804" spans="1:33" ht="20.45" customHeight="1">
      <c r="A2804" s="424"/>
      <c r="B2804" s="424" t="s">
        <v>566</v>
      </c>
      <c r="C2804" s="424" t="s">
        <v>1296</v>
      </c>
      <c r="D2804" s="1598"/>
      <c r="E2804" s="2104" t="s">
        <v>2035</v>
      </c>
      <c r="F2804" s="438">
        <v>2121</v>
      </c>
      <c r="G2804" s="1014" t="s">
        <v>1461</v>
      </c>
      <c r="H2804" s="1033"/>
      <c r="I2804" s="1034">
        <v>1800</v>
      </c>
      <c r="J2804" s="3679">
        <v>1800</v>
      </c>
      <c r="K2804" s="1036"/>
      <c r="L2804" s="3672"/>
      <c r="M2804" s="3673"/>
      <c r="N2804" s="2847"/>
      <c r="O2804" s="86"/>
      <c r="P2804" s="1817" t="e">
        <f>INDEX(#REF!,MATCH(F2804,#REF!,0),2)</f>
        <v>#REF!</v>
      </c>
      <c r="Q2804" s="1779"/>
      <c r="R2804" s="1779"/>
      <c r="S2804" s="1779"/>
      <c r="T2804" s="1779"/>
      <c r="U2804" s="1779"/>
      <c r="V2804" s="1779"/>
      <c r="W2804" s="43"/>
      <c r="X2804" s="1779"/>
      <c r="Y2804" s="1779"/>
      <c r="Z2804" s="1779"/>
      <c r="AA2804" s="1779"/>
      <c r="AB2804" s="1779"/>
      <c r="AC2804" s="1779"/>
      <c r="AD2804" s="1779"/>
      <c r="AE2804" s="1779"/>
      <c r="AF2804" s="1779"/>
      <c r="AG2804" s="1779"/>
    </row>
    <row r="2805" spans="1:33" ht="11.45" customHeight="1">
      <c r="A2805" s="2790"/>
      <c r="B2805" s="424" t="s">
        <v>566</v>
      </c>
      <c r="C2805" s="424" t="s">
        <v>1296</v>
      </c>
      <c r="D2805" s="1598"/>
      <c r="E2805" s="2104" t="s">
        <v>2035</v>
      </c>
      <c r="F2805" s="438">
        <v>2121</v>
      </c>
      <c r="G2805" s="3666" t="s">
        <v>4939</v>
      </c>
      <c r="H2805" s="3667"/>
      <c r="I2805" s="3668"/>
      <c r="J2805" s="3669"/>
      <c r="K2805" s="3670"/>
      <c r="L2805" s="3674"/>
      <c r="M2805" s="3675">
        <v>1500</v>
      </c>
      <c r="N2805" s="2847"/>
      <c r="O2805" s="86"/>
      <c r="P2805" s="1817" t="e">
        <f>INDEX(#REF!,MATCH(F2805,#REF!,0),2)</f>
        <v>#REF!</v>
      </c>
      <c r="Q2805" s="1779"/>
      <c r="R2805" s="1779"/>
      <c r="S2805" s="1779"/>
      <c r="T2805" s="1779"/>
      <c r="U2805" s="1779"/>
      <c r="V2805" s="1779"/>
      <c r="W2805" s="43"/>
      <c r="X2805" s="1779"/>
      <c r="Y2805" s="1779"/>
      <c r="Z2805" s="1779"/>
      <c r="AA2805" s="1779"/>
      <c r="AB2805" s="1779"/>
      <c r="AC2805" s="1779"/>
      <c r="AD2805" s="1779"/>
      <c r="AE2805" s="1779"/>
      <c r="AF2805" s="1779"/>
      <c r="AG2805" s="1779"/>
    </row>
    <row r="2806" spans="1:33" ht="20.45" customHeight="1">
      <c r="A2806" s="1882"/>
      <c r="B2806" s="424" t="s">
        <v>566</v>
      </c>
      <c r="C2806" s="424" t="s">
        <v>1296</v>
      </c>
      <c r="D2806" s="1598"/>
      <c r="E2806" s="2104" t="s">
        <v>2035</v>
      </c>
      <c r="F2806" s="438">
        <v>2121</v>
      </c>
      <c r="G2806" s="1913" t="s">
        <v>3169</v>
      </c>
      <c r="H2806" s="1674"/>
      <c r="I2806" s="2340">
        <v>15000</v>
      </c>
      <c r="J2806" s="1675"/>
      <c r="K2806" s="1676"/>
      <c r="L2806" s="1708"/>
      <c r="M2806" s="3676">
        <v>15000</v>
      </c>
      <c r="N2806" s="2847"/>
      <c r="O2806" s="86"/>
      <c r="P2806" s="1817" t="e">
        <f>INDEX(#REF!,MATCH(F2806,#REF!,0),2)</f>
        <v>#REF!</v>
      </c>
      <c r="Q2806" s="1779"/>
      <c r="R2806" s="1779"/>
      <c r="S2806" s="1779"/>
      <c r="T2806" s="1779"/>
      <c r="U2806" s="1779"/>
      <c r="V2806" s="1779"/>
      <c r="W2806" s="43"/>
      <c r="X2806" s="1779"/>
      <c r="Y2806" s="1779"/>
      <c r="Z2806" s="1779"/>
      <c r="AA2806" s="1779"/>
      <c r="AB2806" s="1779"/>
      <c r="AC2806" s="1779"/>
      <c r="AD2806" s="1779"/>
      <c r="AE2806" s="1779"/>
      <c r="AF2806" s="1779"/>
      <c r="AG2806" s="1779"/>
    </row>
    <row r="2807" spans="1:33" ht="10.5" customHeight="1">
      <c r="A2807" s="634"/>
      <c r="B2807" s="634" t="s">
        <v>566</v>
      </c>
      <c r="C2807" s="634" t="s">
        <v>1296</v>
      </c>
      <c r="D2807" s="1597">
        <v>950</v>
      </c>
      <c r="E2807" s="2093" t="s">
        <v>2035</v>
      </c>
      <c r="F2807" s="635">
        <v>2122</v>
      </c>
      <c r="G2807" s="432" t="s">
        <v>772</v>
      </c>
      <c r="H2807" s="962">
        <v>194953</v>
      </c>
      <c r="I2807" s="668"/>
      <c r="J2807" s="628"/>
      <c r="K2807" s="629"/>
      <c r="L2807" s="648">
        <v>219593</v>
      </c>
      <c r="M2807" s="3671"/>
      <c r="N2807" s="2847"/>
      <c r="O2807" s="86"/>
      <c r="P2807" s="1817" t="e">
        <f>INDEX(#REF!,MATCH(F2807,#REF!,0),2)</f>
        <v>#REF!</v>
      </c>
      <c r="Q2807" s="1779"/>
      <c r="R2807" s="1779"/>
      <c r="S2807" s="1779"/>
      <c r="T2807" s="1779"/>
      <c r="U2807" s="1779"/>
      <c r="V2807" s="1779"/>
      <c r="W2807" s="43"/>
      <c r="X2807" s="1779"/>
      <c r="Y2807" s="1779"/>
      <c r="Z2807" s="1779"/>
      <c r="AA2807" s="1779"/>
      <c r="AB2807" s="1779"/>
      <c r="AC2807" s="1779"/>
      <c r="AD2807" s="1779"/>
      <c r="AE2807" s="1779"/>
      <c r="AF2807" s="1779"/>
      <c r="AG2807" s="1779"/>
    </row>
    <row r="2808" spans="1:33" ht="16.899999999999999" customHeight="1">
      <c r="A2808" s="424"/>
      <c r="B2808" s="424" t="s">
        <v>566</v>
      </c>
      <c r="C2808" s="424" t="s">
        <v>1296</v>
      </c>
      <c r="D2808" s="1598"/>
      <c r="E2808" s="2104" t="s">
        <v>2035</v>
      </c>
      <c r="F2808" s="438">
        <v>2122</v>
      </c>
      <c r="G2808" s="1014" t="s">
        <v>1042</v>
      </c>
      <c r="H2808" s="1033"/>
      <c r="I2808" s="1034">
        <v>3940</v>
      </c>
      <c r="J2808" s="1035">
        <v>3940</v>
      </c>
      <c r="K2808" s="1036"/>
      <c r="L2808" s="3672"/>
      <c r="M2808" s="3680"/>
      <c r="N2808" s="2847"/>
      <c r="O2808" s="86"/>
      <c r="P2808" s="1817" t="e">
        <f>INDEX(#REF!,MATCH(F2808,#REF!,0),2)</f>
        <v>#REF!</v>
      </c>
      <c r="Q2808" s="1779"/>
      <c r="R2808" s="1779"/>
      <c r="S2808" s="1779"/>
      <c r="T2808" s="1779"/>
      <c r="U2808" s="1779"/>
      <c r="V2808" s="1779"/>
      <c r="W2808" s="43"/>
      <c r="X2808" s="1779"/>
      <c r="Y2808" s="1779"/>
      <c r="Z2808" s="1779"/>
      <c r="AA2808" s="1779"/>
      <c r="AB2808" s="1779"/>
      <c r="AC2808" s="1779"/>
      <c r="AD2808" s="1779"/>
      <c r="AE2808" s="1779"/>
      <c r="AF2808" s="1779"/>
      <c r="AG2808" s="1779"/>
    </row>
    <row r="2809" spans="1:33" ht="16.899999999999999" customHeight="1">
      <c r="A2809" s="424"/>
      <c r="B2809" s="424" t="s">
        <v>566</v>
      </c>
      <c r="C2809" s="424" t="s">
        <v>1296</v>
      </c>
      <c r="D2809" s="1598"/>
      <c r="E2809" s="2104" t="s">
        <v>2035</v>
      </c>
      <c r="F2809" s="438">
        <v>2122</v>
      </c>
      <c r="G2809" s="1014" t="s">
        <v>1043</v>
      </c>
      <c r="H2809" s="1033"/>
      <c r="I2809" s="1034">
        <v>8346</v>
      </c>
      <c r="J2809" s="1035">
        <v>8346</v>
      </c>
      <c r="K2809" s="1036"/>
      <c r="L2809" s="3672"/>
      <c r="M2809" s="3680"/>
      <c r="N2809" s="2847"/>
      <c r="O2809" s="86"/>
      <c r="P2809" s="1817" t="e">
        <f>INDEX(#REF!,MATCH(F2809,#REF!,0),2)</f>
        <v>#REF!</v>
      </c>
      <c r="Q2809" s="1779"/>
      <c r="R2809" s="1779"/>
      <c r="S2809" s="1779"/>
      <c r="T2809" s="1779"/>
      <c r="U2809" s="1779"/>
      <c r="V2809" s="1779"/>
      <c r="W2809" s="43"/>
      <c r="X2809" s="1779"/>
      <c r="Y2809" s="1779"/>
      <c r="Z2809" s="1779"/>
      <c r="AA2809" s="1779"/>
      <c r="AB2809" s="1779"/>
      <c r="AC2809" s="1779"/>
      <c r="AD2809" s="1779"/>
      <c r="AE2809" s="1779"/>
      <c r="AF2809" s="1779"/>
      <c r="AG2809" s="1779"/>
    </row>
    <row r="2810" spans="1:33" ht="16.899999999999999" customHeight="1">
      <c r="A2810" s="424"/>
      <c r="B2810" s="424" t="s">
        <v>566</v>
      </c>
      <c r="C2810" s="424" t="s">
        <v>1296</v>
      </c>
      <c r="D2810" s="1598"/>
      <c r="E2810" s="2104" t="s">
        <v>2035</v>
      </c>
      <c r="F2810" s="438">
        <v>2122</v>
      </c>
      <c r="G2810" s="1014" t="s">
        <v>1040</v>
      </c>
      <c r="H2810" s="1033"/>
      <c r="I2810" s="1034">
        <v>15425</v>
      </c>
      <c r="J2810" s="1035">
        <v>15425</v>
      </c>
      <c r="K2810" s="1036"/>
      <c r="L2810" s="3672"/>
      <c r="M2810" s="3680"/>
      <c r="N2810" s="2847"/>
      <c r="O2810" s="86"/>
      <c r="P2810" s="1817" t="e">
        <f>INDEX(#REF!,MATCH(F2810,#REF!,0),2)</f>
        <v>#REF!</v>
      </c>
      <c r="Q2810" s="1779"/>
      <c r="R2810" s="1779"/>
      <c r="S2810" s="1779"/>
      <c r="T2810" s="1779"/>
      <c r="U2810" s="1779"/>
      <c r="V2810" s="1779"/>
      <c r="W2810" s="43"/>
      <c r="X2810" s="1779"/>
      <c r="Y2810" s="1779"/>
      <c r="Z2810" s="1779"/>
      <c r="AA2810" s="1779"/>
      <c r="AB2810" s="1779"/>
      <c r="AC2810" s="1779"/>
      <c r="AD2810" s="1779"/>
      <c r="AE2810" s="1779"/>
      <c r="AF2810" s="1779"/>
      <c r="AG2810" s="1779"/>
    </row>
    <row r="2811" spans="1:33" ht="25.9" customHeight="1">
      <c r="A2811" s="424"/>
      <c r="B2811" s="424" t="s">
        <v>566</v>
      </c>
      <c r="C2811" s="424" t="s">
        <v>1296</v>
      </c>
      <c r="D2811" s="1598"/>
      <c r="E2811" s="2104" t="s">
        <v>2035</v>
      </c>
      <c r="F2811" s="438">
        <v>2122</v>
      </c>
      <c r="G2811" s="1014" t="s">
        <v>1041</v>
      </c>
      <c r="H2811" s="1033"/>
      <c r="I2811" s="1034">
        <v>15345</v>
      </c>
      <c r="J2811" s="1035">
        <v>15345</v>
      </c>
      <c r="K2811" s="1036"/>
      <c r="L2811" s="3672"/>
      <c r="M2811" s="3680"/>
      <c r="N2811" s="2847"/>
      <c r="O2811" s="86"/>
      <c r="P2811" s="1817"/>
      <c r="Q2811" s="1779"/>
      <c r="R2811" s="1779"/>
      <c r="S2811" s="1779"/>
      <c r="T2811" s="1779"/>
      <c r="U2811" s="1779"/>
      <c r="V2811" s="1779"/>
      <c r="W2811" s="43"/>
      <c r="X2811" s="1779"/>
      <c r="Y2811" s="1779"/>
      <c r="Z2811" s="1779"/>
      <c r="AA2811" s="1779"/>
      <c r="AB2811" s="1779"/>
      <c r="AC2811" s="1779"/>
      <c r="AD2811" s="1779"/>
      <c r="AE2811" s="1779"/>
      <c r="AF2811" s="1779"/>
      <c r="AG2811" s="1779"/>
    </row>
    <row r="2812" spans="1:33" ht="36.6" customHeight="1">
      <c r="A2812" s="424" t="s">
        <v>873</v>
      </c>
      <c r="B2812" s="424" t="s">
        <v>566</v>
      </c>
      <c r="C2812" s="424" t="s">
        <v>1296</v>
      </c>
      <c r="D2812" s="1598"/>
      <c r="E2812" s="2104" t="s">
        <v>2035</v>
      </c>
      <c r="F2812" s="438">
        <v>2122</v>
      </c>
      <c r="G2812" s="1014" t="s">
        <v>1461</v>
      </c>
      <c r="H2812" s="1037"/>
      <c r="I2812" s="1033">
        <v>20810</v>
      </c>
      <c r="J2812" s="1035">
        <v>20810</v>
      </c>
      <c r="K2812" s="1036"/>
      <c r="L2812" s="1038"/>
      <c r="M2812" s="3680"/>
      <c r="N2812" s="2847"/>
      <c r="O2812" s="86"/>
      <c r="P2812" s="1817" t="e">
        <f>INDEX(#REF!,MATCH(F2812,#REF!,0),2)</f>
        <v>#REF!</v>
      </c>
      <c r="Q2812" s="1779"/>
      <c r="R2812" s="1779"/>
      <c r="S2812" s="1779"/>
      <c r="T2812" s="1779"/>
      <c r="U2812" s="1779"/>
      <c r="V2812" s="1779"/>
      <c r="W2812" s="43"/>
      <c r="X2812" s="1779"/>
      <c r="Y2812" s="1779"/>
      <c r="Z2812" s="1779"/>
      <c r="AA2812" s="1779"/>
      <c r="AB2812" s="1779"/>
      <c r="AC2812" s="1779"/>
      <c r="AD2812" s="1779"/>
      <c r="AE2812" s="1779"/>
      <c r="AF2812" s="1779"/>
      <c r="AG2812" s="1779"/>
    </row>
    <row r="2813" spans="1:33" ht="25.9" customHeight="1">
      <c r="A2813" s="2790"/>
      <c r="B2813" s="424" t="s">
        <v>566</v>
      </c>
      <c r="C2813" s="424" t="s">
        <v>1296</v>
      </c>
      <c r="D2813" s="1598"/>
      <c r="E2813" s="2104" t="s">
        <v>2035</v>
      </c>
      <c r="F2813" s="438">
        <v>2122</v>
      </c>
      <c r="G2813" s="3666" t="s">
        <v>4939</v>
      </c>
      <c r="H2813" s="3678"/>
      <c r="I2813" s="3667"/>
      <c r="J2813" s="3669">
        <v>18000</v>
      </c>
      <c r="K2813" s="3670"/>
      <c r="L2813" s="3681"/>
      <c r="M2813" s="3682"/>
      <c r="N2813" s="2847"/>
      <c r="O2813" s="86"/>
      <c r="P2813" s="1817" t="e">
        <f>INDEX(#REF!,MATCH(F2813,#REF!,0),2)</f>
        <v>#REF!</v>
      </c>
      <c r="Q2813" s="1779"/>
      <c r="R2813" s="1779"/>
      <c r="S2813" s="1779"/>
      <c r="T2813" s="1779"/>
      <c r="U2813" s="1779"/>
      <c r="V2813" s="1779"/>
      <c r="W2813" s="43"/>
      <c r="X2813" s="1779"/>
      <c r="Y2813" s="1779"/>
      <c r="Z2813" s="1779"/>
      <c r="AA2813" s="1779"/>
      <c r="AB2813" s="1779"/>
      <c r="AC2813" s="1779"/>
      <c r="AD2813" s="1779"/>
      <c r="AE2813" s="1779"/>
      <c r="AF2813" s="1779"/>
      <c r="AG2813" s="1779"/>
    </row>
    <row r="2814" spans="1:33" ht="25.9" customHeight="1">
      <c r="A2814" s="1563"/>
      <c r="B2814" s="424" t="s">
        <v>566</v>
      </c>
      <c r="C2814" s="424" t="s">
        <v>1296</v>
      </c>
      <c r="D2814" s="1598"/>
      <c r="E2814" s="2104" t="s">
        <v>2035</v>
      </c>
      <c r="F2814" s="438">
        <v>2122</v>
      </c>
      <c r="G2814" s="1678" t="s">
        <v>2336</v>
      </c>
      <c r="H2814" s="1673"/>
      <c r="I2814" s="1674">
        <v>16240</v>
      </c>
      <c r="J2814" s="1675">
        <v>16240</v>
      </c>
      <c r="K2814" s="1676"/>
      <c r="L2814" s="1680"/>
      <c r="M2814" s="3683"/>
      <c r="N2814" s="2847"/>
      <c r="O2814" s="86"/>
      <c r="P2814" s="1817"/>
      <c r="Q2814" s="1779"/>
      <c r="R2814" s="1779"/>
      <c r="S2814" s="1779"/>
      <c r="T2814" s="1779"/>
      <c r="U2814" s="1779"/>
      <c r="V2814" s="1779"/>
      <c r="W2814" s="43"/>
      <c r="X2814" s="1779"/>
      <c r="Y2814" s="1779"/>
      <c r="Z2814" s="1779"/>
      <c r="AA2814" s="1779"/>
      <c r="AB2814" s="1779"/>
      <c r="AC2814" s="1779"/>
      <c r="AD2814" s="1779"/>
      <c r="AE2814" s="1779"/>
      <c r="AF2814" s="1779"/>
      <c r="AG2814" s="1779"/>
    </row>
    <row r="2815" spans="1:33" ht="42" customHeight="1">
      <c r="A2815" s="1563"/>
      <c r="B2815" s="424" t="s">
        <v>566</v>
      </c>
      <c r="C2815" s="424" t="s">
        <v>1296</v>
      </c>
      <c r="D2815" s="1598"/>
      <c r="E2815" s="2104" t="s">
        <v>2035</v>
      </c>
      <c r="F2815" s="438">
        <v>2122</v>
      </c>
      <c r="G2815" s="1679" t="s">
        <v>2337</v>
      </c>
      <c r="H2815" s="1673"/>
      <c r="I2815" s="1674">
        <v>272638</v>
      </c>
      <c r="J2815" s="1675">
        <v>104489</v>
      </c>
      <c r="K2815" s="1676"/>
      <c r="L2815" s="1680"/>
      <c r="M2815" s="3683">
        <v>168149</v>
      </c>
      <c r="N2815" s="2847"/>
      <c r="O2815" s="86"/>
      <c r="P2815" s="1817" t="e">
        <f>INDEX(#REF!,MATCH(F2815,#REF!,0),2)</f>
        <v>#REF!</v>
      </c>
      <c r="Q2815" s="1779"/>
      <c r="R2815" s="1779"/>
      <c r="S2815" s="1779"/>
      <c r="T2815" s="1779"/>
      <c r="U2815" s="1779"/>
      <c r="V2815" s="1779"/>
      <c r="W2815" s="43"/>
      <c r="X2815" s="1779"/>
      <c r="Y2815" s="1779"/>
      <c r="Z2815" s="1779"/>
      <c r="AA2815" s="1779"/>
      <c r="AB2815" s="1779"/>
      <c r="AC2815" s="1779"/>
      <c r="AD2815" s="1779"/>
      <c r="AE2815" s="1779"/>
      <c r="AF2815" s="1779"/>
      <c r="AG2815" s="1779"/>
    </row>
    <row r="2816" spans="1:33" ht="11.45" customHeight="1">
      <c r="A2816" s="2790"/>
      <c r="B2816" s="424" t="s">
        <v>566</v>
      </c>
      <c r="C2816" s="424" t="s">
        <v>1296</v>
      </c>
      <c r="D2816" s="1598"/>
      <c r="E2816" s="2104" t="s">
        <v>2035</v>
      </c>
      <c r="F2816" s="438">
        <v>2122</v>
      </c>
      <c r="G2816" s="3677" t="s">
        <v>4940</v>
      </c>
      <c r="H2816" s="3678"/>
      <c r="I2816" s="3667"/>
      <c r="J2816" s="3669"/>
      <c r="K2816" s="3670"/>
      <c r="L2816" s="3681"/>
      <c r="M2816" s="3682">
        <v>51444</v>
      </c>
      <c r="N2816" s="2847"/>
      <c r="O2816" s="86"/>
      <c r="P2816" s="1817" t="e">
        <f>INDEX(#REF!,MATCH(F2816,#REF!,0),2)</f>
        <v>#REF!</v>
      </c>
      <c r="Q2816" s="1779"/>
      <c r="R2816" s="1779"/>
      <c r="S2816" s="1779"/>
      <c r="T2816" s="1779"/>
      <c r="U2816" s="1779"/>
      <c r="V2816" s="1779"/>
      <c r="W2816" s="43"/>
      <c r="X2816" s="1779"/>
      <c r="Y2816" s="1779"/>
      <c r="Z2816" s="1779"/>
      <c r="AA2816" s="1779"/>
      <c r="AB2816" s="1779"/>
      <c r="AC2816" s="1779"/>
      <c r="AD2816" s="1779"/>
      <c r="AE2816" s="1779"/>
      <c r="AF2816" s="1779"/>
      <c r="AG2816" s="1779"/>
    </row>
    <row r="2817" spans="1:33" ht="20.45" customHeight="1">
      <c r="A2817" s="1882"/>
      <c r="B2817" s="424" t="s">
        <v>566</v>
      </c>
      <c r="C2817" s="424" t="s">
        <v>1296</v>
      </c>
      <c r="D2817" s="1598"/>
      <c r="E2817" s="2104" t="s">
        <v>2035</v>
      </c>
      <c r="F2817" s="438">
        <v>2122</v>
      </c>
      <c r="G2817" s="1679" t="s">
        <v>3169</v>
      </c>
      <c r="H2817" s="1673"/>
      <c r="I2817" s="1674">
        <v>-15000</v>
      </c>
      <c r="J2817" s="1675"/>
      <c r="K2817" s="1676"/>
      <c r="L2817" s="1677"/>
      <c r="M2817" s="2457"/>
      <c r="N2817" s="2847"/>
      <c r="O2817" s="86"/>
      <c r="P2817" s="1817" t="e">
        <f>INDEX(#REF!,MATCH(F2817,#REF!,0),2)</f>
        <v>#REF!</v>
      </c>
      <c r="Q2817" s="1779"/>
      <c r="R2817" s="1779"/>
      <c r="S2817" s="1779"/>
      <c r="T2817" s="1779"/>
      <c r="U2817" s="1779"/>
      <c r="V2817" s="1779"/>
      <c r="W2817" s="43"/>
      <c r="X2817" s="1779"/>
      <c r="Y2817" s="1779"/>
      <c r="Z2817" s="1779"/>
      <c r="AA2817" s="1779"/>
      <c r="AB2817" s="1779"/>
      <c r="AC2817" s="1779"/>
      <c r="AD2817" s="1779"/>
      <c r="AE2817" s="1779"/>
      <c r="AF2817" s="1779"/>
      <c r="AG2817" s="1779"/>
    </row>
    <row r="2818" spans="1:33" ht="22.5">
      <c r="A2818" s="1882"/>
      <c r="B2818" s="424" t="s">
        <v>566</v>
      </c>
      <c r="C2818" s="424" t="s">
        <v>1296</v>
      </c>
      <c r="D2818" s="1598"/>
      <c r="E2818" s="2104" t="s">
        <v>2035</v>
      </c>
      <c r="F2818" s="438">
        <v>2122</v>
      </c>
      <c r="G2818" s="1679" t="s">
        <v>3170</v>
      </c>
      <c r="H2818" s="1673"/>
      <c r="I2818" s="1674">
        <v>-30000</v>
      </c>
      <c r="J2818" s="1675"/>
      <c r="K2818" s="1676"/>
      <c r="L2818" s="1677"/>
      <c r="M2818" s="2457"/>
      <c r="N2818" s="2847"/>
      <c r="O2818" s="86"/>
      <c r="P2818" s="1817" t="e">
        <f>INDEX(#REF!,MATCH(F2818,#REF!,0),2)</f>
        <v>#REF!</v>
      </c>
      <c r="Q2818" s="1779"/>
      <c r="R2818" s="1779"/>
      <c r="S2818" s="1779"/>
      <c r="T2818" s="1779"/>
      <c r="U2818" s="1779"/>
      <c r="V2818" s="1779"/>
      <c r="W2818" s="43"/>
      <c r="X2818" s="1779"/>
      <c r="Y2818" s="1779"/>
      <c r="Z2818" s="1779"/>
      <c r="AA2818" s="1779"/>
      <c r="AB2818" s="1779"/>
      <c r="AC2818" s="1779"/>
      <c r="AD2818" s="1779"/>
      <c r="AE2818" s="1779"/>
      <c r="AF2818" s="1779"/>
      <c r="AG2818" s="1779"/>
    </row>
    <row r="2819" spans="1:33" ht="18" customHeight="1">
      <c r="A2819" s="424"/>
      <c r="B2819" s="424" t="s">
        <v>566</v>
      </c>
      <c r="C2819" s="424" t="s">
        <v>1296</v>
      </c>
      <c r="D2819" s="1598"/>
      <c r="E2819" s="2104" t="s">
        <v>2035</v>
      </c>
      <c r="F2819" s="438">
        <v>2122</v>
      </c>
      <c r="G2819" s="2215" t="s">
        <v>3097</v>
      </c>
      <c r="H2819" s="1033"/>
      <c r="I2819" s="1034">
        <v>-112791</v>
      </c>
      <c r="J2819" s="1035"/>
      <c r="K2819" s="1036"/>
      <c r="L2819" s="1061"/>
      <c r="M2819" s="1514"/>
      <c r="N2819" s="2847"/>
      <c r="O2819" s="86"/>
      <c r="P2819" s="1817" t="e">
        <f>INDEX(#REF!,MATCH(F2819,#REF!,0),2)</f>
        <v>#REF!</v>
      </c>
      <c r="Q2819" s="1779"/>
      <c r="R2819" s="1779"/>
      <c r="S2819" s="1779"/>
      <c r="T2819" s="1779"/>
      <c r="U2819" s="1779"/>
      <c r="V2819" s="1779"/>
      <c r="W2819" s="43"/>
      <c r="X2819" s="1779"/>
      <c r="Y2819" s="1779"/>
      <c r="Z2819" s="1779"/>
      <c r="AA2819" s="1779"/>
      <c r="AB2819" s="1779"/>
      <c r="AC2819" s="1779"/>
      <c r="AD2819" s="1779"/>
      <c r="AE2819" s="1779"/>
      <c r="AF2819" s="1779"/>
      <c r="AG2819" s="1779"/>
    </row>
    <row r="2820" spans="1:33" ht="18" customHeight="1">
      <c r="A2820" s="634"/>
      <c r="B2820" s="634" t="s">
        <v>1248</v>
      </c>
      <c r="C2820" s="634" t="s">
        <v>505</v>
      </c>
      <c r="D2820" s="1597">
        <v>950</v>
      </c>
      <c r="E2820" s="2093" t="s">
        <v>1912</v>
      </c>
      <c r="F2820" s="635">
        <v>2210</v>
      </c>
      <c r="G2820" s="432" t="s">
        <v>879</v>
      </c>
      <c r="H2820" s="641">
        <v>2990</v>
      </c>
      <c r="I2820" s="1683"/>
      <c r="J2820" s="628">
        <v>5547.48</v>
      </c>
      <c r="K2820" s="629"/>
      <c r="L2820" s="641">
        <v>6876</v>
      </c>
      <c r="M2820" s="642"/>
      <c r="N2820" s="3506"/>
      <c r="O2820" s="86"/>
      <c r="P2820" s="1817"/>
      <c r="Q2820" s="1779"/>
      <c r="R2820" s="1779"/>
      <c r="S2820" s="1779"/>
      <c r="T2820" s="1779"/>
      <c r="U2820" s="1779"/>
      <c r="V2820" s="1779"/>
      <c r="W2820" s="43"/>
      <c r="X2820" s="1779"/>
      <c r="Y2820" s="1779"/>
      <c r="Z2820" s="1779"/>
      <c r="AA2820" s="1779"/>
      <c r="AB2820" s="1779"/>
      <c r="AC2820" s="1779"/>
      <c r="AD2820" s="1779"/>
      <c r="AE2820" s="1779"/>
      <c r="AF2820" s="1779"/>
      <c r="AG2820" s="1779"/>
    </row>
    <row r="2821" spans="1:33" ht="18" customHeight="1">
      <c r="A2821" s="424"/>
      <c r="B2821" s="651" t="s">
        <v>1248</v>
      </c>
      <c r="C2821" s="651" t="s">
        <v>505</v>
      </c>
      <c r="D2821" s="1598"/>
      <c r="E2821" s="2104" t="s">
        <v>1912</v>
      </c>
      <c r="F2821" s="438">
        <v>2210</v>
      </c>
      <c r="G2821" s="3698" t="s">
        <v>5003</v>
      </c>
      <c r="H2821" s="670"/>
      <c r="I2821" s="455">
        <v>650</v>
      </c>
      <c r="J2821" s="650"/>
      <c r="K2821" s="667"/>
      <c r="L2821" s="670"/>
      <c r="M2821" s="3704">
        <v>840</v>
      </c>
      <c r="N2821" s="2847" t="s">
        <v>5002</v>
      </c>
      <c r="O2821" s="86"/>
      <c r="P2821" s="1817" t="e">
        <f>INDEX(#REF!,MATCH(F2821,#REF!,0),2)</f>
        <v>#REF!</v>
      </c>
      <c r="Q2821" s="1779"/>
      <c r="R2821" s="1779"/>
      <c r="S2821" s="1779"/>
      <c r="T2821" s="1779"/>
      <c r="U2821" s="1779"/>
      <c r="V2821" s="1779"/>
      <c r="W2821" s="43"/>
      <c r="X2821" s="1779"/>
      <c r="Y2821" s="1779"/>
      <c r="Z2821" s="1779"/>
      <c r="AA2821" s="1779"/>
      <c r="AB2821" s="1779"/>
      <c r="AC2821" s="1779"/>
      <c r="AD2821" s="1779"/>
      <c r="AE2821" s="1779"/>
      <c r="AF2821" s="1779"/>
      <c r="AG2821" s="1779"/>
    </row>
    <row r="2822" spans="1:33" ht="18" customHeight="1">
      <c r="A2822" s="2790"/>
      <c r="B2822" s="651" t="s">
        <v>1248</v>
      </c>
      <c r="C2822" s="651" t="s">
        <v>505</v>
      </c>
      <c r="D2822" s="1598"/>
      <c r="E2822" s="2104" t="s">
        <v>1912</v>
      </c>
      <c r="F2822" s="438">
        <v>2210</v>
      </c>
      <c r="G2822" s="3689" t="s">
        <v>5006</v>
      </c>
      <c r="H2822" s="3591"/>
      <c r="I2822" s="3588"/>
      <c r="J2822" s="3589"/>
      <c r="K2822" s="3590"/>
      <c r="L2822" s="3591"/>
      <c r="M2822" s="3702">
        <v>5736</v>
      </c>
      <c r="N2822" s="2847" t="s">
        <v>5007</v>
      </c>
      <c r="O2822" s="86"/>
      <c r="P2822" s="1817" t="e">
        <f>INDEX(#REF!,MATCH(F2822,#REF!,0),2)</f>
        <v>#REF!</v>
      </c>
      <c r="Q2822" s="1779"/>
      <c r="R2822" s="1779"/>
      <c r="S2822" s="1779"/>
      <c r="T2822" s="1779"/>
      <c r="U2822" s="1779"/>
      <c r="V2822" s="1779"/>
      <c r="W2822" s="43"/>
      <c r="X2822" s="1779"/>
      <c r="Y2822" s="1779"/>
      <c r="Z2822" s="1779"/>
      <c r="AA2822" s="1779"/>
      <c r="AB2822" s="1779"/>
      <c r="AC2822" s="1779"/>
      <c r="AD2822" s="1779"/>
      <c r="AE2822" s="1779"/>
      <c r="AF2822" s="1779"/>
      <c r="AG2822" s="1779"/>
    </row>
    <row r="2823" spans="1:33" ht="18" customHeight="1">
      <c r="A2823" s="424"/>
      <c r="B2823" s="651" t="s">
        <v>1248</v>
      </c>
      <c r="C2823" s="651" t="s">
        <v>505</v>
      </c>
      <c r="D2823" s="1598"/>
      <c r="E2823" s="2104" t="s">
        <v>1912</v>
      </c>
      <c r="F2823" s="438">
        <v>2210</v>
      </c>
      <c r="G2823" s="1682" t="s">
        <v>604</v>
      </c>
      <c r="H2823" s="670"/>
      <c r="I2823" s="672">
        <v>300</v>
      </c>
      <c r="J2823" s="650"/>
      <c r="K2823" s="667"/>
      <c r="L2823" s="670"/>
      <c r="M2823" s="3703">
        <v>300</v>
      </c>
      <c r="N2823" s="2847"/>
      <c r="O2823" s="86"/>
      <c r="P2823" s="1817" t="e">
        <f>INDEX(#REF!,MATCH(F2823,#REF!,0),2)</f>
        <v>#REF!</v>
      </c>
      <c r="Q2823" s="1779"/>
      <c r="R2823" s="1779"/>
      <c r="S2823" s="1779"/>
      <c r="T2823" s="1779"/>
      <c r="U2823" s="1779"/>
      <c r="V2823" s="1779"/>
      <c r="W2823" s="43"/>
      <c r="X2823" s="1779"/>
      <c r="Y2823" s="1779"/>
      <c r="Z2823" s="1779"/>
      <c r="AA2823" s="1779"/>
      <c r="AB2823" s="1779"/>
      <c r="AC2823" s="1779"/>
      <c r="AD2823" s="1779"/>
      <c r="AE2823" s="1779"/>
      <c r="AF2823" s="1779"/>
      <c r="AG2823" s="1779"/>
    </row>
    <row r="2824" spans="1:33">
      <c r="A2824" s="424"/>
      <c r="B2824" s="651" t="s">
        <v>1248</v>
      </c>
      <c r="C2824" s="651" t="s">
        <v>505</v>
      </c>
      <c r="D2824" s="1598"/>
      <c r="E2824" s="2104" t="s">
        <v>1912</v>
      </c>
      <c r="F2824" s="438">
        <v>2210</v>
      </c>
      <c r="G2824" s="1682" t="s">
        <v>2339</v>
      </c>
      <c r="H2824" s="670"/>
      <c r="I2824" s="672">
        <v>2040</v>
      </c>
      <c r="J2824" s="650"/>
      <c r="K2824" s="667"/>
      <c r="L2824" s="670"/>
      <c r="M2824" s="3710"/>
      <c r="N2824" s="2847"/>
      <c r="O2824" s="86"/>
      <c r="P2824" s="1817" t="e">
        <f>INDEX(#REF!,MATCH(F2824,#REF!,0),2)</f>
        <v>#REF!</v>
      </c>
      <c r="Q2824" s="1779"/>
      <c r="R2824" s="1779"/>
      <c r="S2824" s="1779"/>
      <c r="T2824" s="1779"/>
      <c r="U2824" s="1779"/>
      <c r="V2824" s="1779"/>
      <c r="W2824" s="43"/>
      <c r="X2824" s="1779"/>
      <c r="Y2824" s="1779"/>
      <c r="Z2824" s="1779"/>
      <c r="AA2824" s="1779"/>
      <c r="AB2824" s="1779"/>
      <c r="AC2824" s="1779"/>
      <c r="AD2824" s="1779"/>
      <c r="AE2824" s="1779"/>
      <c r="AF2824" s="1779"/>
      <c r="AG2824" s="1779"/>
    </row>
    <row r="2825" spans="1:33" ht="18" customHeight="1">
      <c r="A2825" s="634"/>
      <c r="B2825" s="634" t="s">
        <v>1248</v>
      </c>
      <c r="C2825" s="634" t="s">
        <v>505</v>
      </c>
      <c r="D2825" s="1597">
        <v>950</v>
      </c>
      <c r="E2825" s="2093" t="s">
        <v>1912</v>
      </c>
      <c r="F2825" s="635">
        <v>2222</v>
      </c>
      <c r="G2825" s="432" t="s">
        <v>272</v>
      </c>
      <c r="H2825" s="641">
        <v>11000</v>
      </c>
      <c r="I2825" s="1687"/>
      <c r="J2825" s="628">
        <v>6780.9</v>
      </c>
      <c r="K2825" s="629"/>
      <c r="L2825" s="641">
        <v>11000</v>
      </c>
      <c r="M2825" s="3711"/>
      <c r="N2825" s="2847"/>
      <c r="O2825" s="86"/>
      <c r="P2825" s="1817" t="e">
        <f>INDEX(#REF!,MATCH(F2825,#REF!,0),2)</f>
        <v>#REF!</v>
      </c>
      <c r="Q2825" s="1779"/>
      <c r="R2825" s="1779"/>
      <c r="S2825" s="1779"/>
      <c r="T2825" s="1779"/>
      <c r="U2825" s="1779"/>
      <c r="V2825" s="1779"/>
      <c r="W2825" s="43"/>
      <c r="X2825" s="1779"/>
      <c r="Y2825" s="1779"/>
      <c r="Z2825" s="1779"/>
      <c r="AA2825" s="1779"/>
      <c r="AB2825" s="1779"/>
      <c r="AC2825" s="1779"/>
      <c r="AD2825" s="1779"/>
      <c r="AE2825" s="1779"/>
      <c r="AF2825" s="1779"/>
      <c r="AG2825" s="1779"/>
    </row>
    <row r="2826" spans="1:33">
      <c r="A2826" s="424"/>
      <c r="B2826" s="424" t="s">
        <v>1248</v>
      </c>
      <c r="C2826" s="424" t="s">
        <v>505</v>
      </c>
      <c r="D2826" s="1598"/>
      <c r="E2826" s="2104" t="s">
        <v>1912</v>
      </c>
      <c r="F2826" s="438">
        <v>2222</v>
      </c>
      <c r="G2826" s="54" t="s">
        <v>372</v>
      </c>
      <c r="H2826" s="672"/>
      <c r="I2826" s="455">
        <v>11000</v>
      </c>
      <c r="J2826" s="650"/>
      <c r="K2826" s="667"/>
      <c r="L2826" s="672"/>
      <c r="M2826" s="3702">
        <v>11000</v>
      </c>
      <c r="N2826" s="2847" t="s">
        <v>5008</v>
      </c>
      <c r="O2826" s="86"/>
      <c r="P2826" s="1817" t="e">
        <f>INDEX(#REF!,MATCH(F2826,#REF!,0),2)</f>
        <v>#REF!</v>
      </c>
      <c r="Q2826" s="1779"/>
      <c r="R2826" s="1779"/>
      <c r="S2826" s="1779"/>
      <c r="T2826" s="1779"/>
      <c r="U2826" s="1779"/>
      <c r="V2826" s="1779"/>
      <c r="W2826" s="43"/>
      <c r="X2826" s="1779"/>
      <c r="Y2826" s="1779"/>
      <c r="Z2826" s="1779"/>
      <c r="AA2826" s="1779"/>
      <c r="AB2826" s="1779"/>
      <c r="AC2826" s="1779"/>
      <c r="AD2826" s="1779"/>
      <c r="AE2826" s="1779"/>
      <c r="AF2826" s="1779"/>
      <c r="AG2826" s="1779"/>
    </row>
    <row r="2827" spans="1:33" ht="11.45" customHeight="1">
      <c r="A2827" s="634"/>
      <c r="B2827" s="634" t="s">
        <v>1248</v>
      </c>
      <c r="C2827" s="634" t="s">
        <v>505</v>
      </c>
      <c r="D2827" s="1597">
        <v>950</v>
      </c>
      <c r="E2827" s="2093" t="s">
        <v>1912</v>
      </c>
      <c r="F2827" s="635">
        <v>2223</v>
      </c>
      <c r="G2827" s="432" t="s">
        <v>273</v>
      </c>
      <c r="H2827" s="641">
        <v>104000</v>
      </c>
      <c r="I2827" s="1686"/>
      <c r="J2827" s="628">
        <v>85783</v>
      </c>
      <c r="K2827" s="629"/>
      <c r="L2827" s="641">
        <v>95000</v>
      </c>
      <c r="M2827" s="3712"/>
      <c r="N2827" s="241" t="s">
        <v>6111</v>
      </c>
      <c r="O2827" s="86"/>
      <c r="P2827" s="1817" t="e">
        <f>INDEX(#REF!,MATCH(F2827,#REF!,0),2)</f>
        <v>#REF!</v>
      </c>
      <c r="Q2827" s="1779"/>
      <c r="R2827" s="1779"/>
      <c r="S2827" s="1779"/>
      <c r="T2827" s="1779"/>
      <c r="U2827" s="1779"/>
      <c r="V2827" s="1779"/>
      <c r="W2827" s="43"/>
      <c r="X2827" s="1779"/>
      <c r="Y2827" s="1779"/>
      <c r="Z2827" s="1779"/>
      <c r="AA2827" s="1779"/>
      <c r="AB2827" s="1779"/>
      <c r="AC2827" s="1779"/>
      <c r="AD2827" s="1779"/>
      <c r="AE2827" s="1779"/>
      <c r="AF2827" s="1779"/>
      <c r="AG2827" s="1779"/>
    </row>
    <row r="2828" spans="1:33" ht="22.5">
      <c r="A2828" s="424"/>
      <c r="B2828" s="424" t="s">
        <v>1248</v>
      </c>
      <c r="C2828" s="673" t="s">
        <v>505</v>
      </c>
      <c r="D2828" s="1598"/>
      <c r="E2828" s="2104" t="s">
        <v>1912</v>
      </c>
      <c r="F2828" s="438">
        <v>2223</v>
      </c>
      <c r="G2828" s="425" t="s">
        <v>302</v>
      </c>
      <c r="H2828" s="671"/>
      <c r="I2828" s="455">
        <v>104000</v>
      </c>
      <c r="J2828" s="650"/>
      <c r="K2828" s="667"/>
      <c r="L2828" s="3705"/>
      <c r="M2828" s="4298">
        <v>95000</v>
      </c>
      <c r="N2828" s="2846" t="s">
        <v>5009</v>
      </c>
      <c r="O2828" s="86"/>
      <c r="P2828" s="1817" t="e">
        <f>INDEX(#REF!,MATCH(F2828,#REF!,0),2)</f>
        <v>#REF!</v>
      </c>
      <c r="Q2828" s="1779"/>
      <c r="R2828" s="1779"/>
      <c r="S2828" s="1779"/>
      <c r="T2828" s="1779"/>
      <c r="U2828" s="1779"/>
      <c r="V2828" s="1779"/>
      <c r="W2828" s="43"/>
      <c r="X2828" s="1779"/>
      <c r="Y2828" s="1779"/>
      <c r="Z2828" s="1779"/>
      <c r="AA2828" s="1779"/>
      <c r="AB2828" s="1779"/>
      <c r="AC2828" s="1779"/>
      <c r="AD2828" s="1779"/>
      <c r="AE2828" s="1779"/>
      <c r="AF2828" s="1779"/>
      <c r="AG2828" s="1779"/>
    </row>
    <row r="2829" spans="1:33" ht="33.75">
      <c r="A2829" s="634"/>
      <c r="B2829" s="634" t="s">
        <v>1248</v>
      </c>
      <c r="C2829" s="634" t="s">
        <v>505</v>
      </c>
      <c r="D2829" s="1597">
        <v>950</v>
      </c>
      <c r="E2829" s="2093" t="s">
        <v>1912</v>
      </c>
      <c r="F2829" s="635">
        <v>2224</v>
      </c>
      <c r="G2829" s="432" t="s">
        <v>274</v>
      </c>
      <c r="H2829" s="641">
        <v>15000</v>
      </c>
      <c r="I2829" s="1686"/>
      <c r="J2829" s="628">
        <v>12611.27</v>
      </c>
      <c r="K2829" s="629"/>
      <c r="L2829" s="641">
        <v>17000</v>
      </c>
      <c r="M2829" s="3712"/>
      <c r="N2829" s="2847"/>
      <c r="O2829" s="86"/>
      <c r="P2829" s="1817" t="e">
        <f>INDEX(#REF!,MATCH(F2829,#REF!,0),2)</f>
        <v>#REF!</v>
      </c>
      <c r="Q2829" s="1779"/>
      <c r="R2829" s="1779"/>
      <c r="S2829" s="1779"/>
      <c r="T2829" s="1779"/>
      <c r="U2829" s="1779"/>
      <c r="V2829" s="1779"/>
      <c r="W2829" s="43"/>
      <c r="X2829" s="1779"/>
      <c r="Y2829" s="1779"/>
      <c r="Z2829" s="1779"/>
      <c r="AA2829" s="1779"/>
      <c r="AB2829" s="1779"/>
      <c r="AC2829" s="1779"/>
      <c r="AD2829" s="1779"/>
      <c r="AE2829" s="1779"/>
      <c r="AF2829" s="1779"/>
      <c r="AG2829" s="1779"/>
    </row>
    <row r="2830" spans="1:33" ht="33.75">
      <c r="A2830" s="424"/>
      <c r="B2830" s="424" t="s">
        <v>1248</v>
      </c>
      <c r="C2830" s="424" t="s">
        <v>505</v>
      </c>
      <c r="D2830" s="1598"/>
      <c r="E2830" s="2104" t="s">
        <v>1912</v>
      </c>
      <c r="F2830" s="438">
        <v>2224</v>
      </c>
      <c r="G2830" s="3706" t="s">
        <v>5010</v>
      </c>
      <c r="H2830" s="671"/>
      <c r="I2830" s="455">
        <v>15000</v>
      </c>
      <c r="J2830" s="650"/>
      <c r="K2830" s="667"/>
      <c r="L2830" s="671"/>
      <c r="M2830" s="3700">
        <v>17000</v>
      </c>
      <c r="N2830" s="2847"/>
      <c r="O2830" s="86"/>
      <c r="P2830" s="1817" t="e">
        <f>INDEX(#REF!,MATCH(F2830,#REF!,0),2)</f>
        <v>#REF!</v>
      </c>
      <c r="Q2830" s="1779"/>
      <c r="R2830" s="1779"/>
      <c r="S2830" s="1779"/>
      <c r="T2830" s="1779"/>
      <c r="U2830" s="1779"/>
      <c r="V2830" s="1779"/>
      <c r="W2830" s="43"/>
      <c r="X2830" s="1779"/>
      <c r="Y2830" s="1779"/>
      <c r="Z2830" s="1779"/>
      <c r="AA2830" s="1779"/>
      <c r="AB2830" s="1779"/>
      <c r="AC2830" s="1779"/>
      <c r="AD2830" s="1779"/>
      <c r="AE2830" s="1779"/>
      <c r="AF2830" s="1779"/>
      <c r="AG2830" s="1779"/>
    </row>
    <row r="2831" spans="1:33" ht="24.6" customHeight="1">
      <c r="A2831" s="634"/>
      <c r="B2831" s="634" t="s">
        <v>1248</v>
      </c>
      <c r="C2831" s="634" t="s">
        <v>507</v>
      </c>
      <c r="D2831" s="1597">
        <v>950</v>
      </c>
      <c r="E2831" s="2093" t="s">
        <v>1912</v>
      </c>
      <c r="F2831" s="635">
        <v>2233</v>
      </c>
      <c r="G2831" s="432" t="s">
        <v>373</v>
      </c>
      <c r="H2831" s="641">
        <v>41705</v>
      </c>
      <c r="I2831" s="1683"/>
      <c r="J2831" s="628">
        <v>31380.560000000001</v>
      </c>
      <c r="K2831" s="629"/>
      <c r="L2831" s="641">
        <v>52500</v>
      </c>
      <c r="M2831" s="3713"/>
      <c r="N2831" s="3506"/>
      <c r="O2831" s="86"/>
      <c r="P2831" s="1817"/>
      <c r="Q2831" s="1779"/>
      <c r="R2831" s="1779"/>
      <c r="S2831" s="1779"/>
      <c r="T2831" s="1779"/>
      <c r="U2831" s="1779"/>
      <c r="V2831" s="1779"/>
      <c r="W2831" s="43"/>
      <c r="X2831" s="1779"/>
      <c r="Y2831" s="1779"/>
      <c r="Z2831" s="1779"/>
      <c r="AA2831" s="1779"/>
      <c r="AB2831" s="1779"/>
      <c r="AC2831" s="1779"/>
      <c r="AD2831" s="1779"/>
      <c r="AE2831" s="1779"/>
      <c r="AF2831" s="1779"/>
      <c r="AG2831" s="1779"/>
    </row>
    <row r="2832" spans="1:33" ht="24.6" customHeight="1">
      <c r="A2832" s="424"/>
      <c r="B2832" s="424" t="s">
        <v>1248</v>
      </c>
      <c r="C2832" s="424" t="s">
        <v>507</v>
      </c>
      <c r="D2832" s="1598"/>
      <c r="E2832" s="2104" t="s">
        <v>1912</v>
      </c>
      <c r="F2832" s="438">
        <v>2233</v>
      </c>
      <c r="G2832" s="3689" t="s">
        <v>5011</v>
      </c>
      <c r="H2832" s="1041"/>
      <c r="I2832" s="1040">
        <v>25000</v>
      </c>
      <c r="J2832" s="1042"/>
      <c r="K2832" s="1043"/>
      <c r="L2832" s="1041"/>
      <c r="M2832" s="3700">
        <v>31000</v>
      </c>
      <c r="N2832" s="2847" t="s">
        <v>5012</v>
      </c>
      <c r="O2832" s="86"/>
      <c r="P2832" s="1817" t="e">
        <f>INDEX(#REF!,MATCH(F2832,#REF!,0),2)</f>
        <v>#REF!</v>
      </c>
      <c r="Q2832" s="1779"/>
      <c r="R2832" s="1779"/>
      <c r="S2832" s="1779"/>
      <c r="T2832" s="1779"/>
      <c r="U2832" s="1779"/>
      <c r="V2832" s="1779"/>
      <c r="W2832" s="43"/>
      <c r="X2832" s="1779"/>
      <c r="Y2832" s="1779"/>
      <c r="Z2832" s="1779"/>
      <c r="AA2832" s="1779"/>
      <c r="AB2832" s="1779"/>
      <c r="AC2832" s="1779"/>
      <c r="AD2832" s="1779"/>
      <c r="AE2832" s="1779"/>
      <c r="AF2832" s="1779"/>
      <c r="AG2832" s="1779"/>
    </row>
    <row r="2833" spans="1:33" ht="13.9" customHeight="1">
      <c r="A2833" s="2790"/>
      <c r="B2833" s="424" t="s">
        <v>1248</v>
      </c>
      <c r="C2833" s="424" t="s">
        <v>507</v>
      </c>
      <c r="D2833" s="1598"/>
      <c r="E2833" s="2104" t="s">
        <v>1912</v>
      </c>
      <c r="F2833" s="438">
        <v>2233</v>
      </c>
      <c r="G2833" s="3689" t="s">
        <v>5015</v>
      </c>
      <c r="H2833" s="3591"/>
      <c r="I2833" s="3588"/>
      <c r="J2833" s="3709"/>
      <c r="K2833" s="3590"/>
      <c r="L2833" s="3591"/>
      <c r="M2833" s="3700">
        <v>2000</v>
      </c>
      <c r="N2833" s="2847"/>
      <c r="O2833" s="86"/>
      <c r="P2833" s="1817" t="e">
        <f>INDEX(#REF!,MATCH(F2833,#REF!,0),2)</f>
        <v>#REF!</v>
      </c>
      <c r="Q2833" s="1779"/>
      <c r="R2833" s="1779"/>
      <c r="S2833" s="1779"/>
      <c r="T2833" s="1779"/>
      <c r="U2833" s="1779"/>
      <c r="V2833" s="1779"/>
      <c r="W2833" s="43"/>
      <c r="X2833" s="1779"/>
      <c r="Y2833" s="1779"/>
      <c r="Z2833" s="1779"/>
      <c r="AA2833" s="1779"/>
      <c r="AB2833" s="1779"/>
      <c r="AC2833" s="1779"/>
      <c r="AD2833" s="1779"/>
      <c r="AE2833" s="1779"/>
      <c r="AF2833" s="1779"/>
      <c r="AG2833" s="1779"/>
    </row>
    <row r="2834" spans="1:33" ht="34.9" customHeight="1">
      <c r="A2834" s="1563"/>
      <c r="B2834" s="424" t="s">
        <v>1248</v>
      </c>
      <c r="C2834" s="424" t="s">
        <v>507</v>
      </c>
      <c r="D2834" s="1598"/>
      <c r="E2834" s="2104" t="s">
        <v>1912</v>
      </c>
      <c r="F2834" s="438">
        <v>2233</v>
      </c>
      <c r="G2834" s="1682" t="s">
        <v>397</v>
      </c>
      <c r="H2834" s="1699"/>
      <c r="I2834" s="1700">
        <v>2500</v>
      </c>
      <c r="J2834" s="1701"/>
      <c r="K2834" s="1702"/>
      <c r="L2834" s="1699"/>
      <c r="M2834" s="3714"/>
      <c r="N2834" s="2847"/>
      <c r="O2834" s="86"/>
      <c r="P2834" s="1817"/>
      <c r="Q2834" s="43"/>
      <c r="R2834" s="43"/>
      <c r="S2834" s="43"/>
      <c r="T2834" s="43"/>
      <c r="U2834" s="43"/>
      <c r="V2834" s="43"/>
      <c r="W2834" s="43"/>
      <c r="X2834" s="43"/>
      <c r="Y2834" s="43"/>
      <c r="Z2834" s="43"/>
      <c r="AA2834" s="43"/>
      <c r="AB2834" s="43"/>
      <c r="AC2834" s="43"/>
      <c r="AD2834" s="43"/>
      <c r="AE2834" s="43"/>
      <c r="AF2834" s="43"/>
      <c r="AG2834" s="43"/>
    </row>
    <row r="2835" spans="1:33" ht="27.6" customHeight="1">
      <c r="A2835" s="424"/>
      <c r="B2835" s="424" t="s">
        <v>1248</v>
      </c>
      <c r="C2835" s="424" t="s">
        <v>507</v>
      </c>
      <c r="D2835" s="1598"/>
      <c r="E2835" s="2104" t="s">
        <v>1912</v>
      </c>
      <c r="F2835" s="438">
        <v>2233</v>
      </c>
      <c r="G2835" s="3693" t="s">
        <v>5013</v>
      </c>
      <c r="H2835" s="1041"/>
      <c r="I2835" s="1040">
        <v>19000</v>
      </c>
      <c r="J2835" s="1451"/>
      <c r="K2835" s="1043"/>
      <c r="L2835" s="1041"/>
      <c r="M2835" s="3588">
        <v>19500</v>
      </c>
      <c r="N2835" s="2846" t="s">
        <v>5014</v>
      </c>
      <c r="O2835" s="86"/>
      <c r="P2835" s="1817" t="e">
        <f>INDEX(#REF!,MATCH(F2835,#REF!,0),2)</f>
        <v>#REF!</v>
      </c>
      <c r="Q2835" s="43"/>
      <c r="R2835" s="43"/>
      <c r="S2835" s="43"/>
      <c r="T2835" s="43"/>
      <c r="U2835" s="43"/>
      <c r="V2835" s="43"/>
      <c r="W2835" s="43"/>
      <c r="X2835" s="43"/>
      <c r="Y2835" s="43"/>
      <c r="Z2835" s="43"/>
      <c r="AA2835" s="43"/>
      <c r="AB2835" s="43"/>
      <c r="AC2835" s="43"/>
      <c r="AD2835" s="43"/>
      <c r="AE2835" s="43"/>
      <c r="AF2835" s="43"/>
      <c r="AG2835" s="43"/>
    </row>
    <row r="2836" spans="1:33" ht="30.6" customHeight="1">
      <c r="A2836" s="4200"/>
      <c r="B2836" s="424" t="s">
        <v>1248</v>
      </c>
      <c r="C2836" s="424" t="s">
        <v>507</v>
      </c>
      <c r="D2836" s="1598"/>
      <c r="E2836" s="2104" t="s">
        <v>1912</v>
      </c>
      <c r="F2836" s="438">
        <v>2233</v>
      </c>
      <c r="G2836" s="4361" t="s">
        <v>1180</v>
      </c>
      <c r="H2836" s="4362"/>
      <c r="I2836" s="4358">
        <v>-4795</v>
      </c>
      <c r="J2836" s="4363"/>
      <c r="K2836" s="3670"/>
      <c r="L2836" s="4362"/>
      <c r="M2836" s="4358"/>
      <c r="N2836" s="2846"/>
      <c r="O2836" s="86"/>
      <c r="P2836" s="1817" t="e">
        <f>INDEX(#REF!,MATCH(F2836,#REF!,0),2)</f>
        <v>#REF!</v>
      </c>
      <c r="Q2836" s="1779"/>
      <c r="R2836" s="1779"/>
      <c r="S2836" s="1779"/>
      <c r="T2836" s="1779"/>
      <c r="U2836" s="1779"/>
      <c r="V2836" s="1779"/>
      <c r="W2836" s="43"/>
      <c r="X2836" s="1779"/>
      <c r="Y2836" s="1779"/>
      <c r="Z2836" s="1779"/>
      <c r="AA2836" s="1779"/>
      <c r="AB2836" s="1779"/>
      <c r="AC2836" s="1779"/>
      <c r="AD2836" s="1779"/>
      <c r="AE2836" s="1779"/>
      <c r="AF2836" s="1779"/>
      <c r="AG2836" s="1779"/>
    </row>
    <row r="2837" spans="1:33" ht="23.45" customHeight="1">
      <c r="A2837" s="634"/>
      <c r="B2837" s="634" t="s">
        <v>1248</v>
      </c>
      <c r="C2837" s="634" t="s">
        <v>507</v>
      </c>
      <c r="D2837" s="1597">
        <v>950</v>
      </c>
      <c r="E2837" s="2093" t="s">
        <v>1912</v>
      </c>
      <c r="F2837" s="635">
        <v>2234</v>
      </c>
      <c r="G2837" s="432" t="s">
        <v>235</v>
      </c>
      <c r="H2837" s="674">
        <v>3550</v>
      </c>
      <c r="I2837" s="1684"/>
      <c r="J2837" s="1703">
        <v>2589.6999999999998</v>
      </c>
      <c r="K2837" s="629"/>
      <c r="L2837" s="674">
        <v>8250</v>
      </c>
      <c r="M2837" s="655"/>
      <c r="N2837" s="2847"/>
      <c r="O2837" s="86"/>
      <c r="P2837" s="1817" t="e">
        <f>INDEX(#REF!,MATCH(F2837,#REF!,0),2)</f>
        <v>#REF!</v>
      </c>
      <c r="Q2837" s="43"/>
      <c r="R2837" s="43"/>
      <c r="S2837" s="43"/>
      <c r="T2837" s="43"/>
      <c r="U2837" s="43"/>
      <c r="V2837" s="43"/>
      <c r="W2837" s="43"/>
      <c r="X2837" s="43"/>
      <c r="Y2837" s="43"/>
      <c r="Z2837" s="43"/>
      <c r="AA2837" s="43"/>
      <c r="AB2837" s="43"/>
      <c r="AC2837" s="43"/>
      <c r="AD2837" s="43"/>
      <c r="AE2837" s="43"/>
      <c r="AF2837" s="43"/>
      <c r="AG2837" s="43"/>
    </row>
    <row r="2838" spans="1:33" ht="20.45" customHeight="1">
      <c r="A2838" s="424"/>
      <c r="B2838" s="424" t="s">
        <v>1248</v>
      </c>
      <c r="C2838" s="424" t="s">
        <v>507</v>
      </c>
      <c r="D2838" s="1598"/>
      <c r="E2838" s="2104" t="s">
        <v>1912</v>
      </c>
      <c r="F2838" s="438">
        <v>2234</v>
      </c>
      <c r="G2838" s="996" t="s">
        <v>5016</v>
      </c>
      <c r="H2838" s="1047"/>
      <c r="I2838" s="1040">
        <v>1750</v>
      </c>
      <c r="J2838" s="1042"/>
      <c r="K2838" s="64"/>
      <c r="L2838" s="1047"/>
      <c r="M2838" s="3708">
        <v>6250</v>
      </c>
      <c r="N2838" s="2847" t="s">
        <v>5019</v>
      </c>
      <c r="O2838" s="86"/>
      <c r="P2838" s="1817" t="e">
        <f>INDEX(#REF!,MATCH(F2838,#REF!,0),2)</f>
        <v>#REF!</v>
      </c>
      <c r="Q2838" s="1779"/>
      <c r="R2838" s="1779"/>
      <c r="S2838" s="1779"/>
      <c r="T2838" s="1779"/>
      <c r="U2838" s="1779"/>
      <c r="V2838" s="1779"/>
      <c r="W2838" s="43"/>
      <c r="X2838" s="1779"/>
      <c r="Y2838" s="1779"/>
      <c r="Z2838" s="1779"/>
      <c r="AA2838" s="1779"/>
      <c r="AB2838" s="1779"/>
      <c r="AC2838" s="1779"/>
      <c r="AD2838" s="1779"/>
      <c r="AE2838" s="1779"/>
      <c r="AF2838" s="1779"/>
      <c r="AG2838" s="1779"/>
    </row>
    <row r="2839" spans="1:33" ht="11.45" customHeight="1">
      <c r="A2839" s="424"/>
      <c r="B2839" s="424" t="s">
        <v>1248</v>
      </c>
      <c r="C2839" s="424" t="s">
        <v>507</v>
      </c>
      <c r="D2839" s="1598"/>
      <c r="E2839" s="2104" t="s">
        <v>1912</v>
      </c>
      <c r="F2839" s="438">
        <v>2234</v>
      </c>
      <c r="G2839" s="996" t="s">
        <v>5017</v>
      </c>
      <c r="H2839" s="1048"/>
      <c r="I2839" s="1040">
        <v>1800</v>
      </c>
      <c r="J2839" s="1042"/>
      <c r="K2839" s="1043"/>
      <c r="L2839" s="1047"/>
      <c r="M2839" s="3708">
        <v>2000</v>
      </c>
      <c r="N2839" s="2847" t="s">
        <v>6199</v>
      </c>
      <c r="O2839" s="86"/>
      <c r="P2839" s="1817" t="e">
        <f>INDEX(#REF!,MATCH(F2839,#REF!,0),2)</f>
        <v>#REF!</v>
      </c>
      <c r="Q2839" s="1779"/>
      <c r="R2839" s="1779"/>
      <c r="S2839" s="1779"/>
      <c r="T2839" s="1779"/>
      <c r="U2839" s="1779"/>
      <c r="V2839" s="1779"/>
      <c r="W2839" s="43"/>
      <c r="X2839" s="1779"/>
      <c r="Y2839" s="1779"/>
      <c r="Z2839" s="1779"/>
      <c r="AA2839" s="1779"/>
      <c r="AB2839" s="1779"/>
      <c r="AC2839" s="1779"/>
      <c r="AD2839" s="1779"/>
      <c r="AE2839" s="1779"/>
      <c r="AF2839" s="1779"/>
      <c r="AG2839" s="1779"/>
    </row>
    <row r="2840" spans="1:33" ht="18.600000000000001" customHeight="1">
      <c r="A2840" s="634"/>
      <c r="B2840" s="634" t="s">
        <v>1248</v>
      </c>
      <c r="C2840" s="634" t="s">
        <v>507</v>
      </c>
      <c r="D2840" s="1597">
        <v>950</v>
      </c>
      <c r="E2840" s="2093" t="s">
        <v>1912</v>
      </c>
      <c r="F2840" s="635">
        <v>2235</v>
      </c>
      <c r="G2840" s="432" t="s">
        <v>2431</v>
      </c>
      <c r="H2840" s="674">
        <v>2000</v>
      </c>
      <c r="I2840" s="1684"/>
      <c r="J2840" s="1703">
        <v>174</v>
      </c>
      <c r="K2840" s="629"/>
      <c r="L2840" s="674">
        <v>2000</v>
      </c>
      <c r="M2840" s="655"/>
      <c r="N2840" s="2847"/>
      <c r="O2840" s="86"/>
      <c r="P2840" s="1817" t="e">
        <f>INDEX(#REF!,MATCH(F2840,#REF!,0),2)</f>
        <v>#REF!</v>
      </c>
      <c r="Q2840" s="1779"/>
      <c r="R2840" s="1779"/>
      <c r="S2840" s="1779"/>
      <c r="T2840" s="1779"/>
      <c r="U2840" s="1779"/>
      <c r="V2840" s="1779"/>
      <c r="W2840" s="43"/>
      <c r="X2840" s="1779"/>
      <c r="Y2840" s="1779"/>
      <c r="Z2840" s="1779"/>
      <c r="AA2840" s="1779"/>
      <c r="AB2840" s="1779"/>
      <c r="AC2840" s="1779"/>
      <c r="AD2840" s="1779"/>
      <c r="AE2840" s="1779"/>
      <c r="AF2840" s="1779"/>
      <c r="AG2840" s="1779"/>
    </row>
    <row r="2841" spans="1:33" ht="22.15" customHeight="1">
      <c r="A2841" s="424"/>
      <c r="B2841" s="454" t="s">
        <v>1248</v>
      </c>
      <c r="C2841" s="454" t="s">
        <v>507</v>
      </c>
      <c r="D2841" s="1598"/>
      <c r="E2841" s="2104" t="s">
        <v>1912</v>
      </c>
      <c r="F2841" s="438">
        <v>2235</v>
      </c>
      <c r="G2841" s="3729" t="s">
        <v>5023</v>
      </c>
      <c r="H2841" s="1041"/>
      <c r="I2841" s="1040">
        <v>2000</v>
      </c>
      <c r="J2841" s="1042"/>
      <c r="K2841" s="1043"/>
      <c r="L2841" s="1041"/>
      <c r="M2841" s="4299">
        <v>2000</v>
      </c>
      <c r="N2841" s="2847" t="s">
        <v>6028</v>
      </c>
      <c r="O2841" s="86"/>
      <c r="P2841" s="1817" t="e">
        <f>INDEX(#REF!,MATCH(F2841,#REF!,0),2)</f>
        <v>#REF!</v>
      </c>
      <c r="Q2841" s="1779"/>
      <c r="R2841" s="1779"/>
      <c r="S2841" s="1779"/>
      <c r="T2841" s="1779"/>
      <c r="U2841" s="1779"/>
      <c r="V2841" s="1779"/>
      <c r="W2841" s="43"/>
      <c r="X2841" s="1779"/>
      <c r="Y2841" s="1779"/>
      <c r="Z2841" s="1779"/>
      <c r="AA2841" s="1779"/>
      <c r="AB2841" s="1779"/>
      <c r="AC2841" s="1779"/>
      <c r="AD2841" s="1779"/>
      <c r="AE2841" s="1779"/>
      <c r="AF2841" s="1779"/>
      <c r="AG2841" s="1779"/>
    </row>
    <row r="2842" spans="1:33" ht="22.5">
      <c r="A2842" s="634"/>
      <c r="B2842" s="634" t="s">
        <v>512</v>
      </c>
      <c r="C2842" s="634" t="s">
        <v>506</v>
      </c>
      <c r="D2842" s="1597">
        <v>950</v>
      </c>
      <c r="E2842" s="2093" t="s">
        <v>1913</v>
      </c>
      <c r="F2842" s="635">
        <v>2239</v>
      </c>
      <c r="G2842" s="432" t="s">
        <v>1098</v>
      </c>
      <c r="H2842" s="3720">
        <v>86705</v>
      </c>
      <c r="I2842" s="3713"/>
      <c r="J2842" s="3721"/>
      <c r="K2842" s="3722"/>
      <c r="L2842" s="3723">
        <v>86705</v>
      </c>
      <c r="M2842" s="3713"/>
      <c r="N2842" s="2847"/>
      <c r="O2842" s="86"/>
      <c r="P2842" s="1817" t="e">
        <f>INDEX(#REF!,MATCH(F2842,#REF!,0),2)</f>
        <v>#REF!</v>
      </c>
      <c r="Q2842" s="11"/>
      <c r="R2842" s="11"/>
      <c r="S2842" s="11"/>
      <c r="T2842" s="11"/>
      <c r="U2842" s="11"/>
      <c r="V2842" s="11"/>
      <c r="W2842" s="4"/>
      <c r="X2842" s="11"/>
      <c r="Y2842" s="11"/>
      <c r="Z2842" s="11"/>
      <c r="AA2842" s="11"/>
      <c r="AB2842" s="11"/>
      <c r="AC2842" s="11"/>
      <c r="AD2842" s="11"/>
      <c r="AE2842" s="11"/>
      <c r="AF2842" s="11"/>
      <c r="AG2842" s="11"/>
    </row>
    <row r="2843" spans="1:33" ht="23.45" customHeight="1">
      <c r="A2843" s="454"/>
      <c r="B2843" s="424" t="s">
        <v>512</v>
      </c>
      <c r="C2843" s="424" t="s">
        <v>506</v>
      </c>
      <c r="D2843" s="1598"/>
      <c r="E2843" s="2104" t="s">
        <v>1913</v>
      </c>
      <c r="F2843" s="438">
        <v>2239</v>
      </c>
      <c r="G2843" s="426" t="s">
        <v>3055</v>
      </c>
      <c r="H2843" s="3724"/>
      <c r="I2843" s="3725">
        <v>86705</v>
      </c>
      <c r="J2843" s="3589"/>
      <c r="K2843" s="3722"/>
      <c r="L2843" s="3726"/>
      <c r="M2843" s="3727">
        <v>86705</v>
      </c>
      <c r="N2843" s="2847"/>
      <c r="O2843" s="86"/>
      <c r="P2843" s="1817" t="e">
        <f>INDEX(#REF!,MATCH(F2843,#REF!,0),2)</f>
        <v>#REF!</v>
      </c>
      <c r="Q2843" s="11"/>
      <c r="R2843" s="11"/>
      <c r="S2843" s="11"/>
      <c r="T2843" s="11"/>
      <c r="U2843" s="11"/>
      <c r="V2843" s="11"/>
      <c r="W2843" s="4"/>
      <c r="X2843" s="11"/>
      <c r="Y2843" s="11"/>
      <c r="Z2843" s="11"/>
      <c r="AA2843" s="11"/>
      <c r="AB2843" s="11"/>
      <c r="AC2843" s="11"/>
      <c r="AD2843" s="11"/>
      <c r="AE2843" s="11"/>
      <c r="AF2843" s="11"/>
      <c r="AG2843" s="11"/>
    </row>
    <row r="2844" spans="1:33" ht="56.25">
      <c r="A2844" s="454"/>
      <c r="B2844" s="424" t="s">
        <v>512</v>
      </c>
      <c r="C2844" s="424" t="s">
        <v>506</v>
      </c>
      <c r="D2844" s="1598"/>
      <c r="E2844" s="2104" t="s">
        <v>1913</v>
      </c>
      <c r="F2844" s="438">
        <v>2239</v>
      </c>
      <c r="G2844" s="426" t="s">
        <v>1175</v>
      </c>
      <c r="H2844" s="3724"/>
      <c r="I2844" s="3725"/>
      <c r="J2844" s="3589"/>
      <c r="K2844" s="3722"/>
      <c r="L2844" s="3726"/>
      <c r="M2844" s="3728"/>
      <c r="N2844" s="2847"/>
      <c r="O2844" s="86"/>
      <c r="P2844" s="1817" t="e">
        <f>INDEX(#REF!,MATCH(F2844,#REF!,0),2)</f>
        <v>#REF!</v>
      </c>
      <c r="Q2844" s="11"/>
      <c r="R2844" s="11"/>
      <c r="S2844" s="11"/>
      <c r="T2844" s="11"/>
      <c r="U2844" s="11"/>
      <c r="V2844" s="11"/>
      <c r="W2844" s="4"/>
      <c r="X2844" s="11"/>
      <c r="Y2844" s="11"/>
      <c r="Z2844" s="11"/>
      <c r="AA2844" s="11"/>
      <c r="AB2844" s="11"/>
      <c r="AC2844" s="11"/>
      <c r="AD2844" s="11"/>
      <c r="AE2844" s="11"/>
      <c r="AF2844" s="11"/>
      <c r="AG2844" s="11"/>
    </row>
    <row r="2845" spans="1:33">
      <c r="A2845" s="634"/>
      <c r="B2845" s="634" t="s">
        <v>1248</v>
      </c>
      <c r="C2845" s="634" t="s">
        <v>507</v>
      </c>
      <c r="D2845" s="1597">
        <v>950</v>
      </c>
      <c r="E2845" s="2093" t="s">
        <v>1912</v>
      </c>
      <c r="F2845" s="635">
        <v>2239</v>
      </c>
      <c r="G2845" s="432" t="s">
        <v>262</v>
      </c>
      <c r="H2845" s="3716">
        <v>7800</v>
      </c>
      <c r="I2845" s="3717"/>
      <c r="J2845" s="3718">
        <v>6256.27</v>
      </c>
      <c r="K2845" s="3695"/>
      <c r="L2845" s="3716">
        <v>8884</v>
      </c>
      <c r="M2845" s="3719"/>
      <c r="N2845" s="2847"/>
      <c r="O2845" s="86"/>
      <c r="P2845" s="1817" t="e">
        <f>INDEX(#REF!,MATCH(F2845,#REF!,0),2)</f>
        <v>#REF!</v>
      </c>
      <c r="Q2845" s="1791"/>
      <c r="R2845" s="1791"/>
      <c r="S2845" s="1791"/>
      <c r="T2845" s="1791"/>
      <c r="U2845" s="1791"/>
      <c r="V2845" s="1791"/>
      <c r="W2845" s="43"/>
      <c r="X2845" s="1791"/>
      <c r="Y2845" s="1791"/>
      <c r="Z2845" s="1791"/>
      <c r="AA2845" s="1791"/>
      <c r="AB2845" s="1791"/>
      <c r="AC2845" s="1791"/>
      <c r="AD2845" s="1791"/>
      <c r="AE2845" s="1791"/>
      <c r="AF2845" s="1791"/>
      <c r="AG2845" s="1791"/>
    </row>
    <row r="2846" spans="1:33">
      <c r="A2846" s="424" t="s">
        <v>874</v>
      </c>
      <c r="B2846" s="424" t="s">
        <v>1248</v>
      </c>
      <c r="C2846" s="424" t="s">
        <v>507</v>
      </c>
      <c r="D2846" s="1598"/>
      <c r="E2846" s="2104" t="s">
        <v>1912</v>
      </c>
      <c r="F2846" s="438">
        <v>2239</v>
      </c>
      <c r="G2846" s="996" t="s">
        <v>435</v>
      </c>
      <c r="H2846" s="1045"/>
      <c r="I2846" s="1040">
        <v>500</v>
      </c>
      <c r="J2846" s="1035"/>
      <c r="K2846" s="1036"/>
      <c r="L2846" s="1045"/>
      <c r="M2846" s="3708">
        <v>500</v>
      </c>
      <c r="N2846" s="2847"/>
      <c r="O2846" s="86"/>
      <c r="P2846" s="1817" t="e">
        <f>INDEX(#REF!,MATCH(F2846,#REF!,0),2)</f>
        <v>#REF!</v>
      </c>
      <c r="Q2846" s="1797"/>
      <c r="R2846" s="1797"/>
      <c r="S2846" s="1797"/>
      <c r="T2846" s="1797"/>
      <c r="U2846" s="1797"/>
      <c r="V2846" s="1797"/>
      <c r="W2846" s="43"/>
      <c r="X2846" s="1797"/>
      <c r="Y2846" s="1797"/>
      <c r="Z2846" s="1797"/>
      <c r="AA2846" s="1797"/>
      <c r="AB2846" s="1797"/>
      <c r="AC2846" s="1797"/>
      <c r="AD2846" s="1797"/>
      <c r="AE2846" s="1797"/>
      <c r="AF2846" s="1797"/>
      <c r="AG2846" s="1797"/>
    </row>
    <row r="2847" spans="1:33">
      <c r="A2847" s="424"/>
      <c r="B2847" s="424" t="s">
        <v>1248</v>
      </c>
      <c r="C2847" s="424" t="s">
        <v>507</v>
      </c>
      <c r="D2847" s="1598"/>
      <c r="E2847" s="2104" t="s">
        <v>1912</v>
      </c>
      <c r="F2847" s="438">
        <v>2239</v>
      </c>
      <c r="G2847" s="2774" t="s">
        <v>5021</v>
      </c>
      <c r="H2847" s="1041"/>
      <c r="I2847" s="1040">
        <v>1400</v>
      </c>
      <c r="J2847" s="1042">
        <v>944</v>
      </c>
      <c r="K2847" s="1043"/>
      <c r="L2847" s="1041"/>
      <c r="M2847" s="3708">
        <v>1400</v>
      </c>
      <c r="N2847" s="2847"/>
      <c r="O2847" s="86"/>
      <c r="P2847" s="1817" t="e">
        <f>INDEX(#REF!,MATCH(F2847,#REF!,0),2)</f>
        <v>#REF!</v>
      </c>
      <c r="Q2847" s="1797"/>
      <c r="R2847" s="1797"/>
      <c r="S2847" s="1797"/>
      <c r="T2847" s="1797"/>
      <c r="U2847" s="1797"/>
      <c r="V2847" s="1797"/>
      <c r="W2847" s="43"/>
      <c r="X2847" s="1797"/>
      <c r="Y2847" s="1797"/>
      <c r="Z2847" s="1797"/>
      <c r="AA2847" s="1797"/>
      <c r="AB2847" s="1797"/>
      <c r="AC2847" s="1797"/>
      <c r="AD2847" s="1797"/>
      <c r="AE2847" s="1797"/>
      <c r="AF2847" s="1797"/>
      <c r="AG2847" s="1797"/>
    </row>
    <row r="2848" spans="1:33">
      <c r="A2848" s="1563"/>
      <c r="B2848" s="424" t="s">
        <v>1248</v>
      </c>
      <c r="C2848" s="424" t="s">
        <v>507</v>
      </c>
      <c r="D2848" s="1598"/>
      <c r="E2848" s="2104" t="s">
        <v>1912</v>
      </c>
      <c r="F2848" s="438">
        <v>2239</v>
      </c>
      <c r="G2848" s="1705" t="s">
        <v>961</v>
      </c>
      <c r="H2848" s="1699"/>
      <c r="I2848" s="1700">
        <v>100</v>
      </c>
      <c r="J2848" s="1704"/>
      <c r="K2848" s="1702"/>
      <c r="L2848" s="1699"/>
      <c r="M2848" s="3707">
        <v>100</v>
      </c>
      <c r="N2848" s="2847"/>
      <c r="O2848" s="86"/>
      <c r="P2848" s="1817" t="e">
        <f>INDEX(#REF!,MATCH(F2848,#REF!,0),2)</f>
        <v>#REF!</v>
      </c>
      <c r="Q2848" s="1797"/>
      <c r="R2848" s="1797"/>
      <c r="S2848" s="1797"/>
      <c r="T2848" s="1797"/>
      <c r="U2848" s="1797"/>
      <c r="V2848" s="1797"/>
      <c r="W2848" s="43"/>
      <c r="X2848" s="1797"/>
      <c r="Y2848" s="1797"/>
      <c r="Z2848" s="1797"/>
      <c r="AA2848" s="1797"/>
      <c r="AB2848" s="1797"/>
      <c r="AC2848" s="1797"/>
      <c r="AD2848" s="1797"/>
      <c r="AE2848" s="1797"/>
      <c r="AF2848" s="1797"/>
      <c r="AG2848" s="1797"/>
    </row>
    <row r="2849" spans="1:33">
      <c r="A2849" s="424"/>
      <c r="B2849" s="424" t="s">
        <v>1248</v>
      </c>
      <c r="C2849" s="424" t="s">
        <v>507</v>
      </c>
      <c r="D2849" s="1598"/>
      <c r="E2849" s="2104" t="s">
        <v>1912</v>
      </c>
      <c r="F2849" s="438">
        <v>2239</v>
      </c>
      <c r="G2849" s="996" t="s">
        <v>950</v>
      </c>
      <c r="H2849" s="1041"/>
      <c r="I2849" s="1040">
        <v>1000</v>
      </c>
      <c r="J2849" s="1042"/>
      <c r="K2849" s="1043"/>
      <c r="L2849" s="1041"/>
      <c r="M2849" s="3708">
        <v>1000</v>
      </c>
      <c r="N2849" s="2847"/>
      <c r="O2849" s="86"/>
      <c r="P2849" s="1817" t="e">
        <f>INDEX(#REF!,MATCH(F2849,#REF!,0),2)</f>
        <v>#REF!</v>
      </c>
      <c r="Q2849" s="43"/>
      <c r="R2849" s="43"/>
      <c r="S2849" s="43"/>
      <c r="T2849" s="43"/>
      <c r="U2849" s="43"/>
      <c r="V2849" s="43"/>
      <c r="W2849" s="43"/>
      <c r="X2849" s="43"/>
      <c r="Y2849" s="43"/>
      <c r="Z2849" s="43"/>
      <c r="AA2849" s="43"/>
      <c r="AB2849" s="43"/>
      <c r="AC2849" s="43"/>
      <c r="AD2849" s="43"/>
      <c r="AE2849" s="43"/>
      <c r="AF2849" s="43"/>
      <c r="AG2849" s="43"/>
    </row>
    <row r="2850" spans="1:33" ht="22.5">
      <c r="A2850" s="424"/>
      <c r="B2850" s="424" t="s">
        <v>1248</v>
      </c>
      <c r="C2850" s="424" t="s">
        <v>507</v>
      </c>
      <c r="D2850" s="1598"/>
      <c r="E2850" s="2104" t="s">
        <v>1912</v>
      </c>
      <c r="F2850" s="438">
        <v>2239</v>
      </c>
      <c r="G2850" s="996" t="s">
        <v>556</v>
      </c>
      <c r="H2850" s="1041"/>
      <c r="I2850" s="1040">
        <v>200</v>
      </c>
      <c r="J2850" s="1042">
        <v>126</v>
      </c>
      <c r="K2850" s="1043"/>
      <c r="L2850" s="1041"/>
      <c r="M2850" s="4299">
        <v>200</v>
      </c>
      <c r="N2850" s="2847" t="s">
        <v>6029</v>
      </c>
      <c r="O2850" s="86"/>
      <c r="P2850" s="1817" t="e">
        <f>INDEX(#REF!,MATCH(F2850,#REF!,0),2)</f>
        <v>#REF!</v>
      </c>
      <c r="Q2850" s="43"/>
      <c r="R2850" s="43"/>
      <c r="S2850" s="43"/>
      <c r="T2850" s="43"/>
      <c r="U2850" s="43"/>
      <c r="V2850" s="43"/>
      <c r="W2850" s="43"/>
      <c r="X2850" s="43"/>
      <c r="Y2850" s="43"/>
      <c r="Z2850" s="43"/>
      <c r="AA2850" s="43"/>
      <c r="AB2850" s="43"/>
      <c r="AC2850" s="43"/>
      <c r="AD2850" s="43"/>
      <c r="AE2850" s="43"/>
      <c r="AF2850" s="43"/>
      <c r="AG2850" s="43"/>
    </row>
    <row r="2851" spans="1:33">
      <c r="A2851" s="424"/>
      <c r="B2851" s="424" t="s">
        <v>1248</v>
      </c>
      <c r="C2851" s="424" t="s">
        <v>507</v>
      </c>
      <c r="D2851" s="1598"/>
      <c r="E2851" s="2104" t="s">
        <v>1912</v>
      </c>
      <c r="F2851" s="438">
        <v>2239</v>
      </c>
      <c r="G2851" s="996" t="s">
        <v>525</v>
      </c>
      <c r="H2851" s="1041"/>
      <c r="I2851" s="1040">
        <v>300</v>
      </c>
      <c r="J2851" s="1042">
        <v>273</v>
      </c>
      <c r="K2851" s="1043"/>
      <c r="L2851" s="1041"/>
      <c r="M2851" s="3708">
        <v>484</v>
      </c>
      <c r="N2851" s="2847"/>
      <c r="O2851" s="86"/>
      <c r="P2851" s="1817" t="e">
        <f>INDEX(#REF!,MATCH(F2851,#REF!,0),2)</f>
        <v>#REF!</v>
      </c>
      <c r="Q2851" s="11"/>
      <c r="R2851" s="11"/>
      <c r="S2851" s="11"/>
      <c r="T2851" s="11"/>
      <c r="U2851" s="11"/>
      <c r="V2851" s="11"/>
      <c r="W2851" s="4"/>
      <c r="X2851" s="11"/>
      <c r="Y2851" s="11"/>
      <c r="Z2851" s="11"/>
      <c r="AA2851" s="11"/>
      <c r="AB2851" s="11"/>
      <c r="AC2851" s="11"/>
      <c r="AD2851" s="11"/>
      <c r="AE2851" s="11"/>
      <c r="AF2851" s="11"/>
      <c r="AG2851" s="11"/>
    </row>
    <row r="2852" spans="1:33" s="66" customFormat="1" ht="22.5">
      <c r="A2852" s="454"/>
      <c r="B2852" s="424" t="s">
        <v>1248</v>
      </c>
      <c r="C2852" s="424" t="s">
        <v>507</v>
      </c>
      <c r="D2852" s="1598"/>
      <c r="E2852" s="2104" t="s">
        <v>1912</v>
      </c>
      <c r="F2852" s="438">
        <v>2239</v>
      </c>
      <c r="G2852" s="996" t="s">
        <v>524</v>
      </c>
      <c r="H2852" s="1041"/>
      <c r="I2852" s="1040">
        <v>600</v>
      </c>
      <c r="J2852" s="1042"/>
      <c r="K2852" s="1043"/>
      <c r="L2852" s="1041"/>
      <c r="M2852" s="3708">
        <v>500</v>
      </c>
      <c r="N2852" s="2847"/>
      <c r="O2852" s="86"/>
      <c r="P2852" s="1817"/>
      <c r="Q2852" s="168"/>
      <c r="R2852" s="168"/>
      <c r="S2852" s="168"/>
      <c r="T2852" s="168"/>
      <c r="U2852" s="168"/>
      <c r="V2852" s="168"/>
      <c r="W2852" s="43"/>
      <c r="X2852" s="168"/>
      <c r="Y2852" s="168"/>
      <c r="Z2852" s="168"/>
      <c r="AA2852" s="168"/>
      <c r="AB2852" s="168"/>
      <c r="AC2852" s="168"/>
      <c r="AD2852" s="168"/>
      <c r="AE2852" s="168"/>
      <c r="AF2852" s="168"/>
      <c r="AG2852" s="168"/>
    </row>
    <row r="2853" spans="1:33" s="66" customFormat="1">
      <c r="A2853" s="454"/>
      <c r="B2853" s="454" t="s">
        <v>1248</v>
      </c>
      <c r="C2853" s="454" t="s">
        <v>507</v>
      </c>
      <c r="D2853" s="1598"/>
      <c r="E2853" s="2104" t="s">
        <v>1912</v>
      </c>
      <c r="F2853" s="438">
        <v>2239</v>
      </c>
      <c r="G2853" s="996" t="s">
        <v>643</v>
      </c>
      <c r="H2853" s="1041"/>
      <c r="I2853" s="1040">
        <v>200</v>
      </c>
      <c r="J2853" s="1042"/>
      <c r="K2853" s="1043"/>
      <c r="L2853" s="1041"/>
      <c r="M2853" s="1515"/>
      <c r="N2853" s="2847"/>
      <c r="O2853" s="86"/>
      <c r="P2853" s="1817" t="e">
        <f>INDEX(#REF!,MATCH(F2853,#REF!,0),2)</f>
        <v>#REF!</v>
      </c>
      <c r="Q2853" s="168"/>
      <c r="R2853" s="168"/>
      <c r="S2853" s="168"/>
      <c r="T2853" s="168"/>
      <c r="U2853" s="168"/>
      <c r="V2853" s="168"/>
      <c r="W2853" s="43"/>
      <c r="X2853" s="168"/>
      <c r="Y2853" s="168"/>
      <c r="Z2853" s="168"/>
      <c r="AA2853" s="168"/>
      <c r="AB2853" s="168"/>
      <c r="AC2853" s="168"/>
      <c r="AD2853" s="168"/>
      <c r="AE2853" s="168"/>
      <c r="AF2853" s="168"/>
      <c r="AG2853" s="168"/>
    </row>
    <row r="2854" spans="1:33">
      <c r="A2854" s="2775"/>
      <c r="B2854" s="454" t="s">
        <v>1248</v>
      </c>
      <c r="C2854" s="454" t="s">
        <v>507</v>
      </c>
      <c r="D2854" s="1598"/>
      <c r="E2854" s="2104" t="s">
        <v>1912</v>
      </c>
      <c r="F2854" s="438">
        <v>2239</v>
      </c>
      <c r="G2854" s="2774" t="s">
        <v>5022</v>
      </c>
      <c r="H2854" s="3591"/>
      <c r="I2854" s="3588"/>
      <c r="J2854" s="3589"/>
      <c r="K2854" s="3590"/>
      <c r="L2854" s="3591"/>
      <c r="M2854" s="3700">
        <v>300</v>
      </c>
      <c r="N2854" s="2847"/>
      <c r="O2854" s="86"/>
      <c r="P2854" s="1817" t="e">
        <f>INDEX(#REF!,MATCH(F2854,#REF!,0),2)</f>
        <v>#REF!</v>
      </c>
      <c r="Q2854" s="1779"/>
      <c r="R2854" s="1779"/>
      <c r="S2854" s="1779"/>
      <c r="T2854" s="1779"/>
      <c r="U2854" s="1779"/>
      <c r="V2854" s="1779"/>
      <c r="W2854" s="43"/>
      <c r="X2854" s="1779"/>
      <c r="Y2854" s="1779"/>
      <c r="Z2854" s="1779"/>
      <c r="AA2854" s="1779"/>
      <c r="AB2854" s="1779"/>
      <c r="AC2854" s="1779"/>
      <c r="AD2854" s="1779"/>
      <c r="AE2854" s="1779"/>
      <c r="AF2854" s="1779"/>
      <c r="AG2854" s="1779"/>
    </row>
    <row r="2855" spans="1:33" ht="33.75">
      <c r="A2855" s="424"/>
      <c r="B2855" s="424" t="s">
        <v>1248</v>
      </c>
      <c r="C2855" s="424" t="s">
        <v>507</v>
      </c>
      <c r="D2855" s="1598"/>
      <c r="E2855" s="2104" t="s">
        <v>1912</v>
      </c>
      <c r="F2855" s="438">
        <v>2239</v>
      </c>
      <c r="G2855" s="2774" t="s">
        <v>642</v>
      </c>
      <c r="H2855" s="1041"/>
      <c r="I2855" s="1040">
        <v>500</v>
      </c>
      <c r="J2855" s="1042"/>
      <c r="K2855" s="1043"/>
      <c r="L2855" s="1041"/>
      <c r="M2855" s="3708">
        <v>1000</v>
      </c>
      <c r="N2855" s="2847"/>
      <c r="O2855" s="86"/>
      <c r="P2855" s="1817" t="e">
        <f>INDEX(#REF!,MATCH(F2855,#REF!,0),2)</f>
        <v>#REF!</v>
      </c>
      <c r="Q2855" s="1779"/>
      <c r="R2855" s="1779"/>
      <c r="S2855" s="1779"/>
      <c r="T2855" s="1779"/>
      <c r="U2855" s="1779"/>
      <c r="V2855" s="1779"/>
      <c r="W2855" s="43"/>
      <c r="X2855" s="1779"/>
      <c r="Y2855" s="1779"/>
      <c r="Z2855" s="1779"/>
      <c r="AA2855" s="1779"/>
      <c r="AB2855" s="1779"/>
      <c r="AC2855" s="1779"/>
      <c r="AD2855" s="1779"/>
      <c r="AE2855" s="1779"/>
      <c r="AF2855" s="1779"/>
      <c r="AG2855" s="1779"/>
    </row>
    <row r="2856" spans="1:33" ht="22.5">
      <c r="A2856" s="424"/>
      <c r="B2856" s="424" t="s">
        <v>1248</v>
      </c>
      <c r="C2856" s="424" t="s">
        <v>507</v>
      </c>
      <c r="D2856" s="1598"/>
      <c r="E2856" s="2104" t="s">
        <v>1912</v>
      </c>
      <c r="F2856" s="438">
        <v>2239</v>
      </c>
      <c r="G2856" s="996" t="s">
        <v>606</v>
      </c>
      <c r="H2856" s="1041"/>
      <c r="I2856" s="1040">
        <v>200</v>
      </c>
      <c r="J2856" s="1042"/>
      <c r="K2856" s="1043"/>
      <c r="L2856" s="1041"/>
      <c r="M2856" s="3708">
        <v>200</v>
      </c>
      <c r="N2856" s="2847"/>
      <c r="O2856" s="86"/>
      <c r="P2856" s="1817" t="e">
        <f>INDEX(#REF!,MATCH(F2856,#REF!,0),2)</f>
        <v>#REF!</v>
      </c>
      <c r="Q2856" s="1779"/>
      <c r="R2856" s="1779"/>
      <c r="S2856" s="1779"/>
      <c r="T2856" s="1779"/>
      <c r="U2856" s="1779"/>
      <c r="V2856" s="1779"/>
      <c r="W2856" s="43"/>
      <c r="X2856" s="1779"/>
      <c r="Y2856" s="1779"/>
      <c r="Z2856" s="1779"/>
      <c r="AA2856" s="1779"/>
      <c r="AB2856" s="1779"/>
      <c r="AC2856" s="1779"/>
      <c r="AD2856" s="1779"/>
      <c r="AE2856" s="1779"/>
      <c r="AF2856" s="1779"/>
      <c r="AG2856" s="1779"/>
    </row>
    <row r="2857" spans="1:33">
      <c r="A2857" s="424"/>
      <c r="B2857" s="424" t="s">
        <v>1248</v>
      </c>
      <c r="C2857" s="424" t="s">
        <v>507</v>
      </c>
      <c r="D2857" s="1598"/>
      <c r="E2857" s="2104" t="s">
        <v>1912</v>
      </c>
      <c r="F2857" s="438">
        <v>2239</v>
      </c>
      <c r="G2857" s="1039" t="s">
        <v>5024</v>
      </c>
      <c r="H2857" s="1041"/>
      <c r="I2857" s="1040">
        <v>400</v>
      </c>
      <c r="J2857" s="1042"/>
      <c r="K2857" s="1043"/>
      <c r="L2857" s="1041"/>
      <c r="M2857" s="3708">
        <v>400</v>
      </c>
      <c r="N2857" s="2847"/>
      <c r="O2857" s="86"/>
      <c r="P2857" s="1817" t="e">
        <f>INDEX(#REF!,MATCH(F2857,#REF!,0),2)</f>
        <v>#REF!</v>
      </c>
      <c r="Q2857" s="1779"/>
      <c r="R2857" s="1779"/>
      <c r="S2857" s="1779"/>
      <c r="T2857" s="1779"/>
      <c r="U2857" s="1779"/>
      <c r="V2857" s="1779"/>
      <c r="W2857" s="43"/>
      <c r="X2857" s="1779"/>
      <c r="Y2857" s="1779"/>
      <c r="Z2857" s="1779"/>
      <c r="AA2857" s="1779"/>
      <c r="AB2857" s="1779"/>
      <c r="AC2857" s="1779"/>
      <c r="AD2857" s="1779"/>
      <c r="AE2857" s="1779"/>
      <c r="AF2857" s="1779"/>
      <c r="AG2857" s="1779"/>
    </row>
    <row r="2858" spans="1:33" ht="33.75">
      <c r="A2858" s="424" t="s">
        <v>875</v>
      </c>
      <c r="B2858" s="424" t="s">
        <v>1248</v>
      </c>
      <c r="C2858" s="424" t="s">
        <v>507</v>
      </c>
      <c r="D2858" s="1598"/>
      <c r="E2858" s="2104" t="s">
        <v>1912</v>
      </c>
      <c r="F2858" s="438">
        <v>2239</v>
      </c>
      <c r="G2858" s="1007" t="s">
        <v>1869</v>
      </c>
      <c r="H2858" s="1045"/>
      <c r="I2858" s="1040">
        <v>3500</v>
      </c>
      <c r="J2858" s="1035">
        <v>998</v>
      </c>
      <c r="K2858" s="1036"/>
      <c r="L2858" s="1045"/>
      <c r="M2858" s="2456"/>
      <c r="N2858" s="2847"/>
      <c r="O2858" s="86"/>
      <c r="P2858" s="1817" t="e">
        <f>INDEX(#REF!,MATCH(F2858,#REF!,0),2)</f>
        <v>#REF!</v>
      </c>
      <c r="Q2858" s="1779"/>
      <c r="R2858" s="1779"/>
      <c r="S2858" s="1779"/>
      <c r="T2858" s="1779"/>
      <c r="U2858" s="1779"/>
      <c r="V2858" s="1779"/>
      <c r="W2858" s="43"/>
      <c r="X2858" s="1779"/>
      <c r="Y2858" s="1779"/>
      <c r="Z2858" s="1779"/>
      <c r="AA2858" s="1779"/>
      <c r="AB2858" s="1779"/>
      <c r="AC2858" s="1779"/>
      <c r="AD2858" s="1779"/>
      <c r="AE2858" s="1779"/>
      <c r="AF2858" s="1779"/>
      <c r="AG2858" s="1779"/>
    </row>
    <row r="2859" spans="1:33" ht="33.75">
      <c r="A2859" s="454"/>
      <c r="B2859" s="424" t="s">
        <v>1248</v>
      </c>
      <c r="C2859" s="424" t="s">
        <v>507</v>
      </c>
      <c r="D2859" s="1598"/>
      <c r="E2859" s="2104" t="s">
        <v>1912</v>
      </c>
      <c r="F2859" s="438">
        <v>2239</v>
      </c>
      <c r="G2859" s="2761" t="s">
        <v>2340</v>
      </c>
      <c r="H2859" s="1045"/>
      <c r="I2859" s="1040">
        <v>300</v>
      </c>
      <c r="J2859" s="1042"/>
      <c r="K2859" s="1036"/>
      <c r="L2859" s="1045"/>
      <c r="M2859" s="3707">
        <v>300</v>
      </c>
      <c r="N2859" s="2847"/>
      <c r="O2859" s="86"/>
      <c r="P2859" s="1817"/>
      <c r="Q2859" s="1779"/>
      <c r="R2859" s="1779"/>
      <c r="S2859" s="1779"/>
      <c r="T2859" s="1779"/>
      <c r="U2859" s="1779"/>
      <c r="V2859" s="1779"/>
      <c r="W2859" s="43"/>
      <c r="X2859" s="1779"/>
      <c r="Y2859" s="1779"/>
      <c r="Z2859" s="1779"/>
      <c r="AA2859" s="1779"/>
      <c r="AB2859" s="1779"/>
      <c r="AC2859" s="1779"/>
      <c r="AD2859" s="1779"/>
      <c r="AE2859" s="1779"/>
      <c r="AF2859" s="1779"/>
      <c r="AG2859" s="1779"/>
    </row>
    <row r="2860" spans="1:33" ht="22.15" customHeight="1">
      <c r="A2860" s="454"/>
      <c r="B2860" s="424" t="s">
        <v>1248</v>
      </c>
      <c r="C2860" s="424" t="s">
        <v>507</v>
      </c>
      <c r="D2860" s="1598"/>
      <c r="E2860" s="2104" t="s">
        <v>1912</v>
      </c>
      <c r="F2860" s="438">
        <v>2239</v>
      </c>
      <c r="G2860" s="996" t="s">
        <v>5025</v>
      </c>
      <c r="H2860" s="1045"/>
      <c r="I2860" s="1042">
        <v>600</v>
      </c>
      <c r="J2860" s="1035"/>
      <c r="K2860" s="1036"/>
      <c r="L2860" s="1045"/>
      <c r="M2860" s="3707">
        <v>600</v>
      </c>
      <c r="N2860" s="2847"/>
      <c r="O2860" s="86"/>
      <c r="P2860" s="1817" t="e">
        <f>INDEX(#REF!,MATCH(F2860,#REF!,0),2)</f>
        <v>#REF!</v>
      </c>
      <c r="Q2860" s="1779"/>
      <c r="R2860" s="1779"/>
      <c r="S2860" s="1779"/>
      <c r="T2860" s="1779"/>
      <c r="U2860" s="1779"/>
      <c r="V2860" s="1779"/>
      <c r="W2860" s="43"/>
      <c r="X2860" s="1779"/>
      <c r="Y2860" s="1779"/>
      <c r="Z2860" s="1779"/>
      <c r="AA2860" s="1779"/>
      <c r="AB2860" s="1779"/>
      <c r="AC2860" s="1779"/>
      <c r="AD2860" s="1779"/>
      <c r="AE2860" s="1779"/>
      <c r="AF2860" s="1779"/>
      <c r="AG2860" s="1779"/>
    </row>
    <row r="2861" spans="1:33" ht="22.5">
      <c r="A2861" s="2775"/>
      <c r="B2861" s="424" t="s">
        <v>1248</v>
      </c>
      <c r="C2861" s="424" t="s">
        <v>507</v>
      </c>
      <c r="D2861" s="1598"/>
      <c r="E2861" s="2104" t="s">
        <v>1912</v>
      </c>
      <c r="F2861" s="438">
        <v>2239</v>
      </c>
      <c r="G2861" s="2774" t="s">
        <v>5026</v>
      </c>
      <c r="H2861" s="3701"/>
      <c r="I2861" s="3589"/>
      <c r="J2861" s="3669"/>
      <c r="K2861" s="3670"/>
      <c r="L2861" s="3701"/>
      <c r="M2861" s="3700">
        <v>400</v>
      </c>
      <c r="N2861" s="2847"/>
      <c r="O2861" s="86"/>
      <c r="P2861" s="1817"/>
      <c r="Q2861" s="1779"/>
      <c r="R2861" s="1779"/>
      <c r="S2861" s="1779"/>
      <c r="T2861" s="1779"/>
      <c r="U2861" s="1779"/>
      <c r="V2861" s="1779"/>
      <c r="W2861" s="43"/>
      <c r="X2861" s="1779"/>
      <c r="Y2861" s="1779"/>
      <c r="Z2861" s="1779"/>
      <c r="AA2861" s="1779"/>
      <c r="AB2861" s="1779"/>
      <c r="AC2861" s="1779"/>
      <c r="AD2861" s="1779"/>
      <c r="AE2861" s="1779"/>
      <c r="AF2861" s="1779"/>
      <c r="AG2861" s="1779"/>
    </row>
    <row r="2862" spans="1:33" ht="30.6" customHeight="1">
      <c r="A2862" s="1003"/>
      <c r="B2862" s="424" t="s">
        <v>1248</v>
      </c>
      <c r="C2862" s="424" t="s">
        <v>507</v>
      </c>
      <c r="D2862" s="1598"/>
      <c r="E2862" s="2104" t="s">
        <v>1912</v>
      </c>
      <c r="F2862" s="438">
        <v>2239</v>
      </c>
      <c r="G2862" s="996" t="s">
        <v>5027</v>
      </c>
      <c r="H2862" s="1088"/>
      <c r="I2862" s="1042">
        <v>1500</v>
      </c>
      <c r="J2862" s="1154"/>
      <c r="K2862" s="1089"/>
      <c r="L2862" s="1088"/>
      <c r="M2862" s="3707">
        <v>1500</v>
      </c>
      <c r="N2862" s="2847"/>
      <c r="O2862" s="86"/>
      <c r="P2862" s="1817" t="e">
        <f>INDEX(#REF!,MATCH(F2862,#REF!,0),2)</f>
        <v>#REF!</v>
      </c>
      <c r="Q2862" s="43"/>
      <c r="R2862" s="43"/>
      <c r="S2862" s="43"/>
      <c r="T2862" s="43"/>
      <c r="U2862" s="43"/>
      <c r="V2862" s="43"/>
      <c r="W2862" s="43"/>
      <c r="X2862" s="43"/>
      <c r="Y2862" s="43"/>
      <c r="Z2862" s="43"/>
      <c r="AA2862" s="43"/>
      <c r="AB2862" s="43"/>
      <c r="AC2862" s="43"/>
      <c r="AD2862" s="43"/>
      <c r="AE2862" s="43"/>
      <c r="AF2862" s="43"/>
      <c r="AG2862" s="43"/>
    </row>
    <row r="2863" spans="1:33" ht="23.45" customHeight="1">
      <c r="A2863" s="4374"/>
      <c r="B2863" s="424" t="s">
        <v>1248</v>
      </c>
      <c r="C2863" s="424" t="s">
        <v>507</v>
      </c>
      <c r="D2863" s="1598"/>
      <c r="E2863" s="2104" t="s">
        <v>1912</v>
      </c>
      <c r="F2863" s="438">
        <v>2239</v>
      </c>
      <c r="G2863" s="4178" t="s">
        <v>1180</v>
      </c>
      <c r="H2863" s="3701"/>
      <c r="I2863" s="3669">
        <v>-3500</v>
      </c>
      <c r="J2863" s="3669"/>
      <c r="K2863" s="3670"/>
      <c r="L2863" s="3701"/>
      <c r="M2863" s="3741"/>
      <c r="N2863" s="2847"/>
      <c r="O2863" s="86"/>
      <c r="P2863" s="1817" t="e">
        <f>INDEX(#REF!,MATCH(F2863,#REF!,0),2)</f>
        <v>#REF!</v>
      </c>
      <c r="Q2863" s="43"/>
      <c r="R2863" s="43"/>
      <c r="S2863" s="43"/>
      <c r="T2863" s="43"/>
      <c r="U2863" s="43"/>
      <c r="V2863" s="43"/>
      <c r="W2863" s="43"/>
      <c r="X2863" s="43"/>
      <c r="Y2863" s="43"/>
      <c r="Z2863" s="43"/>
      <c r="AA2863" s="43"/>
      <c r="AB2863" s="43"/>
      <c r="AC2863" s="43"/>
      <c r="AD2863" s="43"/>
      <c r="AE2863" s="43"/>
      <c r="AF2863" s="43"/>
      <c r="AG2863" s="43"/>
    </row>
    <row r="2864" spans="1:33" ht="12" customHeight="1">
      <c r="A2864" s="634"/>
      <c r="B2864" s="2093" t="s">
        <v>1248</v>
      </c>
      <c r="C2864" s="2093" t="s">
        <v>507</v>
      </c>
      <c r="D2864" s="2094">
        <v>950</v>
      </c>
      <c r="E2864" s="2093" t="s">
        <v>1912</v>
      </c>
      <c r="F2864" s="2095">
        <v>2239</v>
      </c>
      <c r="G2864" s="4422" t="s">
        <v>262</v>
      </c>
      <c r="H2864" s="4423">
        <v>22500</v>
      </c>
      <c r="I2864" s="4424"/>
      <c r="J2864" s="4365"/>
      <c r="K2864" s="4366"/>
      <c r="L2864" s="4364">
        <v>0</v>
      </c>
      <c r="M2864" s="4367"/>
      <c r="N2864" s="241" t="s">
        <v>6090</v>
      </c>
      <c r="O2864" s="86"/>
      <c r="P2864" s="1817" t="e">
        <f>INDEX(#REF!,MATCH(F2864,#REF!,0),2)</f>
        <v>#REF!</v>
      </c>
      <c r="Q2864" s="43"/>
      <c r="R2864" s="43"/>
      <c r="S2864" s="43"/>
      <c r="T2864" s="43"/>
      <c r="U2864" s="43"/>
      <c r="V2864" s="43"/>
      <c r="W2864" s="43"/>
      <c r="X2864" s="43"/>
      <c r="Y2864" s="43"/>
      <c r="Z2864" s="43"/>
      <c r="AA2864" s="43"/>
      <c r="AB2864" s="43"/>
      <c r="AC2864" s="43"/>
      <c r="AD2864" s="43"/>
      <c r="AE2864" s="43"/>
      <c r="AF2864" s="43"/>
      <c r="AG2864" s="43"/>
    </row>
    <row r="2865" spans="1:33" ht="21" customHeight="1">
      <c r="A2865" s="1889"/>
      <c r="B2865" s="2093" t="s">
        <v>1248</v>
      </c>
      <c r="C2865" s="2104" t="s">
        <v>507</v>
      </c>
      <c r="D2865" s="2105"/>
      <c r="E2865" s="2104" t="s">
        <v>1912</v>
      </c>
      <c r="F2865" s="2106">
        <v>2239</v>
      </c>
      <c r="G2865" s="3388" t="s">
        <v>2934</v>
      </c>
      <c r="H2865" s="4425"/>
      <c r="I2865" s="4426">
        <v>22500</v>
      </c>
      <c r="J2865" s="4369"/>
      <c r="K2865" s="4370"/>
      <c r="L2865" s="4368"/>
      <c r="M2865" s="4382">
        <v>0</v>
      </c>
      <c r="N2865" s="3730" t="s">
        <v>6033</v>
      </c>
      <c r="O2865" s="86"/>
      <c r="P2865" s="1817" t="e">
        <f>INDEX(#REF!,MATCH(F2865,#REF!,0),2)</f>
        <v>#REF!</v>
      </c>
      <c r="Q2865" s="43"/>
      <c r="R2865" s="43"/>
      <c r="S2865" s="43"/>
      <c r="T2865" s="43"/>
      <c r="U2865" s="43"/>
      <c r="V2865" s="43"/>
      <c r="W2865" s="43"/>
      <c r="X2865" s="43"/>
      <c r="Y2865" s="43"/>
      <c r="Z2865" s="43"/>
      <c r="AA2865" s="43"/>
      <c r="AB2865" s="43"/>
      <c r="AC2865" s="43"/>
      <c r="AD2865" s="43"/>
      <c r="AE2865" s="43"/>
      <c r="AF2865" s="43"/>
      <c r="AG2865" s="43"/>
    </row>
    <row r="2866" spans="1:33" ht="12" customHeight="1">
      <c r="A2866" s="634"/>
      <c r="B2866" s="634" t="s">
        <v>566</v>
      </c>
      <c r="C2866" s="634" t="s">
        <v>1296</v>
      </c>
      <c r="D2866" s="1597">
        <v>950</v>
      </c>
      <c r="E2866" s="2093" t="s">
        <v>2035</v>
      </c>
      <c r="F2866" s="635">
        <v>2239</v>
      </c>
      <c r="G2866" s="432" t="s">
        <v>770</v>
      </c>
      <c r="H2866" s="955">
        <v>30000</v>
      </c>
      <c r="I2866" s="642"/>
      <c r="J2866" s="628"/>
      <c r="K2866" s="629"/>
      <c r="L2866" s="641">
        <v>30000</v>
      </c>
      <c r="M2866" s="3671"/>
      <c r="N2866" s="2847"/>
      <c r="O2866" s="86"/>
      <c r="P2866" s="1817" t="e">
        <f>INDEX(#REF!,MATCH(F2866,#REF!,0),2)</f>
        <v>#REF!</v>
      </c>
      <c r="Q2866" s="43"/>
      <c r="R2866" s="43"/>
      <c r="S2866" s="43"/>
      <c r="T2866" s="43"/>
      <c r="U2866" s="43"/>
      <c r="V2866" s="43"/>
      <c r="W2866" s="43"/>
      <c r="X2866" s="43"/>
      <c r="Y2866" s="43"/>
      <c r="Z2866" s="43"/>
      <c r="AA2866" s="43"/>
      <c r="AB2866" s="43"/>
      <c r="AC2866" s="43"/>
      <c r="AD2866" s="43"/>
      <c r="AE2866" s="43"/>
      <c r="AF2866" s="43"/>
      <c r="AG2866" s="43"/>
    </row>
    <row r="2867" spans="1:33" ht="22.5">
      <c r="A2867" s="992"/>
      <c r="B2867" s="424" t="s">
        <v>566</v>
      </c>
      <c r="C2867" s="424" t="s">
        <v>1296</v>
      </c>
      <c r="D2867" s="1598"/>
      <c r="E2867" s="2104" t="s">
        <v>2035</v>
      </c>
      <c r="F2867" s="438">
        <v>2239</v>
      </c>
      <c r="G2867" s="1679" t="s">
        <v>3170</v>
      </c>
      <c r="H2867" s="954"/>
      <c r="I2867" s="644">
        <v>30000</v>
      </c>
      <c r="J2867" s="644"/>
      <c r="K2867" s="300"/>
      <c r="L2867" s="517"/>
      <c r="M2867" s="3684">
        <v>30000</v>
      </c>
      <c r="N2867" s="2847"/>
      <c r="O2867" s="86"/>
      <c r="P2867" s="1817" t="e">
        <f>INDEX(#REF!,MATCH(F2867,#REF!,0),2)</f>
        <v>#REF!</v>
      </c>
      <c r="Q2867" s="43"/>
      <c r="R2867" s="43"/>
      <c r="S2867" s="43"/>
      <c r="T2867" s="43"/>
      <c r="U2867" s="43"/>
      <c r="V2867" s="43"/>
      <c r="W2867" s="43"/>
      <c r="X2867" s="43"/>
      <c r="Y2867" s="43"/>
      <c r="Z2867" s="43"/>
      <c r="AA2867" s="43"/>
      <c r="AB2867" s="43"/>
      <c r="AC2867" s="43"/>
      <c r="AD2867" s="43"/>
      <c r="AE2867" s="43"/>
      <c r="AF2867" s="43"/>
      <c r="AG2867" s="43"/>
    </row>
    <row r="2868" spans="1:33">
      <c r="A2868" s="634"/>
      <c r="B2868" s="634" t="s">
        <v>1248</v>
      </c>
      <c r="C2868" s="634" t="s">
        <v>661</v>
      </c>
      <c r="D2868" s="1597">
        <v>950</v>
      </c>
      <c r="E2868" s="2093" t="s">
        <v>1912</v>
      </c>
      <c r="F2868" s="635">
        <v>2241</v>
      </c>
      <c r="G2868" s="634" t="s">
        <v>2433</v>
      </c>
      <c r="H2868" s="648">
        <v>3000</v>
      </c>
      <c r="I2868" s="1683"/>
      <c r="J2868" s="676"/>
      <c r="K2868" s="629"/>
      <c r="L2868" s="648">
        <v>3000</v>
      </c>
      <c r="M2868" s="643"/>
      <c r="N2868" s="2847"/>
      <c r="O2868" s="86"/>
      <c r="P2868" s="1817" t="e">
        <f>INDEX(#REF!,MATCH(F2868,#REF!,0),2)</f>
        <v>#REF!</v>
      </c>
      <c r="Q2868" s="43"/>
      <c r="R2868" s="43"/>
      <c r="S2868" s="43"/>
      <c r="T2868" s="43"/>
      <c r="U2868" s="43"/>
      <c r="V2868" s="43"/>
      <c r="W2868" s="43"/>
      <c r="X2868" s="43"/>
      <c r="Y2868" s="43"/>
      <c r="Z2868" s="43"/>
      <c r="AA2868" s="43"/>
      <c r="AB2868" s="43"/>
      <c r="AC2868" s="43"/>
      <c r="AD2868" s="43"/>
      <c r="AE2868" s="43"/>
      <c r="AF2868" s="43"/>
      <c r="AG2868" s="43"/>
    </row>
    <row r="2869" spans="1:33" ht="22.5">
      <c r="A2869" s="424" t="s">
        <v>869</v>
      </c>
      <c r="B2869" s="424" t="s">
        <v>1248</v>
      </c>
      <c r="C2869" s="424" t="s">
        <v>661</v>
      </c>
      <c r="D2869" s="1598"/>
      <c r="E2869" s="2104" t="s">
        <v>1912</v>
      </c>
      <c r="F2869" s="438">
        <v>2241</v>
      </c>
      <c r="G2869" s="493" t="s">
        <v>5029</v>
      </c>
      <c r="H2869" s="670"/>
      <c r="I2869" s="669">
        <v>3000</v>
      </c>
      <c r="J2869" s="677"/>
      <c r="K2869" s="667"/>
      <c r="L2869" s="3731"/>
      <c r="M2869" s="3702">
        <v>3000</v>
      </c>
      <c r="N2869" s="3730" t="s">
        <v>5028</v>
      </c>
      <c r="O2869" s="86"/>
      <c r="P2869" s="1817"/>
      <c r="Q2869" s="43"/>
      <c r="R2869" s="43"/>
      <c r="S2869" s="43"/>
      <c r="T2869" s="43"/>
      <c r="U2869" s="43"/>
      <c r="V2869" s="43"/>
      <c r="W2869" s="43"/>
      <c r="X2869" s="43"/>
      <c r="Y2869" s="43"/>
      <c r="Z2869" s="43"/>
      <c r="AA2869" s="43"/>
      <c r="AB2869" s="43"/>
      <c r="AC2869" s="43"/>
      <c r="AD2869" s="43"/>
      <c r="AE2869" s="43"/>
      <c r="AF2869" s="43"/>
      <c r="AG2869" s="43"/>
    </row>
    <row r="2870" spans="1:33">
      <c r="A2870" s="634"/>
      <c r="B2870" s="634" t="s">
        <v>1250</v>
      </c>
      <c r="C2870" s="634" t="s">
        <v>661</v>
      </c>
      <c r="D2870" s="1597">
        <v>950</v>
      </c>
      <c r="E2870" s="2093" t="s">
        <v>1912</v>
      </c>
      <c r="F2870" s="635">
        <v>2241</v>
      </c>
      <c r="G2870" s="634" t="s">
        <v>2433</v>
      </c>
      <c r="H2870" s="648">
        <v>8000</v>
      </c>
      <c r="I2870" s="1683"/>
      <c r="J2870" s="676">
        <v>8342.66</v>
      </c>
      <c r="K2870" s="629"/>
      <c r="L2870" s="648">
        <v>19300</v>
      </c>
      <c r="M2870" s="643"/>
      <c r="N2870" s="2847"/>
      <c r="O2870" s="86"/>
      <c r="P2870" s="1817"/>
      <c r="Q2870" s="43"/>
      <c r="R2870" s="43"/>
      <c r="S2870" s="43"/>
      <c r="T2870" s="43"/>
      <c r="U2870" s="43"/>
      <c r="V2870" s="43"/>
      <c r="W2870" s="43"/>
      <c r="X2870" s="43"/>
      <c r="Y2870" s="43"/>
      <c r="Z2870" s="43"/>
      <c r="AA2870" s="43"/>
      <c r="AB2870" s="43"/>
      <c r="AC2870" s="43"/>
      <c r="AD2870" s="43"/>
      <c r="AE2870" s="43"/>
      <c r="AF2870" s="43"/>
      <c r="AG2870" s="43"/>
    </row>
    <row r="2871" spans="1:33" ht="40.9" customHeight="1">
      <c r="A2871" s="424" t="s">
        <v>869</v>
      </c>
      <c r="B2871" s="424" t="s">
        <v>1250</v>
      </c>
      <c r="C2871" s="424" t="s">
        <v>661</v>
      </c>
      <c r="D2871" s="1598"/>
      <c r="E2871" s="2104" t="s">
        <v>1912</v>
      </c>
      <c r="F2871" s="438">
        <v>2241</v>
      </c>
      <c r="G2871" s="3385" t="s">
        <v>5030</v>
      </c>
      <c r="H2871" s="670"/>
      <c r="I2871" s="669"/>
      <c r="J2871" s="677"/>
      <c r="K2871" s="667"/>
      <c r="L2871" s="3731"/>
      <c r="M2871" s="3731">
        <v>6300</v>
      </c>
      <c r="N2871" s="2846" t="s">
        <v>5035</v>
      </c>
      <c r="O2871" s="86"/>
      <c r="P2871" s="1817"/>
      <c r="Q2871" s="43"/>
      <c r="R2871" s="43"/>
      <c r="S2871" s="43"/>
      <c r="T2871" s="43"/>
      <c r="U2871" s="43"/>
      <c r="V2871" s="43"/>
      <c r="W2871" s="43"/>
      <c r="X2871" s="43"/>
      <c r="Y2871" s="43"/>
      <c r="Z2871" s="43"/>
      <c r="AA2871" s="43"/>
      <c r="AB2871" s="43"/>
      <c r="AC2871" s="43"/>
      <c r="AD2871" s="43"/>
      <c r="AE2871" s="43"/>
      <c r="AF2871" s="43"/>
      <c r="AG2871" s="43"/>
    </row>
    <row r="2872" spans="1:33" ht="40.9" customHeight="1">
      <c r="A2872" s="424" t="s">
        <v>869</v>
      </c>
      <c r="B2872" s="424" t="s">
        <v>1250</v>
      </c>
      <c r="C2872" s="424" t="s">
        <v>661</v>
      </c>
      <c r="D2872" s="1598"/>
      <c r="E2872" s="2104" t="s">
        <v>1912</v>
      </c>
      <c r="F2872" s="438">
        <v>2241</v>
      </c>
      <c r="G2872" s="3385" t="s">
        <v>5031</v>
      </c>
      <c r="H2872" s="670"/>
      <c r="I2872" s="669"/>
      <c r="J2872" s="677"/>
      <c r="K2872" s="667"/>
      <c r="L2872" s="3731"/>
      <c r="M2872" s="3731">
        <v>5000</v>
      </c>
      <c r="N2872" s="2846" t="s">
        <v>5036</v>
      </c>
      <c r="O2872" s="86"/>
      <c r="P2872" s="1817"/>
      <c r="Q2872" s="43"/>
      <c r="R2872" s="43"/>
      <c r="S2872" s="43"/>
      <c r="T2872" s="43"/>
      <c r="U2872" s="43"/>
      <c r="V2872" s="43"/>
      <c r="W2872" s="43"/>
      <c r="X2872" s="43"/>
      <c r="Y2872" s="43"/>
      <c r="Z2872" s="43"/>
      <c r="AA2872" s="43"/>
      <c r="AB2872" s="43"/>
      <c r="AC2872" s="43"/>
      <c r="AD2872" s="43"/>
      <c r="AE2872" s="43"/>
      <c r="AF2872" s="43"/>
      <c r="AG2872" s="43"/>
    </row>
    <row r="2873" spans="1:33" ht="40.9" customHeight="1">
      <c r="A2873" s="424" t="s">
        <v>869</v>
      </c>
      <c r="B2873" s="424" t="s">
        <v>1250</v>
      </c>
      <c r="C2873" s="424" t="s">
        <v>661</v>
      </c>
      <c r="D2873" s="1598"/>
      <c r="E2873" s="2104" t="s">
        <v>1912</v>
      </c>
      <c r="F2873" s="438">
        <v>2241</v>
      </c>
      <c r="G2873" s="3385" t="s">
        <v>5032</v>
      </c>
      <c r="H2873" s="670"/>
      <c r="I2873" s="669"/>
      <c r="J2873" s="677"/>
      <c r="K2873" s="667"/>
      <c r="L2873" s="3731"/>
      <c r="M2873" s="3731">
        <v>2800</v>
      </c>
      <c r="N2873" s="2846" t="s">
        <v>5037</v>
      </c>
      <c r="O2873" s="86"/>
      <c r="P2873" s="1817"/>
      <c r="Q2873" s="43"/>
      <c r="R2873" s="43"/>
      <c r="S2873" s="43"/>
      <c r="T2873" s="43"/>
      <c r="U2873" s="43"/>
      <c r="V2873" s="43"/>
      <c r="W2873" s="43"/>
      <c r="X2873" s="43"/>
      <c r="Y2873" s="43"/>
      <c r="Z2873" s="43"/>
      <c r="AA2873" s="43"/>
      <c r="AB2873" s="43"/>
      <c r="AC2873" s="43"/>
      <c r="AD2873" s="43"/>
      <c r="AE2873" s="43"/>
      <c r="AF2873" s="43"/>
      <c r="AG2873" s="43"/>
    </row>
    <row r="2874" spans="1:33" ht="22.5">
      <c r="A2874" s="424" t="s">
        <v>869</v>
      </c>
      <c r="B2874" s="424" t="s">
        <v>1250</v>
      </c>
      <c r="C2874" s="424" t="s">
        <v>661</v>
      </c>
      <c r="D2874" s="1598"/>
      <c r="E2874" s="2104" t="s">
        <v>1912</v>
      </c>
      <c r="F2874" s="438">
        <v>2241</v>
      </c>
      <c r="G2874" s="3385" t="s">
        <v>5033</v>
      </c>
      <c r="H2874" s="3591"/>
      <c r="I2874" s="3674"/>
      <c r="J2874" s="3732"/>
      <c r="K2874" s="3590"/>
      <c r="L2874" s="3703"/>
      <c r="M2874" s="3703">
        <v>2700</v>
      </c>
      <c r="N2874" s="2846" t="s">
        <v>5038</v>
      </c>
      <c r="O2874" s="86"/>
      <c r="P2874" s="1817" t="e">
        <f>INDEX(#REF!,MATCH(F2874,#REF!,0),2)</f>
        <v>#REF!</v>
      </c>
      <c r="Q2874" s="43"/>
      <c r="R2874" s="43"/>
      <c r="S2874" s="43"/>
      <c r="T2874" s="43"/>
      <c r="U2874" s="43"/>
      <c r="V2874" s="43"/>
      <c r="W2874" s="43"/>
      <c r="X2874" s="43"/>
      <c r="Y2874" s="43"/>
      <c r="Z2874" s="43"/>
      <c r="AA2874" s="43"/>
      <c r="AB2874" s="43"/>
      <c r="AC2874" s="43"/>
      <c r="AD2874" s="43"/>
      <c r="AE2874" s="43"/>
      <c r="AF2874" s="43"/>
      <c r="AG2874" s="43"/>
    </row>
    <row r="2875" spans="1:33" ht="40.9" customHeight="1">
      <c r="A2875" s="424" t="s">
        <v>869</v>
      </c>
      <c r="B2875" s="424" t="s">
        <v>1250</v>
      </c>
      <c r="C2875" s="424" t="s">
        <v>661</v>
      </c>
      <c r="D2875" s="1598"/>
      <c r="E2875" s="2104" t="s">
        <v>1912</v>
      </c>
      <c r="F2875" s="438">
        <v>2241</v>
      </c>
      <c r="G2875" s="3385" t="s">
        <v>5034</v>
      </c>
      <c r="H2875" s="3591"/>
      <c r="I2875" s="3674"/>
      <c r="J2875" s="3732"/>
      <c r="K2875" s="3590"/>
      <c r="L2875" s="3703"/>
      <c r="M2875" s="3703">
        <v>2500</v>
      </c>
      <c r="N2875" s="2846" t="s">
        <v>5039</v>
      </c>
      <c r="O2875" s="86"/>
      <c r="P2875" s="1817" t="e">
        <f>INDEX(#REF!,MATCH(F2875,#REF!,0),2)</f>
        <v>#REF!</v>
      </c>
      <c r="Q2875" s="43"/>
      <c r="R2875" s="43"/>
      <c r="S2875" s="43"/>
      <c r="T2875" s="43"/>
      <c r="U2875" s="43"/>
      <c r="V2875" s="43"/>
      <c r="W2875" s="43"/>
      <c r="X2875" s="43"/>
      <c r="Y2875" s="43"/>
      <c r="Z2875" s="43"/>
      <c r="AA2875" s="43"/>
      <c r="AB2875" s="43"/>
      <c r="AC2875" s="43"/>
      <c r="AD2875" s="43"/>
      <c r="AE2875" s="43"/>
      <c r="AF2875" s="43"/>
      <c r="AG2875" s="43"/>
    </row>
    <row r="2876" spans="1:33" ht="22.5">
      <c r="A2876" s="424" t="s">
        <v>869</v>
      </c>
      <c r="B2876" s="424" t="s">
        <v>1250</v>
      </c>
      <c r="C2876" s="424" t="s">
        <v>661</v>
      </c>
      <c r="D2876" s="1598"/>
      <c r="E2876" s="2104" t="s">
        <v>1912</v>
      </c>
      <c r="F2876" s="438">
        <v>2241</v>
      </c>
      <c r="G2876" s="493" t="s">
        <v>2341</v>
      </c>
      <c r="H2876" s="670"/>
      <c r="I2876" s="669">
        <v>3000</v>
      </c>
      <c r="J2876" s="677"/>
      <c r="K2876" s="667"/>
      <c r="L2876" s="2459"/>
      <c r="M2876" s="2459"/>
      <c r="N2876" s="2847"/>
      <c r="O2876" s="86"/>
      <c r="P2876" s="1817" t="e">
        <f>INDEX(#REF!,MATCH(F2876,#REF!,0),2)</f>
        <v>#REF!</v>
      </c>
      <c r="Q2876" s="43"/>
      <c r="R2876" s="43"/>
      <c r="S2876" s="43"/>
      <c r="T2876" s="43"/>
      <c r="U2876" s="43"/>
      <c r="V2876" s="43"/>
      <c r="W2876" s="43"/>
      <c r="X2876" s="43"/>
      <c r="Y2876" s="43"/>
      <c r="Z2876" s="43"/>
      <c r="AA2876" s="43"/>
      <c r="AB2876" s="43"/>
      <c r="AC2876" s="43"/>
      <c r="AD2876" s="43"/>
      <c r="AE2876" s="43"/>
      <c r="AF2876" s="43"/>
      <c r="AG2876" s="43"/>
    </row>
    <row r="2877" spans="1:33" ht="22.5">
      <c r="A2877" s="424" t="s">
        <v>869</v>
      </c>
      <c r="B2877" s="424" t="s">
        <v>1250</v>
      </c>
      <c r="C2877" s="424" t="s">
        <v>661</v>
      </c>
      <c r="D2877" s="1598"/>
      <c r="E2877" s="2104" t="s">
        <v>1912</v>
      </c>
      <c r="F2877" s="438">
        <v>2241</v>
      </c>
      <c r="G2877" s="1707" t="s">
        <v>2342</v>
      </c>
      <c r="H2877" s="1677"/>
      <c r="I2877" s="1708">
        <v>5000</v>
      </c>
      <c r="J2877" s="1709"/>
      <c r="K2877" s="1676"/>
      <c r="L2877" s="2459"/>
      <c r="M2877" s="2459"/>
      <c r="N2877" s="2847"/>
      <c r="O2877" s="86"/>
      <c r="P2877" s="1817" t="e">
        <f>INDEX(#REF!,MATCH(F2877,#REF!,0),2)</f>
        <v>#REF!</v>
      </c>
      <c r="Q2877" s="43"/>
      <c r="R2877" s="43"/>
      <c r="S2877" s="43"/>
      <c r="T2877" s="43"/>
      <c r="U2877" s="43"/>
      <c r="V2877" s="43"/>
      <c r="W2877" s="43"/>
      <c r="X2877" s="43"/>
      <c r="Y2877" s="43"/>
      <c r="Z2877" s="43"/>
      <c r="AA2877" s="43"/>
      <c r="AB2877" s="43"/>
      <c r="AC2877" s="43"/>
      <c r="AD2877" s="43"/>
      <c r="AE2877" s="43"/>
      <c r="AF2877" s="43"/>
      <c r="AG2877" s="43"/>
    </row>
    <row r="2878" spans="1:33">
      <c r="A2878" s="634"/>
      <c r="B2878" s="634" t="s">
        <v>1248</v>
      </c>
      <c r="C2878" s="634" t="s">
        <v>505</v>
      </c>
      <c r="D2878" s="1597">
        <v>950</v>
      </c>
      <c r="E2878" s="2093" t="s">
        <v>1912</v>
      </c>
      <c r="F2878" s="635">
        <v>2243</v>
      </c>
      <c r="G2878" s="432" t="s">
        <v>436</v>
      </c>
      <c r="H2878" s="641">
        <v>2400</v>
      </c>
      <c r="I2878" s="1683"/>
      <c r="J2878" s="628">
        <v>9912.52</v>
      </c>
      <c r="K2878" s="629"/>
      <c r="L2878" s="641">
        <v>2550</v>
      </c>
      <c r="M2878" s="643"/>
      <c r="N2878" s="2847"/>
      <c r="O2878" s="86"/>
      <c r="P2878" s="1817" t="e">
        <f>INDEX(#REF!,MATCH(F2878,#REF!,0),2)</f>
        <v>#REF!</v>
      </c>
      <c r="Q2878" s="43"/>
      <c r="R2878" s="43"/>
      <c r="S2878" s="43"/>
      <c r="T2878" s="43"/>
      <c r="U2878" s="43"/>
      <c r="V2878" s="43"/>
      <c r="W2878" s="43"/>
      <c r="X2878" s="43"/>
      <c r="Y2878" s="43"/>
      <c r="Z2878" s="43"/>
      <c r="AA2878" s="43"/>
      <c r="AB2878" s="43"/>
      <c r="AC2878" s="43"/>
      <c r="AD2878" s="43"/>
      <c r="AE2878" s="43"/>
      <c r="AF2878" s="43"/>
      <c r="AG2878" s="43"/>
    </row>
    <row r="2879" spans="1:33" ht="33.75">
      <c r="A2879" s="424" t="s">
        <v>874</v>
      </c>
      <c r="B2879" s="424" t="s">
        <v>1248</v>
      </c>
      <c r="C2879" s="424" t="s">
        <v>505</v>
      </c>
      <c r="D2879" s="1598"/>
      <c r="E2879" s="2104" t="s">
        <v>1912</v>
      </c>
      <c r="F2879" s="438">
        <v>2243</v>
      </c>
      <c r="G2879" s="996" t="s">
        <v>662</v>
      </c>
      <c r="H2879" s="1041"/>
      <c r="I2879" s="1040">
        <v>1500</v>
      </c>
      <c r="J2879" s="1042"/>
      <c r="K2879" s="1043"/>
      <c r="L2879" s="1050"/>
      <c r="M2879" s="3708">
        <v>1500</v>
      </c>
      <c r="N2879" s="2847"/>
      <c r="O2879" s="86"/>
      <c r="P2879" s="1817" t="e">
        <f>INDEX(#REF!,MATCH(F2879,#REF!,0),2)</f>
        <v>#REF!</v>
      </c>
      <c r="Q2879" s="43"/>
      <c r="R2879" s="43"/>
      <c r="S2879" s="43"/>
      <c r="T2879" s="43"/>
      <c r="U2879" s="43"/>
      <c r="V2879" s="43"/>
      <c r="W2879" s="43"/>
      <c r="X2879" s="43"/>
      <c r="Y2879" s="43"/>
      <c r="Z2879" s="43"/>
      <c r="AA2879" s="43"/>
      <c r="AB2879" s="43"/>
      <c r="AC2879" s="43"/>
      <c r="AD2879" s="43"/>
      <c r="AE2879" s="43"/>
      <c r="AF2879" s="43"/>
      <c r="AG2879" s="43"/>
    </row>
    <row r="2880" spans="1:33">
      <c r="A2880" s="424"/>
      <c r="B2880" s="424" t="s">
        <v>1248</v>
      </c>
      <c r="C2880" s="424" t="s">
        <v>505</v>
      </c>
      <c r="D2880" s="1598"/>
      <c r="E2880" s="2104" t="s">
        <v>1912</v>
      </c>
      <c r="F2880" s="438">
        <v>2243</v>
      </c>
      <c r="G2880" s="996" t="s">
        <v>437</v>
      </c>
      <c r="H2880" s="1041"/>
      <c r="I2880" s="1040">
        <v>200</v>
      </c>
      <c r="J2880" s="1042"/>
      <c r="K2880" s="1043"/>
      <c r="L2880" s="1050"/>
      <c r="M2880" s="3708">
        <v>200</v>
      </c>
      <c r="N2880" s="2847"/>
      <c r="O2880" s="86"/>
      <c r="P2880" s="1817" t="e">
        <f>INDEX(#REF!,MATCH(F2880,#REF!,0),2)</f>
        <v>#REF!</v>
      </c>
      <c r="Q2880" s="43"/>
      <c r="R2880" s="43"/>
      <c r="S2880" s="43"/>
      <c r="T2880" s="43"/>
      <c r="U2880" s="43"/>
      <c r="V2880" s="43"/>
      <c r="W2880" s="43"/>
      <c r="X2880" s="43"/>
      <c r="Y2880" s="43"/>
      <c r="Z2880" s="43"/>
      <c r="AA2880" s="43"/>
      <c r="AB2880" s="43"/>
      <c r="AC2880" s="43"/>
      <c r="AD2880" s="43"/>
      <c r="AE2880" s="43"/>
      <c r="AF2880" s="43"/>
      <c r="AG2880" s="43"/>
    </row>
    <row r="2881" spans="1:33">
      <c r="A2881" s="424"/>
      <c r="B2881" s="424" t="s">
        <v>1248</v>
      </c>
      <c r="C2881" s="424" t="s">
        <v>505</v>
      </c>
      <c r="D2881" s="1598"/>
      <c r="E2881" s="2104" t="s">
        <v>1912</v>
      </c>
      <c r="F2881" s="438">
        <v>2243</v>
      </c>
      <c r="G2881" s="996" t="s">
        <v>605</v>
      </c>
      <c r="H2881" s="1041"/>
      <c r="I2881" s="1040">
        <v>300</v>
      </c>
      <c r="J2881" s="1042"/>
      <c r="K2881" s="1043"/>
      <c r="L2881" s="1050"/>
      <c r="M2881" s="3708">
        <v>300</v>
      </c>
      <c r="N2881" s="2847"/>
      <c r="O2881" s="86"/>
      <c r="P2881" s="1817" t="e">
        <f>INDEX(#REF!,MATCH(F2881,#REF!,0),2)</f>
        <v>#REF!</v>
      </c>
      <c r="Q2881" s="43"/>
      <c r="R2881" s="43"/>
      <c r="S2881" s="43"/>
      <c r="T2881" s="43"/>
      <c r="U2881" s="43"/>
      <c r="V2881" s="43"/>
      <c r="W2881" s="43"/>
      <c r="X2881" s="43"/>
      <c r="Y2881" s="43"/>
      <c r="Z2881" s="43"/>
      <c r="AA2881" s="43"/>
      <c r="AB2881" s="43"/>
      <c r="AC2881" s="43"/>
      <c r="AD2881" s="43"/>
      <c r="AE2881" s="43"/>
      <c r="AF2881" s="43"/>
      <c r="AG2881" s="43"/>
    </row>
    <row r="2882" spans="1:33">
      <c r="A2882" s="424"/>
      <c r="B2882" s="424" t="s">
        <v>1248</v>
      </c>
      <c r="C2882" s="424" t="s">
        <v>505</v>
      </c>
      <c r="D2882" s="1598"/>
      <c r="E2882" s="2104" t="s">
        <v>1912</v>
      </c>
      <c r="F2882" s="438">
        <v>2243</v>
      </c>
      <c r="G2882" s="996" t="s">
        <v>1045</v>
      </c>
      <c r="H2882" s="1045"/>
      <c r="I2882" s="1040">
        <v>200</v>
      </c>
      <c r="J2882" s="1035"/>
      <c r="K2882" s="1036"/>
      <c r="L2882" s="1038"/>
      <c r="M2882" s="3708">
        <v>250</v>
      </c>
      <c r="N2882" s="2847"/>
      <c r="O2882" s="86"/>
      <c r="P2882" s="1817" t="e">
        <f>INDEX(#REF!,MATCH(F2882,#REF!,0),2)</f>
        <v>#REF!</v>
      </c>
      <c r="Q2882" s="1779"/>
      <c r="R2882" s="1779"/>
      <c r="S2882" s="1779"/>
      <c r="T2882" s="1779"/>
      <c r="U2882" s="1779"/>
      <c r="V2882" s="1779"/>
      <c r="W2882" s="43"/>
      <c r="X2882" s="1779"/>
      <c r="Y2882" s="1779"/>
      <c r="Z2882" s="1779"/>
      <c r="AA2882" s="1779"/>
      <c r="AB2882" s="1779"/>
      <c r="AC2882" s="1779"/>
      <c r="AD2882" s="1779"/>
      <c r="AE2882" s="1779"/>
      <c r="AF2882" s="1779"/>
      <c r="AG2882" s="1779"/>
    </row>
    <row r="2883" spans="1:33" ht="22.5">
      <c r="A2883" s="424"/>
      <c r="B2883" s="424" t="s">
        <v>1248</v>
      </c>
      <c r="C2883" s="424" t="s">
        <v>505</v>
      </c>
      <c r="D2883" s="1598"/>
      <c r="E2883" s="2104" t="s">
        <v>1912</v>
      </c>
      <c r="F2883" s="438">
        <v>2243</v>
      </c>
      <c r="G2883" s="996" t="s">
        <v>1046</v>
      </c>
      <c r="H2883" s="1045"/>
      <c r="I2883" s="1040">
        <v>200</v>
      </c>
      <c r="J2883" s="1035"/>
      <c r="K2883" s="1036"/>
      <c r="L2883" s="1038"/>
      <c r="M2883" s="3708">
        <v>300</v>
      </c>
      <c r="N2883" s="2847"/>
      <c r="O2883" s="86"/>
      <c r="P2883" s="1817" t="e">
        <f>INDEX(#REF!,MATCH(F2883,#REF!,0),2)</f>
        <v>#REF!</v>
      </c>
      <c r="Q2883" s="1779"/>
      <c r="R2883" s="1779"/>
      <c r="S2883" s="1779"/>
      <c r="T2883" s="1779"/>
      <c r="U2883" s="1779"/>
      <c r="V2883" s="1779"/>
      <c r="W2883" s="43"/>
      <c r="X2883" s="1779"/>
      <c r="Y2883" s="1779"/>
      <c r="Z2883" s="1779"/>
      <c r="AA2883" s="1779"/>
      <c r="AB2883" s="1779"/>
      <c r="AC2883" s="1779"/>
      <c r="AD2883" s="1779"/>
      <c r="AE2883" s="1779"/>
      <c r="AF2883" s="1779"/>
      <c r="AG2883" s="1779"/>
    </row>
    <row r="2884" spans="1:33">
      <c r="A2884" s="634"/>
      <c r="B2884" s="634" t="s">
        <v>1248</v>
      </c>
      <c r="C2884" s="634" t="s">
        <v>513</v>
      </c>
      <c r="D2884" s="1597">
        <v>950</v>
      </c>
      <c r="E2884" s="2093" t="s">
        <v>1912</v>
      </c>
      <c r="F2884" s="635">
        <v>2243</v>
      </c>
      <c r="G2884" s="432" t="s">
        <v>436</v>
      </c>
      <c r="H2884" s="641">
        <v>3846</v>
      </c>
      <c r="I2884" s="1683"/>
      <c r="J2884" s="628"/>
      <c r="K2884" s="629"/>
      <c r="L2884" s="641">
        <v>3800</v>
      </c>
      <c r="M2884" s="643"/>
      <c r="N2884" s="2847"/>
      <c r="O2884" s="86"/>
      <c r="P2884" s="1817" t="e">
        <f>INDEX(#REF!,MATCH(F2884,#REF!,0),2)</f>
        <v>#REF!</v>
      </c>
      <c r="Q2884" s="1779"/>
      <c r="R2884" s="1779"/>
      <c r="S2884" s="1779"/>
      <c r="T2884" s="1779"/>
      <c r="U2884" s="1779"/>
      <c r="V2884" s="1779"/>
      <c r="W2884" s="43"/>
      <c r="X2884" s="1779"/>
      <c r="Y2884" s="1779"/>
      <c r="Z2884" s="1779"/>
      <c r="AA2884" s="1779"/>
      <c r="AB2884" s="1779"/>
      <c r="AC2884" s="1779"/>
      <c r="AD2884" s="1779"/>
      <c r="AE2884" s="1779"/>
      <c r="AF2884" s="1779"/>
      <c r="AG2884" s="1779"/>
    </row>
    <row r="2885" spans="1:33">
      <c r="A2885" s="424"/>
      <c r="B2885" s="424" t="s">
        <v>1248</v>
      </c>
      <c r="C2885" s="424" t="s">
        <v>513</v>
      </c>
      <c r="D2885" s="1598"/>
      <c r="E2885" s="2104" t="s">
        <v>1912</v>
      </c>
      <c r="F2885" s="438">
        <v>2243</v>
      </c>
      <c r="G2885" s="1053" t="s">
        <v>520</v>
      </c>
      <c r="H2885" s="1041"/>
      <c r="I2885" s="1040">
        <v>600</v>
      </c>
      <c r="J2885" s="1042"/>
      <c r="K2885" s="1043"/>
      <c r="L2885" s="1050"/>
      <c r="M2885" s="3708">
        <v>600</v>
      </c>
      <c r="N2885" s="2847"/>
      <c r="O2885" s="86"/>
      <c r="P2885" s="1817" t="e">
        <f>INDEX(#REF!,MATCH(F2885,#REF!,0),2)</f>
        <v>#REF!</v>
      </c>
      <c r="Q2885" s="1779"/>
      <c r="R2885" s="1779"/>
      <c r="S2885" s="1779"/>
      <c r="T2885" s="1779"/>
      <c r="U2885" s="1779"/>
      <c r="V2885" s="1779"/>
      <c r="W2885" s="43"/>
      <c r="X2885" s="1779"/>
      <c r="Y2885" s="1779"/>
      <c r="Z2885" s="1779"/>
      <c r="AA2885" s="1779"/>
      <c r="AB2885" s="1779"/>
      <c r="AC2885" s="1779"/>
      <c r="AD2885" s="1779"/>
      <c r="AE2885" s="1779"/>
      <c r="AF2885" s="1779"/>
      <c r="AG2885" s="1779"/>
    </row>
    <row r="2886" spans="1:33" ht="22.5">
      <c r="A2886" s="424"/>
      <c r="B2886" s="424" t="s">
        <v>1248</v>
      </c>
      <c r="C2886" s="424" t="s">
        <v>513</v>
      </c>
      <c r="D2886" s="1598"/>
      <c r="E2886" s="2104" t="s">
        <v>1912</v>
      </c>
      <c r="F2886" s="438">
        <v>2243</v>
      </c>
      <c r="G2886" s="3733" t="s">
        <v>5044</v>
      </c>
      <c r="H2886" s="1041"/>
      <c r="I2886" s="1040">
        <v>250</v>
      </c>
      <c r="J2886" s="1042"/>
      <c r="K2886" s="1043"/>
      <c r="L2886" s="1050"/>
      <c r="M2886" s="4299">
        <v>250</v>
      </c>
      <c r="N2886" s="241" t="s">
        <v>5156</v>
      </c>
      <c r="O2886" s="86"/>
      <c r="P2886" s="1817" t="e">
        <f>INDEX(#REF!,MATCH(F2886,#REF!,0),2)</f>
        <v>#REF!</v>
      </c>
      <c r="Q2886" s="1779"/>
      <c r="R2886" s="1779"/>
      <c r="S2886" s="1779"/>
      <c r="T2886" s="1779"/>
      <c r="U2886" s="1779"/>
      <c r="V2886" s="1779"/>
      <c r="W2886" s="43"/>
      <c r="X2886" s="1779"/>
      <c r="Y2886" s="1779"/>
      <c r="Z2886" s="1779"/>
      <c r="AA2886" s="1779"/>
      <c r="AB2886" s="1779"/>
      <c r="AC2886" s="1779"/>
      <c r="AD2886" s="1779"/>
      <c r="AE2886" s="1779"/>
      <c r="AF2886" s="1779"/>
      <c r="AG2886" s="1779"/>
    </row>
    <row r="2887" spans="1:33" ht="33.75">
      <c r="A2887" s="424"/>
      <c r="B2887" s="424" t="s">
        <v>1248</v>
      </c>
      <c r="C2887" s="424" t="s">
        <v>513</v>
      </c>
      <c r="D2887" s="1598"/>
      <c r="E2887" s="2104" t="s">
        <v>1912</v>
      </c>
      <c r="F2887" s="438">
        <v>2243</v>
      </c>
      <c r="G2887" s="3689" t="s">
        <v>5040</v>
      </c>
      <c r="H2887" s="1041"/>
      <c r="I2887" s="1040">
        <v>1755</v>
      </c>
      <c r="J2887" s="1042"/>
      <c r="K2887" s="1043"/>
      <c r="L2887" s="1050"/>
      <c r="M2887" s="3708">
        <v>1750</v>
      </c>
      <c r="N2887" s="2847"/>
      <c r="O2887" s="86"/>
      <c r="P2887" s="1817"/>
      <c r="Q2887" s="43"/>
      <c r="R2887" s="43"/>
      <c r="S2887" s="43"/>
      <c r="T2887" s="43"/>
      <c r="U2887" s="43"/>
      <c r="V2887" s="43"/>
      <c r="W2887" s="43"/>
      <c r="X2887" s="43"/>
      <c r="Y2887" s="43"/>
      <c r="Z2887" s="43"/>
      <c r="AA2887" s="43"/>
      <c r="AB2887" s="43"/>
      <c r="AC2887" s="43"/>
      <c r="AD2887" s="43"/>
      <c r="AE2887" s="43"/>
      <c r="AF2887" s="43"/>
      <c r="AG2887" s="43"/>
    </row>
    <row r="2888" spans="1:33">
      <c r="A2888" s="424"/>
      <c r="B2888" s="424" t="s">
        <v>1248</v>
      </c>
      <c r="C2888" s="424" t="s">
        <v>513</v>
      </c>
      <c r="D2888" s="1598"/>
      <c r="E2888" s="2104" t="s">
        <v>1912</v>
      </c>
      <c r="F2888" s="438">
        <v>2243</v>
      </c>
      <c r="G2888" s="1705" t="s">
        <v>2343</v>
      </c>
      <c r="H2888" s="1041"/>
      <c r="I2888" s="1040">
        <v>200</v>
      </c>
      <c r="J2888" s="1042"/>
      <c r="K2888" s="1043"/>
      <c r="L2888" s="1050"/>
      <c r="M2888" s="3708">
        <v>200</v>
      </c>
      <c r="N2888" s="2847" t="s">
        <v>5042</v>
      </c>
      <c r="O2888" s="86"/>
      <c r="P2888" s="1817" t="e">
        <f>INDEX(#REF!,MATCH(F2888,#REF!,0),2)</f>
        <v>#REF!</v>
      </c>
      <c r="Q2888" s="1779"/>
      <c r="R2888" s="1779"/>
      <c r="S2888" s="1779"/>
      <c r="T2888" s="1779"/>
      <c r="U2888" s="1779"/>
      <c r="V2888" s="1779"/>
      <c r="W2888" s="43"/>
      <c r="X2888" s="1779"/>
      <c r="Y2888" s="1779"/>
      <c r="Z2888" s="1779"/>
      <c r="AA2888" s="1779"/>
      <c r="AB2888" s="1779"/>
      <c r="AC2888" s="1779"/>
      <c r="AD2888" s="1779"/>
      <c r="AE2888" s="1779"/>
      <c r="AF2888" s="1779"/>
      <c r="AG2888" s="1779"/>
    </row>
    <row r="2889" spans="1:33" ht="14.45" customHeight="1">
      <c r="A2889" s="2790"/>
      <c r="B2889" s="424" t="s">
        <v>1248</v>
      </c>
      <c r="C2889" s="424" t="s">
        <v>513</v>
      </c>
      <c r="D2889" s="1598"/>
      <c r="E2889" s="2104" t="s">
        <v>1912</v>
      </c>
      <c r="F2889" s="438">
        <v>2243</v>
      </c>
      <c r="G2889" s="2774" t="s">
        <v>5041</v>
      </c>
      <c r="H2889" s="3701"/>
      <c r="I2889" s="3588"/>
      <c r="J2889" s="3669"/>
      <c r="K2889" s="3670"/>
      <c r="L2889" s="3681"/>
      <c r="M2889" s="4300">
        <v>1000</v>
      </c>
      <c r="N2889" s="2847" t="s">
        <v>6030</v>
      </c>
      <c r="O2889" s="86"/>
      <c r="P2889" s="1817" t="e">
        <f>INDEX(#REF!,MATCH(F2889,#REF!,0),2)</f>
        <v>#REF!</v>
      </c>
      <c r="Q2889" s="1779"/>
      <c r="R2889" s="1779"/>
      <c r="S2889" s="1779"/>
      <c r="T2889" s="1779"/>
      <c r="U2889" s="1779"/>
      <c r="V2889" s="1779"/>
      <c r="W2889" s="43"/>
      <c r="X2889" s="1779"/>
      <c r="Y2889" s="1779"/>
      <c r="Z2889" s="1779"/>
      <c r="AA2889" s="1779"/>
      <c r="AB2889" s="1779"/>
      <c r="AC2889" s="1779"/>
      <c r="AD2889" s="1779"/>
      <c r="AE2889" s="1779"/>
      <c r="AF2889" s="1779"/>
      <c r="AG2889" s="1779"/>
    </row>
    <row r="2890" spans="1:33" ht="18" customHeight="1">
      <c r="A2890" s="1882"/>
      <c r="B2890" s="424" t="s">
        <v>1248</v>
      </c>
      <c r="C2890" s="424" t="s">
        <v>513</v>
      </c>
      <c r="D2890" s="1598"/>
      <c r="E2890" s="2104" t="s">
        <v>1912</v>
      </c>
      <c r="F2890" s="438">
        <v>2243</v>
      </c>
      <c r="G2890" s="1884" t="s">
        <v>3123</v>
      </c>
      <c r="H2890" s="1677"/>
      <c r="I2890" s="1894">
        <v>1041</v>
      </c>
      <c r="J2890" s="1675"/>
      <c r="K2890" s="1676"/>
      <c r="L2890" s="1677"/>
      <c r="M2890" s="2458"/>
      <c r="N2890" s="2847"/>
      <c r="O2890" s="86"/>
      <c r="P2890" s="1817" t="e">
        <f>INDEX(#REF!,MATCH(F2890,#REF!,0),2)</f>
        <v>#REF!</v>
      </c>
      <c r="Q2890" s="43"/>
      <c r="R2890" s="43"/>
      <c r="S2890" s="43"/>
      <c r="T2890" s="43"/>
      <c r="U2890" s="43"/>
      <c r="V2890" s="43"/>
      <c r="W2890" s="43"/>
      <c r="X2890" s="43"/>
      <c r="Y2890" s="43"/>
      <c r="Z2890" s="43"/>
      <c r="AA2890" s="43"/>
      <c r="AB2890" s="43"/>
      <c r="AC2890" s="43"/>
      <c r="AD2890" s="43"/>
      <c r="AE2890" s="43"/>
      <c r="AF2890" s="43"/>
      <c r="AG2890" s="43"/>
    </row>
    <row r="2891" spans="1:33" ht="46.9" customHeight="1">
      <c r="A2891" s="634"/>
      <c r="B2891" s="634" t="s">
        <v>1249</v>
      </c>
      <c r="C2891" s="634" t="s">
        <v>513</v>
      </c>
      <c r="D2891" s="1597">
        <v>950</v>
      </c>
      <c r="E2891" s="2093" t="s">
        <v>1912</v>
      </c>
      <c r="F2891" s="635">
        <v>2243</v>
      </c>
      <c r="G2891" s="432" t="s">
        <v>436</v>
      </c>
      <c r="H2891" s="641">
        <v>5000</v>
      </c>
      <c r="I2891" s="1683"/>
      <c r="J2891" s="628"/>
      <c r="K2891" s="629"/>
      <c r="L2891" s="641">
        <v>5000</v>
      </c>
      <c r="M2891" s="643"/>
      <c r="N2891" s="2847"/>
      <c r="O2891" s="86"/>
      <c r="P2891" s="1817" t="e">
        <f>INDEX(#REF!,MATCH(F2891,#REF!,0),2)</f>
        <v>#REF!</v>
      </c>
      <c r="Q2891" s="43"/>
      <c r="R2891" s="43"/>
      <c r="S2891" s="43"/>
      <c r="T2891" s="43"/>
      <c r="U2891" s="43"/>
      <c r="V2891" s="43"/>
      <c r="W2891" s="43"/>
      <c r="X2891" s="43"/>
      <c r="Y2891" s="43"/>
      <c r="Z2891" s="43"/>
      <c r="AA2891" s="43"/>
      <c r="AB2891" s="43"/>
      <c r="AC2891" s="43"/>
      <c r="AD2891" s="43"/>
      <c r="AE2891" s="43"/>
      <c r="AF2891" s="43"/>
      <c r="AG2891" s="43"/>
    </row>
    <row r="2892" spans="1:33" ht="46.9" customHeight="1">
      <c r="A2892" s="424"/>
      <c r="B2892" s="424" t="s">
        <v>1249</v>
      </c>
      <c r="C2892" s="424" t="s">
        <v>513</v>
      </c>
      <c r="D2892" s="1598"/>
      <c r="E2892" s="2104" t="s">
        <v>1912</v>
      </c>
      <c r="F2892" s="438">
        <v>2243</v>
      </c>
      <c r="G2892" s="996" t="s">
        <v>5045</v>
      </c>
      <c r="H2892" s="1045"/>
      <c r="I2892" s="1040">
        <v>5000</v>
      </c>
      <c r="J2892" s="1035"/>
      <c r="K2892" s="1036"/>
      <c r="L2892" s="1038"/>
      <c r="M2892" s="3708">
        <v>5000</v>
      </c>
      <c r="N2892" s="2847" t="s">
        <v>5043</v>
      </c>
      <c r="O2892" s="86"/>
      <c r="P2892" s="1817" t="e">
        <f>INDEX(#REF!,MATCH(F2892,#REF!,0),2)</f>
        <v>#REF!</v>
      </c>
      <c r="Q2892" s="43"/>
      <c r="R2892" s="43"/>
      <c r="S2892" s="43"/>
      <c r="T2892" s="43"/>
      <c r="U2892" s="43"/>
      <c r="V2892" s="43"/>
      <c r="W2892" s="43"/>
      <c r="X2892" s="43"/>
      <c r="Y2892" s="43"/>
      <c r="Z2892" s="43"/>
      <c r="AA2892" s="43"/>
      <c r="AB2892" s="43"/>
      <c r="AC2892" s="43"/>
      <c r="AD2892" s="43"/>
      <c r="AE2892" s="43"/>
      <c r="AF2892" s="43"/>
      <c r="AG2892" s="43"/>
    </row>
    <row r="2893" spans="1:33" ht="13.9" customHeight="1">
      <c r="A2893" s="634"/>
      <c r="B2893" s="634" t="s">
        <v>1248</v>
      </c>
      <c r="C2893" s="634" t="s">
        <v>513</v>
      </c>
      <c r="D2893" s="1597">
        <v>950</v>
      </c>
      <c r="E2893" s="2093" t="s">
        <v>1912</v>
      </c>
      <c r="F2893" s="635">
        <v>2244</v>
      </c>
      <c r="G2893" s="432" t="s">
        <v>280</v>
      </c>
      <c r="H2893" s="641">
        <v>15037</v>
      </c>
      <c r="I2893" s="1683"/>
      <c r="J2893" s="628">
        <v>22611.05</v>
      </c>
      <c r="K2893" s="629"/>
      <c r="L2893" s="641">
        <v>18091.304347826088</v>
      </c>
      <c r="M2893" s="642"/>
      <c r="N2893" s="2847"/>
      <c r="O2893" s="86"/>
      <c r="P2893" s="1817" t="e">
        <f>INDEX(#REF!,MATCH(F2893,#REF!,0),2)</f>
        <v>#REF!</v>
      </c>
      <c r="Q2893" s="1779"/>
      <c r="R2893" s="1779"/>
      <c r="S2893" s="1779"/>
      <c r="T2893" s="1779"/>
      <c r="U2893" s="1779"/>
      <c r="V2893" s="43"/>
      <c r="W2893" s="1779"/>
      <c r="X2893" s="1779"/>
      <c r="Y2893" s="1779"/>
      <c r="Z2893" s="1779"/>
      <c r="AA2893" s="1779"/>
      <c r="AB2893" s="1779"/>
      <c r="AC2893" s="1779"/>
      <c r="AD2893" s="1779"/>
      <c r="AE2893" s="1779"/>
      <c r="AF2893" s="1779"/>
    </row>
    <row r="2894" spans="1:33" ht="24.6" customHeight="1">
      <c r="A2894" s="424"/>
      <c r="B2894" s="424" t="s">
        <v>1248</v>
      </c>
      <c r="C2894" s="424" t="s">
        <v>513</v>
      </c>
      <c r="D2894" s="1598"/>
      <c r="E2894" s="2104" t="s">
        <v>1912</v>
      </c>
      <c r="F2894" s="438">
        <v>2244</v>
      </c>
      <c r="G2894" s="2774" t="s">
        <v>5046</v>
      </c>
      <c r="H2894" s="1041"/>
      <c r="I2894" s="1040">
        <v>600</v>
      </c>
      <c r="J2894" s="1042"/>
      <c r="K2894" s="1043"/>
      <c r="L2894" s="1041"/>
      <c r="M2894" s="3708">
        <v>700</v>
      </c>
      <c r="N2894" s="2847"/>
      <c r="O2894" s="86"/>
      <c r="P2894" s="1817"/>
      <c r="Q2894" s="43"/>
      <c r="R2894" s="43"/>
      <c r="S2894" s="43"/>
      <c r="T2894" s="43"/>
      <c r="U2894" s="43"/>
      <c r="V2894" s="43"/>
      <c r="W2894" s="43"/>
      <c r="X2894" s="43"/>
      <c r="Y2894" s="43"/>
      <c r="Z2894" s="43"/>
      <c r="AA2894" s="43"/>
      <c r="AB2894" s="43"/>
      <c r="AC2894" s="43"/>
      <c r="AD2894" s="43"/>
      <c r="AE2894" s="43"/>
      <c r="AF2894" s="43"/>
      <c r="AG2894" s="43"/>
    </row>
    <row r="2895" spans="1:33" ht="55.9" customHeight="1">
      <c r="A2895" s="424"/>
      <c r="B2895" s="424" t="s">
        <v>1248</v>
      </c>
      <c r="C2895" s="424" t="s">
        <v>513</v>
      </c>
      <c r="D2895" s="1598"/>
      <c r="E2895" s="2104" t="s">
        <v>1912</v>
      </c>
      <c r="F2895" s="438">
        <v>2244</v>
      </c>
      <c r="G2895" s="4084" t="s">
        <v>5047</v>
      </c>
      <c r="H2895" s="1045"/>
      <c r="I2895" s="1040">
        <v>14657</v>
      </c>
      <c r="J2895" s="3734"/>
      <c r="K2895" s="1036"/>
      <c r="L2895" s="1045"/>
      <c r="M2895" s="4300">
        <v>17391.304347826088</v>
      </c>
      <c r="N2895" s="4301" t="s">
        <v>6031</v>
      </c>
      <c r="O2895" s="1817"/>
      <c r="P2895" s="1817" t="e">
        <f>INDEX(#REF!,MATCH(F2895,#REF!,0),2)</f>
        <v>#REF!</v>
      </c>
      <c r="Q2895" s="43"/>
      <c r="R2895" s="43"/>
      <c r="S2895" s="43"/>
      <c r="T2895" s="43"/>
      <c r="U2895" s="43"/>
      <c r="V2895" s="43"/>
      <c r="W2895" s="43"/>
      <c r="X2895" s="43"/>
      <c r="Y2895" s="43"/>
      <c r="Z2895" s="43"/>
      <c r="AA2895" s="43"/>
      <c r="AB2895" s="43"/>
      <c r="AC2895" s="43"/>
      <c r="AD2895" s="43"/>
      <c r="AE2895" s="43"/>
      <c r="AF2895" s="43"/>
      <c r="AG2895" s="43"/>
    </row>
    <row r="2896" spans="1:33" ht="16.149999999999999" customHeight="1">
      <c r="A2896" s="4200"/>
      <c r="B2896" s="424" t="s">
        <v>1248</v>
      </c>
      <c r="C2896" s="424" t="s">
        <v>513</v>
      </c>
      <c r="D2896" s="1598"/>
      <c r="E2896" s="2104" t="s">
        <v>1912</v>
      </c>
      <c r="F2896" s="438">
        <v>2244</v>
      </c>
      <c r="G2896" s="4375" t="s">
        <v>1180</v>
      </c>
      <c r="H2896" s="3701"/>
      <c r="I2896" s="4358">
        <v>-220</v>
      </c>
      <c r="J2896" s="4376"/>
      <c r="K2896" s="3670"/>
      <c r="L2896" s="3701"/>
      <c r="M2896" s="4377"/>
      <c r="N2896" s="4301"/>
      <c r="O2896" s="86"/>
      <c r="P2896" s="1817" t="e">
        <f>INDEX(#REF!,MATCH(F2896,#REF!,0),2)</f>
        <v>#REF!</v>
      </c>
      <c r="Q2896" s="43"/>
      <c r="R2896" s="43"/>
      <c r="S2896" s="43"/>
      <c r="T2896" s="43"/>
      <c r="U2896" s="43"/>
      <c r="V2896" s="43"/>
      <c r="W2896" s="43"/>
      <c r="X2896" s="43"/>
      <c r="Y2896" s="43"/>
      <c r="Z2896" s="43"/>
      <c r="AA2896" s="43"/>
      <c r="AB2896" s="43"/>
      <c r="AC2896" s="43"/>
      <c r="AD2896" s="43"/>
      <c r="AE2896" s="43"/>
      <c r="AF2896" s="43"/>
      <c r="AG2896" s="43"/>
    </row>
    <row r="2897" spans="1:33" ht="13.15" customHeight="1">
      <c r="A2897" s="634"/>
      <c r="B2897" s="634" t="s">
        <v>1249</v>
      </c>
      <c r="C2897" s="634" t="s">
        <v>510</v>
      </c>
      <c r="D2897" s="1597">
        <v>950</v>
      </c>
      <c r="E2897" s="2093" t="s">
        <v>1912</v>
      </c>
      <c r="F2897" s="635">
        <v>2244</v>
      </c>
      <c r="G2897" s="432" t="s">
        <v>280</v>
      </c>
      <c r="H2897" s="641">
        <v>10864</v>
      </c>
      <c r="I2897" s="1683"/>
      <c r="J2897" s="628"/>
      <c r="K2897" s="629"/>
      <c r="L2897" s="641">
        <v>0</v>
      </c>
      <c r="M2897" s="643"/>
      <c r="N2897" s="2847"/>
      <c r="O2897" s="86"/>
      <c r="P2897" s="1817" t="e">
        <f>INDEX(#REF!,MATCH(F2897,#REF!,0),2)</f>
        <v>#REF!</v>
      </c>
      <c r="Q2897" s="43"/>
      <c r="R2897" s="43"/>
      <c r="S2897" s="43"/>
      <c r="T2897" s="43"/>
      <c r="U2897" s="43"/>
      <c r="V2897" s="43"/>
      <c r="W2897" s="43"/>
      <c r="X2897" s="43"/>
      <c r="Y2897" s="43"/>
      <c r="Z2897" s="43"/>
      <c r="AA2897" s="43"/>
      <c r="AB2897" s="43"/>
      <c r="AC2897" s="43"/>
      <c r="AD2897" s="43"/>
      <c r="AE2897" s="43"/>
      <c r="AF2897" s="43"/>
      <c r="AG2897" s="43"/>
    </row>
    <row r="2898" spans="1:33" ht="13.15" customHeight="1">
      <c r="A2898" s="424"/>
      <c r="B2898" s="424" t="s">
        <v>1249</v>
      </c>
      <c r="C2898" s="424" t="s">
        <v>513</v>
      </c>
      <c r="D2898" s="1598"/>
      <c r="E2898" s="2104" t="s">
        <v>1912</v>
      </c>
      <c r="F2898" s="438">
        <v>2244</v>
      </c>
      <c r="G2898" s="3706" t="s">
        <v>5048</v>
      </c>
      <c r="H2898" s="1045"/>
      <c r="I2898" s="1040"/>
      <c r="J2898" s="3734"/>
      <c r="K2898" s="1036"/>
      <c r="L2898" s="1045"/>
      <c r="M2898" s="4214">
        <v>0</v>
      </c>
      <c r="N2898" s="4097" t="s">
        <v>5909</v>
      </c>
      <c r="O2898" s="86"/>
      <c r="P2898" s="1817" t="e">
        <f>INDEX(#REF!,MATCH(F2898,#REF!,0),2)</f>
        <v>#REF!</v>
      </c>
      <c r="Q2898" s="43"/>
      <c r="R2898" s="43"/>
      <c r="S2898" s="43"/>
      <c r="T2898" s="43"/>
      <c r="U2898" s="43"/>
      <c r="V2898" s="43"/>
      <c r="W2898" s="43"/>
      <c r="X2898" s="43"/>
      <c r="Y2898" s="43"/>
      <c r="Z2898" s="43"/>
      <c r="AA2898" s="43"/>
      <c r="AB2898" s="43"/>
      <c r="AC2898" s="43"/>
      <c r="AD2898" s="43"/>
      <c r="AE2898" s="43"/>
      <c r="AF2898" s="43"/>
      <c r="AG2898" s="43"/>
    </row>
    <row r="2899" spans="1:33" ht="28.15" customHeight="1">
      <c r="A2899" s="1882"/>
      <c r="B2899" s="1882" t="s">
        <v>1249</v>
      </c>
      <c r="C2899" s="1882" t="s">
        <v>510</v>
      </c>
      <c r="D2899" s="1935"/>
      <c r="E2899" s="2229" t="s">
        <v>1912</v>
      </c>
      <c r="F2899" s="1936">
        <v>2244</v>
      </c>
      <c r="G2899" s="1885" t="s">
        <v>3122</v>
      </c>
      <c r="H2899" s="1677"/>
      <c r="I2899" s="1894">
        <v>10864</v>
      </c>
      <c r="J2899" s="2301"/>
      <c r="K2899" s="1676"/>
      <c r="L2899" s="1680"/>
      <c r="M2899" s="3696"/>
      <c r="N2899" s="2847"/>
      <c r="O2899" s="86"/>
      <c r="P2899" s="1817" t="e">
        <f>INDEX(#REF!,MATCH(F2899,#REF!,0),2)</f>
        <v>#REF!</v>
      </c>
      <c r="Q2899" s="43"/>
      <c r="R2899" s="43"/>
      <c r="S2899" s="43"/>
      <c r="T2899" s="43"/>
      <c r="U2899" s="43"/>
      <c r="V2899" s="43"/>
      <c r="W2899" s="43"/>
      <c r="X2899" s="43"/>
      <c r="Y2899" s="43"/>
      <c r="Z2899" s="43"/>
      <c r="AA2899" s="43"/>
      <c r="AB2899" s="43"/>
      <c r="AC2899" s="43"/>
      <c r="AD2899" s="43"/>
      <c r="AE2899" s="43"/>
      <c r="AF2899" s="43"/>
      <c r="AG2899" s="43"/>
    </row>
    <row r="2900" spans="1:33" ht="49.15" customHeight="1">
      <c r="A2900" s="634"/>
      <c r="B2900" s="634" t="s">
        <v>1248</v>
      </c>
      <c r="C2900" s="634" t="s">
        <v>513</v>
      </c>
      <c r="D2900" s="1597">
        <v>950</v>
      </c>
      <c r="E2900" s="2093" t="s">
        <v>1912</v>
      </c>
      <c r="F2900" s="635">
        <v>2247</v>
      </c>
      <c r="G2900" s="432" t="s">
        <v>309</v>
      </c>
      <c r="H2900" s="641">
        <v>25736</v>
      </c>
      <c r="I2900" s="1686"/>
      <c r="J2900" s="628">
        <v>1725.72</v>
      </c>
      <c r="K2900" s="629"/>
      <c r="L2900" s="641">
        <v>37000</v>
      </c>
      <c r="M2900" s="642"/>
      <c r="N2900" s="2847"/>
      <c r="O2900" s="86"/>
      <c r="P2900" s="1817" t="e">
        <f>INDEX(#REF!,MATCH(F2900,#REF!,0),2)</f>
        <v>#REF!</v>
      </c>
      <c r="Q2900" s="43"/>
      <c r="R2900" s="43"/>
      <c r="S2900" s="43"/>
      <c r="T2900" s="43"/>
      <c r="U2900" s="43"/>
      <c r="V2900" s="43"/>
      <c r="W2900" s="43"/>
      <c r="X2900" s="43"/>
      <c r="Y2900" s="43"/>
      <c r="Z2900" s="43"/>
      <c r="AA2900" s="43"/>
      <c r="AB2900" s="43"/>
      <c r="AC2900" s="43"/>
      <c r="AD2900" s="43"/>
      <c r="AE2900" s="43"/>
      <c r="AF2900" s="43"/>
      <c r="AG2900" s="43"/>
    </row>
    <row r="2901" spans="1:33" ht="29.45" customHeight="1">
      <c r="A2901" s="424"/>
      <c r="B2901" s="424" t="s">
        <v>1248</v>
      </c>
      <c r="C2901" s="424" t="s">
        <v>513</v>
      </c>
      <c r="D2901" s="1598"/>
      <c r="E2901" s="2104" t="s">
        <v>1912</v>
      </c>
      <c r="F2901" s="438">
        <v>2247</v>
      </c>
      <c r="G2901" s="425" t="s">
        <v>850</v>
      </c>
      <c r="H2901" s="671"/>
      <c r="I2901" s="455">
        <v>1500</v>
      </c>
      <c r="J2901" s="650"/>
      <c r="K2901" s="667"/>
      <c r="L2901" s="670"/>
      <c r="M2901" s="4219">
        <v>0</v>
      </c>
      <c r="N2901" s="2847" t="s">
        <v>5049</v>
      </c>
      <c r="O2901" s="86"/>
      <c r="P2901" s="1817" t="e">
        <f>INDEX(#REF!,MATCH(F2901,#REF!,0),2)</f>
        <v>#REF!</v>
      </c>
      <c r="Q2901" s="43"/>
      <c r="R2901" s="43"/>
      <c r="S2901" s="43"/>
      <c r="T2901" s="43"/>
      <c r="U2901" s="43"/>
      <c r="V2901" s="43"/>
      <c r="W2901" s="43"/>
      <c r="X2901" s="43"/>
      <c r="Y2901" s="43"/>
      <c r="Z2901" s="43"/>
      <c r="AA2901" s="43"/>
      <c r="AB2901" s="43"/>
      <c r="AC2901" s="43"/>
      <c r="AD2901" s="43"/>
      <c r="AE2901" s="43"/>
      <c r="AF2901" s="43"/>
      <c r="AG2901" s="43"/>
    </row>
    <row r="2902" spans="1:33" ht="29.45" customHeight="1">
      <c r="A2902" s="1370"/>
      <c r="B2902" s="424" t="s">
        <v>1248</v>
      </c>
      <c r="C2902" s="424" t="s">
        <v>513</v>
      </c>
      <c r="D2902" s="1598"/>
      <c r="E2902" s="2104" t="s">
        <v>1912</v>
      </c>
      <c r="F2902" s="438">
        <v>2247</v>
      </c>
      <c r="G2902" s="1374" t="s">
        <v>2016</v>
      </c>
      <c r="H2902" s="1160"/>
      <c r="I2902" s="1455"/>
      <c r="J2902" s="1154"/>
      <c r="K2902" s="1089"/>
      <c r="L2902" s="1088"/>
      <c r="M2902" s="1509"/>
      <c r="N2902" s="2847"/>
      <c r="O2902" s="86"/>
      <c r="P2902" s="1817" t="e">
        <f>INDEX(#REF!,MATCH(F2902,#REF!,0),2)</f>
        <v>#REF!</v>
      </c>
      <c r="Q2902" s="43"/>
      <c r="R2902" s="43"/>
      <c r="S2902" s="43"/>
      <c r="T2902" s="43"/>
      <c r="U2902" s="43"/>
      <c r="V2902" s="43"/>
      <c r="W2902" s="43"/>
      <c r="X2902" s="43"/>
      <c r="Y2902" s="43"/>
      <c r="Z2902" s="43"/>
      <c r="AA2902" s="43"/>
      <c r="AB2902" s="43"/>
      <c r="AC2902" s="43"/>
      <c r="AD2902" s="43"/>
      <c r="AE2902" s="43"/>
      <c r="AF2902" s="43"/>
      <c r="AG2902" s="43"/>
    </row>
    <row r="2903" spans="1:33" ht="29.45" customHeight="1">
      <c r="A2903" s="1882"/>
      <c r="B2903" s="424" t="s">
        <v>1248</v>
      </c>
      <c r="C2903" s="424" t="s">
        <v>513</v>
      </c>
      <c r="D2903" s="1598"/>
      <c r="E2903" s="2104" t="s">
        <v>1912</v>
      </c>
      <c r="F2903" s="438">
        <v>2247</v>
      </c>
      <c r="G2903" s="2774" t="s">
        <v>5001</v>
      </c>
      <c r="H2903" s="1893"/>
      <c r="I2903" s="1894">
        <v>23500</v>
      </c>
      <c r="J2903" s="1895"/>
      <c r="K2903" s="1896"/>
      <c r="L2903" s="1994"/>
      <c r="M2903" s="3696">
        <v>37000</v>
      </c>
      <c r="N2903" s="3506"/>
      <c r="O2903" s="86"/>
      <c r="P2903" s="1817" t="e">
        <f>INDEX(#REF!,MATCH(F2903,#REF!,0),2)</f>
        <v>#REF!</v>
      </c>
      <c r="Q2903" s="43"/>
      <c r="R2903" s="43"/>
      <c r="S2903" s="43"/>
      <c r="T2903" s="43"/>
      <c r="U2903" s="43"/>
      <c r="V2903" s="43"/>
      <c r="W2903" s="43"/>
      <c r="X2903" s="43"/>
      <c r="Y2903" s="43"/>
      <c r="Z2903" s="43"/>
      <c r="AA2903" s="43"/>
      <c r="AB2903" s="43"/>
      <c r="AC2903" s="43"/>
      <c r="AD2903" s="43"/>
      <c r="AE2903" s="43"/>
      <c r="AF2903" s="43"/>
      <c r="AG2903" s="43"/>
    </row>
    <row r="2904" spans="1:33" ht="13.15" customHeight="1">
      <c r="A2904" s="1465"/>
      <c r="B2904" s="424" t="s">
        <v>1248</v>
      </c>
      <c r="C2904" s="424" t="s">
        <v>513</v>
      </c>
      <c r="D2904" s="1598"/>
      <c r="E2904" s="2104" t="s">
        <v>1912</v>
      </c>
      <c r="F2904" s="438">
        <v>2247</v>
      </c>
      <c r="G2904" s="2774" t="s">
        <v>5050</v>
      </c>
      <c r="H2904" s="1893"/>
      <c r="I2904" s="2060">
        <v>11700</v>
      </c>
      <c r="J2904" s="1895"/>
      <c r="K2904" s="1896"/>
      <c r="L2904" s="1994"/>
      <c r="M2904" s="4302">
        <v>0</v>
      </c>
      <c r="N2904" s="2396" t="s">
        <v>6032</v>
      </c>
      <c r="O2904" s="86"/>
      <c r="P2904" s="1817" t="e">
        <f>INDEX(#REF!,MATCH(F2904,#REF!,0),2)</f>
        <v>#REF!</v>
      </c>
      <c r="Q2904" s="43"/>
      <c r="R2904" s="43"/>
      <c r="S2904" s="43"/>
      <c r="T2904" s="43"/>
      <c r="U2904" s="43"/>
      <c r="V2904" s="43"/>
      <c r="W2904" s="43"/>
      <c r="X2904" s="43"/>
      <c r="Y2904" s="43"/>
      <c r="Z2904" s="43"/>
      <c r="AA2904" s="43"/>
      <c r="AB2904" s="43"/>
      <c r="AC2904" s="43"/>
      <c r="AD2904" s="43"/>
      <c r="AE2904" s="43"/>
      <c r="AF2904" s="43"/>
      <c r="AG2904" s="43"/>
    </row>
    <row r="2905" spans="1:33" ht="58.15" customHeight="1">
      <c r="A2905" s="1882"/>
      <c r="B2905" s="424" t="s">
        <v>1248</v>
      </c>
      <c r="C2905" s="424" t="s">
        <v>513</v>
      </c>
      <c r="D2905" s="1598"/>
      <c r="E2905" s="2104" t="s">
        <v>1912</v>
      </c>
      <c r="F2905" s="438">
        <v>2247</v>
      </c>
      <c r="G2905" s="1884" t="s">
        <v>3123</v>
      </c>
      <c r="H2905" s="1680"/>
      <c r="I2905" s="1894">
        <v>-1041</v>
      </c>
      <c r="J2905" s="1675"/>
      <c r="K2905" s="1676"/>
      <c r="L2905" s="1677"/>
      <c r="M2905" s="2458"/>
      <c r="N2905" s="2847"/>
      <c r="O2905" s="86"/>
      <c r="P2905" s="1817"/>
      <c r="Q2905" s="43"/>
      <c r="R2905" s="43"/>
      <c r="S2905" s="43"/>
      <c r="T2905" s="43"/>
      <c r="U2905" s="43"/>
      <c r="V2905" s="43"/>
      <c r="W2905" s="43"/>
      <c r="X2905" s="43"/>
      <c r="Y2905" s="43"/>
      <c r="Z2905" s="43"/>
      <c r="AA2905" s="43"/>
      <c r="AB2905" s="43"/>
      <c r="AC2905" s="43"/>
      <c r="AD2905" s="43"/>
      <c r="AE2905" s="43"/>
      <c r="AF2905" s="43"/>
      <c r="AG2905" s="43"/>
    </row>
    <row r="2906" spans="1:33" ht="45.75" customHeight="1">
      <c r="A2906" s="1882"/>
      <c r="B2906" s="424" t="s">
        <v>1248</v>
      </c>
      <c r="C2906" s="424" t="s">
        <v>513</v>
      </c>
      <c r="D2906" s="1598"/>
      <c r="E2906" s="2104" t="s">
        <v>1912</v>
      </c>
      <c r="F2906" s="438">
        <v>2247</v>
      </c>
      <c r="G2906" s="1884" t="s">
        <v>3124</v>
      </c>
      <c r="H2906" s="1680"/>
      <c r="I2906" s="1894">
        <v>-623</v>
      </c>
      <c r="J2906" s="1675"/>
      <c r="K2906" s="1676"/>
      <c r="L2906" s="1677"/>
      <c r="M2906" s="2458"/>
      <c r="N2906" s="2847"/>
      <c r="O2906" s="86"/>
      <c r="P2906" s="1817" t="e">
        <f>INDEX(#REF!,MATCH(F2906,#REF!,0),2)</f>
        <v>#REF!</v>
      </c>
      <c r="Q2906" s="43"/>
      <c r="R2906" s="43"/>
      <c r="S2906" s="43"/>
      <c r="T2906" s="43"/>
      <c r="U2906" s="43"/>
      <c r="V2906" s="43"/>
      <c r="W2906" s="43"/>
      <c r="X2906" s="43"/>
      <c r="Y2906" s="43"/>
      <c r="Z2906" s="43"/>
      <c r="AA2906" s="43"/>
      <c r="AB2906" s="43"/>
      <c r="AC2906" s="43"/>
      <c r="AD2906" s="43"/>
      <c r="AE2906" s="43"/>
      <c r="AF2906" s="43"/>
      <c r="AG2906" s="43"/>
    </row>
    <row r="2907" spans="1:33" ht="41.45" customHeight="1">
      <c r="A2907" s="4200"/>
      <c r="B2907" s="424" t="s">
        <v>1248</v>
      </c>
      <c r="C2907" s="424" t="s">
        <v>513</v>
      </c>
      <c r="D2907" s="1598"/>
      <c r="E2907" s="2104" t="s">
        <v>1912</v>
      </c>
      <c r="F2907" s="438">
        <v>2247</v>
      </c>
      <c r="G2907" s="4178" t="s">
        <v>1180</v>
      </c>
      <c r="H2907" s="3681"/>
      <c r="I2907" s="4358">
        <v>-9300</v>
      </c>
      <c r="J2907" s="3669"/>
      <c r="K2907" s="3670"/>
      <c r="L2907" s="3701"/>
      <c r="M2907" s="4360"/>
      <c r="N2907" s="2847"/>
      <c r="O2907" s="86"/>
      <c r="P2907" s="1817" t="e">
        <f>INDEX(#REF!,MATCH(F2907,#REF!,0),2)</f>
        <v>#REF!</v>
      </c>
      <c r="Q2907" s="43"/>
      <c r="R2907" s="43"/>
      <c r="S2907" s="43"/>
      <c r="T2907" s="43"/>
      <c r="U2907" s="43"/>
      <c r="V2907" s="43"/>
      <c r="W2907" s="43"/>
      <c r="X2907" s="43"/>
      <c r="Y2907" s="43"/>
      <c r="Z2907" s="43"/>
      <c r="AA2907" s="43"/>
      <c r="AB2907" s="43"/>
      <c r="AC2907" s="43"/>
      <c r="AD2907" s="43"/>
      <c r="AE2907" s="43"/>
      <c r="AF2907" s="43"/>
      <c r="AG2907" s="43"/>
    </row>
    <row r="2908" spans="1:33" ht="41.45" customHeight="1">
      <c r="A2908" s="634"/>
      <c r="B2908" s="634" t="s">
        <v>1248</v>
      </c>
      <c r="C2908" s="634" t="s">
        <v>513</v>
      </c>
      <c r="D2908" s="1597">
        <v>950</v>
      </c>
      <c r="E2908" s="2093" t="s">
        <v>1912</v>
      </c>
      <c r="F2908" s="635">
        <v>2249</v>
      </c>
      <c r="G2908" s="432" t="s">
        <v>283</v>
      </c>
      <c r="H2908" s="641">
        <v>11837</v>
      </c>
      <c r="I2908" s="1683"/>
      <c r="J2908" s="628">
        <v>2855.92</v>
      </c>
      <c r="K2908" s="629"/>
      <c r="L2908" s="2088">
        <v>11899.9</v>
      </c>
      <c r="M2908" s="642"/>
      <c r="N2908" s="241" t="s">
        <v>6035</v>
      </c>
      <c r="O2908" s="86"/>
      <c r="P2908" s="1817" t="e">
        <f>INDEX(#REF!,MATCH(F2908,#REF!,0),2)</f>
        <v>#REF!</v>
      </c>
      <c r="Q2908" s="43"/>
      <c r="R2908" s="43"/>
      <c r="S2908" s="43"/>
      <c r="T2908" s="43"/>
      <c r="U2908" s="43"/>
      <c r="V2908" s="43"/>
      <c r="W2908" s="43"/>
      <c r="X2908" s="43"/>
      <c r="Y2908" s="43"/>
      <c r="Z2908" s="43"/>
      <c r="AA2908" s="43"/>
      <c r="AB2908" s="43"/>
      <c r="AC2908" s="43"/>
      <c r="AD2908" s="43"/>
      <c r="AE2908" s="43"/>
      <c r="AF2908" s="43"/>
      <c r="AG2908" s="43"/>
    </row>
    <row r="2909" spans="1:33" ht="42" customHeight="1">
      <c r="A2909" s="424"/>
      <c r="B2909" s="424" t="s">
        <v>1248</v>
      </c>
      <c r="C2909" s="424" t="s">
        <v>513</v>
      </c>
      <c r="D2909" s="1598"/>
      <c r="E2909" s="2104" t="s">
        <v>1912</v>
      </c>
      <c r="F2909" s="438">
        <v>2249</v>
      </c>
      <c r="G2909" s="4084" t="s">
        <v>6034</v>
      </c>
      <c r="H2909" s="1041"/>
      <c r="I2909" s="1040">
        <v>4960</v>
      </c>
      <c r="J2909" s="1042"/>
      <c r="K2909" s="1043"/>
      <c r="L2909" s="1041"/>
      <c r="M2909" s="4214">
        <v>4725.2</v>
      </c>
      <c r="N2909" s="241" t="s">
        <v>6089</v>
      </c>
      <c r="O2909" s="86"/>
      <c r="P2909" s="1817" t="e">
        <f>INDEX(#REF!,MATCH(F2909,#REF!,0),2)</f>
        <v>#REF!</v>
      </c>
      <c r="Q2909" s="43"/>
      <c r="R2909" s="43"/>
      <c r="S2909" s="43"/>
      <c r="T2909" s="43"/>
      <c r="U2909" s="43"/>
      <c r="V2909" s="43"/>
      <c r="W2909" s="43"/>
      <c r="X2909" s="43"/>
      <c r="Y2909" s="43"/>
      <c r="Z2909" s="43"/>
      <c r="AA2909" s="43"/>
      <c r="AB2909" s="43"/>
      <c r="AC2909" s="43"/>
      <c r="AD2909" s="43"/>
      <c r="AE2909" s="43"/>
      <c r="AF2909" s="43"/>
      <c r="AG2909" s="43"/>
    </row>
    <row r="2910" spans="1:33" ht="21" customHeight="1">
      <c r="A2910" s="424"/>
      <c r="B2910" s="424" t="s">
        <v>1248</v>
      </c>
      <c r="C2910" s="424" t="s">
        <v>513</v>
      </c>
      <c r="D2910" s="1598"/>
      <c r="E2910" s="2104" t="s">
        <v>1912</v>
      </c>
      <c r="F2910" s="438">
        <v>2249</v>
      </c>
      <c r="G2910" s="3706" t="s">
        <v>5051</v>
      </c>
      <c r="H2910" s="1041"/>
      <c r="I2910" s="997">
        <v>1392.047</v>
      </c>
      <c r="J2910" s="1042"/>
      <c r="K2910" s="1043"/>
      <c r="L2910" s="1041"/>
      <c r="M2910" s="4371">
        <v>2392.04</v>
      </c>
      <c r="N2910" s="241" t="s">
        <v>6089</v>
      </c>
      <c r="O2910" s="86"/>
      <c r="P2910" s="1817" t="e">
        <f>INDEX(#REF!,MATCH(F2910,#REF!,0),2)</f>
        <v>#REF!</v>
      </c>
      <c r="Q2910" s="1779"/>
      <c r="R2910" s="1779"/>
      <c r="S2910" s="1779"/>
      <c r="T2910" s="1779"/>
      <c r="U2910" s="1779"/>
      <c r="V2910" s="1779"/>
      <c r="W2910" s="43"/>
      <c r="X2910" s="1779"/>
      <c r="Y2910" s="1779"/>
      <c r="Z2910" s="1779"/>
      <c r="AA2910" s="1779"/>
      <c r="AB2910" s="1779"/>
      <c r="AC2910" s="1779"/>
      <c r="AD2910" s="1779"/>
      <c r="AE2910" s="1779"/>
      <c r="AF2910" s="1779"/>
      <c r="AG2910" s="1779"/>
    </row>
    <row r="2911" spans="1:33" ht="13.9" customHeight="1">
      <c r="A2911" s="424"/>
      <c r="B2911" s="424" t="s">
        <v>1248</v>
      </c>
      <c r="C2911" s="424" t="s">
        <v>513</v>
      </c>
      <c r="D2911" s="1598"/>
      <c r="E2911" s="2104" t="s">
        <v>1912</v>
      </c>
      <c r="F2911" s="438">
        <v>2249</v>
      </c>
      <c r="G2911" s="1008" t="s">
        <v>5053</v>
      </c>
      <c r="H2911" s="1041"/>
      <c r="I2911" s="1040">
        <v>1999.953</v>
      </c>
      <c r="J2911" s="1042"/>
      <c r="K2911" s="1043"/>
      <c r="L2911" s="1041"/>
      <c r="M2911" s="1515"/>
      <c r="N2911" s="2847"/>
      <c r="O2911" s="86"/>
      <c r="P2911" s="1817" t="e">
        <f>INDEX(#REF!,MATCH(F2911,#REF!,0),2)</f>
        <v>#REF!</v>
      </c>
      <c r="Q2911" s="1779"/>
      <c r="R2911" s="1779"/>
      <c r="S2911" s="1779"/>
      <c r="T2911" s="1779"/>
      <c r="U2911" s="1779"/>
      <c r="V2911" s="1779"/>
      <c r="W2911" s="43"/>
      <c r="X2911" s="1779"/>
      <c r="Y2911" s="1779"/>
      <c r="Z2911" s="1779"/>
      <c r="AA2911" s="1779"/>
      <c r="AB2911" s="1779"/>
      <c r="AC2911" s="1779"/>
      <c r="AD2911" s="1779"/>
      <c r="AE2911" s="1779"/>
      <c r="AF2911" s="1779"/>
      <c r="AG2911" s="1779"/>
    </row>
    <row r="2912" spans="1:33" ht="15.75" customHeight="1">
      <c r="A2912" s="424"/>
      <c r="B2912" s="424" t="s">
        <v>1248</v>
      </c>
      <c r="C2912" s="424" t="s">
        <v>513</v>
      </c>
      <c r="D2912" s="1598"/>
      <c r="E2912" s="2104" t="s">
        <v>1912</v>
      </c>
      <c r="F2912" s="438">
        <v>2249</v>
      </c>
      <c r="G2912" s="3689" t="s">
        <v>5052</v>
      </c>
      <c r="H2912" s="1041"/>
      <c r="I2912" s="997">
        <v>1400</v>
      </c>
      <c r="J2912" s="1042">
        <v>429</v>
      </c>
      <c r="K2912" s="1043"/>
      <c r="L2912" s="1041"/>
      <c r="M2912" s="3735">
        <v>1962.66</v>
      </c>
      <c r="N2912" s="2847"/>
      <c r="O2912" s="86"/>
      <c r="P2912" s="1817" t="e">
        <f>INDEX(#REF!,MATCH(F2912,#REF!,0),2)</f>
        <v>#REF!</v>
      </c>
      <c r="Q2912" s="1779"/>
      <c r="R2912" s="1779"/>
      <c r="S2912" s="1779"/>
      <c r="T2912" s="1779"/>
      <c r="U2912" s="1779"/>
      <c r="V2912" s="1779"/>
      <c r="W2912" s="43"/>
      <c r="X2912" s="1779"/>
      <c r="Y2912" s="1779"/>
      <c r="Z2912" s="1779"/>
      <c r="AA2912" s="1779"/>
      <c r="AB2912" s="1779"/>
      <c r="AC2912" s="1779"/>
      <c r="AD2912" s="1779"/>
      <c r="AE2912" s="1779"/>
      <c r="AF2912" s="1779"/>
      <c r="AG2912" s="1779"/>
    </row>
    <row r="2913" spans="1:33" ht="33" customHeight="1">
      <c r="A2913" s="1563"/>
      <c r="B2913" s="424" t="s">
        <v>1248</v>
      </c>
      <c r="C2913" s="424" t="s">
        <v>513</v>
      </c>
      <c r="D2913" s="1598"/>
      <c r="E2913" s="2104" t="s">
        <v>1912</v>
      </c>
      <c r="F2913" s="438">
        <v>2249</v>
      </c>
      <c r="G2913" s="3689" t="s">
        <v>5054</v>
      </c>
      <c r="H2913" s="1699"/>
      <c r="I2913" s="1560">
        <v>1300</v>
      </c>
      <c r="J2913" s="1704"/>
      <c r="K2913" s="1702"/>
      <c r="L2913" s="1699"/>
      <c r="M2913" s="3736">
        <v>1320</v>
      </c>
      <c r="N2913" s="2847"/>
      <c r="O2913" s="86"/>
      <c r="P2913" s="1817" t="e">
        <f>INDEX(#REF!,MATCH(F2913,#REF!,0),2)</f>
        <v>#REF!</v>
      </c>
      <c r="Q2913" s="1779"/>
      <c r="R2913" s="1779"/>
      <c r="S2913" s="1779"/>
      <c r="T2913" s="1779"/>
      <c r="U2913" s="1779"/>
      <c r="V2913" s="1779"/>
      <c r="W2913" s="43"/>
      <c r="X2913" s="1779"/>
      <c r="Y2913" s="1779"/>
      <c r="Z2913" s="1779"/>
      <c r="AA2913" s="1779"/>
      <c r="AB2913" s="1779"/>
      <c r="AC2913" s="1779"/>
      <c r="AD2913" s="1779"/>
      <c r="AE2913" s="1779"/>
      <c r="AF2913" s="1779"/>
      <c r="AG2913" s="1779"/>
    </row>
    <row r="2914" spans="1:33" ht="22.5">
      <c r="A2914" s="424"/>
      <c r="B2914" s="424" t="s">
        <v>1248</v>
      </c>
      <c r="C2914" s="424" t="s">
        <v>513</v>
      </c>
      <c r="D2914" s="1598"/>
      <c r="E2914" s="2104" t="s">
        <v>1912</v>
      </c>
      <c r="F2914" s="424">
        <v>2249</v>
      </c>
      <c r="G2914" s="1039" t="s">
        <v>712</v>
      </c>
      <c r="H2914" s="1045"/>
      <c r="I2914" s="1040">
        <v>85</v>
      </c>
      <c r="J2914" s="1035"/>
      <c r="K2914" s="1036"/>
      <c r="L2914" s="1045"/>
      <c r="M2914" s="1515"/>
      <c r="N2914" s="2847"/>
      <c r="O2914" s="86"/>
      <c r="P2914" s="1817" t="e">
        <f>INDEX(#REF!,MATCH(F2914,#REF!,0),2)</f>
        <v>#REF!</v>
      </c>
      <c r="Q2914" s="1779"/>
      <c r="R2914" s="1779"/>
      <c r="S2914" s="1779"/>
      <c r="T2914" s="1779"/>
      <c r="U2914" s="1779"/>
      <c r="V2914" s="1779"/>
      <c r="W2914" s="43"/>
      <c r="X2914" s="1779"/>
      <c r="Y2914" s="1779"/>
      <c r="Z2914" s="1779"/>
      <c r="AA2914" s="1779"/>
      <c r="AB2914" s="1779"/>
      <c r="AC2914" s="1779"/>
      <c r="AD2914" s="1779"/>
      <c r="AE2914" s="1779"/>
      <c r="AF2914" s="1779"/>
      <c r="AG2914" s="1779"/>
    </row>
    <row r="2915" spans="1:33" ht="12" customHeight="1">
      <c r="A2915" s="424"/>
      <c r="B2915" s="424" t="s">
        <v>1248</v>
      </c>
      <c r="C2915" s="424" t="s">
        <v>513</v>
      </c>
      <c r="D2915" s="1598"/>
      <c r="E2915" s="2104" t="s">
        <v>1912</v>
      </c>
      <c r="F2915" s="424">
        <v>2249</v>
      </c>
      <c r="G2915" s="1039" t="s">
        <v>823</v>
      </c>
      <c r="H2915" s="1045"/>
      <c r="I2915" s="1040">
        <v>700</v>
      </c>
      <c r="J2915" s="1035"/>
      <c r="K2915" s="1036"/>
      <c r="L2915" s="1045"/>
      <c r="M2915" s="3708">
        <v>1500</v>
      </c>
      <c r="N2915" s="2847" t="s">
        <v>5055</v>
      </c>
      <c r="O2915" s="86"/>
      <c r="P2915" s="1817" t="e">
        <f>INDEX(#REF!,MATCH(F2915,#REF!,0),2)</f>
        <v>#REF!</v>
      </c>
      <c r="Q2915" s="1779"/>
      <c r="R2915" s="1779"/>
      <c r="S2915" s="1779"/>
      <c r="T2915" s="1779"/>
      <c r="U2915" s="1779"/>
      <c r="V2915" s="1779"/>
      <c r="W2915" s="43"/>
      <c r="X2915" s="1779"/>
      <c r="Y2915" s="1779"/>
      <c r="Z2915" s="1779"/>
      <c r="AA2915" s="1779"/>
      <c r="AB2915" s="1779"/>
      <c r="AC2915" s="1779"/>
      <c r="AD2915" s="1779"/>
      <c r="AE2915" s="1779"/>
      <c r="AF2915" s="1779"/>
      <c r="AG2915" s="1779"/>
    </row>
    <row r="2916" spans="1:33" ht="12" customHeight="1">
      <c r="A2916" s="634"/>
      <c r="B2916" s="634" t="s">
        <v>1248</v>
      </c>
      <c r="C2916" s="634" t="s">
        <v>507</v>
      </c>
      <c r="D2916" s="1597">
        <v>950</v>
      </c>
      <c r="E2916" s="2093" t="s">
        <v>1912</v>
      </c>
      <c r="F2916" s="638">
        <v>2250</v>
      </c>
      <c r="G2916" s="432" t="s">
        <v>239</v>
      </c>
      <c r="H2916" s="641">
        <v>34690</v>
      </c>
      <c r="I2916" s="1683"/>
      <c r="J2916" s="628">
        <v>12896.06</v>
      </c>
      <c r="K2916" s="629"/>
      <c r="L2916" s="641">
        <v>50887</v>
      </c>
      <c r="M2916" s="642"/>
      <c r="N2916" s="2847"/>
      <c r="O2916" s="86"/>
      <c r="P2916" s="1817" t="e">
        <f>INDEX(#REF!,MATCH(F2916,#REF!,0),2)</f>
        <v>#REF!</v>
      </c>
      <c r="Q2916" s="1779"/>
      <c r="R2916" s="1779"/>
      <c r="S2916" s="1779"/>
      <c r="T2916" s="1779"/>
      <c r="U2916" s="1779"/>
      <c r="V2916" s="1779"/>
      <c r="W2916" s="43"/>
      <c r="X2916" s="1779"/>
      <c r="Y2916" s="1779"/>
      <c r="Z2916" s="1779"/>
      <c r="AA2916" s="1779"/>
      <c r="AB2916" s="1779"/>
      <c r="AC2916" s="1779"/>
      <c r="AD2916" s="1779"/>
      <c r="AE2916" s="1779"/>
      <c r="AF2916" s="1779"/>
      <c r="AG2916" s="1779"/>
    </row>
    <row r="2917" spans="1:33" ht="33" customHeight="1">
      <c r="A2917" s="424" t="s">
        <v>874</v>
      </c>
      <c r="B2917" s="424" t="s">
        <v>1248</v>
      </c>
      <c r="C2917" s="424" t="s">
        <v>507</v>
      </c>
      <c r="D2917" s="1598"/>
      <c r="E2917" s="2104" t="s">
        <v>1912</v>
      </c>
      <c r="F2917" s="438">
        <v>2250</v>
      </c>
      <c r="G2917" s="1705" t="s">
        <v>1044</v>
      </c>
      <c r="H2917" s="1041"/>
      <c r="I2917" s="1706">
        <v>10000</v>
      </c>
      <c r="J2917" s="1042"/>
      <c r="K2917" s="1051"/>
      <c r="L2917" s="2460"/>
      <c r="M2917" s="3703">
        <v>10500</v>
      </c>
      <c r="N2917" s="2847"/>
      <c r="O2917" s="86"/>
      <c r="P2917" s="1817" t="e">
        <f>INDEX(#REF!,MATCH(F2917,#REF!,0),2)</f>
        <v>#REF!</v>
      </c>
      <c r="Q2917" s="1779"/>
      <c r="R2917" s="1779"/>
      <c r="S2917" s="1779"/>
      <c r="T2917" s="1779"/>
      <c r="U2917" s="1779"/>
      <c r="V2917" s="1779"/>
      <c r="W2917" s="43"/>
      <c r="X2917" s="1779"/>
      <c r="Y2917" s="1779"/>
      <c r="Z2917" s="1779"/>
      <c r="AA2917" s="1779"/>
      <c r="AB2917" s="1779"/>
      <c r="AC2917" s="1779"/>
      <c r="AD2917" s="1779"/>
      <c r="AE2917" s="1779"/>
      <c r="AF2917" s="1779"/>
      <c r="AG2917" s="1779"/>
    </row>
    <row r="2918" spans="1:33" ht="33" customHeight="1">
      <c r="A2918" s="424"/>
      <c r="B2918" s="651" t="s">
        <v>1248</v>
      </c>
      <c r="C2918" s="651" t="s">
        <v>505</v>
      </c>
      <c r="D2918" s="1598"/>
      <c r="E2918" s="2104" t="s">
        <v>1912</v>
      </c>
      <c r="F2918" s="438">
        <v>2250</v>
      </c>
      <c r="G2918" s="3699" t="s">
        <v>5004</v>
      </c>
      <c r="H2918" s="670"/>
      <c r="I2918" s="455">
        <v>625</v>
      </c>
      <c r="J2918" s="650"/>
      <c r="K2918" s="667"/>
      <c r="L2918" s="670"/>
      <c r="M2918" s="3700">
        <v>625</v>
      </c>
      <c r="N2918" s="2847" t="s">
        <v>5005</v>
      </c>
      <c r="O2918" s="86"/>
      <c r="P2918" s="1817" t="e">
        <f>INDEX(#REF!,MATCH(F2918,#REF!,0),2)</f>
        <v>#REF!</v>
      </c>
      <c r="Q2918" s="1779"/>
      <c r="R2918" s="1779"/>
      <c r="S2918" s="1779"/>
      <c r="T2918" s="1779"/>
      <c r="U2918" s="1779"/>
      <c r="V2918" s="1779"/>
      <c r="W2918" s="43"/>
      <c r="X2918" s="1779"/>
      <c r="Y2918" s="1779"/>
      <c r="Z2918" s="1779"/>
      <c r="AA2918" s="1779"/>
      <c r="AB2918" s="1779"/>
      <c r="AC2918" s="1779"/>
      <c r="AD2918" s="1779"/>
      <c r="AE2918" s="1779"/>
      <c r="AF2918" s="1779"/>
      <c r="AG2918" s="1779"/>
    </row>
    <row r="2919" spans="1:33" ht="12" customHeight="1">
      <c r="A2919" s="424" t="s">
        <v>874</v>
      </c>
      <c r="B2919" s="424" t="s">
        <v>1248</v>
      </c>
      <c r="C2919" s="424" t="s">
        <v>507</v>
      </c>
      <c r="D2919" s="1598"/>
      <c r="E2919" s="2104" t="s">
        <v>1912</v>
      </c>
      <c r="F2919" s="438">
        <v>2250</v>
      </c>
      <c r="G2919" s="1705" t="s">
        <v>824</v>
      </c>
      <c r="H2919" s="1045"/>
      <c r="I2919" s="1706">
        <v>280</v>
      </c>
      <c r="J2919" s="1035"/>
      <c r="K2919" s="1052"/>
      <c r="L2919" s="2461"/>
      <c r="M2919" s="3703">
        <v>280</v>
      </c>
      <c r="N2919" s="2847"/>
      <c r="O2919" s="86"/>
      <c r="P2919" s="1817" t="e">
        <f>INDEX(#REF!,MATCH(F2919,#REF!,0),2)</f>
        <v>#REF!</v>
      </c>
      <c r="Q2919" s="1779"/>
      <c r="R2919" s="1779"/>
      <c r="S2919" s="1779"/>
      <c r="T2919" s="1779"/>
      <c r="U2919" s="1779"/>
      <c r="V2919" s="1779"/>
      <c r="W2919" s="43"/>
      <c r="X2919" s="1779"/>
      <c r="Y2919" s="1779"/>
      <c r="Z2919" s="1779"/>
      <c r="AA2919" s="1779"/>
      <c r="AB2919" s="1779"/>
      <c r="AC2919" s="1779"/>
      <c r="AD2919" s="1779"/>
      <c r="AE2919" s="1779"/>
      <c r="AF2919" s="1779"/>
      <c r="AG2919" s="1779"/>
    </row>
    <row r="2920" spans="1:33" ht="21.6" customHeight="1">
      <c r="A2920" s="424" t="s">
        <v>874</v>
      </c>
      <c r="B2920" s="424" t="s">
        <v>1248</v>
      </c>
      <c r="C2920" s="424" t="s">
        <v>507</v>
      </c>
      <c r="D2920" s="1598"/>
      <c r="E2920" s="2104" t="s">
        <v>1912</v>
      </c>
      <c r="F2920" s="438">
        <v>2250</v>
      </c>
      <c r="G2920" s="1705" t="s">
        <v>713</v>
      </c>
      <c r="H2920" s="1045"/>
      <c r="I2920" s="1706">
        <v>1950</v>
      </c>
      <c r="J2920" s="1035"/>
      <c r="K2920" s="1052"/>
      <c r="L2920" s="2461"/>
      <c r="M2920" s="3703">
        <v>1950</v>
      </c>
      <c r="N2920" s="2847"/>
      <c r="O2920" s="86"/>
      <c r="P2920" s="1817"/>
      <c r="Q2920" s="1779"/>
      <c r="R2920" s="1779"/>
      <c r="S2920" s="1779"/>
      <c r="T2920" s="1779"/>
      <c r="U2920" s="1779"/>
      <c r="V2920" s="1779"/>
      <c r="W2920" s="43"/>
      <c r="X2920" s="1779"/>
      <c r="Y2920" s="1779"/>
      <c r="Z2920" s="1779"/>
      <c r="AA2920" s="1779"/>
      <c r="AB2920" s="1779"/>
      <c r="AC2920" s="1779"/>
      <c r="AD2920" s="1779"/>
      <c r="AE2920" s="1779"/>
      <c r="AF2920" s="1779"/>
      <c r="AG2920" s="1779"/>
    </row>
    <row r="2921" spans="1:33" ht="26.45" customHeight="1">
      <c r="A2921" s="424" t="s">
        <v>874</v>
      </c>
      <c r="B2921" s="424" t="s">
        <v>1248</v>
      </c>
      <c r="C2921" s="424" t="s">
        <v>507</v>
      </c>
      <c r="D2921" s="1598"/>
      <c r="E2921" s="2104" t="s">
        <v>1912</v>
      </c>
      <c r="F2921" s="438">
        <v>2250</v>
      </c>
      <c r="G2921" s="2761" t="s">
        <v>691</v>
      </c>
      <c r="H2921" s="1045"/>
      <c r="I2921" s="1706">
        <v>242</v>
      </c>
      <c r="J2921" s="1035"/>
      <c r="K2921" s="1052"/>
      <c r="L2921" s="2461"/>
      <c r="M2921" s="3703">
        <v>242</v>
      </c>
      <c r="N2921" s="2847"/>
      <c r="O2921" s="86"/>
      <c r="P2921" s="1817" t="e">
        <f>INDEX(#REF!,MATCH(F2921,#REF!,0),2)</f>
        <v>#REF!</v>
      </c>
      <c r="Q2921" s="43"/>
      <c r="R2921" s="43"/>
      <c r="S2921" s="43"/>
      <c r="T2921" s="43"/>
      <c r="U2921" s="43"/>
      <c r="V2921" s="43"/>
      <c r="W2921" s="43"/>
      <c r="X2921" s="43"/>
      <c r="Y2921" s="43"/>
      <c r="Z2921" s="43"/>
      <c r="AA2921" s="43"/>
      <c r="AB2921" s="43"/>
      <c r="AC2921" s="43"/>
      <c r="AD2921" s="43"/>
      <c r="AE2921" s="43"/>
      <c r="AF2921" s="43"/>
      <c r="AG2921" s="43"/>
    </row>
    <row r="2922" spans="1:33" ht="33.75">
      <c r="A2922" s="424" t="s">
        <v>874</v>
      </c>
      <c r="B2922" s="424" t="s">
        <v>1248</v>
      </c>
      <c r="C2922" s="424" t="s">
        <v>507</v>
      </c>
      <c r="D2922" s="1598"/>
      <c r="E2922" s="2104" t="s">
        <v>1912</v>
      </c>
      <c r="F2922" s="438">
        <v>2250</v>
      </c>
      <c r="G2922" s="2761" t="s">
        <v>5056</v>
      </c>
      <c r="H2922" s="3701"/>
      <c r="I2922" s="3702"/>
      <c r="J2922" s="3669"/>
      <c r="K2922" s="3737"/>
      <c r="L2922" s="3738"/>
      <c r="M2922" s="3703">
        <v>3000</v>
      </c>
      <c r="N2922" s="2847"/>
      <c r="O2922" s="86"/>
      <c r="P2922" s="1817"/>
      <c r="Q2922" s="1797"/>
      <c r="R2922" s="1797"/>
      <c r="S2922" s="1797"/>
      <c r="T2922" s="1797"/>
      <c r="U2922" s="1797"/>
      <c r="V2922" s="1797"/>
      <c r="W2922" s="43"/>
      <c r="X2922" s="1797"/>
      <c r="Y2922" s="1797"/>
      <c r="Z2922" s="1797"/>
      <c r="AA2922" s="1797"/>
      <c r="AB2922" s="1797"/>
      <c r="AC2922" s="1797"/>
      <c r="AD2922" s="1797"/>
      <c r="AE2922" s="1797"/>
      <c r="AF2922" s="1797"/>
      <c r="AG2922" s="1797"/>
    </row>
    <row r="2923" spans="1:33" s="369" customFormat="1" ht="12" customHeight="1">
      <c r="A2923" s="424" t="s">
        <v>874</v>
      </c>
      <c r="B2923" s="424" t="s">
        <v>1248</v>
      </c>
      <c r="C2923" s="424" t="s">
        <v>507</v>
      </c>
      <c r="D2923" s="1598"/>
      <c r="E2923" s="2104" t="s">
        <v>1912</v>
      </c>
      <c r="F2923" s="438">
        <v>2250</v>
      </c>
      <c r="G2923" s="1705" t="s">
        <v>952</v>
      </c>
      <c r="H2923" s="1045"/>
      <c r="I2923" s="1706">
        <v>300</v>
      </c>
      <c r="J2923" s="1035"/>
      <c r="K2923" s="1052"/>
      <c r="L2923" s="2461"/>
      <c r="M2923" s="3703">
        <v>300</v>
      </c>
      <c r="N2923" s="2847"/>
      <c r="O2923" s="86"/>
      <c r="P2923" s="1817" t="e">
        <f>INDEX(#REF!,MATCH(F2923,#REF!,0),2)</f>
        <v>#REF!</v>
      </c>
      <c r="W2923" s="1814"/>
    </row>
    <row r="2924" spans="1:33" ht="11.45" customHeight="1">
      <c r="A2924" s="424" t="s">
        <v>874</v>
      </c>
      <c r="B2924" s="424" t="s">
        <v>1248</v>
      </c>
      <c r="C2924" s="424" t="s">
        <v>507</v>
      </c>
      <c r="D2924" s="1598"/>
      <c r="E2924" s="2104" t="s">
        <v>1912</v>
      </c>
      <c r="F2924" s="438">
        <v>2250</v>
      </c>
      <c r="G2924" s="2761" t="s">
        <v>5057</v>
      </c>
      <c r="H2924" s="3701"/>
      <c r="I2924" s="3702"/>
      <c r="J2924" s="3669"/>
      <c r="K2924" s="3737"/>
      <c r="L2924" s="3738"/>
      <c r="M2924" s="3703">
        <v>199</v>
      </c>
      <c r="N2924" s="2847"/>
      <c r="O2924" s="86"/>
      <c r="P2924" s="1817" t="e">
        <f>INDEX(#REF!,MATCH(F2924,#REF!,0),2)</f>
        <v>#REF!</v>
      </c>
      <c r="Q2924" s="43"/>
      <c r="R2924" s="43"/>
      <c r="S2924" s="43"/>
      <c r="T2924" s="43"/>
      <c r="U2924" s="43"/>
      <c r="V2924" s="43"/>
      <c r="W2924" s="43"/>
      <c r="X2924" s="43"/>
      <c r="Y2924" s="43"/>
      <c r="Z2924" s="43"/>
      <c r="AA2924" s="43"/>
      <c r="AB2924" s="43"/>
      <c r="AC2924" s="43"/>
      <c r="AD2924" s="43"/>
      <c r="AE2924" s="43"/>
      <c r="AF2924" s="43"/>
      <c r="AG2924" s="43"/>
    </row>
    <row r="2925" spans="1:33" s="369" customFormat="1" ht="13.9" customHeight="1">
      <c r="A2925" s="424" t="s">
        <v>874</v>
      </c>
      <c r="B2925" s="424" t="s">
        <v>1248</v>
      </c>
      <c r="C2925" s="424" t="s">
        <v>507</v>
      </c>
      <c r="D2925" s="1598"/>
      <c r="E2925" s="2104" t="s">
        <v>1912</v>
      </c>
      <c r="F2925" s="438">
        <v>2250</v>
      </c>
      <c r="G2925" s="1705" t="s">
        <v>825</v>
      </c>
      <c r="H2925" s="1045"/>
      <c r="I2925" s="1706">
        <v>600</v>
      </c>
      <c r="J2925" s="1035"/>
      <c r="K2925" s="1052"/>
      <c r="L2925" s="2461"/>
      <c r="M2925" s="3703">
        <v>600</v>
      </c>
      <c r="N2925" s="2847"/>
      <c r="O2925" s="86"/>
      <c r="P2925" s="1817" t="e">
        <f>INDEX(#REF!,MATCH(F2925,#REF!,0),2)</f>
        <v>#REF!</v>
      </c>
      <c r="W2925" s="1814"/>
    </row>
    <row r="2926" spans="1:33" s="369" customFormat="1" ht="13.9" customHeight="1">
      <c r="A2926" s="454"/>
      <c r="B2926" s="424" t="s">
        <v>1248</v>
      </c>
      <c r="C2926" s="424" t="s">
        <v>507</v>
      </c>
      <c r="D2926" s="1598"/>
      <c r="E2926" s="2104" t="s">
        <v>1912</v>
      </c>
      <c r="F2926" s="438">
        <v>2250</v>
      </c>
      <c r="G2926" s="996" t="s">
        <v>951</v>
      </c>
      <c r="H2926" s="1045"/>
      <c r="I2926" s="1040">
        <v>200</v>
      </c>
      <c r="J2926" s="1042"/>
      <c r="K2926" s="1036"/>
      <c r="L2926" s="1045"/>
      <c r="M2926" s="3700">
        <v>200</v>
      </c>
      <c r="N2926" s="2847"/>
      <c r="O2926" s="86"/>
      <c r="P2926" s="1817" t="e">
        <f>INDEX(#REF!,MATCH(F2926,#REF!,0),2)</f>
        <v>#REF!</v>
      </c>
      <c r="W2926" s="1814"/>
    </row>
    <row r="2927" spans="1:33" s="369" customFormat="1" ht="13.9" customHeight="1">
      <c r="A2927" s="424"/>
      <c r="B2927" s="424" t="s">
        <v>1248</v>
      </c>
      <c r="C2927" s="424" t="s">
        <v>507</v>
      </c>
      <c r="D2927" s="1598"/>
      <c r="E2927" s="2104" t="s">
        <v>1912</v>
      </c>
      <c r="F2927" s="438">
        <v>2250</v>
      </c>
      <c r="G2927" s="2774" t="s">
        <v>953</v>
      </c>
      <c r="H2927" s="1045"/>
      <c r="I2927" s="1035">
        <v>499</v>
      </c>
      <c r="J2927" s="1035"/>
      <c r="K2927" s="1036"/>
      <c r="L2927" s="2465"/>
      <c r="M2927" s="3588">
        <v>499</v>
      </c>
      <c r="N2927" s="2847"/>
      <c r="O2927" s="86"/>
      <c r="P2927" s="1817" t="e">
        <f>INDEX(#REF!,MATCH(F2927,#REF!,0),2)</f>
        <v>#REF!</v>
      </c>
      <c r="W2927" s="1814"/>
    </row>
    <row r="2928" spans="1:33" ht="21" customHeight="1">
      <c r="A2928" s="424"/>
      <c r="B2928" s="424" t="s">
        <v>1248</v>
      </c>
      <c r="C2928" s="424" t="s">
        <v>507</v>
      </c>
      <c r="D2928" s="1598"/>
      <c r="E2928" s="2104" t="s">
        <v>1912</v>
      </c>
      <c r="F2928" s="438">
        <v>2250</v>
      </c>
      <c r="G2928" s="2774" t="s">
        <v>954</v>
      </c>
      <c r="H2928" s="1045"/>
      <c r="I2928" s="1035">
        <v>1694</v>
      </c>
      <c r="J2928" s="1035"/>
      <c r="K2928" s="1036"/>
      <c r="L2928" s="1045"/>
      <c r="M2928" s="3588">
        <v>2290</v>
      </c>
      <c r="N2928" s="2847"/>
      <c r="O2928" s="86"/>
      <c r="P2928" s="1817" t="e">
        <f>INDEX(#REF!,MATCH(F2928,#REF!,0),2)</f>
        <v>#REF!</v>
      </c>
      <c r="Q2928" s="1779"/>
      <c r="R2928" s="1779"/>
      <c r="S2928" s="1779"/>
      <c r="T2928" s="1779"/>
      <c r="U2928" s="1779"/>
      <c r="V2928" s="1779"/>
      <c r="W2928" s="43"/>
      <c r="X2928" s="1779"/>
      <c r="Y2928" s="1779"/>
      <c r="Z2928" s="1779"/>
      <c r="AA2928" s="1779"/>
      <c r="AB2928" s="1779"/>
      <c r="AC2928" s="1779"/>
      <c r="AD2928" s="1779"/>
      <c r="AE2928" s="1779"/>
      <c r="AF2928" s="1779"/>
      <c r="AG2928" s="1779"/>
    </row>
    <row r="2929" spans="1:33" ht="21" customHeight="1">
      <c r="A2929" s="424"/>
      <c r="B2929" s="424" t="s">
        <v>1248</v>
      </c>
      <c r="C2929" s="424" t="s">
        <v>507</v>
      </c>
      <c r="D2929" s="1598"/>
      <c r="E2929" s="2104" t="s">
        <v>1912</v>
      </c>
      <c r="F2929" s="438">
        <v>2250</v>
      </c>
      <c r="G2929" s="2774" t="s">
        <v>955</v>
      </c>
      <c r="H2929" s="1045"/>
      <c r="I2929" s="1035">
        <v>11000</v>
      </c>
      <c r="J2929" s="1035"/>
      <c r="K2929" s="1036"/>
      <c r="L2929" s="1045"/>
      <c r="M2929" s="3588">
        <v>12650</v>
      </c>
      <c r="N2929" s="2847"/>
      <c r="O2929" s="86"/>
      <c r="P2929" s="1817" t="e">
        <f>INDEX(#REF!,MATCH(F2929,#REF!,0),2)</f>
        <v>#REF!</v>
      </c>
      <c r="Q2929" s="1779"/>
      <c r="R2929" s="1779"/>
      <c r="S2929" s="1779"/>
      <c r="T2929" s="1779"/>
      <c r="U2929" s="1779"/>
      <c r="V2929" s="1779"/>
      <c r="W2929" s="43"/>
      <c r="X2929" s="1779"/>
      <c r="Y2929" s="1779"/>
      <c r="Z2929" s="1779"/>
      <c r="AA2929" s="1779"/>
      <c r="AB2929" s="1779"/>
      <c r="AC2929" s="1779"/>
      <c r="AD2929" s="1779"/>
      <c r="AE2929" s="1779"/>
      <c r="AF2929" s="1779"/>
      <c r="AG2929" s="1779"/>
    </row>
    <row r="2930" spans="1:33" ht="11.45" customHeight="1">
      <c r="A2930" s="424"/>
      <c r="B2930" s="424" t="s">
        <v>1248</v>
      </c>
      <c r="C2930" s="424" t="s">
        <v>507</v>
      </c>
      <c r="D2930" s="1598"/>
      <c r="E2930" s="2104" t="s">
        <v>1912</v>
      </c>
      <c r="F2930" s="438">
        <v>2250</v>
      </c>
      <c r="G2930" s="2774" t="s">
        <v>1464</v>
      </c>
      <c r="H2930" s="1045"/>
      <c r="I2930" s="1035">
        <v>4000</v>
      </c>
      <c r="J2930" s="1035"/>
      <c r="K2930" s="1036"/>
      <c r="L2930" s="1045"/>
      <c r="M2930" s="3588">
        <v>8552</v>
      </c>
      <c r="N2930" s="2847" t="s">
        <v>5100</v>
      </c>
      <c r="O2930" s="86"/>
      <c r="P2930" s="1817" t="e">
        <f>INDEX(#REF!,MATCH(F2930,#REF!,0),2)</f>
        <v>#REF!</v>
      </c>
      <c r="Q2930" s="1779"/>
      <c r="R2930" s="1779"/>
      <c r="S2930" s="1779"/>
      <c r="T2930" s="1779"/>
      <c r="U2930" s="1779"/>
      <c r="V2930" s="1779"/>
      <c r="W2930" s="43"/>
      <c r="X2930" s="1779"/>
      <c r="Y2930" s="1779"/>
      <c r="Z2930" s="1779"/>
      <c r="AA2930" s="1779"/>
      <c r="AB2930" s="1779"/>
      <c r="AC2930" s="1779"/>
      <c r="AD2930" s="1779"/>
      <c r="AE2930" s="1779"/>
      <c r="AF2930" s="1779"/>
      <c r="AG2930" s="1779"/>
    </row>
    <row r="2931" spans="1:33" ht="11.45" customHeight="1">
      <c r="A2931" s="1563"/>
      <c r="B2931" s="424" t="s">
        <v>1248</v>
      </c>
      <c r="C2931" s="424" t="s">
        <v>507</v>
      </c>
      <c r="D2931" s="1598"/>
      <c r="E2931" s="2104" t="s">
        <v>1912</v>
      </c>
      <c r="F2931" s="438">
        <v>2250</v>
      </c>
      <c r="G2931" s="2774" t="s">
        <v>2370</v>
      </c>
      <c r="H2931" s="1677"/>
      <c r="I2931" s="1675">
        <v>2700</v>
      </c>
      <c r="J2931" s="1675"/>
      <c r="K2931" s="1676"/>
      <c r="L2931" s="1677"/>
      <c r="M2931" s="3588">
        <v>2700</v>
      </c>
      <c r="N2931" s="3768" t="s">
        <v>5232</v>
      </c>
      <c r="O2931" s="86"/>
      <c r="P2931" s="1817"/>
      <c r="Q2931" s="1779"/>
      <c r="R2931" s="1779"/>
      <c r="S2931" s="1779"/>
      <c r="T2931" s="1779"/>
      <c r="U2931" s="1779"/>
      <c r="V2931" s="1779"/>
      <c r="W2931" s="43"/>
      <c r="X2931" s="1779"/>
      <c r="Y2931" s="1779"/>
      <c r="Z2931" s="1779"/>
      <c r="AA2931" s="1779"/>
      <c r="AB2931" s="1779"/>
      <c r="AC2931" s="1779"/>
      <c r="AD2931" s="1779"/>
      <c r="AE2931" s="1779"/>
      <c r="AF2931" s="1779"/>
      <c r="AG2931" s="1779"/>
    </row>
    <row r="2932" spans="1:33" ht="12.6" customHeight="1">
      <c r="A2932" s="1370"/>
      <c r="B2932" s="424" t="s">
        <v>1248</v>
      </c>
      <c r="C2932" s="424" t="s">
        <v>507</v>
      </c>
      <c r="D2932" s="1598"/>
      <c r="E2932" s="2104" t="s">
        <v>1912</v>
      </c>
      <c r="F2932" s="438">
        <v>2250</v>
      </c>
      <c r="G2932" s="2774" t="s">
        <v>5099</v>
      </c>
      <c r="H2932" s="1088"/>
      <c r="I2932" s="1694"/>
      <c r="J2932" s="1456"/>
      <c r="K2932" s="1089"/>
      <c r="L2932" s="1088"/>
      <c r="M2932" s="3588">
        <v>6300</v>
      </c>
      <c r="N2932" s="2847" t="s">
        <v>5101</v>
      </c>
      <c r="O2932" s="86"/>
      <c r="P2932" s="1817" t="e">
        <f>INDEX(#REF!,MATCH(F2932,#REF!,0),2)</f>
        <v>#REF!</v>
      </c>
      <c r="Q2932" s="1779"/>
      <c r="R2932" s="1779"/>
      <c r="S2932" s="1779"/>
      <c r="T2932" s="1779"/>
      <c r="U2932" s="1779"/>
      <c r="V2932" s="1779"/>
      <c r="W2932" s="43"/>
      <c r="X2932" s="1779"/>
      <c r="Y2932" s="1779"/>
      <c r="Z2932" s="1779"/>
      <c r="AA2932" s="1779"/>
      <c r="AB2932" s="1779"/>
      <c r="AC2932" s="1779"/>
      <c r="AD2932" s="1779"/>
      <c r="AE2932" s="1779"/>
      <c r="AF2932" s="1779"/>
      <c r="AG2932" s="1779"/>
    </row>
    <row r="2933" spans="1:33" ht="22.9" customHeight="1">
      <c r="A2933" s="4200"/>
      <c r="B2933" s="424" t="s">
        <v>1248</v>
      </c>
      <c r="C2933" s="424" t="s">
        <v>507</v>
      </c>
      <c r="D2933" s="1598"/>
      <c r="E2933" s="2104" t="s">
        <v>1912</v>
      </c>
      <c r="F2933" s="438">
        <v>2250</v>
      </c>
      <c r="G2933" s="4178" t="s">
        <v>1180</v>
      </c>
      <c r="H2933" s="3701"/>
      <c r="I2933" s="3679">
        <v>600</v>
      </c>
      <c r="J2933" s="4379"/>
      <c r="K2933" s="3670"/>
      <c r="L2933" s="3701"/>
      <c r="M2933" s="4358"/>
      <c r="N2933" s="2847"/>
      <c r="O2933" s="86"/>
      <c r="P2933" s="1817" t="e">
        <f>INDEX(#REF!,MATCH(F2933,#REF!,0),2)</f>
        <v>#REF!</v>
      </c>
      <c r="Q2933" s="1779"/>
      <c r="R2933" s="1779"/>
      <c r="S2933" s="1779"/>
      <c r="T2933" s="1779"/>
      <c r="U2933" s="1779"/>
      <c r="V2933" s="1779"/>
      <c r="W2933" s="43"/>
      <c r="X2933" s="1779"/>
      <c r="Y2933" s="1779"/>
      <c r="Z2933" s="1779"/>
      <c r="AA2933" s="1779"/>
      <c r="AB2933" s="1779"/>
      <c r="AC2933" s="1779"/>
      <c r="AD2933" s="1779"/>
      <c r="AE2933" s="1779"/>
      <c r="AF2933" s="1779"/>
      <c r="AG2933" s="1779"/>
    </row>
    <row r="2934" spans="1:33" ht="12.6" customHeight="1">
      <c r="A2934" s="634"/>
      <c r="B2934" s="634" t="s">
        <v>1248</v>
      </c>
      <c r="C2934" s="634" t="s">
        <v>507</v>
      </c>
      <c r="D2934" s="1597">
        <v>950</v>
      </c>
      <c r="E2934" s="2093" t="s">
        <v>1912</v>
      </c>
      <c r="F2934" s="635">
        <v>2264</v>
      </c>
      <c r="G2934" s="432" t="s">
        <v>240</v>
      </c>
      <c r="H2934" s="641">
        <v>320</v>
      </c>
      <c r="I2934" s="1686"/>
      <c r="J2934" s="628">
        <v>241.23</v>
      </c>
      <c r="K2934" s="629"/>
      <c r="L2934" s="641">
        <v>100</v>
      </c>
      <c r="M2934" s="643"/>
      <c r="N2934" s="2847"/>
      <c r="O2934" s="86"/>
      <c r="P2934" s="1817" t="e">
        <f>INDEX(#REF!,MATCH(F2934,#REF!,0),2)</f>
        <v>#REF!</v>
      </c>
      <c r="Q2934" s="1779"/>
      <c r="R2934" s="1779"/>
      <c r="S2934" s="1779"/>
      <c r="T2934" s="1779"/>
      <c r="U2934" s="1779"/>
      <c r="V2934" s="1779"/>
      <c r="W2934" s="43"/>
      <c r="X2934" s="1779"/>
      <c r="Y2934" s="1779"/>
      <c r="Z2934" s="1779"/>
      <c r="AA2934" s="1779"/>
      <c r="AB2934" s="1779"/>
      <c r="AC2934" s="1779"/>
      <c r="AD2934" s="1779"/>
      <c r="AE2934" s="1779"/>
      <c r="AF2934" s="1779"/>
      <c r="AG2934" s="1779"/>
    </row>
    <row r="2935" spans="1:33" ht="12.6" customHeight="1">
      <c r="A2935" s="424"/>
      <c r="B2935" s="424" t="s">
        <v>1248</v>
      </c>
      <c r="C2935" s="424" t="s">
        <v>507</v>
      </c>
      <c r="D2935" s="1598"/>
      <c r="E2935" s="2104" t="s">
        <v>1912</v>
      </c>
      <c r="F2935" s="438">
        <v>2264</v>
      </c>
      <c r="G2935" s="1055" t="s">
        <v>438</v>
      </c>
      <c r="H2935" s="1050"/>
      <c r="I2935" s="1040">
        <v>320</v>
      </c>
      <c r="J2935" s="1042"/>
      <c r="K2935" s="1051"/>
      <c r="L2935" s="1050"/>
      <c r="M2935" s="3708">
        <v>100</v>
      </c>
      <c r="N2935" s="2847"/>
      <c r="O2935" s="86"/>
      <c r="P2935" s="1817" t="e">
        <f>INDEX(#REF!,MATCH(F2935,#REF!,0),2)</f>
        <v>#REF!</v>
      </c>
      <c r="Q2935" s="1779"/>
      <c r="R2935" s="1779"/>
      <c r="S2935" s="1779"/>
      <c r="T2935" s="1779"/>
      <c r="U2935" s="1779"/>
      <c r="V2935" s="1779"/>
      <c r="W2935" s="43"/>
      <c r="X2935" s="1779"/>
      <c r="Y2935" s="1779"/>
      <c r="Z2935" s="1779"/>
      <c r="AA2935" s="1779"/>
      <c r="AB2935" s="1779"/>
      <c r="AC2935" s="1779"/>
      <c r="AD2935" s="1779"/>
      <c r="AE2935" s="1779"/>
      <c r="AF2935" s="1779"/>
      <c r="AG2935" s="1779"/>
    </row>
    <row r="2936" spans="1:33" ht="12.6" customHeight="1">
      <c r="A2936" s="634"/>
      <c r="B2936" s="634" t="s">
        <v>1248</v>
      </c>
      <c r="C2936" s="634" t="s">
        <v>507</v>
      </c>
      <c r="D2936" s="1597">
        <v>950</v>
      </c>
      <c r="E2936" s="2093" t="s">
        <v>1912</v>
      </c>
      <c r="F2936" s="635">
        <v>2311</v>
      </c>
      <c r="G2936" s="432" t="s">
        <v>245</v>
      </c>
      <c r="H2936" s="641">
        <v>6350</v>
      </c>
      <c r="I2936" s="1688"/>
      <c r="J2936" s="628">
        <v>4559.9399999999996</v>
      </c>
      <c r="K2936" s="629"/>
      <c r="L2936" s="641">
        <v>6350</v>
      </c>
      <c r="M2936" s="679"/>
      <c r="N2936" s="241" t="s">
        <v>6036</v>
      </c>
      <c r="O2936" s="86"/>
      <c r="P2936" s="1817" t="e">
        <f>INDEX(#REF!,MATCH(F2936,#REF!,0),2)</f>
        <v>#REF!</v>
      </c>
      <c r="Q2936" s="1779"/>
      <c r="R2936" s="1779"/>
      <c r="S2936" s="1779"/>
      <c r="T2936" s="1779"/>
      <c r="U2936" s="1779"/>
      <c r="V2936" s="1779"/>
      <c r="W2936" s="43"/>
      <c r="X2936" s="1779"/>
      <c r="Y2936" s="1779"/>
      <c r="Z2936" s="1779"/>
      <c r="AA2936" s="1779"/>
      <c r="AB2936" s="1779"/>
      <c r="AC2936" s="1779"/>
      <c r="AD2936" s="1779"/>
      <c r="AE2936" s="1779"/>
      <c r="AF2936" s="1779"/>
      <c r="AG2936" s="1779"/>
    </row>
    <row r="2937" spans="1:33" ht="21" customHeight="1">
      <c r="A2937" s="424"/>
      <c r="B2937" s="424" t="s">
        <v>1248</v>
      </c>
      <c r="C2937" s="424" t="s">
        <v>507</v>
      </c>
      <c r="D2937" s="1598"/>
      <c r="E2937" s="2104" t="s">
        <v>1912</v>
      </c>
      <c r="F2937" s="438">
        <v>2311</v>
      </c>
      <c r="G2937" s="996" t="s">
        <v>439</v>
      </c>
      <c r="H2937" s="1041"/>
      <c r="I2937" s="1040">
        <v>4500</v>
      </c>
      <c r="J2937" s="1042"/>
      <c r="K2937" s="1043"/>
      <c r="L2937" s="1050"/>
      <c r="M2937" s="4299">
        <v>4500</v>
      </c>
      <c r="N2937" s="241" t="s">
        <v>5156</v>
      </c>
      <c r="O2937" s="86"/>
      <c r="P2937" s="1817" t="e">
        <f>INDEX(#REF!,MATCH(F2937,#REF!,0),2)</f>
        <v>#REF!</v>
      </c>
      <c r="Q2937" s="1779"/>
      <c r="R2937" s="1779"/>
      <c r="S2937" s="1779"/>
      <c r="T2937" s="1779"/>
      <c r="U2937" s="1779"/>
      <c r="V2937" s="1779"/>
      <c r="W2937" s="43"/>
      <c r="X2937" s="1779"/>
      <c r="Y2937" s="1779"/>
      <c r="Z2937" s="1779"/>
      <c r="AA2937" s="1779"/>
      <c r="AB2937" s="1779"/>
      <c r="AC2937" s="1779"/>
      <c r="AD2937" s="1779"/>
      <c r="AE2937" s="1779"/>
      <c r="AF2937" s="1779"/>
      <c r="AG2937" s="1779"/>
    </row>
    <row r="2938" spans="1:33">
      <c r="A2938" s="424" t="s">
        <v>874</v>
      </c>
      <c r="B2938" s="424" t="s">
        <v>1248</v>
      </c>
      <c r="C2938" s="424" t="s">
        <v>507</v>
      </c>
      <c r="D2938" s="1598"/>
      <c r="E2938" s="2104" t="s">
        <v>1912</v>
      </c>
      <c r="F2938" s="438">
        <v>2311</v>
      </c>
      <c r="G2938" s="996" t="s">
        <v>440</v>
      </c>
      <c r="H2938" s="1041"/>
      <c r="I2938" s="1693">
        <v>1500</v>
      </c>
      <c r="J2938" s="1042"/>
      <c r="K2938" s="1043"/>
      <c r="L2938" s="1050"/>
      <c r="M2938" s="3739">
        <v>1500</v>
      </c>
      <c r="N2938" s="2847"/>
      <c r="O2938" s="86"/>
      <c r="P2938" s="1817" t="e">
        <f>INDEX(#REF!,MATCH(F2938,#REF!,0),2)</f>
        <v>#REF!</v>
      </c>
      <c r="Q2938" s="43"/>
      <c r="R2938" s="43"/>
      <c r="S2938" s="43"/>
      <c r="T2938" s="43"/>
      <c r="U2938" s="43"/>
      <c r="V2938" s="43"/>
      <c r="W2938" s="43"/>
      <c r="X2938" s="43"/>
      <c r="Y2938" s="43"/>
      <c r="Z2938" s="43"/>
      <c r="AA2938" s="43"/>
      <c r="AB2938" s="43"/>
      <c r="AC2938" s="43"/>
      <c r="AD2938" s="43"/>
      <c r="AE2938" s="43"/>
      <c r="AF2938" s="43"/>
      <c r="AG2938" s="43"/>
    </row>
    <row r="2939" spans="1:33">
      <c r="A2939" s="424"/>
      <c r="B2939" s="424" t="s">
        <v>1248</v>
      </c>
      <c r="C2939" s="424" t="s">
        <v>507</v>
      </c>
      <c r="D2939" s="1598"/>
      <c r="E2939" s="2104" t="s">
        <v>1912</v>
      </c>
      <c r="F2939" s="438">
        <v>2311</v>
      </c>
      <c r="G2939" s="996" t="s">
        <v>441</v>
      </c>
      <c r="H2939" s="1041"/>
      <c r="I2939" s="1693">
        <v>200</v>
      </c>
      <c r="J2939" s="1711"/>
      <c r="K2939" s="1043"/>
      <c r="L2939" s="1050"/>
      <c r="M2939" s="3739">
        <v>200</v>
      </c>
      <c r="N2939" s="2847"/>
      <c r="O2939" s="86"/>
      <c r="P2939" s="1817" t="e">
        <f>INDEX(#REF!,MATCH(F2939,#REF!,0),2)</f>
        <v>#REF!</v>
      </c>
      <c r="Q2939" s="43"/>
      <c r="R2939" s="43"/>
      <c r="S2939" s="43"/>
      <c r="T2939" s="43"/>
      <c r="U2939" s="43"/>
      <c r="V2939" s="43"/>
      <c r="W2939" s="43"/>
      <c r="X2939" s="43"/>
      <c r="Y2939" s="43"/>
      <c r="Z2939" s="43"/>
      <c r="AA2939" s="43"/>
      <c r="AB2939" s="43"/>
      <c r="AC2939" s="43"/>
      <c r="AD2939" s="43"/>
      <c r="AE2939" s="43"/>
      <c r="AF2939" s="43"/>
      <c r="AG2939" s="43"/>
    </row>
    <row r="2940" spans="1:33">
      <c r="A2940" s="424"/>
      <c r="B2940" s="424" t="s">
        <v>1248</v>
      </c>
      <c r="C2940" s="424" t="s">
        <v>507</v>
      </c>
      <c r="D2940" s="1598"/>
      <c r="E2940" s="2104" t="s">
        <v>1912</v>
      </c>
      <c r="F2940" s="438">
        <v>2311</v>
      </c>
      <c r="G2940" s="996" t="s">
        <v>558</v>
      </c>
      <c r="H2940" s="1045"/>
      <c r="I2940" s="1693">
        <v>150</v>
      </c>
      <c r="J2940" s="1712"/>
      <c r="K2940" s="1036"/>
      <c r="L2940" s="1038"/>
      <c r="M2940" s="4304">
        <v>150</v>
      </c>
      <c r="N2940" s="241" t="s">
        <v>5156</v>
      </c>
      <c r="O2940" s="86"/>
      <c r="P2940" s="1817"/>
      <c r="Q2940" s="43"/>
      <c r="R2940" s="43"/>
      <c r="S2940" s="43"/>
      <c r="T2940" s="43"/>
      <c r="U2940" s="43"/>
      <c r="V2940" s="43"/>
      <c r="W2940" s="43"/>
      <c r="X2940" s="43"/>
      <c r="Y2940" s="43"/>
      <c r="Z2940" s="43"/>
      <c r="AA2940" s="43"/>
      <c r="AB2940" s="43"/>
      <c r="AC2940" s="43"/>
      <c r="AD2940" s="43"/>
      <c r="AE2940" s="43"/>
      <c r="AF2940" s="43"/>
      <c r="AG2940" s="43"/>
    </row>
    <row r="2941" spans="1:33">
      <c r="A2941" s="634"/>
      <c r="B2941" s="634" t="s">
        <v>1248</v>
      </c>
      <c r="C2941" s="634" t="s">
        <v>507</v>
      </c>
      <c r="D2941" s="1597">
        <v>950</v>
      </c>
      <c r="E2941" s="2093" t="s">
        <v>1912</v>
      </c>
      <c r="F2941" s="680">
        <v>2312</v>
      </c>
      <c r="G2941" s="432" t="s">
        <v>249</v>
      </c>
      <c r="H2941" s="641">
        <v>11085.060000000001</v>
      </c>
      <c r="I2941" s="1686"/>
      <c r="J2941" s="628">
        <v>18564.66</v>
      </c>
      <c r="K2941" s="629"/>
      <c r="L2941" s="641">
        <v>9394</v>
      </c>
      <c r="M2941" s="643"/>
      <c r="N2941" s="2847"/>
      <c r="O2941" s="86"/>
      <c r="P2941" s="1817"/>
      <c r="Q2941" s="43"/>
      <c r="R2941" s="43"/>
      <c r="S2941" s="43"/>
      <c r="T2941" s="43"/>
      <c r="U2941" s="43"/>
      <c r="V2941" s="43"/>
      <c r="W2941" s="43"/>
      <c r="X2941" s="43"/>
      <c r="Y2941" s="43"/>
      <c r="Z2941" s="43"/>
      <c r="AA2941" s="43"/>
      <c r="AB2941" s="43"/>
      <c r="AC2941" s="43"/>
      <c r="AD2941" s="43"/>
      <c r="AE2941" s="43"/>
      <c r="AF2941" s="43"/>
      <c r="AG2941" s="43"/>
    </row>
    <row r="2942" spans="1:33">
      <c r="A2942" s="424" t="s">
        <v>874</v>
      </c>
      <c r="B2942" s="424" t="s">
        <v>1248</v>
      </c>
      <c r="C2942" s="424" t="s">
        <v>507</v>
      </c>
      <c r="D2942" s="1598"/>
      <c r="E2942" s="2104" t="s">
        <v>1912</v>
      </c>
      <c r="F2942" s="681">
        <v>2312</v>
      </c>
      <c r="G2942" s="2774" t="s">
        <v>5058</v>
      </c>
      <c r="H2942" s="1041"/>
      <c r="I2942" s="1040"/>
      <c r="J2942" s="1042"/>
      <c r="K2942" s="1036"/>
      <c r="L2942" s="1038"/>
      <c r="M2942" s="3708">
        <v>500</v>
      </c>
      <c r="N2942" s="2847" t="s">
        <v>5078</v>
      </c>
      <c r="O2942" s="86"/>
      <c r="P2942" s="1817"/>
      <c r="Q2942" s="43"/>
      <c r="R2942" s="43"/>
      <c r="S2942" s="43"/>
      <c r="T2942" s="43"/>
      <c r="U2942" s="43"/>
      <c r="V2942" s="43"/>
      <c r="W2942" s="43"/>
      <c r="X2942" s="43"/>
      <c r="Y2942" s="43"/>
      <c r="Z2942" s="43"/>
      <c r="AA2942" s="43"/>
      <c r="AB2942" s="43"/>
      <c r="AC2942" s="43"/>
      <c r="AD2942" s="43"/>
      <c r="AE2942" s="43"/>
      <c r="AF2942" s="43"/>
      <c r="AG2942" s="43"/>
    </row>
    <row r="2943" spans="1:33">
      <c r="A2943" s="424" t="s">
        <v>874</v>
      </c>
      <c r="B2943" s="424" t="s">
        <v>1248</v>
      </c>
      <c r="C2943" s="424" t="s">
        <v>507</v>
      </c>
      <c r="D2943" s="1598"/>
      <c r="E2943" s="2104" t="s">
        <v>1912</v>
      </c>
      <c r="F2943" s="681">
        <v>2312</v>
      </c>
      <c r="G2943" s="2774" t="s">
        <v>426</v>
      </c>
      <c r="H2943" s="1041"/>
      <c r="I2943" s="1040">
        <v>300</v>
      </c>
      <c r="J2943" s="1042"/>
      <c r="K2943" s="1036"/>
      <c r="L2943" s="1038"/>
      <c r="M2943" s="3708">
        <v>300</v>
      </c>
      <c r="N2943" s="2847"/>
      <c r="O2943" s="86"/>
      <c r="P2943" s="1817"/>
      <c r="Q2943" s="43"/>
      <c r="R2943" s="43"/>
      <c r="S2943" s="43"/>
      <c r="T2943" s="43"/>
      <c r="U2943" s="43"/>
      <c r="V2943" s="43"/>
      <c r="W2943" s="43"/>
      <c r="X2943" s="43"/>
      <c r="Y2943" s="43"/>
      <c r="Z2943" s="43"/>
      <c r="AA2943" s="43"/>
      <c r="AB2943" s="43"/>
      <c r="AC2943" s="43"/>
      <c r="AD2943" s="43"/>
      <c r="AE2943" s="43"/>
      <c r="AF2943" s="43"/>
      <c r="AG2943" s="43"/>
    </row>
    <row r="2944" spans="1:33" ht="27" customHeight="1">
      <c r="A2944" s="424" t="s">
        <v>874</v>
      </c>
      <c r="B2944" s="424" t="s">
        <v>1248</v>
      </c>
      <c r="C2944" s="424" t="s">
        <v>507</v>
      </c>
      <c r="D2944" s="1598"/>
      <c r="E2944" s="2104" t="s">
        <v>1912</v>
      </c>
      <c r="F2944" s="681">
        <v>2312</v>
      </c>
      <c r="G2944" s="2774" t="s">
        <v>442</v>
      </c>
      <c r="H2944" s="1041"/>
      <c r="I2944" s="455">
        <v>500</v>
      </c>
      <c r="J2944" s="1042"/>
      <c r="K2944" s="1036"/>
      <c r="L2944" s="1038"/>
      <c r="M2944" s="3708">
        <v>500</v>
      </c>
      <c r="N2944" s="2847"/>
      <c r="O2944" s="86"/>
      <c r="P2944" s="1817"/>
      <c r="Q2944" s="43"/>
      <c r="R2944" s="43"/>
      <c r="S2944" s="43"/>
      <c r="T2944" s="43"/>
      <c r="U2944" s="43"/>
      <c r="V2944" s="43"/>
      <c r="W2944" s="43"/>
      <c r="X2944" s="43"/>
      <c r="Y2944" s="43"/>
      <c r="Z2944" s="43"/>
      <c r="AA2944" s="43"/>
      <c r="AB2944" s="43"/>
      <c r="AC2944" s="43"/>
      <c r="AD2944" s="43"/>
      <c r="AE2944" s="43"/>
      <c r="AF2944" s="43"/>
      <c r="AG2944" s="43"/>
    </row>
    <row r="2945" spans="1:33">
      <c r="A2945" s="424" t="s">
        <v>874</v>
      </c>
      <c r="B2945" s="424" t="s">
        <v>1248</v>
      </c>
      <c r="C2945" s="424" t="s">
        <v>507</v>
      </c>
      <c r="D2945" s="1598"/>
      <c r="E2945" s="2104" t="s">
        <v>1912</v>
      </c>
      <c r="F2945" s="681">
        <v>2312</v>
      </c>
      <c r="G2945" s="2774" t="s">
        <v>324</v>
      </c>
      <c r="H2945" s="1041"/>
      <c r="I2945" s="455">
        <v>1000</v>
      </c>
      <c r="J2945" s="1042"/>
      <c r="K2945" s="1036"/>
      <c r="L2945" s="1038"/>
      <c r="M2945" s="4299">
        <v>1000</v>
      </c>
      <c r="N2945" s="241" t="s">
        <v>5156</v>
      </c>
      <c r="O2945" s="86"/>
      <c r="P2945" s="1817"/>
      <c r="Q2945" s="43"/>
      <c r="R2945" s="43"/>
      <c r="S2945" s="43"/>
      <c r="T2945" s="43"/>
      <c r="U2945" s="43"/>
      <c r="V2945" s="43"/>
      <c r="W2945" s="43"/>
      <c r="X2945" s="43"/>
      <c r="Y2945" s="43"/>
      <c r="Z2945" s="43"/>
      <c r="AA2945" s="43"/>
      <c r="AB2945" s="43"/>
      <c r="AC2945" s="43"/>
      <c r="AD2945" s="43"/>
      <c r="AE2945" s="43"/>
      <c r="AF2945" s="43"/>
      <c r="AG2945" s="43"/>
    </row>
    <row r="2946" spans="1:33">
      <c r="A2946" s="424" t="s">
        <v>874</v>
      </c>
      <c r="B2946" s="424" t="s">
        <v>1248</v>
      </c>
      <c r="C2946" s="424" t="s">
        <v>507</v>
      </c>
      <c r="D2946" s="1598"/>
      <c r="E2946" s="2104" t="s">
        <v>1912</v>
      </c>
      <c r="F2946" s="681">
        <v>2312</v>
      </c>
      <c r="G2946" s="2774" t="s">
        <v>5061</v>
      </c>
      <c r="H2946" s="1041"/>
      <c r="I2946" s="1040"/>
      <c r="J2946" s="1042"/>
      <c r="K2946" s="1036"/>
      <c r="L2946" s="1038"/>
      <c r="M2946" s="3708">
        <v>780</v>
      </c>
      <c r="N2946" s="2847"/>
      <c r="O2946" s="86"/>
      <c r="P2946" s="1817"/>
      <c r="Q2946" s="43"/>
      <c r="R2946" s="43"/>
      <c r="S2946" s="43"/>
      <c r="T2946" s="43"/>
      <c r="U2946" s="43"/>
      <c r="V2946" s="43"/>
      <c r="W2946" s="43"/>
      <c r="X2946" s="43"/>
      <c r="Y2946" s="43"/>
      <c r="Z2946" s="43"/>
      <c r="AA2946" s="43"/>
      <c r="AB2946" s="43"/>
      <c r="AC2946" s="43"/>
      <c r="AD2946" s="43"/>
      <c r="AE2946" s="43"/>
      <c r="AF2946" s="43"/>
      <c r="AG2946" s="43"/>
    </row>
    <row r="2947" spans="1:33">
      <c r="A2947" s="424" t="s">
        <v>874</v>
      </c>
      <c r="B2947" s="424" t="s">
        <v>1248</v>
      </c>
      <c r="C2947" s="424" t="s">
        <v>507</v>
      </c>
      <c r="D2947" s="1598"/>
      <c r="E2947" s="2104" t="s">
        <v>1912</v>
      </c>
      <c r="F2947" s="681">
        <v>2312</v>
      </c>
      <c r="G2947" s="2774" t="s">
        <v>5062</v>
      </c>
      <c r="H2947" s="1041"/>
      <c r="I2947" s="1040"/>
      <c r="J2947" s="1042"/>
      <c r="K2947" s="1036"/>
      <c r="L2947" s="1038"/>
      <c r="M2947" s="3708">
        <v>300</v>
      </c>
      <c r="N2947" s="2847"/>
      <c r="O2947" s="86"/>
      <c r="P2947" s="1817"/>
      <c r="Q2947" s="43"/>
      <c r="R2947" s="43"/>
      <c r="S2947" s="43"/>
      <c r="T2947" s="43"/>
      <c r="U2947" s="43"/>
      <c r="V2947" s="43"/>
      <c r="W2947" s="43"/>
      <c r="X2947" s="43"/>
      <c r="Y2947" s="43"/>
      <c r="Z2947" s="43"/>
      <c r="AA2947" s="43"/>
      <c r="AB2947" s="43"/>
      <c r="AC2947" s="43"/>
      <c r="AD2947" s="43"/>
      <c r="AE2947" s="43"/>
      <c r="AF2947" s="43"/>
      <c r="AG2947" s="43"/>
    </row>
    <row r="2948" spans="1:33" ht="22.5">
      <c r="A2948" s="424" t="s">
        <v>874</v>
      </c>
      <c r="B2948" s="424" t="s">
        <v>1248</v>
      </c>
      <c r="C2948" s="424" t="s">
        <v>507</v>
      </c>
      <c r="D2948" s="1598"/>
      <c r="E2948" s="2104" t="s">
        <v>1912</v>
      </c>
      <c r="F2948" s="681">
        <v>2312</v>
      </c>
      <c r="G2948" s="2774" t="s">
        <v>5063</v>
      </c>
      <c r="H2948" s="1041"/>
      <c r="I2948" s="1040"/>
      <c r="J2948" s="1042"/>
      <c r="K2948" s="1036"/>
      <c r="L2948" s="1038"/>
      <c r="M2948" s="3708">
        <v>260</v>
      </c>
      <c r="N2948" s="2847"/>
      <c r="O2948" s="86"/>
      <c r="P2948" s="1817"/>
      <c r="Q2948" s="43"/>
      <c r="R2948" s="43"/>
      <c r="S2948" s="43"/>
      <c r="T2948" s="43"/>
      <c r="U2948" s="43"/>
      <c r="V2948" s="43"/>
      <c r="W2948" s="43"/>
      <c r="X2948" s="43"/>
      <c r="Y2948" s="43"/>
      <c r="Z2948" s="43"/>
      <c r="AA2948" s="43"/>
      <c r="AB2948" s="43"/>
      <c r="AC2948" s="43"/>
      <c r="AD2948" s="43"/>
      <c r="AE2948" s="43"/>
      <c r="AF2948" s="43"/>
      <c r="AG2948" s="43"/>
    </row>
    <row r="2949" spans="1:33" ht="22.5">
      <c r="A2949" s="424" t="s">
        <v>874</v>
      </c>
      <c r="B2949" s="424" t="s">
        <v>1248</v>
      </c>
      <c r="C2949" s="424" t="s">
        <v>507</v>
      </c>
      <c r="D2949" s="1598"/>
      <c r="E2949" s="2104" t="s">
        <v>1912</v>
      </c>
      <c r="F2949" s="681">
        <v>2312</v>
      </c>
      <c r="G2949" s="2774" t="s">
        <v>5064</v>
      </c>
      <c r="H2949" s="1041"/>
      <c r="I2949" s="1040"/>
      <c r="J2949" s="1042"/>
      <c r="K2949" s="1036"/>
      <c r="L2949" s="1038"/>
      <c r="M2949" s="3708">
        <v>210</v>
      </c>
      <c r="N2949" s="2847"/>
      <c r="O2949" s="86"/>
      <c r="P2949" s="1817"/>
      <c r="Q2949" s="43"/>
      <c r="R2949" s="43"/>
      <c r="S2949" s="43"/>
      <c r="T2949" s="43"/>
      <c r="U2949" s="43"/>
      <c r="V2949" s="43"/>
      <c r="W2949" s="43"/>
      <c r="X2949" s="43"/>
      <c r="Y2949" s="43"/>
      <c r="Z2949" s="43"/>
      <c r="AA2949" s="43"/>
      <c r="AB2949" s="43"/>
      <c r="AC2949" s="43"/>
      <c r="AD2949" s="43"/>
      <c r="AE2949" s="43"/>
      <c r="AF2949" s="43"/>
      <c r="AG2949" s="43"/>
    </row>
    <row r="2950" spans="1:33">
      <c r="A2950" s="424" t="s">
        <v>874</v>
      </c>
      <c r="B2950" s="424" t="s">
        <v>1248</v>
      </c>
      <c r="C2950" s="424" t="s">
        <v>507</v>
      </c>
      <c r="D2950" s="1598"/>
      <c r="E2950" s="2104" t="s">
        <v>1912</v>
      </c>
      <c r="F2950" s="681">
        <v>2312</v>
      </c>
      <c r="G2950" s="2774" t="s">
        <v>5065</v>
      </c>
      <c r="H2950" s="1041"/>
      <c r="I2950" s="1040"/>
      <c r="J2950" s="1042"/>
      <c r="K2950" s="1036"/>
      <c r="L2950" s="1038"/>
      <c r="M2950" s="3708">
        <v>300</v>
      </c>
      <c r="N2950" s="2847"/>
      <c r="O2950" s="86"/>
      <c r="P2950" s="1817"/>
      <c r="Q2950" s="43"/>
      <c r="R2950" s="43"/>
      <c r="S2950" s="43"/>
      <c r="T2950" s="43"/>
      <c r="U2950" s="43"/>
      <c r="V2950" s="43"/>
      <c r="W2950" s="43"/>
      <c r="X2950" s="43"/>
      <c r="Y2950" s="43"/>
      <c r="Z2950" s="43"/>
      <c r="AA2950" s="43"/>
      <c r="AB2950" s="43"/>
      <c r="AC2950" s="43"/>
      <c r="AD2950" s="43"/>
      <c r="AE2950" s="43"/>
      <c r="AF2950" s="43"/>
      <c r="AG2950" s="43"/>
    </row>
    <row r="2951" spans="1:33">
      <c r="A2951" s="424" t="s">
        <v>874</v>
      </c>
      <c r="B2951" s="424" t="s">
        <v>1248</v>
      </c>
      <c r="C2951" s="424" t="s">
        <v>507</v>
      </c>
      <c r="D2951" s="1598"/>
      <c r="E2951" s="2104" t="s">
        <v>1912</v>
      </c>
      <c r="F2951" s="681">
        <v>2312</v>
      </c>
      <c r="G2951" s="2774" t="s">
        <v>5066</v>
      </c>
      <c r="H2951" s="1041"/>
      <c r="I2951" s="1040"/>
      <c r="J2951" s="1042"/>
      <c r="K2951" s="1036"/>
      <c r="L2951" s="1038"/>
      <c r="M2951" s="3708">
        <v>135</v>
      </c>
      <c r="N2951" s="2847"/>
      <c r="O2951" s="86"/>
      <c r="P2951" s="1817"/>
      <c r="Q2951" s="43"/>
      <c r="R2951" s="43"/>
      <c r="S2951" s="43"/>
      <c r="T2951" s="43"/>
      <c r="U2951" s="43"/>
      <c r="V2951" s="43"/>
      <c r="W2951" s="43"/>
      <c r="X2951" s="43"/>
      <c r="Y2951" s="43"/>
      <c r="Z2951" s="43"/>
      <c r="AA2951" s="43"/>
      <c r="AB2951" s="43"/>
      <c r="AC2951" s="43"/>
      <c r="AD2951" s="43"/>
      <c r="AE2951" s="43"/>
      <c r="AF2951" s="43"/>
      <c r="AG2951" s="43"/>
    </row>
    <row r="2952" spans="1:33" ht="22.9" customHeight="1">
      <c r="A2952" s="424" t="s">
        <v>874</v>
      </c>
      <c r="B2952" s="424" t="s">
        <v>1248</v>
      </c>
      <c r="C2952" s="424" t="s">
        <v>507</v>
      </c>
      <c r="D2952" s="1598"/>
      <c r="E2952" s="2104" t="s">
        <v>1912</v>
      </c>
      <c r="F2952" s="681">
        <v>2312</v>
      </c>
      <c r="G2952" s="2774" t="s">
        <v>5067</v>
      </c>
      <c r="H2952" s="1041"/>
      <c r="I2952" s="1040"/>
      <c r="J2952" s="1042"/>
      <c r="K2952" s="1036"/>
      <c r="L2952" s="1038"/>
      <c r="M2952" s="3708">
        <v>239</v>
      </c>
      <c r="N2952" s="2847"/>
      <c r="O2952" s="86"/>
      <c r="P2952" s="1817"/>
      <c r="Q2952" s="43"/>
      <c r="R2952" s="43"/>
      <c r="S2952" s="43"/>
      <c r="T2952" s="43"/>
      <c r="U2952" s="43"/>
      <c r="V2952" s="43"/>
      <c r="W2952" s="43"/>
      <c r="X2952" s="43"/>
      <c r="Y2952" s="43"/>
      <c r="Z2952" s="43"/>
      <c r="AA2952" s="43"/>
      <c r="AB2952" s="43"/>
      <c r="AC2952" s="43"/>
      <c r="AD2952" s="43"/>
      <c r="AE2952" s="43"/>
      <c r="AF2952" s="43"/>
      <c r="AG2952" s="43"/>
    </row>
    <row r="2953" spans="1:33" ht="28.15" customHeight="1">
      <c r="A2953" s="424" t="s">
        <v>874</v>
      </c>
      <c r="B2953" s="424" t="s">
        <v>1248</v>
      </c>
      <c r="C2953" s="424" t="s">
        <v>507</v>
      </c>
      <c r="D2953" s="1598"/>
      <c r="E2953" s="2104" t="s">
        <v>1912</v>
      </c>
      <c r="F2953" s="681">
        <v>2312</v>
      </c>
      <c r="G2953" s="2774" t="s">
        <v>5068</v>
      </c>
      <c r="H2953" s="1041"/>
      <c r="I2953" s="1040"/>
      <c r="J2953" s="1042"/>
      <c r="K2953" s="1036"/>
      <c r="L2953" s="1038"/>
      <c r="M2953" s="3708">
        <v>530</v>
      </c>
      <c r="N2953" s="2847"/>
      <c r="O2953" s="86"/>
      <c r="P2953" s="1817"/>
      <c r="Q2953" s="43"/>
      <c r="R2953" s="43"/>
      <c r="S2953" s="43"/>
      <c r="T2953" s="43"/>
      <c r="U2953" s="43"/>
      <c r="V2953" s="43"/>
      <c r="W2953" s="43"/>
      <c r="X2953" s="43"/>
      <c r="Y2953" s="43"/>
      <c r="Z2953" s="43"/>
      <c r="AA2953" s="43"/>
      <c r="AB2953" s="43"/>
      <c r="AC2953" s="43"/>
      <c r="AD2953" s="43"/>
      <c r="AE2953" s="43"/>
      <c r="AF2953" s="43"/>
      <c r="AG2953" s="43"/>
    </row>
    <row r="2954" spans="1:33">
      <c r="A2954" s="424" t="s">
        <v>874</v>
      </c>
      <c r="B2954" s="424" t="s">
        <v>1248</v>
      </c>
      <c r="C2954" s="424" t="s">
        <v>507</v>
      </c>
      <c r="D2954" s="1598"/>
      <c r="E2954" s="2104" t="s">
        <v>1912</v>
      </c>
      <c r="F2954" s="681">
        <v>2312</v>
      </c>
      <c r="G2954" s="2774" t="s">
        <v>5069</v>
      </c>
      <c r="H2954" s="1041"/>
      <c r="I2954" s="1040"/>
      <c r="J2954" s="1042"/>
      <c r="K2954" s="1036"/>
      <c r="L2954" s="1038"/>
      <c r="M2954" s="3708">
        <v>600</v>
      </c>
      <c r="N2954" s="2847"/>
      <c r="O2954" s="86"/>
      <c r="P2954" s="1817"/>
      <c r="Q2954" s="43"/>
      <c r="R2954" s="43"/>
      <c r="S2954" s="43"/>
      <c r="T2954" s="43"/>
      <c r="U2954" s="43"/>
      <c r="V2954" s="43"/>
      <c r="W2954" s="43"/>
      <c r="X2954" s="43"/>
      <c r="Y2954" s="43"/>
      <c r="Z2954" s="43"/>
      <c r="AA2954" s="43"/>
      <c r="AB2954" s="43"/>
      <c r="AC2954" s="43"/>
      <c r="AD2954" s="43"/>
      <c r="AE2954" s="43"/>
      <c r="AF2954" s="43"/>
      <c r="AG2954" s="43"/>
    </row>
    <row r="2955" spans="1:33" ht="22.5">
      <c r="A2955" s="424" t="s">
        <v>874</v>
      </c>
      <c r="B2955" s="424" t="s">
        <v>1248</v>
      </c>
      <c r="C2955" s="424" t="s">
        <v>507</v>
      </c>
      <c r="D2955" s="1598"/>
      <c r="E2955" s="2104" t="s">
        <v>1912</v>
      </c>
      <c r="F2955" s="681">
        <v>2312</v>
      </c>
      <c r="G2955" s="2774" t="s">
        <v>5070</v>
      </c>
      <c r="H2955" s="1041"/>
      <c r="I2955" s="1040"/>
      <c r="J2955" s="1042"/>
      <c r="K2955" s="1036"/>
      <c r="L2955" s="1038"/>
      <c r="M2955" s="3708">
        <v>420</v>
      </c>
      <c r="N2955" s="2847"/>
      <c r="O2955" s="86"/>
      <c r="P2955" s="1817"/>
      <c r="Q2955" s="43"/>
      <c r="R2955" s="43"/>
      <c r="S2955" s="43"/>
      <c r="T2955" s="43"/>
      <c r="U2955" s="43"/>
      <c r="V2955" s="43"/>
      <c r="W2955" s="43"/>
      <c r="X2955" s="43"/>
      <c r="Y2955" s="43"/>
      <c r="Z2955" s="43"/>
      <c r="AA2955" s="43"/>
      <c r="AB2955" s="43"/>
      <c r="AC2955" s="43"/>
      <c r="AD2955" s="43"/>
      <c r="AE2955" s="43"/>
      <c r="AF2955" s="43"/>
      <c r="AG2955" s="43"/>
    </row>
    <row r="2956" spans="1:33" ht="22.5">
      <c r="A2956" s="424" t="s">
        <v>874</v>
      </c>
      <c r="B2956" s="424" t="s">
        <v>1248</v>
      </c>
      <c r="C2956" s="424" t="s">
        <v>507</v>
      </c>
      <c r="D2956" s="1598"/>
      <c r="E2956" s="2104" t="s">
        <v>1912</v>
      </c>
      <c r="F2956" s="681">
        <v>2312</v>
      </c>
      <c r="G2956" s="2774" t="s">
        <v>5071</v>
      </c>
      <c r="H2956" s="1041"/>
      <c r="I2956" s="1040"/>
      <c r="J2956" s="1042"/>
      <c r="K2956" s="1036"/>
      <c r="L2956" s="1038"/>
      <c r="M2956" s="3708">
        <v>380</v>
      </c>
      <c r="N2956" s="2847"/>
      <c r="O2956" s="86"/>
      <c r="P2956" s="1817"/>
      <c r="Q2956" s="43"/>
      <c r="R2956" s="43"/>
      <c r="S2956" s="43"/>
      <c r="T2956" s="43"/>
      <c r="U2956" s="43"/>
      <c r="V2956" s="43"/>
      <c r="W2956" s="43"/>
      <c r="X2956" s="43"/>
      <c r="Y2956" s="43"/>
      <c r="Z2956" s="43"/>
      <c r="AA2956" s="43"/>
      <c r="AB2956" s="43"/>
      <c r="AC2956" s="43"/>
      <c r="AD2956" s="43"/>
      <c r="AE2956" s="43"/>
      <c r="AF2956" s="43"/>
      <c r="AG2956" s="43"/>
    </row>
    <row r="2957" spans="1:33" ht="23.45" customHeight="1">
      <c r="A2957" s="424" t="s">
        <v>874</v>
      </c>
      <c r="B2957" s="424" t="s">
        <v>1248</v>
      </c>
      <c r="C2957" s="424" t="s">
        <v>507</v>
      </c>
      <c r="D2957" s="1598"/>
      <c r="E2957" s="2104" t="s">
        <v>1912</v>
      </c>
      <c r="F2957" s="681">
        <v>2312</v>
      </c>
      <c r="G2957" s="2774" t="s">
        <v>5072</v>
      </c>
      <c r="H2957" s="1041"/>
      <c r="I2957" s="1040"/>
      <c r="J2957" s="1042"/>
      <c r="K2957" s="1036"/>
      <c r="L2957" s="1038"/>
      <c r="M2957" s="3708">
        <v>900</v>
      </c>
      <c r="N2957" s="2847"/>
      <c r="O2957" s="86"/>
      <c r="P2957" s="1817"/>
      <c r="Q2957" s="43"/>
      <c r="R2957" s="43"/>
      <c r="S2957" s="43"/>
      <c r="T2957" s="43"/>
      <c r="U2957" s="43"/>
      <c r="V2957" s="43"/>
      <c r="W2957" s="43"/>
      <c r="X2957" s="43"/>
      <c r="Y2957" s="43"/>
      <c r="Z2957" s="43"/>
      <c r="AA2957" s="43"/>
      <c r="AB2957" s="43"/>
      <c r="AC2957" s="43"/>
      <c r="AD2957" s="43"/>
      <c r="AE2957" s="43"/>
      <c r="AF2957" s="43"/>
      <c r="AG2957" s="43"/>
    </row>
    <row r="2958" spans="1:33">
      <c r="A2958" s="424" t="s">
        <v>874</v>
      </c>
      <c r="B2958" s="424" t="s">
        <v>1248</v>
      </c>
      <c r="C2958" s="424" t="s">
        <v>507</v>
      </c>
      <c r="D2958" s="1598"/>
      <c r="E2958" s="2104" t="s">
        <v>1912</v>
      </c>
      <c r="F2958" s="681">
        <v>2312</v>
      </c>
      <c r="G2958" s="2774" t="s">
        <v>5073</v>
      </c>
      <c r="H2958" s="1041"/>
      <c r="I2958" s="1040"/>
      <c r="J2958" s="1042"/>
      <c r="K2958" s="1036"/>
      <c r="L2958" s="1038"/>
      <c r="M2958" s="3708">
        <v>320</v>
      </c>
      <c r="N2958" s="2847"/>
      <c r="O2958" s="86"/>
      <c r="P2958" s="1817"/>
      <c r="Q2958" s="43"/>
      <c r="R2958" s="43"/>
      <c r="S2958" s="43"/>
      <c r="T2958" s="43"/>
      <c r="U2958" s="43"/>
      <c r="V2958" s="43"/>
      <c r="W2958" s="43"/>
      <c r="X2958" s="43"/>
      <c r="Y2958" s="43"/>
      <c r="Z2958" s="43"/>
      <c r="AA2958" s="43"/>
      <c r="AB2958" s="43"/>
      <c r="AC2958" s="43"/>
      <c r="AD2958" s="43"/>
      <c r="AE2958" s="43"/>
      <c r="AF2958" s="43"/>
      <c r="AG2958" s="43"/>
    </row>
    <row r="2959" spans="1:33" ht="12" customHeight="1">
      <c r="A2959" s="424" t="s">
        <v>874</v>
      </c>
      <c r="B2959" s="424" t="s">
        <v>1248</v>
      </c>
      <c r="C2959" s="424" t="s">
        <v>507</v>
      </c>
      <c r="D2959" s="1598"/>
      <c r="E2959" s="2104" t="s">
        <v>1912</v>
      </c>
      <c r="F2959" s="681">
        <v>2312</v>
      </c>
      <c r="G2959" s="2774" t="s">
        <v>5074</v>
      </c>
      <c r="H2959" s="1041"/>
      <c r="I2959" s="1040"/>
      <c r="J2959" s="1042"/>
      <c r="K2959" s="1036"/>
      <c r="L2959" s="1038"/>
      <c r="M2959" s="3708">
        <v>320</v>
      </c>
      <c r="N2959" s="2847"/>
      <c r="O2959" s="86"/>
      <c r="P2959" s="1817"/>
      <c r="Q2959" s="43"/>
      <c r="R2959" s="43"/>
      <c r="S2959" s="43"/>
      <c r="T2959" s="43"/>
      <c r="U2959" s="43"/>
      <c r="V2959" s="43"/>
      <c r="W2959" s="43"/>
      <c r="X2959" s="43"/>
      <c r="Y2959" s="43"/>
      <c r="Z2959" s="43"/>
      <c r="AA2959" s="43"/>
      <c r="AB2959" s="43"/>
      <c r="AC2959" s="43"/>
      <c r="AD2959" s="43"/>
      <c r="AE2959" s="43"/>
      <c r="AF2959" s="43"/>
      <c r="AG2959" s="43"/>
    </row>
    <row r="2960" spans="1:33" ht="12" customHeight="1">
      <c r="A2960" s="424" t="s">
        <v>874</v>
      </c>
      <c r="B2960" s="424" t="s">
        <v>1248</v>
      </c>
      <c r="C2960" s="424" t="s">
        <v>507</v>
      </c>
      <c r="D2960" s="1598"/>
      <c r="E2960" s="2104" t="s">
        <v>1912</v>
      </c>
      <c r="F2960" s="681">
        <v>2312</v>
      </c>
      <c r="G2960" s="2774" t="s">
        <v>5075</v>
      </c>
      <c r="H2960" s="1041"/>
      <c r="I2960" s="1040"/>
      <c r="J2960" s="1042"/>
      <c r="K2960" s="1036"/>
      <c r="L2960" s="1038"/>
      <c r="M2960" s="3708">
        <v>900</v>
      </c>
      <c r="N2960" s="2847"/>
      <c r="O2960" s="86"/>
      <c r="P2960" s="1817"/>
      <c r="Q2960" s="43"/>
      <c r="R2960" s="43"/>
      <c r="S2960" s="43"/>
      <c r="T2960" s="43"/>
      <c r="U2960" s="43"/>
      <c r="V2960" s="43"/>
      <c r="W2960" s="43"/>
      <c r="X2960" s="43"/>
      <c r="Y2960" s="43"/>
      <c r="Z2960" s="43"/>
      <c r="AA2960" s="43"/>
      <c r="AB2960" s="43"/>
      <c r="AC2960" s="43"/>
      <c r="AD2960" s="43"/>
      <c r="AE2960" s="43"/>
      <c r="AF2960" s="43"/>
      <c r="AG2960" s="43"/>
    </row>
    <row r="2961" spans="1:33" ht="12" customHeight="1">
      <c r="A2961" s="424" t="s">
        <v>874</v>
      </c>
      <c r="B2961" s="424" t="s">
        <v>1248</v>
      </c>
      <c r="C2961" s="424" t="s">
        <v>507</v>
      </c>
      <c r="D2961" s="1598"/>
      <c r="E2961" s="2104" t="s">
        <v>1912</v>
      </c>
      <c r="F2961" s="681">
        <v>2312</v>
      </c>
      <c r="G2961" s="2774" t="s">
        <v>5076</v>
      </c>
      <c r="H2961" s="1041"/>
      <c r="I2961" s="1040"/>
      <c r="J2961" s="1042"/>
      <c r="K2961" s="1036"/>
      <c r="L2961" s="1038"/>
      <c r="M2961" s="3708">
        <v>400</v>
      </c>
      <c r="N2961" s="2847"/>
      <c r="O2961" s="86"/>
      <c r="P2961" s="1817" t="e">
        <f>INDEX(#REF!,MATCH(F2961,#REF!,0),2)</f>
        <v>#REF!</v>
      </c>
      <c r="Q2961" s="43"/>
      <c r="R2961" s="43"/>
      <c r="S2961" s="43"/>
      <c r="T2961" s="43"/>
      <c r="U2961" s="43"/>
      <c r="V2961" s="43"/>
      <c r="W2961" s="43"/>
      <c r="X2961" s="43"/>
      <c r="Y2961" s="43"/>
      <c r="Z2961" s="43"/>
      <c r="AA2961" s="43"/>
      <c r="AB2961" s="43"/>
      <c r="AC2961" s="43"/>
      <c r="AD2961" s="43"/>
      <c r="AE2961" s="43"/>
      <c r="AF2961" s="43"/>
      <c r="AG2961" s="43"/>
    </row>
    <row r="2962" spans="1:33" ht="12" customHeight="1">
      <c r="A2962" s="424" t="s">
        <v>874</v>
      </c>
      <c r="B2962" s="424" t="s">
        <v>1248</v>
      </c>
      <c r="C2962" s="424" t="s">
        <v>507</v>
      </c>
      <c r="D2962" s="1598"/>
      <c r="E2962" s="2104" t="s">
        <v>1912</v>
      </c>
      <c r="F2962" s="681">
        <v>2312</v>
      </c>
      <c r="G2962" s="2774" t="s">
        <v>5077</v>
      </c>
      <c r="H2962" s="1041"/>
      <c r="I2962" s="455">
        <v>136</v>
      </c>
      <c r="J2962" s="1042"/>
      <c r="K2962" s="1036"/>
      <c r="L2962" s="1038"/>
      <c r="M2962" s="3708">
        <v>100</v>
      </c>
      <c r="N2962" s="2847"/>
      <c r="O2962" s="86"/>
      <c r="P2962" s="1817" t="e">
        <f>INDEX(#REF!,MATCH(F2962,#REF!,0),2)</f>
        <v>#REF!</v>
      </c>
      <c r="Q2962" s="43"/>
      <c r="R2962" s="43"/>
      <c r="S2962" s="43"/>
      <c r="T2962" s="43"/>
      <c r="U2962" s="43"/>
      <c r="V2962" s="43"/>
      <c r="W2962" s="43"/>
      <c r="X2962" s="43"/>
      <c r="Y2962" s="43"/>
      <c r="Z2962" s="43"/>
      <c r="AA2962" s="43"/>
      <c r="AB2962" s="43"/>
      <c r="AC2962" s="43"/>
      <c r="AD2962" s="43"/>
      <c r="AE2962" s="43"/>
      <c r="AF2962" s="43"/>
      <c r="AG2962" s="43"/>
    </row>
    <row r="2963" spans="1:33" ht="12" customHeight="1">
      <c r="A2963" s="992"/>
      <c r="B2963" s="424" t="s">
        <v>1248</v>
      </c>
      <c r="C2963" s="424" t="s">
        <v>505</v>
      </c>
      <c r="D2963" s="1598"/>
      <c r="E2963" s="2104" t="s">
        <v>1912</v>
      </c>
      <c r="F2963" s="681">
        <v>2312</v>
      </c>
      <c r="G2963" s="996" t="s">
        <v>1462</v>
      </c>
      <c r="H2963" s="1045"/>
      <c r="I2963" s="1040">
        <v>25</v>
      </c>
      <c r="J2963" s="1035"/>
      <c r="K2963" s="1036"/>
      <c r="L2963" s="1045"/>
      <c r="M2963" s="2462"/>
      <c r="N2963" s="2847"/>
      <c r="O2963" s="86"/>
      <c r="P2963" s="1817" t="e">
        <f>INDEX(#REF!,MATCH(F2963,#REF!,0),2)</f>
        <v>#REF!</v>
      </c>
      <c r="Q2963" s="43"/>
      <c r="R2963" s="43"/>
      <c r="S2963" s="43"/>
      <c r="T2963" s="43"/>
      <c r="U2963" s="43"/>
      <c r="V2963" s="43"/>
      <c r="W2963" s="43"/>
      <c r="X2963" s="43"/>
      <c r="Y2963" s="43"/>
      <c r="Z2963" s="43"/>
      <c r="AA2963" s="43"/>
      <c r="AB2963" s="43"/>
      <c r="AC2963" s="43"/>
      <c r="AD2963" s="43"/>
      <c r="AE2963" s="43"/>
      <c r="AF2963" s="43"/>
      <c r="AG2963" s="43"/>
    </row>
    <row r="2964" spans="1:33" ht="21.6" customHeight="1">
      <c r="A2964" s="1563"/>
      <c r="B2964" s="424" t="s">
        <v>1248</v>
      </c>
      <c r="C2964" s="424" t="s">
        <v>505</v>
      </c>
      <c r="D2964" s="1598"/>
      <c r="E2964" s="2104" t="s">
        <v>1912</v>
      </c>
      <c r="F2964" s="681">
        <v>2312</v>
      </c>
      <c r="G2964" s="1567" t="s">
        <v>2345</v>
      </c>
      <c r="H2964" s="1677"/>
      <c r="I2964" s="1700">
        <v>314.60000000000002</v>
      </c>
      <c r="J2964" s="1675"/>
      <c r="K2964" s="1676"/>
      <c r="L2964" s="1677"/>
      <c r="M2964" s="2463"/>
      <c r="N2964" s="2847"/>
      <c r="O2964" s="86"/>
      <c r="P2964" s="1817" t="e">
        <f>INDEX(#REF!,MATCH(F2964,#REF!,0),2)</f>
        <v>#REF!</v>
      </c>
      <c r="Q2964" s="43"/>
      <c r="R2964" s="43"/>
      <c r="S2964" s="43"/>
      <c r="T2964" s="43"/>
      <c r="U2964" s="43"/>
      <c r="V2964" s="43"/>
      <c r="W2964" s="43"/>
      <c r="X2964" s="43"/>
      <c r="Y2964" s="43"/>
      <c r="Z2964" s="43"/>
      <c r="AA2964" s="43"/>
      <c r="AB2964" s="43"/>
      <c r="AC2964" s="43"/>
      <c r="AD2964" s="43"/>
      <c r="AE2964" s="43"/>
      <c r="AF2964" s="43"/>
      <c r="AG2964" s="43"/>
    </row>
    <row r="2965" spans="1:33" ht="23.45" customHeight="1">
      <c r="A2965" s="1563"/>
      <c r="B2965" s="424" t="s">
        <v>1248</v>
      </c>
      <c r="C2965" s="424" t="s">
        <v>505</v>
      </c>
      <c r="D2965" s="1598"/>
      <c r="E2965" s="2104" t="s">
        <v>1912</v>
      </c>
      <c r="F2965" s="681">
        <v>2312</v>
      </c>
      <c r="G2965" s="1567" t="s">
        <v>2346</v>
      </c>
      <c r="H2965" s="1677"/>
      <c r="I2965" s="1700">
        <v>1800</v>
      </c>
      <c r="J2965" s="1675"/>
      <c r="K2965" s="1676"/>
      <c r="L2965" s="1677"/>
      <c r="M2965" s="2463"/>
      <c r="N2965" s="2847"/>
      <c r="O2965" s="86"/>
      <c r="P2965" s="1817" t="e">
        <f>INDEX(#REF!,MATCH(F2965,#REF!,0),2)</f>
        <v>#REF!</v>
      </c>
      <c r="Q2965" s="43"/>
      <c r="R2965" s="43"/>
      <c r="S2965" s="43"/>
      <c r="T2965" s="43"/>
      <c r="U2965" s="43"/>
      <c r="V2965" s="43"/>
      <c r="W2965" s="43"/>
      <c r="X2965" s="43"/>
      <c r="Y2965" s="43"/>
      <c r="Z2965" s="43"/>
      <c r="AA2965" s="43"/>
      <c r="AB2965" s="43"/>
      <c r="AC2965" s="43"/>
      <c r="AD2965" s="43"/>
      <c r="AE2965" s="43"/>
      <c r="AF2965" s="43"/>
      <c r="AG2965" s="43"/>
    </row>
    <row r="2966" spans="1:33" ht="12" customHeight="1">
      <c r="A2966" s="1563"/>
      <c r="B2966" s="424" t="s">
        <v>1248</v>
      </c>
      <c r="C2966" s="424" t="s">
        <v>505</v>
      </c>
      <c r="D2966" s="1598"/>
      <c r="E2966" s="2104" t="s">
        <v>1912</v>
      </c>
      <c r="F2966" s="681">
        <v>2312</v>
      </c>
      <c r="G2966" s="1567" t="s">
        <v>2347</v>
      </c>
      <c r="H2966" s="1677"/>
      <c r="I2966" s="1700">
        <v>192</v>
      </c>
      <c r="J2966" s="1675"/>
      <c r="K2966" s="1676"/>
      <c r="L2966" s="1677"/>
      <c r="M2966" s="2463"/>
      <c r="N2966" s="2847"/>
      <c r="O2966" s="86"/>
      <c r="P2966" s="1817" t="e">
        <f>INDEX(#REF!,MATCH(F2966,#REF!,0),2)</f>
        <v>#REF!</v>
      </c>
      <c r="Q2966" s="43"/>
      <c r="R2966" s="43"/>
      <c r="S2966" s="43"/>
      <c r="T2966" s="43"/>
      <c r="U2966" s="43"/>
      <c r="V2966" s="43"/>
      <c r="W2966" s="43"/>
      <c r="X2966" s="43"/>
      <c r="Y2966" s="43"/>
      <c r="Z2966" s="43"/>
      <c r="AA2966" s="43"/>
      <c r="AB2966" s="43"/>
      <c r="AC2966" s="43"/>
      <c r="AD2966" s="43"/>
      <c r="AE2966" s="43"/>
      <c r="AF2966" s="43"/>
      <c r="AG2966" s="43"/>
    </row>
    <row r="2967" spans="1:33" ht="12" customHeight="1">
      <c r="A2967" s="1563"/>
      <c r="B2967" s="424" t="s">
        <v>1248</v>
      </c>
      <c r="C2967" s="424" t="s">
        <v>505</v>
      </c>
      <c r="D2967" s="1598"/>
      <c r="E2967" s="2104" t="s">
        <v>1912</v>
      </c>
      <c r="F2967" s="681">
        <v>2312</v>
      </c>
      <c r="G2967" s="1567" t="s">
        <v>2348</v>
      </c>
      <c r="H2967" s="1677"/>
      <c r="I2967" s="1700">
        <v>120</v>
      </c>
      <c r="J2967" s="1675"/>
      <c r="K2967" s="1676"/>
      <c r="L2967" s="1677"/>
      <c r="M2967" s="2463"/>
      <c r="N2967" s="2847"/>
      <c r="O2967" s="86"/>
      <c r="P2967" s="1817" t="e">
        <f>INDEX(#REF!,MATCH(F2967,#REF!,0),2)</f>
        <v>#REF!</v>
      </c>
      <c r="Q2967" s="43"/>
      <c r="R2967" s="43"/>
      <c r="S2967" s="43"/>
      <c r="T2967" s="43"/>
      <c r="U2967" s="43"/>
      <c r="V2967" s="43"/>
      <c r="W2967" s="43"/>
      <c r="X2967" s="43"/>
      <c r="Y2967" s="43"/>
      <c r="Z2967" s="43"/>
      <c r="AA2967" s="43"/>
      <c r="AB2967" s="43"/>
      <c r="AC2967" s="43"/>
      <c r="AD2967" s="43"/>
      <c r="AE2967" s="43"/>
      <c r="AF2967" s="43"/>
      <c r="AG2967" s="43"/>
    </row>
    <row r="2968" spans="1:33" ht="12" customHeight="1">
      <c r="A2968" s="1563"/>
      <c r="B2968" s="424" t="s">
        <v>1248</v>
      </c>
      <c r="C2968" s="424" t="s">
        <v>505</v>
      </c>
      <c r="D2968" s="1598"/>
      <c r="E2968" s="2104" t="s">
        <v>1912</v>
      </c>
      <c r="F2968" s="681">
        <v>2312</v>
      </c>
      <c r="G2968" s="1567" t="s">
        <v>2349</v>
      </c>
      <c r="H2968" s="1677"/>
      <c r="I2968" s="1700">
        <v>1000</v>
      </c>
      <c r="J2968" s="1675"/>
      <c r="K2968" s="1676"/>
      <c r="L2968" s="1677"/>
      <c r="M2968" s="2463"/>
      <c r="N2968" s="2847"/>
      <c r="O2968" s="86"/>
      <c r="P2968" s="1817" t="e">
        <f>INDEX(#REF!,MATCH(F2968,#REF!,0),2)</f>
        <v>#REF!</v>
      </c>
      <c r="Q2968" s="43"/>
      <c r="R2968" s="43"/>
      <c r="S2968" s="43"/>
      <c r="T2968" s="43"/>
      <c r="U2968" s="43"/>
      <c r="V2968" s="43"/>
      <c r="W2968" s="43"/>
      <c r="X2968" s="43"/>
      <c r="Y2968" s="43"/>
      <c r="Z2968" s="43"/>
      <c r="AA2968" s="43"/>
      <c r="AB2968" s="43"/>
      <c r="AC2968" s="43"/>
      <c r="AD2968" s="43"/>
      <c r="AE2968" s="43"/>
      <c r="AF2968" s="43"/>
      <c r="AG2968" s="43"/>
    </row>
    <row r="2969" spans="1:33" ht="12" customHeight="1">
      <c r="A2969" s="1563"/>
      <c r="B2969" s="424" t="s">
        <v>1248</v>
      </c>
      <c r="C2969" s="424" t="s">
        <v>505</v>
      </c>
      <c r="D2969" s="1598"/>
      <c r="E2969" s="2104" t="s">
        <v>1912</v>
      </c>
      <c r="F2969" s="681">
        <v>2312</v>
      </c>
      <c r="G2969" s="1567" t="s">
        <v>2350</v>
      </c>
      <c r="H2969" s="1677"/>
      <c r="I2969" s="1700">
        <v>192.46</v>
      </c>
      <c r="J2969" s="1675"/>
      <c r="K2969" s="1676"/>
      <c r="L2969" s="1677"/>
      <c r="M2969" s="2463"/>
      <c r="N2969" s="2847"/>
      <c r="O2969" s="86"/>
      <c r="P2969" s="1817" t="e">
        <f>INDEX(#REF!,MATCH(F2969,#REF!,0),2)</f>
        <v>#REF!</v>
      </c>
      <c r="Q2969" s="43"/>
      <c r="R2969" s="43"/>
      <c r="S2969" s="43"/>
      <c r="T2969" s="43"/>
      <c r="U2969" s="43"/>
      <c r="V2969" s="43"/>
      <c r="W2969" s="43"/>
      <c r="X2969" s="43"/>
      <c r="Y2969" s="43"/>
      <c r="Z2969" s="43"/>
      <c r="AA2969" s="43"/>
      <c r="AB2969" s="43"/>
      <c r="AC2969" s="43"/>
      <c r="AD2969" s="43"/>
      <c r="AE2969" s="43"/>
      <c r="AF2969" s="43"/>
      <c r="AG2969" s="43"/>
    </row>
    <row r="2970" spans="1:33" ht="12" customHeight="1">
      <c r="A2970" s="1563"/>
      <c r="B2970" s="424" t="s">
        <v>1248</v>
      </c>
      <c r="C2970" s="424" t="s">
        <v>505</v>
      </c>
      <c r="D2970" s="1598"/>
      <c r="E2970" s="2104" t="s">
        <v>1912</v>
      </c>
      <c r="F2970" s="681">
        <v>2312</v>
      </c>
      <c r="G2970" s="1567" t="s">
        <v>2351</v>
      </c>
      <c r="H2970" s="1677"/>
      <c r="I2970" s="1700">
        <v>184</v>
      </c>
      <c r="J2970" s="1675"/>
      <c r="K2970" s="1676"/>
      <c r="L2970" s="1677"/>
      <c r="M2970" s="2463"/>
      <c r="N2970" s="2847"/>
      <c r="O2970" s="86"/>
      <c r="P2970" s="1817" t="e">
        <f>INDEX(#REF!,MATCH(F2970,#REF!,0),2)</f>
        <v>#REF!</v>
      </c>
      <c r="Q2970" s="43"/>
      <c r="R2970" s="43"/>
      <c r="S2970" s="43"/>
      <c r="T2970" s="43"/>
      <c r="U2970" s="43"/>
      <c r="V2970" s="43"/>
      <c r="W2970" s="43"/>
      <c r="X2970" s="43"/>
      <c r="Y2970" s="43"/>
      <c r="Z2970" s="43"/>
      <c r="AA2970" s="43"/>
      <c r="AB2970" s="43"/>
      <c r="AC2970" s="43"/>
      <c r="AD2970" s="43"/>
      <c r="AE2970" s="43"/>
      <c r="AF2970" s="43"/>
      <c r="AG2970" s="43"/>
    </row>
    <row r="2971" spans="1:33" ht="10.5" customHeight="1">
      <c r="A2971" s="1563"/>
      <c r="B2971" s="424" t="s">
        <v>1248</v>
      </c>
      <c r="C2971" s="424" t="s">
        <v>505</v>
      </c>
      <c r="D2971" s="1598"/>
      <c r="E2971" s="2104" t="s">
        <v>1912</v>
      </c>
      <c r="F2971" s="681">
        <v>2312</v>
      </c>
      <c r="G2971" s="1567" t="s">
        <v>2352</v>
      </c>
      <c r="H2971" s="1677"/>
      <c r="I2971" s="1700">
        <v>95</v>
      </c>
      <c r="J2971" s="1675"/>
      <c r="K2971" s="1676"/>
      <c r="L2971" s="1677"/>
      <c r="M2971" s="2463"/>
      <c r="N2971" s="2847"/>
      <c r="O2971" s="86"/>
      <c r="P2971" s="1817" t="e">
        <f>INDEX(#REF!,MATCH(F2971,#REF!,0),2)</f>
        <v>#REF!</v>
      </c>
      <c r="Q2971" s="43"/>
      <c r="R2971" s="43"/>
      <c r="S2971" s="43"/>
      <c r="T2971" s="43"/>
      <c r="U2971" s="43"/>
      <c r="V2971" s="43"/>
      <c r="W2971" s="43"/>
      <c r="X2971" s="43"/>
      <c r="Y2971" s="43"/>
      <c r="Z2971" s="43"/>
      <c r="AA2971" s="43"/>
      <c r="AB2971" s="43"/>
      <c r="AC2971" s="43"/>
      <c r="AD2971" s="43"/>
      <c r="AE2971" s="43"/>
      <c r="AF2971" s="43"/>
      <c r="AG2971" s="43"/>
    </row>
    <row r="2972" spans="1:33" ht="15" customHeight="1">
      <c r="A2972" s="1563"/>
      <c r="B2972" s="424" t="s">
        <v>1248</v>
      </c>
      <c r="C2972" s="424" t="s">
        <v>505</v>
      </c>
      <c r="D2972" s="1598"/>
      <c r="E2972" s="2104" t="s">
        <v>1912</v>
      </c>
      <c r="F2972" s="681">
        <v>2312</v>
      </c>
      <c r="G2972" s="1567" t="s">
        <v>2353</v>
      </c>
      <c r="H2972" s="1677"/>
      <c r="I2972" s="1700">
        <v>536</v>
      </c>
      <c r="J2972" s="1675"/>
      <c r="K2972" s="1676"/>
      <c r="L2972" s="1677"/>
      <c r="M2972" s="2463"/>
      <c r="N2972" s="2847"/>
      <c r="O2972" s="86"/>
      <c r="P2972" s="1817"/>
      <c r="Q2972" s="43"/>
      <c r="R2972" s="43"/>
      <c r="S2972" s="43"/>
      <c r="T2972" s="43"/>
      <c r="U2972" s="43"/>
      <c r="V2972" s="43"/>
      <c r="W2972" s="43"/>
      <c r="X2972" s="43"/>
      <c r="Y2972" s="43"/>
      <c r="Z2972" s="43"/>
      <c r="AA2972" s="43"/>
      <c r="AB2972" s="43"/>
      <c r="AC2972" s="43"/>
      <c r="AD2972" s="43"/>
      <c r="AE2972" s="43"/>
      <c r="AF2972" s="43"/>
      <c r="AG2972" s="43"/>
    </row>
    <row r="2973" spans="1:33" ht="27.6" customHeight="1">
      <c r="A2973" s="992"/>
      <c r="B2973" s="424" t="s">
        <v>1248</v>
      </c>
      <c r="C2973" s="424" t="s">
        <v>505</v>
      </c>
      <c r="D2973" s="1598"/>
      <c r="E2973" s="2104" t="s">
        <v>1912</v>
      </c>
      <c r="F2973" s="681">
        <v>2312</v>
      </c>
      <c r="G2973" s="996" t="s">
        <v>2354</v>
      </c>
      <c r="H2973" s="1045"/>
      <c r="I2973" s="1040">
        <v>1990</v>
      </c>
      <c r="J2973" s="1035"/>
      <c r="K2973" s="1036"/>
      <c r="L2973" s="1045"/>
      <c r="M2973" s="2462"/>
      <c r="N2973" s="2847"/>
      <c r="O2973" s="86"/>
      <c r="P2973" s="1817" t="e">
        <f>INDEX(#REF!,MATCH(F2973,#REF!,0),2)</f>
        <v>#REF!</v>
      </c>
      <c r="Q2973" s="43"/>
      <c r="R2973" s="43"/>
      <c r="S2973" s="43"/>
      <c r="T2973" s="43"/>
      <c r="U2973" s="43"/>
      <c r="V2973" s="43"/>
      <c r="W2973" s="43"/>
      <c r="X2973" s="43"/>
      <c r="Y2973" s="43"/>
      <c r="Z2973" s="43"/>
      <c r="AA2973" s="43"/>
      <c r="AB2973" s="43"/>
      <c r="AC2973" s="43"/>
      <c r="AD2973" s="43"/>
      <c r="AE2973" s="43"/>
      <c r="AF2973" s="43"/>
      <c r="AG2973" s="43"/>
    </row>
    <row r="2974" spans="1:33" ht="27.6" customHeight="1">
      <c r="A2974" s="4200"/>
      <c r="B2974" s="424" t="s">
        <v>1248</v>
      </c>
      <c r="C2974" s="424" t="s">
        <v>505</v>
      </c>
      <c r="D2974" s="1598"/>
      <c r="E2974" s="2104" t="s">
        <v>1912</v>
      </c>
      <c r="F2974" s="681">
        <v>2312</v>
      </c>
      <c r="G2974" s="4178" t="s">
        <v>1180</v>
      </c>
      <c r="H2974" s="3701"/>
      <c r="I2974" s="4358">
        <v>2700</v>
      </c>
      <c r="J2974" s="3669"/>
      <c r="K2974" s="3670"/>
      <c r="L2974" s="3701"/>
      <c r="M2974" s="4373"/>
      <c r="N2974" s="2847"/>
      <c r="O2974" s="86"/>
      <c r="P2974" s="1817" t="e">
        <f>INDEX(#REF!,MATCH(F2974,#REF!,0),2)</f>
        <v>#REF!</v>
      </c>
      <c r="Q2974" s="43"/>
      <c r="R2974" s="43"/>
      <c r="S2974" s="43"/>
      <c r="T2974" s="43"/>
      <c r="U2974" s="43"/>
      <c r="V2974" s="43"/>
      <c r="W2974" s="43"/>
      <c r="X2974" s="43"/>
      <c r="Y2974" s="43"/>
      <c r="Z2974" s="43"/>
      <c r="AA2974" s="43"/>
      <c r="AB2974" s="43"/>
      <c r="AC2974" s="43"/>
      <c r="AD2974" s="43"/>
      <c r="AE2974" s="43"/>
      <c r="AF2974" s="43"/>
      <c r="AG2974" s="43"/>
    </row>
    <row r="2975" spans="1:33" ht="27.6" customHeight="1">
      <c r="A2975" s="634"/>
      <c r="B2975" s="634" t="s">
        <v>1248</v>
      </c>
      <c r="C2975" s="634" t="s">
        <v>665</v>
      </c>
      <c r="D2975" s="1597">
        <v>950</v>
      </c>
      <c r="E2975" s="2093" t="s">
        <v>1912</v>
      </c>
      <c r="F2975" s="635">
        <v>2312</v>
      </c>
      <c r="G2975" s="432" t="s">
        <v>249</v>
      </c>
      <c r="H2975" s="641">
        <v>3778.5</v>
      </c>
      <c r="I2975" s="1683"/>
      <c r="J2975" s="628"/>
      <c r="K2975" s="629"/>
      <c r="L2975" s="641">
        <v>10000</v>
      </c>
      <c r="M2975" s="642"/>
      <c r="N2975" s="2847"/>
      <c r="O2975" s="86"/>
      <c r="P2975" s="1817"/>
      <c r="Q2975" s="43"/>
      <c r="R2975" s="43"/>
      <c r="S2975" s="43"/>
      <c r="T2975" s="43"/>
      <c r="U2975" s="43"/>
      <c r="V2975" s="43"/>
      <c r="W2975" s="43"/>
      <c r="X2975" s="43"/>
      <c r="Y2975" s="43"/>
      <c r="Z2975" s="43"/>
      <c r="AA2975" s="43"/>
      <c r="AB2975" s="43"/>
      <c r="AC2975" s="43"/>
      <c r="AD2975" s="43"/>
      <c r="AE2975" s="43"/>
      <c r="AF2975" s="43"/>
      <c r="AG2975" s="43"/>
    </row>
    <row r="2976" spans="1:33">
      <c r="A2976" s="424"/>
      <c r="B2976" s="424" t="s">
        <v>1248</v>
      </c>
      <c r="C2976" s="424" t="s">
        <v>665</v>
      </c>
      <c r="D2976" s="1598"/>
      <c r="E2976" s="2104" t="s">
        <v>1912</v>
      </c>
      <c r="F2976" s="438">
        <v>2312</v>
      </c>
      <c r="G2976" s="1705" t="s">
        <v>2355</v>
      </c>
      <c r="H2976" s="1045"/>
      <c r="I2976" s="1040">
        <v>3000</v>
      </c>
      <c r="J2976" s="1035"/>
      <c r="K2976" s="1036"/>
      <c r="L2976" s="1045"/>
      <c r="M2976" s="3673">
        <v>3000</v>
      </c>
      <c r="N2976" s="2847"/>
      <c r="O2976" s="86"/>
      <c r="P2976" s="1817"/>
      <c r="Q2976" s="43"/>
      <c r="R2976" s="43"/>
      <c r="S2976" s="43"/>
      <c r="T2976" s="43"/>
      <c r="U2976" s="43"/>
      <c r="V2976" s="43"/>
      <c r="W2976" s="43"/>
      <c r="X2976" s="43"/>
      <c r="Y2976" s="43"/>
      <c r="Z2976" s="43"/>
      <c r="AA2976" s="43"/>
      <c r="AB2976" s="43"/>
      <c r="AC2976" s="43"/>
      <c r="AD2976" s="43"/>
      <c r="AE2976" s="43"/>
      <c r="AF2976" s="43"/>
      <c r="AG2976" s="43"/>
    </row>
    <row r="2977" spans="1:33" ht="22.5">
      <c r="A2977" s="2790"/>
      <c r="B2977" s="424" t="s">
        <v>1248</v>
      </c>
      <c r="C2977" s="424" t="s">
        <v>665</v>
      </c>
      <c r="D2977" s="1598"/>
      <c r="E2977" s="2104" t="s">
        <v>1912</v>
      </c>
      <c r="F2977" s="438">
        <v>2312</v>
      </c>
      <c r="G2977" s="2761" t="s">
        <v>5080</v>
      </c>
      <c r="H2977" s="3701"/>
      <c r="I2977" s="3679"/>
      <c r="J2977" s="3669"/>
      <c r="K2977" s="3670"/>
      <c r="L2977" s="3701"/>
      <c r="M2977" s="3588">
        <v>2500</v>
      </c>
      <c r="N2977" s="2846" t="s">
        <v>5081</v>
      </c>
      <c r="O2977" s="86"/>
      <c r="P2977" s="1817"/>
      <c r="Q2977" s="43"/>
      <c r="R2977" s="43"/>
      <c r="S2977" s="43"/>
      <c r="T2977" s="43"/>
      <c r="U2977" s="43"/>
      <c r="V2977" s="43"/>
      <c r="W2977" s="43"/>
      <c r="X2977" s="43"/>
      <c r="Y2977" s="43"/>
      <c r="Z2977" s="43"/>
      <c r="AA2977" s="43"/>
      <c r="AB2977" s="43"/>
      <c r="AC2977" s="43"/>
      <c r="AD2977" s="43"/>
      <c r="AE2977" s="43"/>
      <c r="AF2977" s="43"/>
      <c r="AG2977" s="43"/>
    </row>
    <row r="2978" spans="1:33" ht="22.5">
      <c r="A2978" s="2790"/>
      <c r="B2978" s="424" t="s">
        <v>1248</v>
      </c>
      <c r="C2978" s="424" t="s">
        <v>665</v>
      </c>
      <c r="D2978" s="1598"/>
      <c r="E2978" s="2104" t="s">
        <v>1912</v>
      </c>
      <c r="F2978" s="438">
        <v>2312</v>
      </c>
      <c r="G2978" s="2761" t="s">
        <v>5082</v>
      </c>
      <c r="H2978" s="3701"/>
      <c r="I2978" s="3679"/>
      <c r="J2978" s="3669"/>
      <c r="K2978" s="3670"/>
      <c r="L2978" s="3701"/>
      <c r="M2978" s="4305">
        <v>3500</v>
      </c>
      <c r="N2978" s="2846" t="s">
        <v>6037</v>
      </c>
      <c r="O2978" s="86"/>
      <c r="P2978" s="1817" t="e">
        <f>INDEX(#REF!,MATCH(F2978,#REF!,0),2)</f>
        <v>#REF!</v>
      </c>
      <c r="Q2978" s="43"/>
      <c r="R2978" s="43"/>
      <c r="S2978" s="43"/>
      <c r="T2978" s="43"/>
      <c r="U2978" s="43"/>
      <c r="V2978" s="43"/>
      <c r="W2978" s="43"/>
      <c r="X2978" s="43"/>
      <c r="Y2978" s="43"/>
      <c r="Z2978" s="43"/>
      <c r="AA2978" s="43"/>
      <c r="AB2978" s="43"/>
      <c r="AC2978" s="43"/>
      <c r="AD2978" s="43"/>
      <c r="AE2978" s="43"/>
      <c r="AF2978" s="43"/>
      <c r="AG2978" s="43"/>
    </row>
    <row r="2979" spans="1:33" ht="22.5">
      <c r="A2979" s="2790"/>
      <c r="B2979" s="424" t="s">
        <v>1248</v>
      </c>
      <c r="C2979" s="424" t="s">
        <v>665</v>
      </c>
      <c r="D2979" s="1598"/>
      <c r="E2979" s="2104" t="s">
        <v>1912</v>
      </c>
      <c r="F2979" s="438">
        <v>2312</v>
      </c>
      <c r="G2979" s="2774" t="s">
        <v>5122</v>
      </c>
      <c r="H2979" s="3701"/>
      <c r="I2979" s="3679"/>
      <c r="J2979" s="3669"/>
      <c r="K2979" s="3670"/>
      <c r="L2979" s="3701"/>
      <c r="M2979" s="4305">
        <v>1000</v>
      </c>
      <c r="N2979" s="2396" t="s">
        <v>6038</v>
      </c>
      <c r="O2979" s="86"/>
      <c r="P2979" s="1817" t="e">
        <f>INDEX(#REF!,MATCH(F2979,#REF!,0),2)</f>
        <v>#REF!</v>
      </c>
      <c r="Q2979" s="43"/>
      <c r="R2979" s="43"/>
      <c r="S2979" s="43"/>
      <c r="T2979" s="43"/>
      <c r="U2979" s="43"/>
      <c r="V2979" s="43"/>
      <c r="W2979" s="43"/>
      <c r="X2979" s="43"/>
      <c r="Y2979" s="43"/>
      <c r="Z2979" s="43"/>
      <c r="AA2979" s="43"/>
      <c r="AB2979" s="43"/>
      <c r="AC2979" s="43"/>
      <c r="AD2979" s="43"/>
      <c r="AE2979" s="43"/>
      <c r="AF2979" s="43"/>
      <c r="AG2979" s="43"/>
    </row>
    <row r="2980" spans="1:33" ht="10.5" customHeight="1">
      <c r="A2980" s="424"/>
      <c r="B2980" s="424" t="s">
        <v>1248</v>
      </c>
      <c r="C2980" s="424" t="s">
        <v>665</v>
      </c>
      <c r="D2980" s="1598"/>
      <c r="E2980" s="2104" t="s">
        <v>1912</v>
      </c>
      <c r="F2980" s="438">
        <v>2312</v>
      </c>
      <c r="G2980" s="1705" t="s">
        <v>2357</v>
      </c>
      <c r="H2980" s="491"/>
      <c r="I2980" s="1695"/>
      <c r="J2980" s="496"/>
      <c r="K2980" s="492"/>
      <c r="L2980" s="491"/>
      <c r="M2980" s="1516"/>
      <c r="N2980" s="2847"/>
      <c r="O2980" s="86"/>
      <c r="P2980" s="1817" t="e">
        <f>INDEX(#REF!,MATCH(F2980,#REF!,0),2)</f>
        <v>#REF!</v>
      </c>
      <c r="Q2980" s="43"/>
      <c r="R2980" s="43"/>
      <c r="S2980" s="43"/>
      <c r="T2980" s="43"/>
      <c r="U2980" s="43"/>
      <c r="V2980" s="43"/>
      <c r="W2980" s="43"/>
      <c r="X2980" s="43"/>
      <c r="Y2980" s="43"/>
      <c r="Z2980" s="43"/>
      <c r="AA2980" s="43"/>
      <c r="AB2980" s="43"/>
      <c r="AC2980" s="43"/>
      <c r="AD2980" s="43"/>
      <c r="AE2980" s="43"/>
      <c r="AF2980" s="43"/>
      <c r="AG2980" s="43"/>
    </row>
    <row r="2981" spans="1:33" ht="22.5">
      <c r="A2981" s="992"/>
      <c r="B2981" s="424" t="s">
        <v>1248</v>
      </c>
      <c r="C2981" s="424" t="s">
        <v>665</v>
      </c>
      <c r="D2981" s="1620"/>
      <c r="E2981" s="2104" t="s">
        <v>1912</v>
      </c>
      <c r="F2981" s="438">
        <v>2312</v>
      </c>
      <c r="G2981" s="1713" t="s">
        <v>2358</v>
      </c>
      <c r="H2981" s="1045"/>
      <c r="I2981" s="1693">
        <v>30</v>
      </c>
      <c r="J2981" s="1035"/>
      <c r="K2981" s="1036"/>
      <c r="L2981" s="1045"/>
      <c r="M2981" s="3739"/>
      <c r="N2981" s="2847"/>
      <c r="O2981" s="86"/>
      <c r="P2981" s="1817" t="e">
        <f>INDEX(#REF!,MATCH(F2981,#REF!,0),2)</f>
        <v>#REF!</v>
      </c>
      <c r="Q2981" s="43"/>
      <c r="R2981" s="43"/>
      <c r="S2981" s="43"/>
      <c r="T2981" s="43"/>
      <c r="U2981" s="43"/>
      <c r="V2981" s="43"/>
      <c r="W2981" s="43"/>
      <c r="X2981" s="43"/>
      <c r="Y2981" s="43"/>
      <c r="Z2981" s="43"/>
      <c r="AA2981" s="43"/>
      <c r="AB2981" s="43"/>
      <c r="AC2981" s="43"/>
      <c r="AD2981" s="43"/>
      <c r="AE2981" s="43"/>
      <c r="AF2981" s="43"/>
      <c r="AG2981" s="43"/>
    </row>
    <row r="2982" spans="1:33" ht="22.5">
      <c r="A2982" s="992"/>
      <c r="B2982" s="424" t="s">
        <v>1248</v>
      </c>
      <c r="C2982" s="424" t="s">
        <v>665</v>
      </c>
      <c r="D2982" s="1620"/>
      <c r="E2982" s="2104" t="s">
        <v>1912</v>
      </c>
      <c r="F2982" s="438">
        <v>2312</v>
      </c>
      <c r="G2982" s="1713" t="s">
        <v>2359</v>
      </c>
      <c r="H2982" s="1045"/>
      <c r="I2982" s="1693">
        <v>198.5</v>
      </c>
      <c r="J2982" s="1035"/>
      <c r="K2982" s="1036"/>
      <c r="L2982" s="1045"/>
      <c r="M2982" s="3739"/>
      <c r="N2982" s="2847"/>
      <c r="O2982" s="86"/>
      <c r="P2982" s="1817" t="e">
        <f>INDEX(#REF!,MATCH(F2982,#REF!,0),2)</f>
        <v>#REF!</v>
      </c>
      <c r="Q2982" s="43"/>
      <c r="R2982" s="43"/>
      <c r="S2982" s="43"/>
      <c r="T2982" s="43"/>
      <c r="U2982" s="43"/>
      <c r="V2982" s="43"/>
      <c r="W2982" s="43"/>
      <c r="X2982" s="43"/>
      <c r="Y2982" s="43"/>
      <c r="Z2982" s="43"/>
      <c r="AA2982" s="43"/>
      <c r="AB2982" s="43"/>
      <c r="AC2982" s="43"/>
      <c r="AD2982" s="43"/>
      <c r="AE2982" s="43"/>
      <c r="AF2982" s="43"/>
      <c r="AG2982" s="43"/>
    </row>
    <row r="2983" spans="1:33" ht="22.5">
      <c r="A2983" s="992"/>
      <c r="B2983" s="424" t="s">
        <v>1248</v>
      </c>
      <c r="C2983" s="424" t="s">
        <v>665</v>
      </c>
      <c r="D2983" s="1620"/>
      <c r="E2983" s="2104" t="s">
        <v>1912</v>
      </c>
      <c r="F2983" s="438">
        <v>2312</v>
      </c>
      <c r="G2983" s="1713" t="s">
        <v>2364</v>
      </c>
      <c r="H2983" s="1045"/>
      <c r="I2983" s="1693">
        <v>550</v>
      </c>
      <c r="J2983" s="1035"/>
      <c r="K2983" s="1036"/>
      <c r="L2983" s="1045"/>
      <c r="M2983" s="3700"/>
      <c r="N2983" s="2847"/>
      <c r="O2983" s="86"/>
      <c r="P2983" s="1817"/>
      <c r="Q2983" s="43"/>
      <c r="R2983" s="43"/>
      <c r="S2983" s="43"/>
      <c r="T2983" s="43"/>
      <c r="U2983" s="43"/>
      <c r="V2983" s="43"/>
      <c r="W2983" s="43"/>
      <c r="X2983" s="43"/>
      <c r="Y2983" s="43"/>
      <c r="Z2983" s="43"/>
      <c r="AA2983" s="43"/>
      <c r="AB2983" s="43"/>
      <c r="AC2983" s="43"/>
      <c r="AD2983" s="43"/>
      <c r="AE2983" s="43"/>
      <c r="AF2983" s="43"/>
      <c r="AG2983" s="43"/>
    </row>
    <row r="2984" spans="1:33" ht="25.15" customHeight="1">
      <c r="A2984" s="634"/>
      <c r="B2984" s="634" t="s">
        <v>1249</v>
      </c>
      <c r="C2984" s="634" t="s">
        <v>570</v>
      </c>
      <c r="D2984" s="1597">
        <v>950</v>
      </c>
      <c r="E2984" s="2093" t="s">
        <v>1912</v>
      </c>
      <c r="F2984" s="635">
        <v>2312</v>
      </c>
      <c r="G2984" s="432" t="s">
        <v>249</v>
      </c>
      <c r="H2984" s="641">
        <v>300</v>
      </c>
      <c r="I2984" s="1683"/>
      <c r="J2984" s="628"/>
      <c r="K2984" s="629"/>
      <c r="L2984" s="641">
        <v>56000</v>
      </c>
      <c r="M2984" s="3712"/>
      <c r="N2984" s="2847"/>
      <c r="O2984" s="86"/>
      <c r="P2984" s="1817"/>
      <c r="Q2984" s="43"/>
      <c r="R2984" s="43"/>
      <c r="S2984" s="43"/>
      <c r="T2984" s="43"/>
      <c r="U2984" s="43"/>
      <c r="V2984" s="43"/>
      <c r="W2984" s="43"/>
      <c r="X2984" s="43"/>
      <c r="Y2984" s="43"/>
      <c r="Z2984" s="43"/>
      <c r="AA2984" s="43"/>
      <c r="AB2984" s="43"/>
      <c r="AC2984" s="43"/>
      <c r="AD2984" s="43"/>
      <c r="AE2984" s="43"/>
      <c r="AF2984" s="43"/>
      <c r="AG2984" s="43"/>
    </row>
    <row r="2985" spans="1:33" ht="22.5">
      <c r="A2985" s="992"/>
      <c r="B2985" s="424" t="s">
        <v>1249</v>
      </c>
      <c r="C2985" s="424" t="s">
        <v>570</v>
      </c>
      <c r="D2985" s="1620"/>
      <c r="E2985" s="2104" t="s">
        <v>1912</v>
      </c>
      <c r="F2985" s="438">
        <v>2312</v>
      </c>
      <c r="G2985" s="3742" t="s">
        <v>2356</v>
      </c>
      <c r="H2985" s="1045"/>
      <c r="I2985" s="1693"/>
      <c r="J2985" s="1035"/>
      <c r="K2985" s="1036"/>
      <c r="L2985" s="1045"/>
      <c r="M2985" s="3700">
        <v>20000</v>
      </c>
      <c r="N2985" s="2847" t="s">
        <v>5087</v>
      </c>
      <c r="O2985" s="86"/>
      <c r="P2985" s="1817" t="e">
        <f>INDEX(#REF!,MATCH(F2985,#REF!,0),2)</f>
        <v>#REF!</v>
      </c>
      <c r="Q2985" s="43"/>
      <c r="R2985" s="43"/>
      <c r="S2985" s="43"/>
      <c r="T2985" s="43"/>
      <c r="U2985" s="43"/>
      <c r="V2985" s="43"/>
      <c r="W2985" s="43"/>
      <c r="X2985" s="43"/>
      <c r="Y2985" s="43"/>
      <c r="Z2985" s="43"/>
      <c r="AA2985" s="43"/>
      <c r="AB2985" s="43"/>
      <c r="AC2985" s="43"/>
      <c r="AD2985" s="43"/>
      <c r="AE2985" s="43"/>
      <c r="AF2985" s="43"/>
      <c r="AG2985" s="43"/>
    </row>
    <row r="2986" spans="1:33" ht="22.5">
      <c r="A2986" s="424" t="s">
        <v>874</v>
      </c>
      <c r="B2986" s="424" t="s">
        <v>1249</v>
      </c>
      <c r="C2986" s="424" t="s">
        <v>570</v>
      </c>
      <c r="D2986" s="1620"/>
      <c r="E2986" s="2104" t="s">
        <v>1912</v>
      </c>
      <c r="F2986" s="681">
        <v>2312</v>
      </c>
      <c r="G2986" s="2774" t="s">
        <v>5060</v>
      </c>
      <c r="H2986" s="1041"/>
      <c r="I2986" s="1040"/>
      <c r="J2986" s="1042"/>
      <c r="K2986" s="1036"/>
      <c r="L2986" s="1038"/>
      <c r="M2986" s="3708">
        <v>36000</v>
      </c>
      <c r="N2986" s="2847" t="s">
        <v>5079</v>
      </c>
      <c r="O2986" s="86"/>
      <c r="P2986" s="1817" t="e">
        <f>INDEX(#REF!,MATCH(F2986,#REF!,0),2)</f>
        <v>#REF!</v>
      </c>
      <c r="Q2986" s="43"/>
      <c r="R2986" s="43"/>
      <c r="S2986" s="43"/>
      <c r="T2986" s="43"/>
      <c r="U2986" s="43"/>
      <c r="V2986" s="43"/>
      <c r="W2986" s="43"/>
      <c r="X2986" s="43"/>
      <c r="Y2986" s="43"/>
      <c r="Z2986" s="43"/>
      <c r="AA2986" s="43"/>
      <c r="AB2986" s="43"/>
      <c r="AC2986" s="43"/>
      <c r="AD2986" s="43"/>
      <c r="AE2986" s="43"/>
      <c r="AF2986" s="43"/>
      <c r="AG2986" s="43"/>
    </row>
    <row r="2987" spans="1:33" ht="22.5">
      <c r="A2987" s="992"/>
      <c r="B2987" s="424" t="s">
        <v>1249</v>
      </c>
      <c r="C2987" s="424" t="s">
        <v>570</v>
      </c>
      <c r="D2987" s="1620"/>
      <c r="E2987" s="2104" t="s">
        <v>1912</v>
      </c>
      <c r="F2987" s="438">
        <v>2312</v>
      </c>
      <c r="G2987" s="3743" t="s">
        <v>2363</v>
      </c>
      <c r="H2987" s="1045"/>
      <c r="I2987" s="1693">
        <v>300</v>
      </c>
      <c r="J2987" s="1035"/>
      <c r="K2987" s="1036"/>
      <c r="L2987" s="1045"/>
      <c r="M2987" s="3700"/>
      <c r="N2987" s="2847"/>
      <c r="O2987" s="86"/>
      <c r="P2987" s="1817" t="e">
        <f>INDEX(#REF!,MATCH(F2987,#REF!,0),2)</f>
        <v>#REF!</v>
      </c>
      <c r="Q2987" s="43"/>
      <c r="R2987" s="43"/>
      <c r="S2987" s="43"/>
      <c r="T2987" s="43"/>
      <c r="U2987" s="43"/>
      <c r="V2987" s="43"/>
      <c r="W2987" s="43"/>
      <c r="X2987" s="43"/>
      <c r="Y2987" s="43"/>
      <c r="Z2987" s="43"/>
      <c r="AA2987" s="43"/>
      <c r="AB2987" s="43"/>
      <c r="AC2987" s="43"/>
      <c r="AD2987" s="43"/>
      <c r="AE2987" s="43"/>
      <c r="AF2987" s="43"/>
      <c r="AG2987" s="43"/>
    </row>
    <row r="2988" spans="1:33" ht="22.5">
      <c r="A2988" s="634"/>
      <c r="B2988" s="634" t="s">
        <v>1248</v>
      </c>
      <c r="C2988" s="634" t="s">
        <v>505</v>
      </c>
      <c r="D2988" s="1597">
        <v>950</v>
      </c>
      <c r="E2988" s="2093" t="s">
        <v>1912</v>
      </c>
      <c r="F2988" s="635">
        <v>2314</v>
      </c>
      <c r="G2988" s="432" t="s">
        <v>2436</v>
      </c>
      <c r="H2988" s="641">
        <v>6000</v>
      </c>
      <c r="I2988" s="1688"/>
      <c r="J2988" s="628">
        <v>5227</v>
      </c>
      <c r="K2988" s="629"/>
      <c r="L2988" s="641">
        <v>6400</v>
      </c>
      <c r="M2988" s="3744"/>
      <c r="N2988" s="2847"/>
      <c r="O2988" s="86"/>
      <c r="P2988" s="1817" t="e">
        <f>INDEX(#REF!,MATCH(F2988,#REF!,0),2)</f>
        <v>#REF!</v>
      </c>
      <c r="Q2988" s="43"/>
      <c r="R2988" s="43"/>
      <c r="S2988" s="43"/>
      <c r="T2988" s="43"/>
      <c r="U2988" s="43"/>
      <c r="V2988" s="43"/>
      <c r="W2988" s="43"/>
      <c r="X2988" s="43"/>
      <c r="Y2988" s="43"/>
      <c r="Z2988" s="43"/>
      <c r="AA2988" s="43"/>
      <c r="AB2988" s="43"/>
      <c r="AC2988" s="43"/>
      <c r="AD2988" s="43"/>
      <c r="AE2988" s="43"/>
      <c r="AF2988" s="43"/>
      <c r="AG2988" s="43"/>
    </row>
    <row r="2989" spans="1:33">
      <c r="A2989" s="424"/>
      <c r="B2989" s="424" t="s">
        <v>1248</v>
      </c>
      <c r="C2989" s="424" t="s">
        <v>505</v>
      </c>
      <c r="D2989" s="1598"/>
      <c r="E2989" s="2104" t="s">
        <v>1912</v>
      </c>
      <c r="F2989" s="438">
        <v>2314</v>
      </c>
      <c r="G2989" s="2774" t="s">
        <v>956</v>
      </c>
      <c r="H2989" s="1041"/>
      <c r="I2989" s="1040">
        <v>800</v>
      </c>
      <c r="J2989" s="1042"/>
      <c r="K2989" s="1043"/>
      <c r="L2989" s="1050"/>
      <c r="M2989" s="3708">
        <v>800</v>
      </c>
      <c r="N2989" s="2847"/>
      <c r="O2989" s="86"/>
      <c r="P2989" s="1817" t="e">
        <f>INDEX(#REF!,MATCH(F2989,#REF!,0),2)</f>
        <v>#REF!</v>
      </c>
      <c r="Q2989" s="43"/>
      <c r="R2989" s="43"/>
      <c r="S2989" s="43"/>
      <c r="T2989" s="43"/>
      <c r="U2989" s="43"/>
      <c r="V2989" s="43"/>
      <c r="W2989" s="43"/>
      <c r="X2989" s="43"/>
      <c r="Y2989" s="43"/>
      <c r="Z2989" s="43"/>
      <c r="AA2989" s="43"/>
      <c r="AB2989" s="43"/>
      <c r="AC2989" s="43"/>
      <c r="AD2989" s="43"/>
      <c r="AE2989" s="43"/>
      <c r="AF2989" s="43"/>
      <c r="AG2989" s="43"/>
    </row>
    <row r="2990" spans="1:33">
      <c r="A2990" s="424"/>
      <c r="B2990" s="424" t="s">
        <v>1248</v>
      </c>
      <c r="C2990" s="424" t="s">
        <v>505</v>
      </c>
      <c r="D2990" s="1598"/>
      <c r="E2990" s="2104" t="s">
        <v>1912</v>
      </c>
      <c r="F2990" s="438">
        <v>2314</v>
      </c>
      <c r="G2990" s="2774" t="s">
        <v>5102</v>
      </c>
      <c r="H2990" s="1041"/>
      <c r="I2990" s="1040">
        <v>800</v>
      </c>
      <c r="J2990" s="1042"/>
      <c r="K2990" s="1043"/>
      <c r="L2990" s="1050"/>
      <c r="M2990" s="3708">
        <v>800</v>
      </c>
      <c r="N2990" s="2847"/>
      <c r="O2990" s="86"/>
      <c r="P2990" s="1817" t="e">
        <f>INDEX(#REF!,MATCH(F2990,#REF!,0),2)</f>
        <v>#REF!</v>
      </c>
      <c r="Q2990" s="43"/>
      <c r="R2990" s="43"/>
      <c r="S2990" s="43"/>
      <c r="T2990" s="43"/>
      <c r="U2990" s="43"/>
      <c r="V2990" s="43"/>
      <c r="W2990" s="43"/>
      <c r="X2990" s="43"/>
      <c r="Y2990" s="43"/>
      <c r="Z2990" s="43"/>
      <c r="AA2990" s="43"/>
      <c r="AB2990" s="43"/>
      <c r="AC2990" s="43"/>
      <c r="AD2990" s="43"/>
      <c r="AE2990" s="43"/>
      <c r="AF2990" s="43"/>
      <c r="AG2990" s="43"/>
    </row>
    <row r="2991" spans="1:33" ht="14.45" customHeight="1">
      <c r="A2991" s="424"/>
      <c r="B2991" s="424" t="s">
        <v>1248</v>
      </c>
      <c r="C2991" s="424" t="s">
        <v>505</v>
      </c>
      <c r="D2991" s="1598"/>
      <c r="E2991" s="2104" t="s">
        <v>1912</v>
      </c>
      <c r="F2991" s="438">
        <v>2314</v>
      </c>
      <c r="G2991" s="2774" t="s">
        <v>559</v>
      </c>
      <c r="H2991" s="1041"/>
      <c r="I2991" s="1040">
        <v>500</v>
      </c>
      <c r="J2991" s="1042"/>
      <c r="K2991" s="1043"/>
      <c r="L2991" s="1050"/>
      <c r="M2991" s="3708">
        <v>500</v>
      </c>
      <c r="N2991" s="2847"/>
      <c r="O2991" s="86"/>
      <c r="P2991" s="1817" t="e">
        <f>INDEX(#REF!,MATCH(F2991,#REF!,0),2)</f>
        <v>#REF!</v>
      </c>
      <c r="Q2991" s="43"/>
      <c r="R2991" s="43"/>
      <c r="S2991" s="43"/>
      <c r="T2991" s="43"/>
      <c r="U2991" s="43"/>
      <c r="V2991" s="43"/>
      <c r="W2991" s="43"/>
      <c r="X2991" s="43"/>
      <c r="Y2991" s="43"/>
      <c r="Z2991" s="43"/>
      <c r="AA2991" s="43"/>
      <c r="AB2991" s="43"/>
      <c r="AC2991" s="43"/>
      <c r="AD2991" s="43"/>
      <c r="AE2991" s="43"/>
      <c r="AF2991" s="43"/>
      <c r="AG2991" s="43"/>
    </row>
    <row r="2992" spans="1:33" ht="24.6" customHeight="1">
      <c r="A2992" s="424"/>
      <c r="B2992" s="424" t="s">
        <v>1248</v>
      </c>
      <c r="C2992" s="424" t="s">
        <v>505</v>
      </c>
      <c r="D2992" s="1598"/>
      <c r="E2992" s="2104" t="s">
        <v>1912</v>
      </c>
      <c r="F2992" s="438">
        <v>2314</v>
      </c>
      <c r="G2992" s="3388" t="s">
        <v>5103</v>
      </c>
      <c r="H2992" s="1041"/>
      <c r="I2992" s="1040">
        <v>2100</v>
      </c>
      <c r="J2992" s="1042"/>
      <c r="K2992" s="1043"/>
      <c r="L2992" s="1050"/>
      <c r="M2992" s="3708">
        <v>2500</v>
      </c>
      <c r="N2992" s="2847"/>
      <c r="O2992" s="86"/>
      <c r="P2992" s="1817" t="e">
        <f>INDEX(#REF!,MATCH(F2992,#REF!,0),2)</f>
        <v>#REF!</v>
      </c>
      <c r="Q2992" s="43"/>
      <c r="R2992" s="43"/>
      <c r="S2992" s="43"/>
      <c r="T2992" s="43"/>
      <c r="U2992" s="43"/>
      <c r="V2992" s="43"/>
      <c r="W2992" s="43"/>
      <c r="X2992" s="43"/>
      <c r="Y2992" s="43"/>
      <c r="Z2992" s="43"/>
      <c r="AA2992" s="43"/>
      <c r="AB2992" s="43"/>
      <c r="AC2992" s="43"/>
      <c r="AD2992" s="43"/>
      <c r="AE2992" s="43"/>
      <c r="AF2992" s="43"/>
      <c r="AG2992" s="43"/>
    </row>
    <row r="2993" spans="1:33" ht="15.6" customHeight="1">
      <c r="A2993" s="424"/>
      <c r="B2993" s="443" t="s">
        <v>1248</v>
      </c>
      <c r="C2993" s="443" t="s">
        <v>505</v>
      </c>
      <c r="D2993" s="1598"/>
      <c r="E2993" s="2104" t="s">
        <v>1912</v>
      </c>
      <c r="F2993" s="438">
        <v>2314</v>
      </c>
      <c r="G2993" s="2774" t="s">
        <v>539</v>
      </c>
      <c r="H2993" s="1041"/>
      <c r="I2993" s="1040">
        <v>1000</v>
      </c>
      <c r="J2993" s="1042"/>
      <c r="K2993" s="1043"/>
      <c r="L2993" s="1050"/>
      <c r="M2993" s="4299">
        <v>1000</v>
      </c>
      <c r="N2993" s="241" t="s">
        <v>5156</v>
      </c>
      <c r="O2993" s="86"/>
      <c r="P2993" s="1817" t="e">
        <f>INDEX(#REF!,MATCH(F2993,#REF!,0),2)</f>
        <v>#REF!</v>
      </c>
      <c r="Q2993" s="43"/>
      <c r="R2993" s="43"/>
      <c r="S2993" s="43"/>
      <c r="T2993" s="43"/>
      <c r="U2993" s="43"/>
      <c r="V2993" s="43"/>
      <c r="W2993" s="43"/>
      <c r="X2993" s="43"/>
      <c r="Y2993" s="43"/>
      <c r="Z2993" s="43"/>
      <c r="AA2993" s="43"/>
      <c r="AB2993" s="43"/>
      <c r="AC2993" s="43"/>
      <c r="AD2993" s="43"/>
      <c r="AE2993" s="43"/>
      <c r="AF2993" s="43"/>
      <c r="AG2993" s="43"/>
    </row>
    <row r="2994" spans="1:33" ht="19.899999999999999" customHeight="1">
      <c r="A2994" s="424"/>
      <c r="B2994" s="489" t="s">
        <v>1248</v>
      </c>
      <c r="C2994" s="443" t="s">
        <v>505</v>
      </c>
      <c r="D2994" s="1598"/>
      <c r="E2994" s="2104" t="s">
        <v>1912</v>
      </c>
      <c r="F2994" s="438">
        <v>2314</v>
      </c>
      <c r="G2994" s="1710" t="s">
        <v>2371</v>
      </c>
      <c r="H2994" s="671"/>
      <c r="I2994" s="455">
        <v>800</v>
      </c>
      <c r="J2994" s="650"/>
      <c r="K2994" s="667"/>
      <c r="L2994" s="671"/>
      <c r="M2994" s="3707">
        <v>800</v>
      </c>
      <c r="N2994" s="2847"/>
      <c r="O2994" s="86"/>
      <c r="P2994" s="1817" t="e">
        <f>INDEX(#REF!,MATCH(F2994,#REF!,0),2)</f>
        <v>#REF!</v>
      </c>
      <c r="Q2994" s="1779"/>
      <c r="R2994" s="1779"/>
      <c r="S2994" s="1779"/>
      <c r="T2994" s="1779"/>
      <c r="U2994" s="1779"/>
      <c r="V2994" s="1779"/>
      <c r="W2994" s="43"/>
      <c r="X2994" s="1779"/>
      <c r="Y2994" s="1779"/>
      <c r="Z2994" s="1779"/>
      <c r="AA2994" s="1779"/>
      <c r="AB2994" s="1779"/>
      <c r="AC2994" s="1779"/>
      <c r="AD2994" s="1779"/>
      <c r="AE2994" s="1779"/>
      <c r="AF2994" s="1779"/>
      <c r="AG2994" s="1779"/>
    </row>
    <row r="2995" spans="1:33" ht="23.45" customHeight="1">
      <c r="A2995" s="634"/>
      <c r="B2995" s="634" t="s">
        <v>1248</v>
      </c>
      <c r="C2995" s="634" t="s">
        <v>505</v>
      </c>
      <c r="D2995" s="1597">
        <v>950</v>
      </c>
      <c r="E2995" s="2093" t="s">
        <v>1912</v>
      </c>
      <c r="F2995" s="635">
        <v>2321</v>
      </c>
      <c r="G2995" s="432" t="s">
        <v>443</v>
      </c>
      <c r="H2995" s="641">
        <v>195000</v>
      </c>
      <c r="I2995" s="1688"/>
      <c r="J2995" s="628">
        <v>130000</v>
      </c>
      <c r="K2995" s="629"/>
      <c r="L2995" s="641">
        <v>125000</v>
      </c>
      <c r="M2995" s="3744"/>
      <c r="N2995" s="2396" t="s">
        <v>6039</v>
      </c>
      <c r="O2995" s="86"/>
      <c r="P2995" s="1817" t="e">
        <f>INDEX(#REF!,MATCH(F2995,#REF!,0),2)</f>
        <v>#REF!</v>
      </c>
      <c r="Q2995" s="4"/>
      <c r="R2995" s="4"/>
      <c r="S2995" s="4"/>
      <c r="T2995" s="4"/>
      <c r="U2995" s="4"/>
      <c r="V2995" s="4"/>
      <c r="W2995" s="4"/>
      <c r="X2995" s="4"/>
      <c r="Y2995" s="4"/>
      <c r="Z2995" s="4"/>
      <c r="AA2995" s="4"/>
      <c r="AB2995" s="4"/>
      <c r="AC2995" s="4"/>
      <c r="AD2995" s="4"/>
      <c r="AE2995" s="4"/>
      <c r="AF2995" s="4"/>
      <c r="AG2995" s="4"/>
    </row>
    <row r="2996" spans="1:33" ht="11.45" customHeight="1">
      <c r="A2996" s="424"/>
      <c r="B2996" s="424" t="s">
        <v>1248</v>
      </c>
      <c r="C2996" s="424" t="s">
        <v>505</v>
      </c>
      <c r="D2996" s="1598"/>
      <c r="E2996" s="2104" t="s">
        <v>1912</v>
      </c>
      <c r="F2996" s="438">
        <v>2321</v>
      </c>
      <c r="G2996" s="425" t="s">
        <v>444</v>
      </c>
      <c r="H2996" s="670"/>
      <c r="I2996" s="455">
        <v>195000</v>
      </c>
      <c r="J2996" s="650"/>
      <c r="K2996" s="667"/>
      <c r="L2996" s="671"/>
      <c r="M2996" s="4214">
        <v>125000</v>
      </c>
      <c r="N2996" s="2846" t="s">
        <v>5088</v>
      </c>
      <c r="O2996" s="86"/>
      <c r="P2996" s="1817" t="e">
        <f>INDEX(#REF!,MATCH(F2996,#REF!,0),2)</f>
        <v>#REF!</v>
      </c>
      <c r="Q2996" s="1779"/>
      <c r="R2996" s="1779"/>
      <c r="S2996" s="1779"/>
      <c r="T2996" s="1779"/>
      <c r="U2996" s="1779"/>
      <c r="V2996" s="1779"/>
      <c r="W2996" s="43"/>
      <c r="X2996" s="1779"/>
      <c r="Y2996" s="1779"/>
      <c r="Z2996" s="1779"/>
      <c r="AA2996" s="1779"/>
      <c r="AB2996" s="1779"/>
      <c r="AC2996" s="1779"/>
      <c r="AD2996" s="1779"/>
      <c r="AE2996" s="1779"/>
      <c r="AF2996" s="1779"/>
      <c r="AG2996" s="1779"/>
    </row>
    <row r="2997" spans="1:33" ht="11.45" customHeight="1">
      <c r="A2997" s="634"/>
      <c r="B2997" s="634" t="s">
        <v>1248</v>
      </c>
      <c r="C2997" s="634" t="s">
        <v>505</v>
      </c>
      <c r="D2997" s="1597">
        <v>950</v>
      </c>
      <c r="E2997" s="2093" t="s">
        <v>1912</v>
      </c>
      <c r="F2997" s="635">
        <v>2322</v>
      </c>
      <c r="G2997" s="432" t="s">
        <v>390</v>
      </c>
      <c r="H2997" s="641">
        <v>900</v>
      </c>
      <c r="I2997" s="1686"/>
      <c r="J2997" s="628">
        <v>56</v>
      </c>
      <c r="K2997" s="629"/>
      <c r="L2997" s="641">
        <v>900</v>
      </c>
      <c r="M2997" s="3712"/>
      <c r="N2997" s="3506"/>
      <c r="O2997" s="86"/>
      <c r="P2997" s="1817" t="e">
        <f>INDEX(#REF!,MATCH(F2997,#REF!,0),2)</f>
        <v>#REF!</v>
      </c>
      <c r="Q2997" s="43"/>
      <c r="R2997" s="43"/>
      <c r="S2997" s="43"/>
      <c r="T2997" s="43"/>
      <c r="U2997" s="43"/>
      <c r="V2997" s="43"/>
      <c r="W2997" s="43"/>
      <c r="X2997" s="43"/>
      <c r="Y2997" s="43"/>
      <c r="Z2997" s="43"/>
      <c r="AA2997" s="43"/>
      <c r="AB2997" s="43"/>
      <c r="AC2997" s="43"/>
      <c r="AD2997" s="43"/>
      <c r="AE2997" s="43"/>
      <c r="AF2997" s="43"/>
      <c r="AG2997" s="43"/>
    </row>
    <row r="2998" spans="1:33" ht="21" customHeight="1">
      <c r="A2998" s="424"/>
      <c r="B2998" s="424" t="s">
        <v>1248</v>
      </c>
      <c r="C2998" s="424" t="s">
        <v>505</v>
      </c>
      <c r="D2998" s="1598"/>
      <c r="E2998" s="2104" t="s">
        <v>1912</v>
      </c>
      <c r="F2998" s="438">
        <v>2322</v>
      </c>
      <c r="G2998" s="996" t="s">
        <v>2365</v>
      </c>
      <c r="H2998" s="1050"/>
      <c r="I2998" s="1040">
        <v>500</v>
      </c>
      <c r="J2998" s="1042"/>
      <c r="K2998" s="1043"/>
      <c r="L2998" s="1041"/>
      <c r="M2998" s="3700">
        <v>500</v>
      </c>
      <c r="N2998" s="2847"/>
      <c r="O2998" s="86"/>
      <c r="P2998" s="1817" t="e">
        <f>INDEX(#REF!,MATCH(F2998,#REF!,0),2)</f>
        <v>#REF!</v>
      </c>
      <c r="Q2998" s="43"/>
      <c r="R2998" s="43"/>
      <c r="S2998" s="43"/>
      <c r="T2998" s="43"/>
      <c r="U2998" s="43"/>
      <c r="V2998" s="43"/>
      <c r="W2998" s="43"/>
      <c r="X2998" s="43"/>
      <c r="Y2998" s="43"/>
      <c r="Z2998" s="43"/>
      <c r="AA2998" s="43"/>
      <c r="AB2998" s="43"/>
      <c r="AC2998" s="43"/>
      <c r="AD2998" s="43"/>
      <c r="AE2998" s="43"/>
      <c r="AF2998" s="43"/>
      <c r="AG2998" s="43"/>
    </row>
    <row r="2999" spans="1:33" ht="22.15" customHeight="1">
      <c r="A2999" s="424"/>
      <c r="B2999" s="424" t="s">
        <v>1248</v>
      </c>
      <c r="C2999" s="424" t="s">
        <v>505</v>
      </c>
      <c r="D2999" s="1598"/>
      <c r="E2999" s="2104" t="s">
        <v>1912</v>
      </c>
      <c r="F2999" s="438">
        <v>2322</v>
      </c>
      <c r="G2999" s="996" t="s">
        <v>2366</v>
      </c>
      <c r="H2999" s="1050"/>
      <c r="I2999" s="1040">
        <v>400</v>
      </c>
      <c r="J2999" s="1042"/>
      <c r="K2999" s="1043"/>
      <c r="L2999" s="1041"/>
      <c r="M2999" s="3700">
        <v>400</v>
      </c>
      <c r="N2999" s="2847"/>
      <c r="O2999" s="86"/>
      <c r="P2999" s="1817" t="e">
        <f>INDEX(#REF!,MATCH(F2999,#REF!,0),2)</f>
        <v>#REF!</v>
      </c>
      <c r="Q2999" s="43"/>
      <c r="R2999" s="43"/>
      <c r="S2999" s="43"/>
      <c r="T2999" s="43"/>
      <c r="U2999" s="43"/>
      <c r="V2999" s="43"/>
      <c r="W2999" s="43"/>
      <c r="X2999" s="43"/>
      <c r="Y2999" s="43"/>
      <c r="Z2999" s="43"/>
      <c r="AA2999" s="43"/>
      <c r="AB2999" s="43"/>
      <c r="AC2999" s="43"/>
      <c r="AD2999" s="43"/>
      <c r="AE2999" s="43"/>
      <c r="AF2999" s="43"/>
      <c r="AG2999" s="43"/>
    </row>
    <row r="3000" spans="1:33" ht="22.9" customHeight="1">
      <c r="A3000" s="634"/>
      <c r="B3000" s="634" t="s">
        <v>1248</v>
      </c>
      <c r="C3000" s="634" t="s">
        <v>507</v>
      </c>
      <c r="D3000" s="1597">
        <v>950</v>
      </c>
      <c r="E3000" s="2093" t="s">
        <v>1912</v>
      </c>
      <c r="F3000" s="635">
        <v>2341</v>
      </c>
      <c r="G3000" s="432" t="s">
        <v>364</v>
      </c>
      <c r="H3000" s="641">
        <v>1500</v>
      </c>
      <c r="I3000" s="1686"/>
      <c r="J3000" s="628">
        <v>1184.3699999999999</v>
      </c>
      <c r="K3000" s="629"/>
      <c r="L3000" s="641">
        <v>1500</v>
      </c>
      <c r="M3000" s="643"/>
      <c r="N3000" s="2847"/>
      <c r="O3000" s="86"/>
      <c r="P3000" s="1817" t="e">
        <f>INDEX(#REF!,MATCH(F3000,#REF!,0),2)</f>
        <v>#REF!</v>
      </c>
      <c r="Q3000" s="43"/>
      <c r="R3000" s="43"/>
      <c r="S3000" s="43"/>
      <c r="T3000" s="43"/>
      <c r="U3000" s="43"/>
      <c r="V3000" s="43"/>
      <c r="W3000" s="43"/>
      <c r="X3000" s="43"/>
      <c r="Y3000" s="43"/>
      <c r="Z3000" s="43"/>
      <c r="AA3000" s="43"/>
      <c r="AB3000" s="43"/>
      <c r="AC3000" s="43"/>
      <c r="AD3000" s="43"/>
      <c r="AE3000" s="43"/>
      <c r="AF3000" s="43"/>
      <c r="AG3000" s="43"/>
    </row>
    <row r="3001" spans="1:33" ht="19.149999999999999" customHeight="1">
      <c r="A3001" s="424"/>
      <c r="B3001" s="424" t="s">
        <v>1248</v>
      </c>
      <c r="C3001" s="424" t="s">
        <v>507</v>
      </c>
      <c r="D3001" s="1598"/>
      <c r="E3001" s="2104" t="s">
        <v>1912</v>
      </c>
      <c r="F3001" s="438">
        <v>2341</v>
      </c>
      <c r="G3001" s="1705" t="s">
        <v>2367</v>
      </c>
      <c r="H3001" s="682"/>
      <c r="I3001" s="455">
        <v>1500</v>
      </c>
      <c r="J3001" s="683"/>
      <c r="K3001" s="684"/>
      <c r="L3001" s="682"/>
      <c r="M3001" s="645">
        <v>1500</v>
      </c>
      <c r="N3001" s="2847"/>
      <c r="O3001" s="86"/>
      <c r="P3001" s="1817" t="e">
        <f>INDEX(#REF!,MATCH(F3001,#REF!,0),2)</f>
        <v>#REF!</v>
      </c>
      <c r="Q3001" s="43"/>
      <c r="R3001" s="43"/>
      <c r="S3001" s="43"/>
      <c r="T3001" s="43"/>
      <c r="U3001" s="43"/>
      <c r="V3001" s="43"/>
      <c r="W3001" s="43"/>
      <c r="X3001" s="43"/>
      <c r="Y3001" s="43"/>
      <c r="Z3001" s="43"/>
      <c r="AA3001" s="43"/>
      <c r="AB3001" s="43"/>
      <c r="AC3001" s="43"/>
      <c r="AD3001" s="43"/>
      <c r="AE3001" s="43"/>
      <c r="AF3001" s="43"/>
      <c r="AG3001" s="43"/>
    </row>
    <row r="3002" spans="1:33" ht="11.45" customHeight="1">
      <c r="A3002" s="634"/>
      <c r="B3002" s="634" t="s">
        <v>1248</v>
      </c>
      <c r="C3002" s="634" t="s">
        <v>505</v>
      </c>
      <c r="D3002" s="1597">
        <v>950</v>
      </c>
      <c r="E3002" s="2093" t="s">
        <v>1912</v>
      </c>
      <c r="F3002" s="635">
        <v>2350</v>
      </c>
      <c r="G3002" s="432" t="s">
        <v>290</v>
      </c>
      <c r="H3002" s="641">
        <v>21900</v>
      </c>
      <c r="I3002" s="1683"/>
      <c r="J3002" s="628">
        <v>20498.830000000002</v>
      </c>
      <c r="K3002" s="629"/>
      <c r="L3002" s="641">
        <v>24600</v>
      </c>
      <c r="M3002" s="642"/>
      <c r="N3002" s="241" t="s">
        <v>5759</v>
      </c>
      <c r="O3002" s="86"/>
      <c r="P3002" s="1817" t="e">
        <f>INDEX(#REF!,MATCH(F3002,#REF!,0),2)</f>
        <v>#REF!</v>
      </c>
      <c r="Q3002" s="4"/>
      <c r="R3002" s="4"/>
      <c r="S3002" s="4"/>
      <c r="T3002" s="4"/>
      <c r="U3002" s="4"/>
      <c r="V3002" s="4"/>
      <c r="W3002" s="4"/>
      <c r="X3002" s="4"/>
      <c r="Y3002" s="4"/>
      <c r="Z3002" s="4"/>
      <c r="AA3002" s="4"/>
      <c r="AB3002" s="4"/>
      <c r="AC3002" s="4"/>
      <c r="AD3002" s="4"/>
      <c r="AE3002" s="4"/>
      <c r="AF3002" s="4"/>
      <c r="AG3002" s="4"/>
    </row>
    <row r="3003" spans="1:33" ht="11.45" customHeight="1">
      <c r="A3003" s="424"/>
      <c r="B3003" s="424" t="s">
        <v>1248</v>
      </c>
      <c r="C3003" s="424" t="s">
        <v>505</v>
      </c>
      <c r="D3003" s="1598"/>
      <c r="E3003" s="2104" t="s">
        <v>1912</v>
      </c>
      <c r="F3003" s="438">
        <v>2350</v>
      </c>
      <c r="G3003" s="996" t="s">
        <v>5089</v>
      </c>
      <c r="H3003" s="1041"/>
      <c r="I3003" s="1040">
        <v>8000</v>
      </c>
      <c r="J3003" s="1042"/>
      <c r="K3003" s="1043"/>
      <c r="L3003" s="1041"/>
      <c r="M3003" s="4300">
        <v>8000</v>
      </c>
      <c r="N3003" s="241" t="s">
        <v>5156</v>
      </c>
      <c r="O3003" s="86"/>
      <c r="P3003" s="1817" t="e">
        <f>INDEX(#REF!,MATCH(F3003,#REF!,0),2)</f>
        <v>#REF!</v>
      </c>
      <c r="Q3003" s="4"/>
      <c r="R3003" s="4"/>
      <c r="S3003" s="4"/>
      <c r="T3003" s="4"/>
      <c r="U3003" s="4"/>
      <c r="V3003" s="4"/>
      <c r="W3003" s="4"/>
      <c r="X3003" s="4"/>
      <c r="Y3003" s="4"/>
      <c r="Z3003" s="4"/>
      <c r="AA3003" s="4"/>
      <c r="AB3003" s="4"/>
      <c r="AC3003" s="4"/>
      <c r="AD3003" s="4"/>
      <c r="AE3003" s="4"/>
      <c r="AF3003" s="4"/>
      <c r="AG3003" s="4"/>
    </row>
    <row r="3004" spans="1:33" ht="11.45" customHeight="1">
      <c r="A3004" s="424"/>
      <c r="B3004" s="424" t="s">
        <v>1248</v>
      </c>
      <c r="C3004" s="424" t="s">
        <v>505</v>
      </c>
      <c r="D3004" s="1598"/>
      <c r="E3004" s="2104" t="s">
        <v>1912</v>
      </c>
      <c r="F3004" s="438">
        <v>2350</v>
      </c>
      <c r="G3004" s="3693" t="s">
        <v>5090</v>
      </c>
      <c r="H3004" s="1041"/>
      <c r="I3004" s="1040">
        <v>11000</v>
      </c>
      <c r="J3004" s="1042"/>
      <c r="K3004" s="1043"/>
      <c r="L3004" s="1041"/>
      <c r="M3004" s="4300">
        <v>11000</v>
      </c>
      <c r="N3004" s="241" t="s">
        <v>5156</v>
      </c>
      <c r="O3004" s="86"/>
      <c r="P3004" s="1817" t="e">
        <f>INDEX(#REF!,MATCH(F3004,#REF!,0),2)</f>
        <v>#REF!</v>
      </c>
      <c r="Q3004" s="4"/>
      <c r="R3004" s="4"/>
      <c r="S3004" s="4"/>
      <c r="T3004" s="4"/>
      <c r="U3004" s="4"/>
      <c r="V3004" s="4"/>
      <c r="W3004" s="4"/>
      <c r="X3004" s="4"/>
      <c r="Y3004" s="4"/>
      <c r="Z3004" s="4"/>
      <c r="AA3004" s="4"/>
      <c r="AB3004" s="4"/>
      <c r="AC3004" s="4"/>
      <c r="AD3004" s="4"/>
      <c r="AE3004" s="4"/>
      <c r="AF3004" s="4"/>
      <c r="AG3004" s="4"/>
    </row>
    <row r="3005" spans="1:33" ht="22.5">
      <c r="A3005" s="992"/>
      <c r="B3005" s="424" t="s">
        <v>1248</v>
      </c>
      <c r="C3005" s="424" t="s">
        <v>505</v>
      </c>
      <c r="D3005" s="1598"/>
      <c r="E3005" s="2104" t="s">
        <v>1912</v>
      </c>
      <c r="F3005" s="438">
        <v>2350</v>
      </c>
      <c r="G3005" s="2774" t="s">
        <v>5091</v>
      </c>
      <c r="H3005" s="1041"/>
      <c r="I3005" s="1040">
        <v>400</v>
      </c>
      <c r="J3005" s="1042"/>
      <c r="K3005" s="1043"/>
      <c r="L3005" s="1041"/>
      <c r="M3005" s="3700">
        <v>400</v>
      </c>
      <c r="N3005" s="2847"/>
      <c r="O3005" s="86"/>
      <c r="P3005" s="1817"/>
      <c r="Q3005" s="43"/>
      <c r="R3005" s="43"/>
      <c r="S3005" s="43"/>
      <c r="T3005" s="43"/>
      <c r="U3005" s="43"/>
      <c r="V3005" s="43"/>
      <c r="W3005" s="43"/>
      <c r="X3005" s="43"/>
      <c r="Y3005" s="43"/>
      <c r="Z3005" s="43"/>
      <c r="AA3005" s="43"/>
      <c r="AB3005" s="43"/>
      <c r="AC3005" s="43"/>
      <c r="AD3005" s="43"/>
      <c r="AE3005" s="43"/>
      <c r="AF3005" s="43"/>
      <c r="AG3005" s="43"/>
    </row>
    <row r="3006" spans="1:33">
      <c r="A3006" s="424"/>
      <c r="B3006" s="424" t="s">
        <v>1248</v>
      </c>
      <c r="C3006" s="424" t="s">
        <v>505</v>
      </c>
      <c r="D3006" s="1598"/>
      <c r="E3006" s="2104" t="s">
        <v>1912</v>
      </c>
      <c r="F3006" s="438">
        <v>2350</v>
      </c>
      <c r="G3006" s="3693" t="s">
        <v>5092</v>
      </c>
      <c r="H3006" s="1041"/>
      <c r="I3006" s="1040">
        <v>2500</v>
      </c>
      <c r="J3006" s="1042"/>
      <c r="K3006" s="1043"/>
      <c r="L3006" s="1041"/>
      <c r="M3006" s="4300">
        <v>2500</v>
      </c>
      <c r="N3006" s="241" t="s">
        <v>5156</v>
      </c>
      <c r="O3006" s="86"/>
      <c r="P3006" s="1817"/>
      <c r="Q3006" s="43"/>
      <c r="R3006" s="43"/>
      <c r="S3006" s="43"/>
      <c r="T3006" s="43"/>
      <c r="U3006" s="43"/>
      <c r="V3006" s="43"/>
      <c r="W3006" s="43"/>
      <c r="X3006" s="43"/>
      <c r="Y3006" s="43"/>
      <c r="Z3006" s="43"/>
      <c r="AA3006" s="43"/>
      <c r="AB3006" s="43"/>
      <c r="AC3006" s="43"/>
      <c r="AD3006" s="43"/>
      <c r="AE3006" s="43"/>
      <c r="AF3006" s="43"/>
      <c r="AG3006" s="43"/>
    </row>
    <row r="3007" spans="1:33" ht="13.9" customHeight="1">
      <c r="A3007" s="2790"/>
      <c r="B3007" s="424" t="s">
        <v>1248</v>
      </c>
      <c r="C3007" s="424" t="s">
        <v>505</v>
      </c>
      <c r="D3007" s="1598"/>
      <c r="E3007" s="2104" t="s">
        <v>1912</v>
      </c>
      <c r="F3007" s="438">
        <v>2350</v>
      </c>
      <c r="G3007" s="2774" t="s">
        <v>5093</v>
      </c>
      <c r="H3007" s="3701"/>
      <c r="I3007" s="3679"/>
      <c r="J3007" s="3669"/>
      <c r="K3007" s="3670"/>
      <c r="L3007" s="3701"/>
      <c r="M3007" s="3700">
        <v>500</v>
      </c>
      <c r="N3007" s="2847"/>
      <c r="O3007" s="86"/>
      <c r="P3007" s="1817" t="e">
        <f>INDEX(#REF!,MATCH(F3007,#REF!,0),2)</f>
        <v>#REF!</v>
      </c>
      <c r="Q3007" s="43"/>
      <c r="R3007" s="43"/>
      <c r="S3007" s="43"/>
      <c r="T3007" s="43"/>
      <c r="U3007" s="43"/>
      <c r="V3007" s="43"/>
      <c r="W3007" s="43"/>
      <c r="X3007" s="43"/>
      <c r="Y3007" s="43"/>
      <c r="Z3007" s="43"/>
      <c r="AA3007" s="43"/>
      <c r="AB3007" s="43"/>
      <c r="AC3007" s="43"/>
      <c r="AD3007" s="43"/>
      <c r="AE3007" s="43"/>
      <c r="AF3007" s="43"/>
      <c r="AG3007" s="43"/>
    </row>
    <row r="3008" spans="1:33" ht="13.9" customHeight="1">
      <c r="A3008" s="2790"/>
      <c r="B3008" s="424" t="s">
        <v>1248</v>
      </c>
      <c r="C3008" s="424" t="s">
        <v>505</v>
      </c>
      <c r="D3008" s="1598"/>
      <c r="E3008" s="2104" t="s">
        <v>1912</v>
      </c>
      <c r="F3008" s="438">
        <v>2350</v>
      </c>
      <c r="G3008" s="2774" t="s">
        <v>5094</v>
      </c>
      <c r="H3008" s="3701"/>
      <c r="I3008" s="3679"/>
      <c r="J3008" s="3669"/>
      <c r="K3008" s="3670"/>
      <c r="L3008" s="3701"/>
      <c r="M3008" s="4300">
        <v>0</v>
      </c>
      <c r="N3008" s="241" t="s">
        <v>6040</v>
      </c>
      <c r="O3008" s="86"/>
      <c r="P3008" s="1817" t="e">
        <f>INDEX(#REF!,MATCH(F3008,#REF!,0),2)</f>
        <v>#REF!</v>
      </c>
      <c r="Q3008" s="43"/>
      <c r="R3008" s="43"/>
      <c r="S3008" s="43"/>
      <c r="T3008" s="43"/>
      <c r="U3008" s="43"/>
      <c r="V3008" s="43"/>
      <c r="W3008" s="43"/>
      <c r="X3008" s="43"/>
      <c r="Y3008" s="43"/>
      <c r="Z3008" s="43"/>
      <c r="AA3008" s="43"/>
      <c r="AB3008" s="43"/>
      <c r="AC3008" s="43"/>
      <c r="AD3008" s="43"/>
      <c r="AE3008" s="43"/>
      <c r="AF3008" s="43"/>
      <c r="AG3008" s="43"/>
    </row>
    <row r="3009" spans="1:33" ht="13.9" customHeight="1">
      <c r="A3009" s="424" t="s">
        <v>874</v>
      </c>
      <c r="B3009" s="424" t="s">
        <v>1248</v>
      </c>
      <c r="C3009" s="424" t="s">
        <v>507</v>
      </c>
      <c r="D3009" s="1598"/>
      <c r="E3009" s="2104" t="s">
        <v>1912</v>
      </c>
      <c r="F3009" s="681">
        <v>2350</v>
      </c>
      <c r="G3009" s="996" t="s">
        <v>714</v>
      </c>
      <c r="H3009" s="1041"/>
      <c r="I3009" s="1040">
        <v>50</v>
      </c>
      <c r="J3009" s="1042"/>
      <c r="K3009" s="1036"/>
      <c r="L3009" s="1045"/>
      <c r="M3009" s="3700">
        <v>50</v>
      </c>
      <c r="N3009" s="2847"/>
      <c r="O3009" s="86"/>
      <c r="P3009" s="1817" t="e">
        <f>INDEX(#REF!,MATCH(F3009,#REF!,0),2)</f>
        <v>#REF!</v>
      </c>
      <c r="Q3009" s="43"/>
      <c r="R3009" s="43"/>
      <c r="S3009" s="43"/>
      <c r="T3009" s="43"/>
      <c r="U3009" s="43"/>
      <c r="V3009" s="43"/>
      <c r="W3009" s="43"/>
      <c r="X3009" s="43"/>
      <c r="Y3009" s="43"/>
      <c r="Z3009" s="43"/>
      <c r="AA3009" s="43"/>
      <c r="AB3009" s="43"/>
      <c r="AC3009" s="43"/>
      <c r="AD3009" s="43"/>
      <c r="AE3009" s="43"/>
      <c r="AF3009" s="43"/>
      <c r="AG3009" s="43"/>
    </row>
    <row r="3010" spans="1:33" ht="13.9" customHeight="1">
      <c r="A3010" s="424" t="s">
        <v>874</v>
      </c>
      <c r="B3010" s="424" t="s">
        <v>1248</v>
      </c>
      <c r="C3010" s="424" t="s">
        <v>507</v>
      </c>
      <c r="D3010" s="1598"/>
      <c r="E3010" s="2104" t="s">
        <v>1912</v>
      </c>
      <c r="F3010" s="681">
        <v>2350</v>
      </c>
      <c r="G3010" s="996" t="s">
        <v>715</v>
      </c>
      <c r="H3010" s="1041"/>
      <c r="I3010" s="1040">
        <v>50</v>
      </c>
      <c r="J3010" s="1042"/>
      <c r="K3010" s="1036"/>
      <c r="L3010" s="1045"/>
      <c r="M3010" s="3700">
        <v>50</v>
      </c>
      <c r="N3010" s="2847"/>
      <c r="O3010" s="86"/>
      <c r="P3010" s="1817" t="e">
        <f>INDEX(#REF!,MATCH(F3010,#REF!,0),2)</f>
        <v>#REF!</v>
      </c>
      <c r="Q3010" s="43"/>
      <c r="R3010" s="43"/>
      <c r="S3010" s="43"/>
      <c r="T3010" s="43"/>
      <c r="U3010" s="43"/>
      <c r="V3010" s="43"/>
      <c r="W3010" s="43"/>
      <c r="X3010" s="43"/>
      <c r="Y3010" s="43"/>
      <c r="Z3010" s="43"/>
      <c r="AA3010" s="43"/>
      <c r="AB3010" s="43"/>
      <c r="AC3010" s="43"/>
      <c r="AD3010" s="43"/>
      <c r="AE3010" s="43"/>
      <c r="AF3010" s="43"/>
      <c r="AG3010" s="43"/>
    </row>
    <row r="3011" spans="1:33" ht="13.9" customHeight="1">
      <c r="A3011" s="424" t="s">
        <v>874</v>
      </c>
      <c r="B3011" s="424" t="s">
        <v>1248</v>
      </c>
      <c r="C3011" s="424" t="s">
        <v>507</v>
      </c>
      <c r="D3011" s="1598"/>
      <c r="E3011" s="2104" t="s">
        <v>1912</v>
      </c>
      <c r="F3011" s="681">
        <v>2350</v>
      </c>
      <c r="G3011" s="996" t="s">
        <v>640</v>
      </c>
      <c r="H3011" s="1041"/>
      <c r="I3011" s="1040">
        <v>300</v>
      </c>
      <c r="J3011" s="1042"/>
      <c r="K3011" s="1036"/>
      <c r="L3011" s="1045"/>
      <c r="M3011" s="3700">
        <v>300</v>
      </c>
      <c r="N3011" s="2847"/>
      <c r="O3011" s="86"/>
      <c r="P3011" s="1817" t="e">
        <f>INDEX(#REF!,MATCH(F3011,#REF!,0),2)</f>
        <v>#REF!</v>
      </c>
      <c r="Q3011" s="43"/>
      <c r="R3011" s="43"/>
      <c r="S3011" s="43"/>
      <c r="T3011" s="43"/>
      <c r="U3011" s="43"/>
      <c r="V3011" s="43"/>
      <c r="W3011" s="43"/>
      <c r="X3011" s="43"/>
      <c r="Y3011" s="43"/>
      <c r="Z3011" s="43"/>
      <c r="AA3011" s="43"/>
      <c r="AB3011" s="43"/>
      <c r="AC3011" s="43"/>
      <c r="AD3011" s="43"/>
      <c r="AE3011" s="43"/>
      <c r="AF3011" s="43"/>
      <c r="AG3011" s="43"/>
    </row>
    <row r="3012" spans="1:33" ht="13.9" customHeight="1">
      <c r="A3012" s="424" t="s">
        <v>874</v>
      </c>
      <c r="B3012" s="424" t="s">
        <v>1248</v>
      </c>
      <c r="C3012" s="424" t="s">
        <v>507</v>
      </c>
      <c r="D3012" s="1598"/>
      <c r="E3012" s="2104" t="s">
        <v>1912</v>
      </c>
      <c r="F3012" s="681">
        <v>2350</v>
      </c>
      <c r="G3012" s="996" t="s">
        <v>1047</v>
      </c>
      <c r="H3012" s="1041"/>
      <c r="I3012" s="1040">
        <v>700</v>
      </c>
      <c r="J3012" s="1042"/>
      <c r="K3012" s="1036"/>
      <c r="L3012" s="1045"/>
      <c r="M3012" s="3700">
        <v>700</v>
      </c>
      <c r="N3012" s="2847"/>
      <c r="O3012" s="86"/>
      <c r="P3012" s="1817" t="e">
        <f>INDEX(#REF!,MATCH(F3012,#REF!,0),2)</f>
        <v>#REF!</v>
      </c>
      <c r="Q3012" s="43"/>
      <c r="R3012" s="43"/>
      <c r="S3012" s="43"/>
      <c r="T3012" s="43"/>
      <c r="U3012" s="43"/>
      <c r="V3012" s="43"/>
      <c r="W3012" s="43"/>
      <c r="X3012" s="43"/>
      <c r="Y3012" s="43"/>
      <c r="Z3012" s="43"/>
      <c r="AA3012" s="43"/>
      <c r="AB3012" s="43"/>
      <c r="AC3012" s="43"/>
      <c r="AD3012" s="43"/>
      <c r="AE3012" s="43"/>
      <c r="AF3012" s="43"/>
      <c r="AG3012" s="43"/>
    </row>
    <row r="3013" spans="1:33" ht="11.45" customHeight="1">
      <c r="A3013" s="424" t="s">
        <v>874</v>
      </c>
      <c r="B3013" s="424" t="s">
        <v>1248</v>
      </c>
      <c r="C3013" s="424" t="s">
        <v>507</v>
      </c>
      <c r="D3013" s="1598"/>
      <c r="E3013" s="2104" t="s">
        <v>1912</v>
      </c>
      <c r="F3013" s="681">
        <v>2350</v>
      </c>
      <c r="G3013" s="996" t="s">
        <v>716</v>
      </c>
      <c r="H3013" s="1041"/>
      <c r="I3013" s="1040">
        <v>200</v>
      </c>
      <c r="J3013" s="1042"/>
      <c r="K3013" s="1036"/>
      <c r="L3013" s="1045"/>
      <c r="M3013" s="3700">
        <v>200</v>
      </c>
      <c r="N3013" s="2847"/>
      <c r="O3013" s="86"/>
      <c r="P3013" s="1817" t="e">
        <f>INDEX(#REF!,MATCH(F3013,#REF!,0),2)</f>
        <v>#REF!</v>
      </c>
      <c r="Q3013" s="43"/>
      <c r="R3013" s="43"/>
      <c r="S3013" s="43"/>
      <c r="T3013" s="43"/>
      <c r="U3013" s="43"/>
      <c r="V3013" s="43"/>
      <c r="W3013" s="43"/>
      <c r="X3013" s="43"/>
      <c r="Y3013" s="4"/>
      <c r="Z3013" s="4"/>
      <c r="AA3013" s="4"/>
      <c r="AB3013" s="4"/>
      <c r="AC3013" s="4"/>
      <c r="AD3013" s="4"/>
      <c r="AE3013" s="4"/>
      <c r="AF3013" s="4"/>
      <c r="AG3013" s="4"/>
    </row>
    <row r="3014" spans="1:33">
      <c r="A3014" s="424" t="s">
        <v>874</v>
      </c>
      <c r="B3014" s="424" t="s">
        <v>1248</v>
      </c>
      <c r="C3014" s="424" t="s">
        <v>507</v>
      </c>
      <c r="D3014" s="1598"/>
      <c r="E3014" s="2104" t="s">
        <v>1912</v>
      </c>
      <c r="F3014" s="681">
        <v>2350</v>
      </c>
      <c r="G3014" s="996" t="s">
        <v>451</v>
      </c>
      <c r="H3014" s="1041"/>
      <c r="I3014" s="1040">
        <v>200</v>
      </c>
      <c r="J3014" s="1042"/>
      <c r="K3014" s="1036"/>
      <c r="L3014" s="1045"/>
      <c r="M3014" s="3700">
        <v>200</v>
      </c>
      <c r="N3014" s="2847"/>
      <c r="O3014" s="86"/>
      <c r="P3014" s="1817"/>
      <c r="Q3014" s="43"/>
      <c r="R3014" s="43"/>
      <c r="S3014" s="43"/>
      <c r="T3014" s="43"/>
      <c r="U3014" s="43"/>
      <c r="V3014" s="43"/>
      <c r="W3014" s="43"/>
      <c r="X3014" s="43"/>
      <c r="Y3014" s="43"/>
      <c r="Z3014" s="43"/>
      <c r="AA3014" s="43"/>
      <c r="AB3014" s="43"/>
      <c r="AC3014" s="43"/>
      <c r="AD3014" s="43"/>
      <c r="AE3014" s="43"/>
      <c r="AF3014" s="43"/>
      <c r="AG3014" s="43"/>
    </row>
    <row r="3015" spans="1:33" ht="11.45" customHeight="1">
      <c r="A3015" s="424"/>
      <c r="B3015" s="424" t="s">
        <v>1248</v>
      </c>
      <c r="C3015" s="424" t="s">
        <v>507</v>
      </c>
      <c r="D3015" s="1598"/>
      <c r="E3015" s="2104" t="s">
        <v>1912</v>
      </c>
      <c r="F3015" s="681">
        <v>2350</v>
      </c>
      <c r="G3015" s="996" t="s">
        <v>1209</v>
      </c>
      <c r="H3015" s="1041"/>
      <c r="I3015" s="1040">
        <v>700</v>
      </c>
      <c r="J3015" s="1042"/>
      <c r="K3015" s="1036"/>
      <c r="L3015" s="1045"/>
      <c r="M3015" s="3700">
        <v>700</v>
      </c>
      <c r="N3015" s="2847"/>
      <c r="O3015" s="86"/>
      <c r="P3015" s="1817" t="e">
        <f>INDEX(#REF!,MATCH(F3015,#REF!,0),2)</f>
        <v>#REF!</v>
      </c>
      <c r="Q3015" s="43"/>
      <c r="R3015" s="43"/>
      <c r="S3015" s="43"/>
      <c r="T3015" s="43"/>
      <c r="U3015" s="43"/>
      <c r="V3015" s="43"/>
      <c r="W3015" s="43"/>
      <c r="X3015" s="43"/>
      <c r="Y3015" s="4"/>
      <c r="Z3015" s="4"/>
      <c r="AA3015" s="4"/>
      <c r="AB3015" s="4"/>
      <c r="AC3015" s="4"/>
      <c r="AD3015" s="4"/>
      <c r="AE3015" s="4"/>
      <c r="AF3015" s="4"/>
      <c r="AG3015" s="4"/>
    </row>
    <row r="3016" spans="1:33">
      <c r="A3016" s="4200"/>
      <c r="B3016" s="424" t="s">
        <v>1248</v>
      </c>
      <c r="C3016" s="424" t="s">
        <v>507</v>
      </c>
      <c r="D3016" s="1598"/>
      <c r="E3016" s="2104" t="s">
        <v>1912</v>
      </c>
      <c r="F3016" s="681">
        <v>2350</v>
      </c>
      <c r="G3016" s="4178" t="s">
        <v>1180</v>
      </c>
      <c r="H3016" s="3701"/>
      <c r="I3016" s="3679">
        <v>-2200</v>
      </c>
      <c r="J3016" s="3669"/>
      <c r="K3016" s="3670"/>
      <c r="L3016" s="3701"/>
      <c r="M3016" s="4378"/>
      <c r="N3016" s="2847"/>
      <c r="O3016" s="86"/>
      <c r="P3016" s="1817" t="e">
        <f>INDEX(#REF!,MATCH(F3016,#REF!,0),2)</f>
        <v>#REF!</v>
      </c>
      <c r="Q3016" s="43"/>
      <c r="R3016" s="43"/>
      <c r="S3016" s="43"/>
      <c r="T3016" s="43"/>
      <c r="U3016" s="43"/>
      <c r="V3016" s="43"/>
      <c r="W3016" s="43"/>
      <c r="X3016" s="43"/>
      <c r="Y3016" s="43"/>
      <c r="Z3016" s="43"/>
      <c r="AA3016" s="43"/>
      <c r="AB3016" s="43"/>
      <c r="AC3016" s="43"/>
      <c r="AD3016" s="43"/>
      <c r="AE3016" s="43"/>
      <c r="AF3016" s="43"/>
      <c r="AG3016" s="43"/>
    </row>
    <row r="3017" spans="1:33">
      <c r="A3017" s="634"/>
      <c r="B3017" s="634" t="s">
        <v>1248</v>
      </c>
      <c r="C3017" s="634" t="s">
        <v>505</v>
      </c>
      <c r="D3017" s="1597"/>
      <c r="E3017" s="2093" t="s">
        <v>1912</v>
      </c>
      <c r="F3017" s="635">
        <v>2361</v>
      </c>
      <c r="G3017" s="432" t="s">
        <v>3760</v>
      </c>
      <c r="H3017" s="641">
        <v>800</v>
      </c>
      <c r="I3017" s="1688"/>
      <c r="J3017" s="628"/>
      <c r="K3017" s="629"/>
      <c r="L3017" s="641">
        <v>800</v>
      </c>
      <c r="M3017" s="3745"/>
      <c r="N3017" s="2847"/>
      <c r="O3017" s="86"/>
      <c r="P3017" s="1817" t="e">
        <f>INDEX(#REF!,MATCH(F3017,#REF!,0),2)</f>
        <v>#REF!</v>
      </c>
      <c r="Q3017" s="43"/>
      <c r="R3017" s="43"/>
      <c r="S3017" s="43"/>
      <c r="T3017" s="43"/>
      <c r="U3017" s="43"/>
      <c r="V3017" s="43"/>
      <c r="W3017" s="43"/>
      <c r="X3017" s="43"/>
      <c r="Y3017" s="43"/>
      <c r="Z3017" s="43"/>
      <c r="AA3017" s="43"/>
      <c r="AB3017" s="43"/>
      <c r="AC3017" s="43"/>
      <c r="AD3017" s="43"/>
      <c r="AE3017" s="43"/>
      <c r="AF3017" s="43"/>
      <c r="AG3017" s="43"/>
    </row>
    <row r="3018" spans="1:33">
      <c r="A3018" s="424" t="s">
        <v>874</v>
      </c>
      <c r="B3018" s="424" t="s">
        <v>1248</v>
      </c>
      <c r="C3018" s="424" t="s">
        <v>507</v>
      </c>
      <c r="D3018" s="1598"/>
      <c r="E3018" s="2104" t="s">
        <v>1912</v>
      </c>
      <c r="F3018" s="681">
        <v>2361</v>
      </c>
      <c r="G3018" s="2774" t="s">
        <v>5059</v>
      </c>
      <c r="H3018" s="1041"/>
      <c r="I3018" s="1040">
        <v>800</v>
      </c>
      <c r="J3018" s="1042"/>
      <c r="K3018" s="1036"/>
      <c r="L3018" s="1038"/>
      <c r="M3018" s="3700">
        <v>800</v>
      </c>
      <c r="N3018" s="2847"/>
      <c r="O3018" s="86"/>
      <c r="P3018" s="1817" t="e">
        <f>INDEX(#REF!,MATCH(F3018,#REF!,0),2)</f>
        <v>#REF!</v>
      </c>
      <c r="Q3018" s="43"/>
      <c r="R3018" s="43"/>
      <c r="S3018" s="43"/>
      <c r="T3018" s="43"/>
      <c r="U3018" s="43"/>
      <c r="V3018" s="43"/>
      <c r="W3018" s="43"/>
      <c r="X3018" s="43"/>
      <c r="Y3018" s="43"/>
      <c r="Z3018" s="43"/>
      <c r="AA3018" s="43"/>
      <c r="AB3018" s="43"/>
      <c r="AC3018" s="43"/>
      <c r="AD3018" s="43"/>
      <c r="AE3018" s="43"/>
      <c r="AF3018" s="43"/>
      <c r="AG3018" s="43"/>
    </row>
    <row r="3019" spans="1:33">
      <c r="A3019" s="634"/>
      <c r="B3019" s="634" t="s">
        <v>1248</v>
      </c>
      <c r="C3019" s="634" t="s">
        <v>570</v>
      </c>
      <c r="D3019" s="1597"/>
      <c r="E3019" s="2093" t="s">
        <v>1912</v>
      </c>
      <c r="F3019" s="635">
        <v>2361</v>
      </c>
      <c r="G3019" s="432" t="s">
        <v>3759</v>
      </c>
      <c r="H3019" s="641">
        <v>3200</v>
      </c>
      <c r="I3019" s="1688"/>
      <c r="J3019" s="628"/>
      <c r="K3019" s="629"/>
      <c r="L3019" s="641">
        <v>800</v>
      </c>
      <c r="M3019" s="3745"/>
      <c r="N3019" s="2847"/>
      <c r="O3019" s="86"/>
      <c r="P3019" s="1817" t="e">
        <f>INDEX(#REF!,MATCH(F3019,#REF!,0),2)</f>
        <v>#REF!</v>
      </c>
      <c r="Q3019" s="43"/>
      <c r="R3019" s="43"/>
      <c r="S3019" s="43"/>
      <c r="T3019" s="43"/>
      <c r="U3019" s="43"/>
      <c r="V3019" s="43"/>
      <c r="W3019" s="43"/>
      <c r="X3019" s="43"/>
      <c r="Y3019" s="43"/>
      <c r="Z3019" s="43"/>
      <c r="AA3019" s="43"/>
      <c r="AB3019" s="43"/>
      <c r="AC3019" s="43"/>
      <c r="AD3019" s="43"/>
      <c r="AE3019" s="43"/>
      <c r="AF3019" s="43"/>
      <c r="AG3019" s="43"/>
    </row>
    <row r="3020" spans="1:33">
      <c r="A3020" s="424"/>
      <c r="B3020" s="424" t="s">
        <v>1248</v>
      </c>
      <c r="C3020" s="424" t="s">
        <v>570</v>
      </c>
      <c r="D3020" s="1598"/>
      <c r="E3020" s="2104" t="s">
        <v>1912</v>
      </c>
      <c r="F3020" s="438">
        <v>2361</v>
      </c>
      <c r="G3020" s="2761" t="s">
        <v>5083</v>
      </c>
      <c r="H3020" s="491"/>
      <c r="I3020" s="1695"/>
      <c r="J3020" s="496"/>
      <c r="K3020" s="492"/>
      <c r="L3020" s="3740"/>
      <c r="M3020" s="3700"/>
      <c r="N3020" s="2847"/>
      <c r="O3020" s="86"/>
      <c r="P3020" s="1817" t="e">
        <f>INDEX(#REF!,MATCH(F3020,#REF!,0),2)</f>
        <v>#REF!</v>
      </c>
      <c r="Q3020" s="43"/>
      <c r="R3020" s="43"/>
      <c r="S3020" s="43"/>
      <c r="T3020" s="43"/>
      <c r="U3020" s="43"/>
      <c r="V3020" s="43"/>
      <c r="W3020" s="43"/>
      <c r="X3020" s="43"/>
      <c r="Y3020" s="43"/>
      <c r="Z3020" s="43"/>
      <c r="AA3020" s="43"/>
      <c r="AB3020" s="43"/>
      <c r="AC3020" s="43"/>
      <c r="AD3020" s="43"/>
      <c r="AE3020" s="43"/>
      <c r="AF3020" s="43"/>
      <c r="AG3020" s="43"/>
    </row>
    <row r="3021" spans="1:33">
      <c r="A3021" s="2790"/>
      <c r="B3021" s="424" t="s">
        <v>1248</v>
      </c>
      <c r="C3021" s="424" t="s">
        <v>570</v>
      </c>
      <c r="D3021" s="1598"/>
      <c r="E3021" s="2104" t="s">
        <v>1912</v>
      </c>
      <c r="F3021" s="438">
        <v>2361</v>
      </c>
      <c r="G3021" s="2774" t="s">
        <v>5084</v>
      </c>
      <c r="H3021" s="3701"/>
      <c r="I3021" s="3679"/>
      <c r="J3021" s="3669"/>
      <c r="K3021" s="3670"/>
      <c r="L3021" s="3681"/>
      <c r="M3021" s="3588">
        <v>250</v>
      </c>
      <c r="N3021" s="2847"/>
      <c r="O3021" s="86"/>
      <c r="P3021" s="1817" t="e">
        <f>INDEX(#REF!,MATCH(F3021,#REF!,0),2)</f>
        <v>#REF!</v>
      </c>
      <c r="Q3021" s="43"/>
      <c r="R3021" s="43"/>
      <c r="S3021" s="43"/>
      <c r="T3021" s="43"/>
      <c r="U3021" s="43"/>
      <c r="V3021" s="43"/>
      <c r="W3021" s="43"/>
      <c r="X3021" s="43"/>
      <c r="Y3021" s="43"/>
      <c r="Z3021" s="43"/>
      <c r="AA3021" s="43"/>
      <c r="AB3021" s="43"/>
      <c r="AC3021" s="43"/>
      <c r="AD3021" s="43"/>
      <c r="AE3021" s="43"/>
      <c r="AF3021" s="43"/>
      <c r="AG3021" s="43"/>
    </row>
    <row r="3022" spans="1:33">
      <c r="A3022" s="2790"/>
      <c r="B3022" s="424" t="s">
        <v>1248</v>
      </c>
      <c r="C3022" s="424" t="s">
        <v>570</v>
      </c>
      <c r="D3022" s="1598"/>
      <c r="E3022" s="2104" t="s">
        <v>1912</v>
      </c>
      <c r="F3022" s="438">
        <v>2361</v>
      </c>
      <c r="G3022" s="2774" t="s">
        <v>5085</v>
      </c>
      <c r="H3022" s="3701"/>
      <c r="I3022" s="3679"/>
      <c r="J3022" s="3669"/>
      <c r="K3022" s="3670"/>
      <c r="L3022" s="3681"/>
      <c r="M3022" s="3588">
        <v>250</v>
      </c>
      <c r="N3022" s="2847"/>
      <c r="O3022" s="86"/>
      <c r="P3022" s="1817" t="e">
        <f>INDEX(#REF!,MATCH(F3022,#REF!,0),2)</f>
        <v>#REF!</v>
      </c>
      <c r="Q3022" s="43"/>
      <c r="R3022" s="43"/>
      <c r="S3022" s="43"/>
      <c r="T3022" s="43"/>
      <c r="U3022" s="43"/>
      <c r="V3022" s="43"/>
      <c r="W3022" s="43"/>
      <c r="X3022" s="43"/>
      <c r="Y3022" s="43"/>
      <c r="Z3022" s="43"/>
      <c r="AA3022" s="43"/>
      <c r="AB3022" s="43"/>
      <c r="AC3022" s="43"/>
      <c r="AD3022" s="43"/>
      <c r="AE3022" s="43"/>
      <c r="AF3022" s="43"/>
      <c r="AG3022" s="43"/>
    </row>
    <row r="3023" spans="1:33" ht="11.45" customHeight="1">
      <c r="A3023" s="2790"/>
      <c r="B3023" s="424" t="s">
        <v>1248</v>
      </c>
      <c r="C3023" s="424" t="s">
        <v>570</v>
      </c>
      <c r="D3023" s="1598"/>
      <c r="E3023" s="2104" t="s">
        <v>1912</v>
      </c>
      <c r="F3023" s="438">
        <v>2361</v>
      </c>
      <c r="G3023" s="2774" t="s">
        <v>5086</v>
      </c>
      <c r="H3023" s="3701"/>
      <c r="I3023" s="3679"/>
      <c r="J3023" s="3669"/>
      <c r="K3023" s="3670"/>
      <c r="L3023" s="3681"/>
      <c r="M3023" s="3588">
        <v>300</v>
      </c>
      <c r="N3023" s="2847"/>
      <c r="O3023" s="86"/>
      <c r="P3023" s="1817" t="e">
        <f>INDEX(#REF!,MATCH(F3023,#REF!,0),2)</f>
        <v>#REF!</v>
      </c>
      <c r="Q3023" s="43"/>
      <c r="R3023" s="43"/>
      <c r="S3023" s="43"/>
      <c r="T3023" s="43"/>
      <c r="U3023" s="43"/>
      <c r="V3023" s="43"/>
      <c r="W3023" s="43"/>
      <c r="X3023" s="43"/>
      <c r="Y3023" s="4"/>
      <c r="Z3023" s="4"/>
      <c r="AA3023" s="4"/>
      <c r="AB3023" s="4"/>
      <c r="AC3023" s="4"/>
      <c r="AD3023" s="4"/>
      <c r="AE3023" s="4"/>
      <c r="AF3023" s="4"/>
      <c r="AG3023" s="4"/>
    </row>
    <row r="3024" spans="1:33" ht="19.899999999999999" customHeight="1">
      <c r="A3024" s="992"/>
      <c r="B3024" s="424" t="s">
        <v>1248</v>
      </c>
      <c r="C3024" s="424" t="s">
        <v>570</v>
      </c>
      <c r="D3024" s="1620"/>
      <c r="E3024" s="2104" t="s">
        <v>1912</v>
      </c>
      <c r="F3024" s="438">
        <v>2361</v>
      </c>
      <c r="G3024" s="1713" t="s">
        <v>2360</v>
      </c>
      <c r="H3024" s="1045"/>
      <c r="I3024" s="1693">
        <v>400</v>
      </c>
      <c r="J3024" s="1035"/>
      <c r="K3024" s="1036"/>
      <c r="L3024" s="1045"/>
      <c r="M3024" s="3714"/>
      <c r="N3024" s="2847"/>
      <c r="O3024" s="86"/>
      <c r="P3024" s="1817" t="e">
        <f>INDEX(#REF!,MATCH(F3024,#REF!,0),2)</f>
        <v>#REF!</v>
      </c>
      <c r="Q3024" s="43"/>
      <c r="R3024" s="43"/>
      <c r="S3024" s="43"/>
      <c r="T3024" s="43"/>
      <c r="U3024" s="43"/>
      <c r="V3024" s="43"/>
      <c r="W3024" s="43"/>
      <c r="X3024" s="43"/>
      <c r="Y3024" s="43"/>
      <c r="Z3024" s="43"/>
      <c r="AA3024" s="43"/>
      <c r="AB3024" s="43"/>
      <c r="AC3024" s="43"/>
      <c r="AD3024" s="43"/>
      <c r="AE3024" s="43"/>
      <c r="AF3024" s="43"/>
      <c r="AG3024" s="43"/>
    </row>
    <row r="3025" spans="1:33" ht="11.45" customHeight="1">
      <c r="A3025" s="992"/>
      <c r="B3025" s="424" t="s">
        <v>1248</v>
      </c>
      <c r="C3025" s="424" t="s">
        <v>570</v>
      </c>
      <c r="D3025" s="1620"/>
      <c r="E3025" s="2104" t="s">
        <v>1912</v>
      </c>
      <c r="F3025" s="438">
        <v>2361</v>
      </c>
      <c r="G3025" s="1713" t="s">
        <v>2361</v>
      </c>
      <c r="H3025" s="1045"/>
      <c r="I3025" s="1693">
        <v>1400</v>
      </c>
      <c r="J3025" s="1035"/>
      <c r="K3025" s="1036"/>
      <c r="L3025" s="1045"/>
      <c r="M3025" s="3714"/>
      <c r="N3025" s="2847"/>
      <c r="O3025" s="86"/>
      <c r="P3025" s="1817" t="e">
        <f>INDEX(#REF!,MATCH(F3025,#REF!,0),2)</f>
        <v>#REF!</v>
      </c>
      <c r="Q3025" s="43"/>
      <c r="R3025" s="43"/>
      <c r="S3025" s="43"/>
      <c r="T3025" s="43"/>
      <c r="U3025" s="43"/>
      <c r="V3025" s="43"/>
      <c r="W3025" s="43"/>
      <c r="X3025" s="43"/>
      <c r="Y3025" s="43"/>
      <c r="Z3025" s="43"/>
      <c r="AA3025" s="43"/>
      <c r="AB3025" s="43"/>
      <c r="AC3025" s="43"/>
      <c r="AD3025" s="43"/>
      <c r="AE3025" s="43"/>
      <c r="AF3025" s="43"/>
      <c r="AG3025" s="43"/>
    </row>
    <row r="3026" spans="1:33" ht="15" customHeight="1">
      <c r="A3026" s="992"/>
      <c r="B3026" s="424" t="s">
        <v>1248</v>
      </c>
      <c r="C3026" s="424" t="s">
        <v>570</v>
      </c>
      <c r="D3026" s="1620"/>
      <c r="E3026" s="2104" t="s">
        <v>1912</v>
      </c>
      <c r="F3026" s="438">
        <v>2361</v>
      </c>
      <c r="G3026" s="1713" t="s">
        <v>2362</v>
      </c>
      <c r="H3026" s="1045"/>
      <c r="I3026" s="1693">
        <v>1400</v>
      </c>
      <c r="J3026" s="1035"/>
      <c r="K3026" s="1036"/>
      <c r="L3026" s="1045"/>
      <c r="M3026" s="2462"/>
      <c r="N3026" s="2847"/>
      <c r="O3026" s="86"/>
      <c r="P3026" s="1817" t="e">
        <f>INDEX(#REF!,MATCH(F3026,#REF!,0),2)</f>
        <v>#REF!</v>
      </c>
      <c r="Q3026" s="43"/>
      <c r="R3026" s="43"/>
      <c r="S3026" s="43"/>
      <c r="T3026" s="43"/>
      <c r="U3026" s="43"/>
      <c r="V3026" s="43"/>
      <c r="W3026" s="43"/>
      <c r="X3026" s="43"/>
      <c r="Y3026" s="43"/>
      <c r="Z3026" s="43"/>
      <c r="AA3026" s="43"/>
      <c r="AB3026" s="43"/>
      <c r="AC3026" s="43"/>
      <c r="AD3026" s="43"/>
      <c r="AE3026" s="43"/>
      <c r="AF3026" s="43"/>
      <c r="AG3026" s="43"/>
    </row>
    <row r="3027" spans="1:33" ht="20.45" customHeight="1">
      <c r="A3027" s="634"/>
      <c r="B3027" s="634" t="s">
        <v>1248</v>
      </c>
      <c r="C3027" s="634" t="s">
        <v>507</v>
      </c>
      <c r="D3027" s="1597">
        <v>950</v>
      </c>
      <c r="E3027" s="2093" t="s">
        <v>1912</v>
      </c>
      <c r="F3027" s="635">
        <v>2370</v>
      </c>
      <c r="G3027" s="432" t="s">
        <v>365</v>
      </c>
      <c r="H3027" s="641">
        <v>30700</v>
      </c>
      <c r="I3027" s="1688"/>
      <c r="J3027" s="628">
        <v>42101.82</v>
      </c>
      <c r="K3027" s="629"/>
      <c r="L3027" s="641">
        <v>34400</v>
      </c>
      <c r="M3027" s="678"/>
      <c r="N3027" s="2847"/>
      <c r="O3027" s="86"/>
      <c r="P3027" s="1817" t="e">
        <f>INDEX(#REF!,MATCH(F3027,#REF!,0),2)</f>
        <v>#REF!</v>
      </c>
      <c r="Q3027" s="43"/>
      <c r="R3027" s="43"/>
      <c r="S3027" s="43"/>
      <c r="T3027" s="43"/>
      <c r="U3027" s="43"/>
      <c r="V3027" s="43"/>
      <c r="W3027" s="43"/>
      <c r="X3027" s="43"/>
      <c r="Y3027" s="43"/>
      <c r="Z3027" s="43"/>
      <c r="AA3027" s="43"/>
      <c r="AB3027" s="43"/>
      <c r="AC3027" s="43"/>
      <c r="AD3027" s="43"/>
      <c r="AE3027" s="43"/>
      <c r="AF3027" s="43"/>
      <c r="AG3027" s="43"/>
    </row>
    <row r="3028" spans="1:33" ht="20.45" customHeight="1">
      <c r="A3028" s="424"/>
      <c r="B3028" s="424" t="s">
        <v>1248</v>
      </c>
      <c r="C3028" s="424" t="s">
        <v>507</v>
      </c>
      <c r="D3028" s="1598"/>
      <c r="E3028" s="2104" t="s">
        <v>1912</v>
      </c>
      <c r="F3028" s="438">
        <v>2370</v>
      </c>
      <c r="G3028" s="2774" t="s">
        <v>1048</v>
      </c>
      <c r="H3028" s="1041"/>
      <c r="I3028" s="1040">
        <v>200</v>
      </c>
      <c r="J3028" s="1042"/>
      <c r="K3028" s="1043"/>
      <c r="L3028" s="1041"/>
      <c r="M3028" s="3700">
        <v>200</v>
      </c>
      <c r="N3028" s="2847"/>
      <c r="O3028" s="86"/>
      <c r="P3028" s="1817" t="e">
        <f>INDEX(#REF!,MATCH(F3028,#REF!,0),2)</f>
        <v>#REF!</v>
      </c>
      <c r="Q3028" s="43"/>
      <c r="R3028" s="43"/>
      <c r="S3028" s="43"/>
      <c r="T3028" s="43"/>
      <c r="U3028" s="43"/>
      <c r="V3028" s="43"/>
      <c r="W3028" s="43"/>
      <c r="X3028" s="43"/>
      <c r="Y3028" s="43"/>
      <c r="Z3028" s="43"/>
      <c r="AA3028" s="43"/>
      <c r="AB3028" s="43"/>
      <c r="AC3028" s="43"/>
      <c r="AD3028" s="43"/>
      <c r="AE3028" s="43"/>
      <c r="AF3028" s="43"/>
      <c r="AG3028" s="43"/>
    </row>
    <row r="3029" spans="1:33" ht="11.45" customHeight="1">
      <c r="A3029" s="424"/>
      <c r="B3029" s="424" t="s">
        <v>1248</v>
      </c>
      <c r="C3029" s="424" t="s">
        <v>507</v>
      </c>
      <c r="D3029" s="1598"/>
      <c r="E3029" s="2104" t="s">
        <v>1912</v>
      </c>
      <c r="F3029" s="438">
        <v>2370</v>
      </c>
      <c r="G3029" s="2774" t="s">
        <v>1049</v>
      </c>
      <c r="H3029" s="1041"/>
      <c r="I3029" s="1040">
        <v>400</v>
      </c>
      <c r="J3029" s="1042"/>
      <c r="K3029" s="1043"/>
      <c r="L3029" s="1041"/>
      <c r="M3029" s="3700">
        <v>1800</v>
      </c>
      <c r="N3029" s="2847"/>
      <c r="O3029" s="86"/>
      <c r="P3029" s="1817" t="e">
        <f>INDEX(#REF!,MATCH(F3029,#REF!,0),2)</f>
        <v>#REF!</v>
      </c>
      <c r="Q3029" s="43"/>
      <c r="R3029" s="43"/>
      <c r="S3029" s="43"/>
      <c r="T3029" s="43"/>
      <c r="U3029" s="43"/>
      <c r="V3029" s="43"/>
      <c r="W3029" s="43"/>
      <c r="X3029" s="43"/>
      <c r="Y3029" s="43"/>
      <c r="Z3029" s="43"/>
      <c r="AA3029" s="43"/>
      <c r="AB3029" s="43"/>
      <c r="AC3029" s="43"/>
      <c r="AD3029" s="43"/>
      <c r="AE3029" s="43"/>
      <c r="AF3029" s="43"/>
      <c r="AG3029" s="43"/>
    </row>
    <row r="3030" spans="1:33" ht="19.899999999999999" customHeight="1">
      <c r="A3030" s="424"/>
      <c r="B3030" s="424" t="s">
        <v>1248</v>
      </c>
      <c r="C3030" s="424" t="s">
        <v>507</v>
      </c>
      <c r="D3030" s="1598"/>
      <c r="E3030" s="2104" t="s">
        <v>1912</v>
      </c>
      <c r="F3030" s="438">
        <v>2370</v>
      </c>
      <c r="G3030" s="2774" t="s">
        <v>1050</v>
      </c>
      <c r="H3030" s="1041"/>
      <c r="I3030" s="1040">
        <v>1000</v>
      </c>
      <c r="J3030" s="1042"/>
      <c r="K3030" s="1043"/>
      <c r="L3030" s="1041"/>
      <c r="M3030" s="3700">
        <v>1000</v>
      </c>
      <c r="N3030" s="2847"/>
      <c r="O3030" s="86"/>
      <c r="P3030" s="1817" t="e">
        <f>INDEX(#REF!,MATCH(F3030,#REF!,0),2)</f>
        <v>#REF!</v>
      </c>
      <c r="Q3030" s="43"/>
      <c r="R3030" s="43"/>
      <c r="S3030" s="43"/>
      <c r="T3030" s="43"/>
      <c r="U3030" s="43"/>
      <c r="V3030" s="43"/>
      <c r="W3030" s="43"/>
      <c r="X3030" s="43"/>
      <c r="Y3030" s="43"/>
      <c r="Z3030" s="43"/>
      <c r="AA3030" s="43"/>
      <c r="AB3030" s="43"/>
      <c r="AC3030" s="43"/>
      <c r="AD3030" s="43"/>
      <c r="AE3030" s="43"/>
      <c r="AF3030" s="43"/>
      <c r="AG3030" s="43"/>
    </row>
    <row r="3031" spans="1:33" s="369" customFormat="1" ht="12" customHeight="1">
      <c r="A3031" s="424"/>
      <c r="B3031" s="424" t="s">
        <v>1248</v>
      </c>
      <c r="C3031" s="424" t="s">
        <v>507</v>
      </c>
      <c r="D3031" s="1598"/>
      <c r="E3031" s="2104" t="s">
        <v>1912</v>
      </c>
      <c r="F3031" s="438">
        <v>2370</v>
      </c>
      <c r="G3031" s="2774" t="s">
        <v>5096</v>
      </c>
      <c r="H3031" s="1041"/>
      <c r="I3031" s="1040">
        <v>900</v>
      </c>
      <c r="J3031" s="1042"/>
      <c r="K3031" s="1043"/>
      <c r="L3031" s="1041"/>
      <c r="M3031" s="4300">
        <v>1500</v>
      </c>
      <c r="N3031" s="241" t="s">
        <v>5156</v>
      </c>
      <c r="O3031" s="86"/>
      <c r="P3031" s="1817" t="e">
        <f>INDEX(#REF!,MATCH(F3031,#REF!,0),2)</f>
        <v>#REF!</v>
      </c>
      <c r="W3031" s="1814"/>
    </row>
    <row r="3032" spans="1:33" s="369" customFormat="1" ht="12" customHeight="1">
      <c r="A3032" s="424"/>
      <c r="B3032" s="424" t="s">
        <v>1248</v>
      </c>
      <c r="C3032" s="424" t="s">
        <v>507</v>
      </c>
      <c r="D3032" s="1598"/>
      <c r="E3032" s="2104" t="s">
        <v>1912</v>
      </c>
      <c r="F3032" s="438">
        <v>2370</v>
      </c>
      <c r="G3032" s="2774" t="s">
        <v>641</v>
      </c>
      <c r="H3032" s="1041"/>
      <c r="I3032" s="1040">
        <v>700</v>
      </c>
      <c r="J3032" s="1042"/>
      <c r="K3032" s="1043"/>
      <c r="L3032" s="1041"/>
      <c r="M3032" s="3700">
        <v>700</v>
      </c>
      <c r="N3032" s="2847"/>
      <c r="O3032" s="86"/>
      <c r="P3032" s="1817" t="e">
        <f>INDEX(#REF!,MATCH(F3032,#REF!,0),2)</f>
        <v>#REF!</v>
      </c>
      <c r="W3032" s="1814"/>
    </row>
    <row r="3033" spans="1:33" s="369" customFormat="1" ht="12" customHeight="1">
      <c r="A3033" s="424"/>
      <c r="B3033" s="424" t="s">
        <v>1248</v>
      </c>
      <c r="C3033" s="424" t="s">
        <v>507</v>
      </c>
      <c r="D3033" s="1598"/>
      <c r="E3033" s="2104" t="s">
        <v>1912</v>
      </c>
      <c r="F3033" s="438">
        <v>2370</v>
      </c>
      <c r="G3033" s="2774" t="s">
        <v>1051</v>
      </c>
      <c r="H3033" s="1041"/>
      <c r="I3033" s="1040">
        <v>2800</v>
      </c>
      <c r="J3033" s="1042"/>
      <c r="K3033" s="1043"/>
      <c r="L3033" s="1041"/>
      <c r="M3033" s="3700">
        <v>2250</v>
      </c>
      <c r="N3033" s="2847"/>
      <c r="O3033" s="86"/>
      <c r="P3033" s="1817" t="e">
        <f>INDEX(#REF!,MATCH(F3033,#REF!,0),2)</f>
        <v>#REF!</v>
      </c>
      <c r="W3033" s="1814"/>
    </row>
    <row r="3034" spans="1:33" ht="19.899999999999999" customHeight="1">
      <c r="A3034" s="424"/>
      <c r="B3034" s="424" t="s">
        <v>1248</v>
      </c>
      <c r="C3034" s="424" t="s">
        <v>507</v>
      </c>
      <c r="D3034" s="1598"/>
      <c r="E3034" s="2104" t="s">
        <v>1912</v>
      </c>
      <c r="F3034" s="438">
        <v>2370</v>
      </c>
      <c r="G3034" s="2774" t="s">
        <v>5095</v>
      </c>
      <c r="H3034" s="1041"/>
      <c r="I3034" s="1040">
        <v>400</v>
      </c>
      <c r="J3034" s="1042"/>
      <c r="K3034" s="1043"/>
      <c r="L3034" s="1041"/>
      <c r="M3034" s="3700">
        <v>550</v>
      </c>
      <c r="N3034" s="2847"/>
      <c r="O3034" s="86"/>
      <c r="P3034" s="1817" t="e">
        <f>INDEX(#REF!,MATCH(F3034,#REF!,0),2)</f>
        <v>#REF!</v>
      </c>
      <c r="Q3034" s="4"/>
      <c r="R3034" s="4"/>
      <c r="S3034" s="4"/>
      <c r="T3034" s="4"/>
      <c r="U3034" s="4"/>
      <c r="V3034" s="4"/>
      <c r="W3034" s="4"/>
      <c r="X3034" s="4"/>
      <c r="Y3034" s="4"/>
      <c r="Z3034" s="4"/>
      <c r="AA3034" s="4"/>
      <c r="AB3034" s="4"/>
      <c r="AC3034" s="4"/>
      <c r="AD3034" s="4"/>
      <c r="AE3034" s="4"/>
      <c r="AF3034" s="4"/>
      <c r="AG3034" s="4"/>
    </row>
    <row r="3035" spans="1:33" ht="19.899999999999999" customHeight="1">
      <c r="A3035" s="424"/>
      <c r="B3035" s="424" t="s">
        <v>1248</v>
      </c>
      <c r="C3035" s="424" t="s">
        <v>507</v>
      </c>
      <c r="D3035" s="1598"/>
      <c r="E3035" s="2104" t="s">
        <v>1912</v>
      </c>
      <c r="F3035" s="438">
        <v>2370</v>
      </c>
      <c r="G3035" s="996" t="s">
        <v>1463</v>
      </c>
      <c r="H3035" s="1041"/>
      <c r="I3035" s="1040">
        <v>800</v>
      </c>
      <c r="J3035" s="1042"/>
      <c r="K3035" s="1043"/>
      <c r="L3035" s="1041"/>
      <c r="M3035" s="3700">
        <v>600</v>
      </c>
      <c r="N3035" s="2847"/>
      <c r="O3035" s="86"/>
      <c r="P3035" s="1817" t="e">
        <f>INDEX(#REF!,MATCH(F3035,#REF!,0),2)</f>
        <v>#REF!</v>
      </c>
      <c r="Q3035" s="43"/>
      <c r="R3035" s="43"/>
      <c r="S3035" s="43"/>
      <c r="T3035" s="43"/>
      <c r="U3035" s="43"/>
      <c r="V3035" s="43"/>
      <c r="W3035" s="43"/>
      <c r="X3035" s="43"/>
      <c r="Y3035" s="43"/>
      <c r="Z3035" s="43"/>
      <c r="AA3035" s="43"/>
      <c r="AB3035" s="43"/>
      <c r="AC3035" s="43"/>
      <c r="AD3035" s="43"/>
      <c r="AE3035" s="43"/>
      <c r="AF3035" s="43"/>
      <c r="AG3035" s="43"/>
    </row>
    <row r="3036" spans="1:33" s="369" customFormat="1" ht="12" customHeight="1">
      <c r="A3036" s="1563"/>
      <c r="B3036" s="424" t="s">
        <v>1248</v>
      </c>
      <c r="C3036" s="424" t="s">
        <v>507</v>
      </c>
      <c r="D3036" s="1598"/>
      <c r="E3036" s="2104" t="s">
        <v>1912</v>
      </c>
      <c r="F3036" s="438">
        <v>2370</v>
      </c>
      <c r="G3036" s="996" t="s">
        <v>2368</v>
      </c>
      <c r="H3036" s="1699"/>
      <c r="I3036" s="1700">
        <v>100</v>
      </c>
      <c r="J3036" s="1704"/>
      <c r="K3036" s="1702"/>
      <c r="L3036" s="1699"/>
      <c r="M3036" s="3700">
        <v>100</v>
      </c>
      <c r="N3036" s="2847"/>
      <c r="O3036" s="86"/>
      <c r="P3036" s="1817" t="e">
        <f>INDEX(#REF!,MATCH(F3036,#REF!,0),2)</f>
        <v>#REF!</v>
      </c>
      <c r="W3036" s="1814"/>
    </row>
    <row r="3037" spans="1:33" s="369" customFormat="1" ht="13.9" customHeight="1">
      <c r="A3037" s="1563"/>
      <c r="B3037" s="424" t="s">
        <v>1248</v>
      </c>
      <c r="C3037" s="424" t="s">
        <v>507</v>
      </c>
      <c r="D3037" s="1598"/>
      <c r="E3037" s="2104" t="s">
        <v>1912</v>
      </c>
      <c r="F3037" s="438">
        <v>2370</v>
      </c>
      <c r="G3037" s="996" t="s">
        <v>2369</v>
      </c>
      <c r="H3037" s="1699"/>
      <c r="I3037" s="1700">
        <v>4500</v>
      </c>
      <c r="J3037" s="1704"/>
      <c r="K3037" s="1702"/>
      <c r="L3037" s="1699"/>
      <c r="M3037" s="3700">
        <v>2000</v>
      </c>
      <c r="N3037" s="2847"/>
      <c r="O3037" s="86"/>
      <c r="P3037" s="1817" t="e">
        <f>INDEX(#REF!,MATCH(F3037,#REF!,0),2)</f>
        <v>#REF!</v>
      </c>
      <c r="W3037" s="1814"/>
    </row>
    <row r="3038" spans="1:33" s="369" customFormat="1" ht="20.45" customHeight="1">
      <c r="A3038" s="424"/>
      <c r="B3038" s="424" t="s">
        <v>1248</v>
      </c>
      <c r="C3038" s="424" t="s">
        <v>507</v>
      </c>
      <c r="D3038" s="1598"/>
      <c r="E3038" s="2104" t="s">
        <v>1912</v>
      </c>
      <c r="F3038" s="438">
        <v>2370</v>
      </c>
      <c r="G3038" s="2774" t="s">
        <v>5097</v>
      </c>
      <c r="H3038" s="1041"/>
      <c r="I3038" s="1040">
        <v>900</v>
      </c>
      <c r="J3038" s="1042"/>
      <c r="K3038" s="1043"/>
      <c r="L3038" s="1041"/>
      <c r="M3038" s="3746">
        <v>3300</v>
      </c>
      <c r="N3038" s="2847"/>
      <c r="O3038" s="86"/>
      <c r="P3038" s="1817" t="e">
        <f>INDEX(#REF!,MATCH(F3038,#REF!,0),2)</f>
        <v>#REF!</v>
      </c>
      <c r="W3038" s="1814"/>
    </row>
    <row r="3039" spans="1:33" s="369" customFormat="1" ht="25.9" customHeight="1">
      <c r="A3039" s="424"/>
      <c r="B3039" s="424" t="s">
        <v>1248</v>
      </c>
      <c r="C3039" s="424" t="s">
        <v>507</v>
      </c>
      <c r="D3039" s="1598"/>
      <c r="E3039" s="2104" t="s">
        <v>1912</v>
      </c>
      <c r="F3039" s="438">
        <v>2370</v>
      </c>
      <c r="G3039" s="2774" t="s">
        <v>5098</v>
      </c>
      <c r="H3039" s="1041"/>
      <c r="I3039" s="1040">
        <v>1000</v>
      </c>
      <c r="J3039" s="1042"/>
      <c r="K3039" s="1043"/>
      <c r="L3039" s="1041"/>
      <c r="M3039" s="3746">
        <v>1400</v>
      </c>
      <c r="N3039" s="2847"/>
      <c r="O3039" s="86"/>
      <c r="P3039" s="1817" t="e">
        <f>INDEX(#REF!,MATCH(F3039,#REF!,0),2)</f>
        <v>#REF!</v>
      </c>
      <c r="W3039" s="1814"/>
    </row>
    <row r="3040" spans="1:33" s="369" customFormat="1" ht="20.45" customHeight="1">
      <c r="A3040" s="424"/>
      <c r="B3040" s="424" t="s">
        <v>1248</v>
      </c>
      <c r="C3040" s="424" t="s">
        <v>507</v>
      </c>
      <c r="D3040" s="1598"/>
      <c r="E3040" s="2104" t="s">
        <v>1912</v>
      </c>
      <c r="F3040" s="438">
        <v>2370</v>
      </c>
      <c r="G3040" s="996" t="s">
        <v>447</v>
      </c>
      <c r="H3040" s="1056"/>
      <c r="I3040" s="1714">
        <v>17000</v>
      </c>
      <c r="J3040" s="1057"/>
      <c r="K3040" s="1058"/>
      <c r="L3040" s="2464"/>
      <c r="M3040" s="3746">
        <v>19000</v>
      </c>
      <c r="N3040" s="2847"/>
      <c r="O3040" s="86"/>
      <c r="P3040" s="1817" t="e">
        <f>INDEX(#REF!,MATCH(F3040,#REF!,0),2)</f>
        <v>#REF!</v>
      </c>
      <c r="W3040" s="1814"/>
    </row>
    <row r="3041" spans="1:33" ht="28.9" customHeight="1">
      <c r="A3041" s="634"/>
      <c r="B3041" s="634" t="s">
        <v>512</v>
      </c>
      <c r="C3041" s="634" t="s">
        <v>506</v>
      </c>
      <c r="D3041" s="1597">
        <v>950</v>
      </c>
      <c r="E3041" s="2093" t="s">
        <v>1913</v>
      </c>
      <c r="F3041" s="635">
        <v>2370</v>
      </c>
      <c r="G3041" s="432" t="s">
        <v>365</v>
      </c>
      <c r="H3041" s="955">
        <v>6800</v>
      </c>
      <c r="I3041" s="679"/>
      <c r="J3041" s="628"/>
      <c r="K3041" s="629"/>
      <c r="L3041" s="1504">
        <v>6800</v>
      </c>
      <c r="M3041" s="678"/>
      <c r="N3041" s="2847"/>
      <c r="O3041" s="86"/>
      <c r="P3041" s="1817" t="e">
        <f>INDEX(#REF!,MATCH(F3041,#REF!,0),2)</f>
        <v>#REF!</v>
      </c>
      <c r="Q3041" s="43"/>
      <c r="R3041" s="43"/>
      <c r="S3041" s="43"/>
      <c r="T3041" s="43"/>
      <c r="U3041" s="43"/>
      <c r="V3041" s="43"/>
      <c r="W3041" s="43"/>
      <c r="X3041" s="43"/>
      <c r="Y3041" s="43"/>
      <c r="Z3041" s="43"/>
      <c r="AA3041" s="43"/>
      <c r="AB3041" s="43"/>
      <c r="AC3041" s="43"/>
      <c r="AD3041" s="43"/>
      <c r="AE3041" s="43"/>
      <c r="AF3041" s="43"/>
      <c r="AG3041" s="43"/>
    </row>
    <row r="3042" spans="1:33">
      <c r="A3042" s="424"/>
      <c r="B3042" s="424" t="s">
        <v>512</v>
      </c>
      <c r="C3042" s="424" t="s">
        <v>506</v>
      </c>
      <c r="D3042" s="1598"/>
      <c r="E3042" s="2104" t="s">
        <v>1913</v>
      </c>
      <c r="F3042" s="438">
        <v>2370</v>
      </c>
      <c r="G3042" s="440" t="s">
        <v>1681</v>
      </c>
      <c r="H3042" s="960"/>
      <c r="I3042" s="686">
        <v>43038</v>
      </c>
      <c r="J3042" s="537"/>
      <c r="K3042" s="538"/>
      <c r="L3042" s="1517"/>
      <c r="M3042" s="1518">
        <v>43038</v>
      </c>
      <c r="N3042" s="2847"/>
      <c r="O3042" s="86"/>
      <c r="P3042" s="1817" t="e">
        <f>INDEX(#REF!,MATCH(F3042,#REF!,0),2)</f>
        <v>#REF!</v>
      </c>
      <c r="Q3042" s="43"/>
      <c r="R3042" s="43"/>
      <c r="S3042" s="43"/>
      <c r="T3042" s="43"/>
      <c r="U3042" s="43"/>
      <c r="V3042" s="43"/>
      <c r="W3042" s="43"/>
      <c r="X3042" s="43"/>
      <c r="Y3042" s="43"/>
      <c r="Z3042" s="43"/>
      <c r="AA3042" s="43"/>
      <c r="AB3042" s="43"/>
      <c r="AC3042" s="43"/>
      <c r="AD3042" s="43"/>
      <c r="AE3042" s="43"/>
      <c r="AF3042" s="43"/>
      <c r="AG3042" s="43"/>
    </row>
    <row r="3043" spans="1:33" ht="11.45" customHeight="1">
      <c r="A3043" s="1882"/>
      <c r="B3043" s="424" t="s">
        <v>512</v>
      </c>
      <c r="C3043" s="424" t="s">
        <v>506</v>
      </c>
      <c r="D3043" s="1598"/>
      <c r="E3043" s="2104" t="s">
        <v>1913</v>
      </c>
      <c r="F3043" s="438">
        <v>2370</v>
      </c>
      <c r="G3043" s="440" t="s">
        <v>3239</v>
      </c>
      <c r="H3043" s="2368"/>
      <c r="I3043" s="2303">
        <v>-38292</v>
      </c>
      <c r="J3043" s="1571"/>
      <c r="K3043" s="1645"/>
      <c r="L3043" s="2466"/>
      <c r="M3043" s="2467">
        <v>-38292</v>
      </c>
      <c r="N3043" s="2847"/>
      <c r="O3043" s="86"/>
      <c r="P3043" s="1817" t="e">
        <f>INDEX(#REF!,MATCH(F3043,#REF!,0),2)</f>
        <v>#REF!</v>
      </c>
      <c r="Q3043" s="43"/>
      <c r="R3043" s="43"/>
      <c r="S3043" s="43"/>
      <c r="T3043" s="43"/>
      <c r="U3043" s="43"/>
      <c r="V3043" s="43"/>
      <c r="W3043" s="43"/>
      <c r="X3043" s="43"/>
      <c r="Y3043" s="43"/>
      <c r="Z3043" s="43"/>
      <c r="AA3043" s="43"/>
      <c r="AB3043" s="43"/>
      <c r="AC3043" s="43"/>
      <c r="AD3043" s="43"/>
      <c r="AE3043" s="43"/>
      <c r="AF3043" s="43"/>
      <c r="AG3043" s="43"/>
    </row>
    <row r="3044" spans="1:33" ht="11.45" customHeight="1">
      <c r="A3044" s="424"/>
      <c r="B3044" s="424" t="s">
        <v>512</v>
      </c>
      <c r="C3044" s="424" t="s">
        <v>506</v>
      </c>
      <c r="D3044" s="1598"/>
      <c r="E3044" s="2104" t="s">
        <v>1913</v>
      </c>
      <c r="F3044" s="438">
        <v>2370</v>
      </c>
      <c r="G3044" s="440" t="s">
        <v>3238</v>
      </c>
      <c r="H3044" s="960"/>
      <c r="I3044" s="686">
        <v>2054</v>
      </c>
      <c r="J3044" s="537"/>
      <c r="K3044" s="538"/>
      <c r="L3044" s="1517"/>
      <c r="M3044" s="1518">
        <v>2054</v>
      </c>
      <c r="N3044" s="2847"/>
      <c r="O3044" s="86"/>
      <c r="P3044" s="1817" t="e">
        <f>INDEX(#REF!,MATCH(F3044,#REF!,0),2)</f>
        <v>#REF!</v>
      </c>
      <c r="Q3044" s="43"/>
      <c r="R3044" s="43"/>
      <c r="S3044" s="43"/>
      <c r="T3044" s="43"/>
      <c r="U3044" s="43"/>
      <c r="V3044" s="43"/>
      <c r="W3044" s="43"/>
      <c r="X3044" s="43"/>
      <c r="Y3044" s="43"/>
      <c r="Z3044" s="43"/>
      <c r="AA3044" s="43"/>
      <c r="AB3044" s="43"/>
      <c r="AC3044" s="43"/>
      <c r="AD3044" s="43"/>
      <c r="AE3044" s="43"/>
      <c r="AF3044" s="43"/>
      <c r="AG3044" s="43"/>
    </row>
    <row r="3045" spans="1:33" ht="15" customHeight="1">
      <c r="A3045" s="634"/>
      <c r="B3045" s="634" t="s">
        <v>1248</v>
      </c>
      <c r="C3045" s="634" t="s">
        <v>505</v>
      </c>
      <c r="D3045" s="1597">
        <v>950</v>
      </c>
      <c r="E3045" s="2093" t="s">
        <v>1912</v>
      </c>
      <c r="F3045" s="635">
        <v>2390</v>
      </c>
      <c r="G3045" s="432" t="s">
        <v>253</v>
      </c>
      <c r="H3045" s="641">
        <v>400</v>
      </c>
      <c r="I3045" s="1683"/>
      <c r="J3045" s="628"/>
      <c r="K3045" s="629"/>
      <c r="L3045" s="641">
        <v>0</v>
      </c>
      <c r="M3045" s="643"/>
      <c r="N3045" s="2847"/>
      <c r="O3045" s="86"/>
      <c r="P3045" s="1817" t="e">
        <f>INDEX(#REF!,MATCH(F3045,#REF!,0),2)</f>
        <v>#REF!</v>
      </c>
      <c r="Q3045" s="43"/>
      <c r="R3045" s="43"/>
      <c r="S3045" s="43"/>
      <c r="T3045" s="43"/>
      <c r="U3045" s="43"/>
      <c r="V3045" s="43"/>
      <c r="W3045" s="43"/>
      <c r="X3045" s="43"/>
      <c r="Y3045" s="43"/>
      <c r="Z3045" s="43"/>
      <c r="AA3045" s="43"/>
      <c r="AB3045" s="43"/>
      <c r="AC3045" s="43"/>
      <c r="AD3045" s="43"/>
      <c r="AE3045" s="43"/>
      <c r="AF3045" s="43"/>
      <c r="AG3045" s="43"/>
    </row>
    <row r="3046" spans="1:33" ht="19.149999999999999" customHeight="1">
      <c r="A3046" s="992"/>
      <c r="B3046" s="424" t="s">
        <v>1248</v>
      </c>
      <c r="C3046" s="424" t="s">
        <v>505</v>
      </c>
      <c r="D3046" s="1598"/>
      <c r="E3046" s="2104" t="s">
        <v>1912</v>
      </c>
      <c r="F3046" s="438">
        <v>2390</v>
      </c>
      <c r="G3046" s="996" t="s">
        <v>3220</v>
      </c>
      <c r="H3046" s="1088"/>
      <c r="I3046" s="1040">
        <v>400</v>
      </c>
      <c r="J3046" s="1154"/>
      <c r="K3046" s="1089"/>
      <c r="L3046" s="1088"/>
      <c r="M3046" s="1515"/>
      <c r="N3046" s="2847"/>
      <c r="O3046" s="86"/>
      <c r="P3046" s="1817" t="e">
        <f>INDEX(#REF!,MATCH(F3046,#REF!,0),2)</f>
        <v>#REF!</v>
      </c>
      <c r="Q3046" s="43"/>
      <c r="R3046" s="43"/>
      <c r="S3046" s="43"/>
      <c r="T3046" s="43"/>
      <c r="U3046" s="43"/>
      <c r="V3046" s="43"/>
      <c r="W3046" s="43"/>
      <c r="X3046" s="43"/>
      <c r="Y3046" s="43"/>
      <c r="Z3046" s="43"/>
      <c r="AA3046" s="43"/>
      <c r="AB3046" s="43"/>
      <c r="AC3046" s="43"/>
      <c r="AD3046" s="43"/>
      <c r="AE3046" s="43"/>
      <c r="AF3046" s="43"/>
      <c r="AG3046" s="43"/>
    </row>
    <row r="3047" spans="1:33" ht="15" customHeight="1">
      <c r="A3047" s="634"/>
      <c r="B3047" s="634" t="s">
        <v>566</v>
      </c>
      <c r="C3047" s="634" t="s">
        <v>1296</v>
      </c>
      <c r="D3047" s="1597">
        <v>950</v>
      </c>
      <c r="E3047" s="2093" t="s">
        <v>2035</v>
      </c>
      <c r="F3047" s="635">
        <v>2390</v>
      </c>
      <c r="G3047" s="432" t="s">
        <v>795</v>
      </c>
      <c r="H3047" s="955">
        <v>0</v>
      </c>
      <c r="I3047" s="642"/>
      <c r="J3047" s="628"/>
      <c r="K3047" s="629"/>
      <c r="L3047" s="641">
        <v>0</v>
      </c>
      <c r="M3047" s="1507"/>
      <c r="N3047" s="2847"/>
      <c r="O3047" s="86"/>
      <c r="P3047" s="1817" t="e">
        <f>INDEX(#REF!,MATCH(F3047,#REF!,0),2)</f>
        <v>#REF!</v>
      </c>
      <c r="Q3047" s="43"/>
      <c r="R3047" s="43"/>
      <c r="S3047" s="43"/>
      <c r="T3047" s="43"/>
      <c r="U3047" s="43"/>
      <c r="V3047" s="43"/>
      <c r="W3047" s="43"/>
      <c r="X3047" s="43"/>
      <c r="Y3047" s="43"/>
      <c r="Z3047" s="43"/>
      <c r="AA3047" s="43"/>
      <c r="AB3047" s="43"/>
      <c r="AC3047" s="43"/>
      <c r="AD3047" s="43"/>
      <c r="AE3047" s="43"/>
      <c r="AF3047" s="43"/>
      <c r="AG3047" s="43"/>
    </row>
    <row r="3048" spans="1:33" ht="15" customHeight="1">
      <c r="A3048" s="454"/>
      <c r="B3048" s="424" t="s">
        <v>566</v>
      </c>
      <c r="C3048" s="424" t="s">
        <v>1296</v>
      </c>
      <c r="D3048" s="1598"/>
      <c r="E3048" s="2104" t="s">
        <v>2035</v>
      </c>
      <c r="F3048" s="438">
        <v>2390</v>
      </c>
      <c r="G3048" s="425" t="s">
        <v>1089</v>
      </c>
      <c r="H3048" s="954"/>
      <c r="I3048" s="644"/>
      <c r="J3048" s="644"/>
      <c r="K3048" s="300"/>
      <c r="L3048" s="1505"/>
      <c r="M3048" s="1519"/>
      <c r="N3048" s="2847"/>
      <c r="O3048" s="86"/>
      <c r="P3048" s="1817" t="e">
        <f>INDEX(#REF!,MATCH(F3048,#REF!,0),2)</f>
        <v>#REF!</v>
      </c>
      <c r="Q3048" s="43"/>
      <c r="R3048" s="43"/>
      <c r="S3048" s="43"/>
      <c r="T3048" s="43"/>
      <c r="U3048" s="43"/>
      <c r="V3048" s="43"/>
      <c r="W3048" s="43"/>
      <c r="X3048" s="43"/>
      <c r="Y3048" s="43"/>
      <c r="Z3048" s="43"/>
      <c r="AA3048" s="43"/>
      <c r="AB3048" s="43"/>
      <c r="AC3048" s="43"/>
      <c r="AD3048" s="43"/>
      <c r="AE3048" s="43"/>
      <c r="AF3048" s="43"/>
      <c r="AG3048" s="43"/>
    </row>
    <row r="3049" spans="1:33" ht="15" customHeight="1">
      <c r="A3049" s="634"/>
      <c r="B3049" s="634" t="s">
        <v>512</v>
      </c>
      <c r="C3049" s="634" t="s">
        <v>506</v>
      </c>
      <c r="D3049" s="1597">
        <v>950</v>
      </c>
      <c r="E3049" s="2093" t="s">
        <v>1913</v>
      </c>
      <c r="F3049" s="635">
        <v>5233</v>
      </c>
      <c r="G3049" s="432" t="s">
        <v>450</v>
      </c>
      <c r="H3049" s="955">
        <v>39030</v>
      </c>
      <c r="I3049" s="642"/>
      <c r="J3049" s="628"/>
      <c r="K3049" s="629"/>
      <c r="L3049" s="1504">
        <v>39030</v>
      </c>
      <c r="M3049" s="642"/>
      <c r="N3049" s="2847"/>
      <c r="O3049" s="86"/>
      <c r="P3049" s="1817" t="e">
        <f>INDEX(#REF!,MATCH(F3049,#REF!,0),2)</f>
        <v>#REF!</v>
      </c>
      <c r="Q3049" s="43"/>
      <c r="R3049" s="43"/>
      <c r="S3049" s="43"/>
      <c r="T3049" s="43"/>
      <c r="U3049" s="43"/>
      <c r="V3049" s="43"/>
      <c r="W3049" s="43"/>
      <c r="X3049" s="43"/>
      <c r="Y3049" s="43"/>
      <c r="Z3049" s="43"/>
      <c r="AA3049" s="43"/>
      <c r="AB3049" s="43"/>
      <c r="AC3049" s="43"/>
      <c r="AD3049" s="43"/>
      <c r="AE3049" s="43"/>
      <c r="AF3049" s="43"/>
      <c r="AG3049" s="43"/>
    </row>
    <row r="3050" spans="1:33" ht="11.45" customHeight="1">
      <c r="A3050" s="424"/>
      <c r="B3050" s="424" t="s">
        <v>512</v>
      </c>
      <c r="C3050" s="424" t="s">
        <v>506</v>
      </c>
      <c r="D3050" s="1598"/>
      <c r="E3050" s="2104" t="s">
        <v>1913</v>
      </c>
      <c r="F3050" s="438">
        <v>5233</v>
      </c>
      <c r="G3050" s="3077" t="s">
        <v>3238</v>
      </c>
      <c r="H3050" s="961"/>
      <c r="I3050" s="645">
        <v>39030</v>
      </c>
      <c r="J3050" s="496"/>
      <c r="K3050" s="492"/>
      <c r="L3050" s="491"/>
      <c r="M3050" s="1506">
        <v>39030</v>
      </c>
      <c r="N3050" s="2847"/>
      <c r="O3050" s="86"/>
      <c r="P3050" s="1817" t="e">
        <f>INDEX(#REF!,MATCH(F3050,#REF!,0),2)</f>
        <v>#REF!</v>
      </c>
      <c r="Q3050" s="4"/>
      <c r="R3050" s="4"/>
      <c r="S3050" s="4"/>
      <c r="T3050" s="4"/>
      <c r="U3050" s="4"/>
      <c r="V3050" s="4"/>
      <c r="W3050" s="4"/>
      <c r="X3050" s="4"/>
      <c r="Y3050" s="4"/>
      <c r="Z3050" s="4"/>
      <c r="AA3050" s="4"/>
      <c r="AB3050" s="4"/>
      <c r="AC3050" s="4"/>
      <c r="AD3050" s="4"/>
      <c r="AE3050" s="4"/>
      <c r="AF3050" s="4"/>
      <c r="AG3050" s="4"/>
    </row>
    <row r="3051" spans="1:33" ht="20.45" customHeight="1">
      <c r="A3051" s="634"/>
      <c r="B3051" s="634" t="s">
        <v>1248</v>
      </c>
      <c r="C3051" s="634" t="s">
        <v>507</v>
      </c>
      <c r="D3051" s="1597">
        <v>950</v>
      </c>
      <c r="E3051" s="2093" t="s">
        <v>1912</v>
      </c>
      <c r="F3051" s="635">
        <v>5233</v>
      </c>
      <c r="G3051" s="432" t="s">
        <v>450</v>
      </c>
      <c r="H3051" s="641">
        <v>850</v>
      </c>
      <c r="I3051" s="1686"/>
      <c r="J3051" s="628">
        <v>558.80999999999995</v>
      </c>
      <c r="K3051" s="629"/>
      <c r="L3051" s="641">
        <v>850</v>
      </c>
      <c r="M3051" s="643"/>
      <c r="N3051" s="2847"/>
      <c r="O3051" s="86"/>
      <c r="P3051" s="1817" t="e">
        <f>INDEX(#REF!,MATCH(F3051,#REF!,0),2)</f>
        <v>#REF!</v>
      </c>
      <c r="Q3051" s="43"/>
      <c r="R3051" s="43"/>
      <c r="S3051" s="43"/>
      <c r="T3051" s="43"/>
      <c r="U3051" s="43"/>
      <c r="V3051" s="43"/>
      <c r="W3051" s="43"/>
      <c r="X3051" s="43"/>
      <c r="Y3051" s="43"/>
      <c r="Z3051" s="43"/>
      <c r="AA3051" s="43"/>
      <c r="AB3051" s="43"/>
      <c r="AC3051" s="43"/>
      <c r="AD3051" s="43"/>
      <c r="AE3051" s="43"/>
      <c r="AF3051" s="43"/>
      <c r="AG3051" s="43"/>
    </row>
    <row r="3052" spans="1:33" ht="20.45" customHeight="1">
      <c r="A3052" s="424"/>
      <c r="B3052" s="424" t="s">
        <v>1248</v>
      </c>
      <c r="C3052" s="424" t="s">
        <v>507</v>
      </c>
      <c r="D3052" s="1598"/>
      <c r="E3052" s="2104" t="s">
        <v>1912</v>
      </c>
      <c r="F3052" s="438">
        <v>5233</v>
      </c>
      <c r="G3052" s="1007" t="s">
        <v>644</v>
      </c>
      <c r="H3052" s="1059"/>
      <c r="I3052" s="1060">
        <v>400</v>
      </c>
      <c r="J3052" s="1042"/>
      <c r="K3052" s="1043"/>
      <c r="L3052" s="1059"/>
      <c r="M3052" s="4306">
        <v>400</v>
      </c>
      <c r="N3052" s="2847"/>
      <c r="O3052" s="86"/>
      <c r="P3052" s="1817" t="e">
        <f>INDEX(#REF!,MATCH(F3052,#REF!,0),2)</f>
        <v>#REF!</v>
      </c>
      <c r="Q3052" s="43"/>
      <c r="R3052" s="43"/>
      <c r="S3052" s="43"/>
      <c r="T3052" s="43"/>
      <c r="U3052" s="43"/>
      <c r="V3052" s="43"/>
      <c r="W3052" s="43"/>
      <c r="X3052" s="43"/>
      <c r="Y3052" s="43"/>
      <c r="Z3052" s="43"/>
      <c r="AA3052" s="43"/>
      <c r="AB3052" s="43"/>
      <c r="AC3052" s="43"/>
      <c r="AD3052" s="43"/>
      <c r="AE3052" s="43"/>
      <c r="AF3052" s="43"/>
      <c r="AG3052" s="43"/>
    </row>
    <row r="3053" spans="1:33" ht="20.45" customHeight="1">
      <c r="A3053" s="992"/>
      <c r="B3053" s="424" t="s">
        <v>1248</v>
      </c>
      <c r="C3053" s="424" t="s">
        <v>507</v>
      </c>
      <c r="D3053" s="1598"/>
      <c r="E3053" s="2104" t="s">
        <v>1912</v>
      </c>
      <c r="F3053" s="438">
        <v>5233</v>
      </c>
      <c r="G3053" s="1007" t="s">
        <v>1465</v>
      </c>
      <c r="H3053" s="1059"/>
      <c r="I3053" s="1060">
        <v>450</v>
      </c>
      <c r="J3053" s="1035"/>
      <c r="K3053" s="1036"/>
      <c r="L3053" s="1059"/>
      <c r="M3053" s="4306">
        <v>450</v>
      </c>
      <c r="N3053" s="2847"/>
      <c r="O3053" s="86"/>
      <c r="P3053" s="1817"/>
      <c r="Q3053" s="43"/>
      <c r="R3053" s="43"/>
      <c r="S3053" s="43"/>
      <c r="T3053" s="43"/>
      <c r="U3053" s="43"/>
      <c r="V3053" s="43"/>
      <c r="W3053" s="43"/>
      <c r="X3053" s="43"/>
      <c r="Y3053" s="43"/>
      <c r="Z3053" s="43"/>
      <c r="AA3053" s="43"/>
      <c r="AB3053" s="43"/>
      <c r="AC3053" s="43"/>
      <c r="AD3053" s="43"/>
      <c r="AE3053" s="43"/>
      <c r="AF3053" s="43"/>
      <c r="AG3053" s="43"/>
    </row>
    <row r="3054" spans="1:33" ht="20.45" customHeight="1">
      <c r="A3054" s="634"/>
      <c r="B3054" s="634" t="s">
        <v>1250</v>
      </c>
      <c r="C3054" s="634" t="s">
        <v>509</v>
      </c>
      <c r="D3054" s="1597">
        <v>950</v>
      </c>
      <c r="E3054" s="2093" t="s">
        <v>1912</v>
      </c>
      <c r="F3054" s="635">
        <v>5238</v>
      </c>
      <c r="G3054" s="432" t="s">
        <v>257</v>
      </c>
      <c r="H3054" s="687">
        <v>1123</v>
      </c>
      <c r="I3054" s="1696"/>
      <c r="J3054" s="628"/>
      <c r="K3054" s="629"/>
      <c r="L3054" s="674">
        <v>2099</v>
      </c>
      <c r="M3054" s="1501"/>
      <c r="N3054" s="2847"/>
      <c r="O3054" s="86"/>
      <c r="P3054" s="1817" t="e">
        <f>INDEX(#REF!,MATCH(F3054,#REF!,0),2)</f>
        <v>#REF!</v>
      </c>
      <c r="Q3054" s="43"/>
      <c r="R3054" s="43"/>
      <c r="S3054" s="43"/>
      <c r="T3054" s="43"/>
      <c r="U3054" s="43"/>
      <c r="V3054" s="43"/>
      <c r="W3054" s="43"/>
      <c r="X3054" s="43"/>
      <c r="Y3054" s="43"/>
      <c r="Z3054" s="43"/>
      <c r="AA3054" s="43"/>
      <c r="AB3054" s="43"/>
      <c r="AC3054" s="43"/>
      <c r="AD3054" s="43"/>
      <c r="AE3054" s="43"/>
      <c r="AF3054" s="43"/>
      <c r="AG3054" s="43"/>
    </row>
    <row r="3055" spans="1:33" ht="11.45" customHeight="1">
      <c r="A3055" s="2790"/>
      <c r="B3055" s="424" t="s">
        <v>1250</v>
      </c>
      <c r="C3055" s="424" t="s">
        <v>665</v>
      </c>
      <c r="D3055" s="1598"/>
      <c r="E3055" s="2104" t="s">
        <v>1912</v>
      </c>
      <c r="F3055" s="438">
        <v>5238</v>
      </c>
      <c r="G3055" s="2774" t="s">
        <v>5105</v>
      </c>
      <c r="H3055" s="3748"/>
      <c r="I3055" s="2779"/>
      <c r="J3055" s="3669"/>
      <c r="K3055" s="3670"/>
      <c r="L3055" s="3748"/>
      <c r="M3055" s="3741">
        <v>1099</v>
      </c>
      <c r="N3055" s="2847"/>
      <c r="O3055" s="86"/>
      <c r="P3055" s="1817" t="e">
        <f>INDEX(#REF!,MATCH(F3055,#REF!,0),2)</f>
        <v>#REF!</v>
      </c>
      <c r="Q3055" s="43"/>
      <c r="R3055" s="43"/>
      <c r="S3055" s="43"/>
      <c r="T3055" s="43"/>
      <c r="U3055" s="43"/>
      <c r="V3055" s="43"/>
      <c r="W3055" s="43"/>
      <c r="X3055" s="43"/>
      <c r="Y3055" s="43"/>
      <c r="Z3055" s="43"/>
      <c r="AA3055" s="43"/>
      <c r="AB3055" s="43"/>
      <c r="AC3055" s="43"/>
      <c r="AD3055" s="43"/>
      <c r="AE3055" s="43"/>
      <c r="AF3055" s="43"/>
      <c r="AG3055" s="43"/>
    </row>
    <row r="3056" spans="1:33" ht="20.45" customHeight="1">
      <c r="A3056" s="424" t="s">
        <v>874</v>
      </c>
      <c r="B3056" s="424" t="s">
        <v>1250</v>
      </c>
      <c r="C3056" s="424" t="s">
        <v>526</v>
      </c>
      <c r="D3056" s="1598"/>
      <c r="E3056" s="2104" t="s">
        <v>1912</v>
      </c>
      <c r="F3056" s="438">
        <v>5238</v>
      </c>
      <c r="G3056" s="1681" t="s">
        <v>2372</v>
      </c>
      <c r="H3056" s="1061"/>
      <c r="I3056" s="1020">
        <v>500</v>
      </c>
      <c r="J3056" s="1035"/>
      <c r="K3056" s="1036"/>
      <c r="L3056" s="1061"/>
      <c r="M3056" s="2462"/>
      <c r="N3056" s="2847"/>
      <c r="O3056" s="86"/>
      <c r="P3056" s="1817"/>
      <c r="Q3056" s="43"/>
      <c r="R3056" s="43"/>
      <c r="S3056" s="43"/>
      <c r="T3056" s="43"/>
      <c r="U3056" s="43"/>
      <c r="V3056" s="43"/>
      <c r="W3056" s="43"/>
      <c r="X3056" s="43"/>
      <c r="Y3056" s="43"/>
      <c r="Z3056" s="43"/>
      <c r="AA3056" s="43"/>
      <c r="AB3056" s="43"/>
      <c r="AC3056" s="43"/>
      <c r="AD3056" s="43"/>
      <c r="AE3056" s="43"/>
      <c r="AF3056" s="43"/>
      <c r="AG3056" s="43"/>
    </row>
    <row r="3057" spans="1:33" ht="20.45" customHeight="1">
      <c r="A3057" s="1882"/>
      <c r="B3057" s="424" t="s">
        <v>1250</v>
      </c>
      <c r="C3057" s="424" t="s">
        <v>665</v>
      </c>
      <c r="D3057" s="1598"/>
      <c r="E3057" s="2104" t="s">
        <v>1912</v>
      </c>
      <c r="F3057" s="438">
        <v>5238</v>
      </c>
      <c r="G3057" s="1884" t="s">
        <v>3124</v>
      </c>
      <c r="H3057" s="2302"/>
      <c r="I3057" s="1892">
        <v>623</v>
      </c>
      <c r="J3057" s="1675"/>
      <c r="K3057" s="1676"/>
      <c r="L3057" s="2302"/>
      <c r="M3057" s="2467"/>
      <c r="N3057" s="2847"/>
      <c r="O3057" s="86"/>
      <c r="P3057" s="1817" t="e">
        <f>INDEX(#REF!,MATCH(F3057,#REF!,0),2)</f>
        <v>#REF!</v>
      </c>
      <c r="Q3057" s="43"/>
      <c r="R3057" s="43"/>
      <c r="S3057" s="43"/>
      <c r="T3057" s="43"/>
      <c r="U3057" s="43"/>
      <c r="V3057" s="43"/>
      <c r="W3057" s="43"/>
      <c r="X3057" s="43"/>
      <c r="Y3057" s="43"/>
      <c r="Z3057" s="43"/>
      <c r="AA3057" s="43"/>
      <c r="AB3057" s="43"/>
      <c r="AC3057" s="43"/>
      <c r="AD3057" s="43"/>
      <c r="AE3057" s="43"/>
      <c r="AF3057" s="43"/>
      <c r="AG3057" s="43"/>
    </row>
    <row r="3058" spans="1:33" ht="20.45" customHeight="1">
      <c r="A3058" s="424" t="s">
        <v>874</v>
      </c>
      <c r="B3058" s="424" t="s">
        <v>1250</v>
      </c>
      <c r="C3058" s="424" t="s">
        <v>665</v>
      </c>
      <c r="D3058" s="1598"/>
      <c r="E3058" s="2104" t="s">
        <v>1912</v>
      </c>
      <c r="F3058" s="438">
        <v>5238</v>
      </c>
      <c r="G3058" s="3699" t="s">
        <v>5961</v>
      </c>
      <c r="H3058" s="3748"/>
      <c r="I3058" s="2779"/>
      <c r="J3058" s="3669"/>
      <c r="K3058" s="3670"/>
      <c r="L3058" s="3748"/>
      <c r="M3058" s="3588">
        <v>1000</v>
      </c>
      <c r="N3058" s="2847"/>
      <c r="O3058" s="86"/>
      <c r="P3058" s="1817" t="e">
        <f>INDEX(#REF!,MATCH(F3058,#REF!,0),2)</f>
        <v>#REF!</v>
      </c>
      <c r="Q3058" s="43"/>
      <c r="R3058" s="43"/>
      <c r="S3058" s="43"/>
      <c r="T3058" s="43"/>
      <c r="U3058" s="43"/>
      <c r="V3058" s="43"/>
      <c r="W3058" s="43"/>
      <c r="X3058" s="43"/>
      <c r="Y3058" s="43"/>
      <c r="Z3058" s="43"/>
      <c r="AA3058" s="43"/>
      <c r="AB3058" s="43"/>
      <c r="AC3058" s="43"/>
      <c r="AD3058" s="43"/>
      <c r="AE3058" s="43"/>
      <c r="AF3058" s="43"/>
      <c r="AG3058" s="43"/>
    </row>
    <row r="3059" spans="1:33" ht="20.45" customHeight="1">
      <c r="A3059" s="634"/>
      <c r="B3059" s="634" t="s">
        <v>1249</v>
      </c>
      <c r="C3059" s="634" t="s">
        <v>534</v>
      </c>
      <c r="D3059" s="1597">
        <v>950</v>
      </c>
      <c r="E3059" s="2093" t="s">
        <v>1912</v>
      </c>
      <c r="F3059" s="635">
        <v>5238</v>
      </c>
      <c r="G3059" s="432" t="s">
        <v>257</v>
      </c>
      <c r="H3059" s="687">
        <v>60220</v>
      </c>
      <c r="I3059" s="1696"/>
      <c r="J3059" s="628">
        <v>35360.49</v>
      </c>
      <c r="K3059" s="629"/>
      <c r="L3059" s="674">
        <v>80320</v>
      </c>
      <c r="M3059" s="1501"/>
      <c r="N3059" s="2847"/>
      <c r="O3059" s="86"/>
      <c r="P3059" s="1817"/>
      <c r="Q3059" s="43"/>
      <c r="R3059" s="43"/>
      <c r="S3059" s="43"/>
      <c r="T3059" s="43"/>
      <c r="U3059" s="43"/>
      <c r="V3059" s="43"/>
      <c r="W3059" s="43"/>
      <c r="X3059" s="43"/>
      <c r="Y3059" s="43"/>
      <c r="Z3059" s="43"/>
      <c r="AA3059" s="43"/>
      <c r="AB3059" s="43"/>
      <c r="AC3059" s="43"/>
      <c r="AD3059" s="43"/>
      <c r="AE3059" s="43"/>
      <c r="AF3059" s="43"/>
      <c r="AG3059" s="43"/>
    </row>
    <row r="3060" spans="1:33" ht="20.45" customHeight="1">
      <c r="A3060" s="424" t="s">
        <v>874</v>
      </c>
      <c r="B3060" s="424" t="s">
        <v>1249</v>
      </c>
      <c r="C3060" s="424" t="s">
        <v>526</v>
      </c>
      <c r="D3060" s="1598"/>
      <c r="E3060" s="2104" t="s">
        <v>1912</v>
      </c>
      <c r="F3060" s="438">
        <v>5238</v>
      </c>
      <c r="G3060" s="3699" t="s">
        <v>5109</v>
      </c>
      <c r="H3060" s="688"/>
      <c r="I3060" s="431">
        <v>31500</v>
      </c>
      <c r="J3060" s="496"/>
      <c r="K3060" s="492"/>
      <c r="L3060" s="688"/>
      <c r="M3060" s="3700">
        <v>32000</v>
      </c>
      <c r="N3060" s="2847" t="s">
        <v>5110</v>
      </c>
      <c r="O3060" s="86"/>
      <c r="P3060" s="1817" t="e">
        <f>INDEX(#REF!,MATCH(F3060,#REF!,0),2)</f>
        <v>#REF!</v>
      </c>
      <c r="Q3060" s="43"/>
      <c r="R3060" s="43"/>
      <c r="S3060" s="43"/>
      <c r="T3060" s="43"/>
      <c r="U3060" s="43"/>
      <c r="V3060" s="43"/>
      <c r="W3060" s="43"/>
      <c r="X3060" s="43"/>
      <c r="Y3060" s="43"/>
      <c r="Z3060" s="43"/>
      <c r="AA3060" s="43"/>
      <c r="AB3060" s="43"/>
      <c r="AC3060" s="43"/>
      <c r="AD3060" s="43"/>
      <c r="AE3060" s="43"/>
      <c r="AF3060" s="43"/>
      <c r="AG3060" s="43"/>
    </row>
    <row r="3061" spans="1:33" ht="33.75">
      <c r="A3061" s="424" t="s">
        <v>874</v>
      </c>
      <c r="B3061" s="424" t="s">
        <v>1249</v>
      </c>
      <c r="C3061" s="424" t="s">
        <v>526</v>
      </c>
      <c r="D3061" s="1598"/>
      <c r="E3061" s="2104" t="s">
        <v>1912</v>
      </c>
      <c r="F3061" s="438">
        <v>5238</v>
      </c>
      <c r="G3061" s="3699" t="s">
        <v>5111</v>
      </c>
      <c r="H3061" s="3748"/>
      <c r="I3061" s="1894">
        <v>7900</v>
      </c>
      <c r="J3061" s="3669"/>
      <c r="K3061" s="3670"/>
      <c r="L3061" s="3748"/>
      <c r="M3061" s="3588">
        <v>6000</v>
      </c>
      <c r="N3061" s="2847"/>
      <c r="O3061" s="86"/>
      <c r="P3061" s="1817"/>
      <c r="Q3061" s="43"/>
      <c r="R3061" s="43"/>
      <c r="S3061" s="43"/>
      <c r="T3061" s="43"/>
      <c r="U3061" s="43"/>
      <c r="V3061" s="43"/>
      <c r="W3061" s="43"/>
      <c r="X3061" s="43"/>
      <c r="Y3061" s="43"/>
      <c r="Z3061" s="43"/>
      <c r="AA3061" s="43"/>
      <c r="AB3061" s="43"/>
      <c r="AC3061" s="43"/>
      <c r="AD3061" s="43"/>
      <c r="AE3061" s="43"/>
      <c r="AF3061" s="43"/>
      <c r="AG3061" s="43"/>
    </row>
    <row r="3062" spans="1:33" ht="22.5">
      <c r="A3062" s="424"/>
      <c r="B3062" s="424" t="s">
        <v>1249</v>
      </c>
      <c r="C3062" s="424" t="s">
        <v>526</v>
      </c>
      <c r="D3062" s="1598"/>
      <c r="E3062" s="2104" t="s">
        <v>1912</v>
      </c>
      <c r="F3062" s="438">
        <v>5238</v>
      </c>
      <c r="G3062" s="2774" t="s">
        <v>5104</v>
      </c>
      <c r="H3062" s="1061"/>
      <c r="I3062" s="1020">
        <v>3000</v>
      </c>
      <c r="J3062" s="1035"/>
      <c r="K3062" s="1036"/>
      <c r="L3062" s="1061"/>
      <c r="M3062" s="3747">
        <v>6000</v>
      </c>
      <c r="N3062" s="2847"/>
      <c r="O3062" s="86"/>
      <c r="P3062" s="1817"/>
      <c r="Q3062" s="43"/>
      <c r="R3062" s="43"/>
      <c r="S3062" s="43"/>
      <c r="T3062" s="43"/>
      <c r="U3062" s="43"/>
      <c r="V3062" s="43"/>
      <c r="W3062" s="43"/>
      <c r="X3062" s="43"/>
      <c r="Y3062" s="43"/>
      <c r="Z3062" s="43"/>
      <c r="AA3062" s="43"/>
      <c r="AB3062" s="43"/>
      <c r="AC3062" s="43"/>
      <c r="AD3062" s="43"/>
      <c r="AE3062" s="43"/>
      <c r="AF3062" s="43"/>
      <c r="AG3062" s="43"/>
    </row>
    <row r="3063" spans="1:33" ht="12.6" customHeight="1">
      <c r="A3063" s="2790"/>
      <c r="B3063" s="424" t="s">
        <v>1249</v>
      </c>
      <c r="C3063" s="424" t="s">
        <v>526</v>
      </c>
      <c r="D3063" s="1598"/>
      <c r="E3063" s="2104" t="s">
        <v>1912</v>
      </c>
      <c r="F3063" s="438">
        <v>5238</v>
      </c>
      <c r="G3063" s="2774" t="s">
        <v>5106</v>
      </c>
      <c r="H3063" s="3748"/>
      <c r="I3063" s="2779"/>
      <c r="J3063" s="3669"/>
      <c r="K3063" s="3670"/>
      <c r="L3063" s="3748"/>
      <c r="M3063" s="3660">
        <v>15000</v>
      </c>
      <c r="N3063" s="2847" t="s">
        <v>5107</v>
      </c>
      <c r="O3063" s="86"/>
      <c r="P3063" s="1817" t="e">
        <f>INDEX(#REF!,MATCH(F3063,#REF!,0),2)</f>
        <v>#REF!</v>
      </c>
      <c r="Q3063" s="43"/>
      <c r="R3063" s="43"/>
      <c r="S3063" s="43"/>
      <c r="T3063" s="43"/>
      <c r="U3063" s="43"/>
      <c r="V3063" s="43"/>
      <c r="W3063" s="43"/>
      <c r="X3063" s="43"/>
      <c r="Y3063" s="43"/>
      <c r="Z3063" s="43"/>
      <c r="AA3063" s="43"/>
      <c r="AB3063" s="43"/>
      <c r="AC3063" s="43"/>
      <c r="AD3063" s="43"/>
      <c r="AE3063" s="43"/>
      <c r="AF3063" s="43"/>
      <c r="AG3063" s="43"/>
    </row>
    <row r="3064" spans="1:33" ht="11.45" customHeight="1">
      <c r="A3064" s="2790"/>
      <c r="B3064" s="424" t="s">
        <v>1249</v>
      </c>
      <c r="C3064" s="424" t="s">
        <v>665</v>
      </c>
      <c r="D3064" s="1598"/>
      <c r="E3064" s="2104" t="s">
        <v>1912</v>
      </c>
      <c r="F3064" s="438">
        <v>5238</v>
      </c>
      <c r="G3064" s="2774" t="s">
        <v>5108</v>
      </c>
      <c r="H3064" s="3748"/>
      <c r="I3064" s="2779"/>
      <c r="J3064" s="3669"/>
      <c r="K3064" s="3670"/>
      <c r="L3064" s="3748"/>
      <c r="M3064" s="3660">
        <v>3500</v>
      </c>
      <c r="N3064" s="2847"/>
      <c r="O3064" s="86"/>
      <c r="P3064" s="1817"/>
      <c r="Q3064" s="43"/>
      <c r="R3064" s="43"/>
      <c r="S3064" s="43"/>
      <c r="T3064" s="43"/>
      <c r="U3064" s="43"/>
      <c r="V3064" s="43"/>
      <c r="W3064" s="43"/>
      <c r="X3064" s="43"/>
      <c r="Y3064" s="43"/>
      <c r="Z3064" s="43"/>
      <c r="AA3064" s="43"/>
      <c r="AB3064" s="43"/>
      <c r="AC3064" s="43"/>
      <c r="AD3064" s="43"/>
      <c r="AE3064" s="43"/>
      <c r="AF3064" s="43"/>
      <c r="AG3064" s="43"/>
    </row>
    <row r="3065" spans="1:33" ht="11.45" customHeight="1">
      <c r="A3065" s="424" t="s">
        <v>874</v>
      </c>
      <c r="B3065" s="424" t="s">
        <v>1249</v>
      </c>
      <c r="C3065" s="424" t="s">
        <v>526</v>
      </c>
      <c r="D3065" s="1598"/>
      <c r="E3065" s="2104" t="s">
        <v>1912</v>
      </c>
      <c r="F3065" s="438">
        <v>5238</v>
      </c>
      <c r="G3065" s="1681" t="s">
        <v>2927</v>
      </c>
      <c r="H3065" s="688"/>
      <c r="I3065" s="431">
        <v>17820</v>
      </c>
      <c r="J3065" s="496"/>
      <c r="K3065" s="492"/>
      <c r="L3065" s="688"/>
      <c r="M3065" s="3714">
        <v>17820</v>
      </c>
      <c r="N3065" s="2847" t="s">
        <v>6097</v>
      </c>
      <c r="O3065" s="86"/>
      <c r="P3065" s="1817" t="e">
        <f>INDEX(#REF!,MATCH(F3065,#REF!,0),2)</f>
        <v>#REF!</v>
      </c>
      <c r="Q3065" s="43"/>
      <c r="R3065" s="43"/>
      <c r="S3065" s="43"/>
      <c r="T3065" s="43"/>
      <c r="U3065" s="43"/>
      <c r="V3065" s="43"/>
      <c r="W3065" s="43"/>
      <c r="X3065" s="43"/>
      <c r="Y3065" s="43"/>
      <c r="Z3065" s="43"/>
      <c r="AA3065" s="43"/>
      <c r="AB3065" s="43"/>
      <c r="AC3065" s="43"/>
      <c r="AD3065" s="43"/>
      <c r="AE3065" s="43"/>
      <c r="AF3065" s="43"/>
      <c r="AG3065" s="43"/>
    </row>
    <row r="3066" spans="1:33" ht="11.45" customHeight="1">
      <c r="A3066" s="4200"/>
      <c r="B3066" s="424" t="s">
        <v>1249</v>
      </c>
      <c r="C3066" s="424" t="s">
        <v>526</v>
      </c>
      <c r="D3066" s="1598"/>
      <c r="E3066" s="2104" t="s">
        <v>1912</v>
      </c>
      <c r="F3066" s="438">
        <v>5238</v>
      </c>
      <c r="G3066" s="4380" t="s">
        <v>1180</v>
      </c>
      <c r="H3066" s="3748"/>
      <c r="I3066" s="4381"/>
      <c r="J3066" s="3669"/>
      <c r="K3066" s="3670"/>
      <c r="L3066" s="3748"/>
      <c r="M3066" s="4360"/>
      <c r="N3066" s="2847"/>
      <c r="O3066" s="86"/>
      <c r="P3066" s="1817"/>
      <c r="Q3066" s="43"/>
      <c r="R3066" s="43"/>
      <c r="S3066" s="43"/>
      <c r="T3066" s="43"/>
      <c r="U3066" s="43"/>
      <c r="V3066" s="43"/>
      <c r="W3066" s="43"/>
      <c r="X3066" s="43"/>
      <c r="Y3066" s="43"/>
      <c r="Z3066" s="43"/>
      <c r="AA3066" s="43"/>
      <c r="AB3066" s="43"/>
      <c r="AC3066" s="43"/>
      <c r="AD3066" s="43"/>
      <c r="AE3066" s="43"/>
      <c r="AF3066" s="43"/>
      <c r="AG3066" s="43"/>
    </row>
    <row r="3067" spans="1:33" ht="11.45" customHeight="1">
      <c r="A3067" s="634"/>
      <c r="B3067" s="634" t="s">
        <v>1250</v>
      </c>
      <c r="C3067" s="634" t="s">
        <v>509</v>
      </c>
      <c r="D3067" s="1597">
        <v>950</v>
      </c>
      <c r="E3067" s="2093" t="s">
        <v>1912</v>
      </c>
      <c r="F3067" s="635">
        <v>5239</v>
      </c>
      <c r="G3067" s="432" t="s">
        <v>449</v>
      </c>
      <c r="H3067" s="641">
        <v>12249.83</v>
      </c>
      <c r="I3067" s="1686"/>
      <c r="J3067" s="653">
        <v>7917.39</v>
      </c>
      <c r="K3067" s="654"/>
      <c r="L3067" s="641">
        <v>2900</v>
      </c>
      <c r="M3067" s="642"/>
      <c r="N3067" s="2847"/>
      <c r="O3067" s="86"/>
      <c r="P3067" s="1817"/>
      <c r="Q3067" s="43"/>
      <c r="R3067" s="43"/>
      <c r="S3067" s="43"/>
      <c r="T3067" s="43"/>
      <c r="U3067" s="43"/>
      <c r="V3067" s="43"/>
      <c r="W3067" s="43"/>
      <c r="X3067" s="43"/>
      <c r="Y3067" s="43"/>
      <c r="Z3067" s="43"/>
      <c r="AA3067" s="43"/>
      <c r="AB3067" s="43"/>
      <c r="AC3067" s="43"/>
      <c r="AD3067" s="43"/>
      <c r="AE3067" s="43"/>
      <c r="AF3067" s="43"/>
      <c r="AG3067" s="43"/>
    </row>
    <row r="3068" spans="1:33" ht="25.15" customHeight="1">
      <c r="A3068" s="1563"/>
      <c r="B3068" s="424" t="s">
        <v>1250</v>
      </c>
      <c r="C3068" s="424" t="s">
        <v>665</v>
      </c>
      <c r="D3068" s="1598"/>
      <c r="E3068" s="2104" t="s">
        <v>1912</v>
      </c>
      <c r="F3068" s="438">
        <v>5239</v>
      </c>
      <c r="G3068" s="2761" t="s">
        <v>5112</v>
      </c>
      <c r="H3068" s="1715"/>
      <c r="I3068" s="1700"/>
      <c r="J3068" s="1716"/>
      <c r="K3068" s="1717"/>
      <c r="L3068" s="2468"/>
      <c r="M3068" s="3749">
        <v>1500</v>
      </c>
      <c r="N3068" s="2847"/>
      <c r="O3068" s="86"/>
      <c r="P3068" s="1817"/>
      <c r="Q3068" s="43"/>
      <c r="R3068" s="43"/>
      <c r="S3068" s="43"/>
      <c r="T3068" s="43"/>
      <c r="U3068" s="43"/>
      <c r="V3068" s="43"/>
      <c r="W3068" s="43"/>
      <c r="X3068" s="43"/>
      <c r="Y3068" s="43"/>
      <c r="Z3068" s="43"/>
      <c r="AA3068" s="43"/>
      <c r="AB3068" s="43"/>
      <c r="AC3068" s="43"/>
      <c r="AD3068" s="43"/>
      <c r="AE3068" s="43"/>
      <c r="AF3068" s="43"/>
      <c r="AG3068" s="43"/>
    </row>
    <row r="3069" spans="1:33" ht="11.45" customHeight="1">
      <c r="A3069" s="1563"/>
      <c r="B3069" s="424" t="s">
        <v>1250</v>
      </c>
      <c r="C3069" s="424" t="s">
        <v>665</v>
      </c>
      <c r="D3069" s="1598"/>
      <c r="E3069" s="2104" t="s">
        <v>1912</v>
      </c>
      <c r="F3069" s="438">
        <v>5239</v>
      </c>
      <c r="G3069" s="2761" t="s">
        <v>5113</v>
      </c>
      <c r="H3069" s="1715"/>
      <c r="I3069" s="1700"/>
      <c r="J3069" s="1716"/>
      <c r="K3069" s="1717"/>
      <c r="L3069" s="2468"/>
      <c r="M3069" s="3749">
        <v>800</v>
      </c>
      <c r="N3069" s="2847"/>
      <c r="O3069" s="86"/>
      <c r="P3069" s="1817" t="e">
        <f>INDEX(#REF!,MATCH(F3069,#REF!,0),2)</f>
        <v>#REF!</v>
      </c>
      <c r="Q3069" s="43"/>
      <c r="R3069" s="43"/>
      <c r="S3069" s="43"/>
      <c r="T3069" s="43"/>
      <c r="U3069" s="43"/>
      <c r="V3069" s="43"/>
      <c r="W3069" s="43"/>
      <c r="X3069" s="43"/>
      <c r="Y3069" s="43"/>
      <c r="Z3069" s="43"/>
      <c r="AA3069" s="43"/>
      <c r="AB3069" s="43"/>
      <c r="AC3069" s="43"/>
      <c r="AD3069" s="43"/>
      <c r="AE3069" s="43"/>
      <c r="AF3069" s="43"/>
      <c r="AG3069" s="43"/>
    </row>
    <row r="3070" spans="1:33" ht="11.45" customHeight="1">
      <c r="A3070" s="1563"/>
      <c r="B3070" s="424" t="s">
        <v>1250</v>
      </c>
      <c r="C3070" s="424" t="s">
        <v>665</v>
      </c>
      <c r="D3070" s="1598"/>
      <c r="E3070" s="2104" t="s">
        <v>1912</v>
      </c>
      <c r="F3070" s="438">
        <v>5239</v>
      </c>
      <c r="G3070" s="2761" t="s">
        <v>5114</v>
      </c>
      <c r="H3070" s="1715"/>
      <c r="I3070" s="1700"/>
      <c r="J3070" s="1716"/>
      <c r="K3070" s="1717"/>
      <c r="L3070" s="2468"/>
      <c r="M3070" s="3749">
        <v>600</v>
      </c>
      <c r="N3070" s="2847"/>
      <c r="O3070" s="86"/>
      <c r="P3070" s="1817" t="e">
        <f>INDEX(#REF!,MATCH(F3070,#REF!,0),2)</f>
        <v>#REF!</v>
      </c>
      <c r="Q3070" s="43"/>
      <c r="R3070" s="43"/>
      <c r="S3070" s="43"/>
      <c r="T3070" s="43"/>
      <c r="U3070" s="43"/>
      <c r="V3070" s="43"/>
      <c r="W3070" s="43"/>
      <c r="X3070" s="43"/>
      <c r="Y3070" s="43"/>
      <c r="Z3070" s="43"/>
      <c r="AA3070" s="43"/>
      <c r="AB3070" s="43"/>
      <c r="AC3070" s="43"/>
      <c r="AD3070" s="43"/>
      <c r="AE3070" s="43"/>
      <c r="AF3070" s="43"/>
      <c r="AG3070" s="43"/>
    </row>
    <row r="3071" spans="1:33" ht="11.45" customHeight="1">
      <c r="A3071" s="1563"/>
      <c r="B3071" s="424" t="s">
        <v>1250</v>
      </c>
      <c r="C3071" s="424" t="s">
        <v>665</v>
      </c>
      <c r="D3071" s="1598"/>
      <c r="E3071" s="2104" t="s">
        <v>1912</v>
      </c>
      <c r="F3071" s="438">
        <v>5239</v>
      </c>
      <c r="G3071" s="1705" t="s">
        <v>2373</v>
      </c>
      <c r="H3071" s="1715"/>
      <c r="I3071" s="1700">
        <v>3540</v>
      </c>
      <c r="J3071" s="1716"/>
      <c r="K3071" s="1717"/>
      <c r="L3071" s="2468"/>
      <c r="M3071" s="2463"/>
      <c r="N3071" s="2847"/>
      <c r="O3071" s="86"/>
      <c r="P3071" s="1817" t="e">
        <f>INDEX(#REF!,MATCH(F3071,#REF!,0),2)</f>
        <v>#REF!</v>
      </c>
      <c r="Q3071" s="43"/>
      <c r="R3071" s="43"/>
      <c r="S3071" s="43"/>
      <c r="T3071" s="43"/>
      <c r="U3071" s="43"/>
      <c r="V3071" s="43"/>
      <c r="W3071" s="43"/>
      <c r="X3071" s="43"/>
      <c r="Y3071" s="43"/>
      <c r="Z3071" s="43"/>
      <c r="AA3071" s="43"/>
      <c r="AB3071" s="43"/>
      <c r="AC3071" s="43"/>
      <c r="AD3071" s="43"/>
      <c r="AE3071" s="43"/>
      <c r="AF3071" s="43"/>
      <c r="AG3071" s="43"/>
    </row>
    <row r="3072" spans="1:33" ht="11.45" customHeight="1">
      <c r="A3072" s="1563"/>
      <c r="B3072" s="424" t="s">
        <v>1250</v>
      </c>
      <c r="C3072" s="424" t="s">
        <v>665</v>
      </c>
      <c r="D3072" s="1598"/>
      <c r="E3072" s="2104" t="s">
        <v>1912</v>
      </c>
      <c r="F3072" s="438">
        <v>5239</v>
      </c>
      <c r="G3072" s="1705" t="s">
        <v>2374</v>
      </c>
      <c r="H3072" s="1715"/>
      <c r="I3072" s="1700">
        <v>772</v>
      </c>
      <c r="J3072" s="1716"/>
      <c r="K3072" s="1717"/>
      <c r="L3072" s="2468"/>
      <c r="M3072" s="2463"/>
      <c r="N3072" s="2847"/>
      <c r="O3072" s="86"/>
      <c r="P3072" s="1817" t="e">
        <f>INDEX(#REF!,MATCH(F3072,#REF!,0),2)</f>
        <v>#REF!</v>
      </c>
      <c r="Q3072" s="43"/>
      <c r="R3072" s="43"/>
      <c r="S3072" s="43"/>
      <c r="T3072" s="43"/>
      <c r="U3072" s="43"/>
      <c r="V3072" s="43"/>
      <c r="W3072" s="43"/>
      <c r="X3072" s="43"/>
      <c r="Y3072" s="43"/>
      <c r="Z3072" s="43"/>
      <c r="AA3072" s="43"/>
      <c r="AB3072" s="43"/>
      <c r="AC3072" s="43"/>
      <c r="AD3072" s="43"/>
      <c r="AE3072" s="43"/>
      <c r="AF3072" s="43"/>
      <c r="AG3072" s="43"/>
    </row>
    <row r="3073" spans="1:33" ht="21" customHeight="1">
      <c r="A3073" s="1563"/>
      <c r="B3073" s="424" t="s">
        <v>1250</v>
      </c>
      <c r="C3073" s="424" t="s">
        <v>665</v>
      </c>
      <c r="D3073" s="1598"/>
      <c r="E3073" s="2104" t="s">
        <v>1912</v>
      </c>
      <c r="F3073" s="438">
        <v>5239</v>
      </c>
      <c r="G3073" s="1705" t="s">
        <v>2375</v>
      </c>
      <c r="H3073" s="1715"/>
      <c r="I3073" s="1700">
        <v>2725</v>
      </c>
      <c r="J3073" s="1716"/>
      <c r="K3073" s="1717"/>
      <c r="L3073" s="2468"/>
      <c r="M3073" s="2463"/>
      <c r="N3073" s="2847"/>
      <c r="O3073" s="86"/>
      <c r="P3073" s="1817" t="e">
        <f>INDEX(#REF!,MATCH(F3073,#REF!,0),2)</f>
        <v>#REF!</v>
      </c>
      <c r="Q3073" s="43"/>
      <c r="R3073" s="43"/>
      <c r="S3073" s="43"/>
      <c r="T3073" s="43"/>
      <c r="U3073" s="43"/>
      <c r="V3073" s="43"/>
      <c r="W3073" s="43"/>
      <c r="X3073" s="43"/>
      <c r="Y3073" s="43"/>
      <c r="Z3073" s="43"/>
      <c r="AA3073" s="43"/>
      <c r="AB3073" s="43"/>
      <c r="AC3073" s="43"/>
      <c r="AD3073" s="43"/>
      <c r="AE3073" s="43"/>
      <c r="AF3073" s="43"/>
    </row>
    <row r="3074" spans="1:33" ht="16.149999999999999" customHeight="1">
      <c r="A3074" s="1563"/>
      <c r="B3074" s="424" t="s">
        <v>1250</v>
      </c>
      <c r="C3074" s="424" t="s">
        <v>665</v>
      </c>
      <c r="D3074" s="1598"/>
      <c r="E3074" s="2104" t="s">
        <v>1912</v>
      </c>
      <c r="F3074" s="438">
        <v>5239</v>
      </c>
      <c r="G3074" s="1705" t="s">
        <v>2376</v>
      </c>
      <c r="H3074" s="1715"/>
      <c r="I3074" s="1700">
        <v>2035.83</v>
      </c>
      <c r="J3074" s="1716"/>
      <c r="K3074" s="1717"/>
      <c r="L3074" s="2468"/>
      <c r="M3074" s="2463"/>
      <c r="N3074" s="2847"/>
      <c r="O3074" s="86"/>
      <c r="P3074" s="1817" t="e">
        <f>INDEX(#REF!,MATCH(F3074,#REF!,0),2)</f>
        <v>#REF!</v>
      </c>
      <c r="Q3074" s="43"/>
      <c r="R3074" s="43"/>
      <c r="S3074" s="43"/>
      <c r="T3074" s="43"/>
      <c r="U3074" s="43"/>
      <c r="V3074" s="43"/>
      <c r="W3074" s="43"/>
      <c r="X3074" s="43"/>
      <c r="Y3074" s="43"/>
      <c r="Z3074" s="43"/>
      <c r="AA3074" s="43"/>
      <c r="AB3074" s="43"/>
      <c r="AC3074" s="43"/>
      <c r="AD3074" s="43"/>
      <c r="AE3074" s="43"/>
      <c r="AF3074" s="43"/>
      <c r="AG3074" s="43"/>
    </row>
    <row r="3075" spans="1:33" ht="11.45" customHeight="1">
      <c r="A3075" s="1563"/>
      <c r="B3075" s="424" t="s">
        <v>1250</v>
      </c>
      <c r="C3075" s="424" t="s">
        <v>665</v>
      </c>
      <c r="D3075" s="1598"/>
      <c r="E3075" s="2104" t="s">
        <v>1912</v>
      </c>
      <c r="F3075" s="438">
        <v>5239</v>
      </c>
      <c r="G3075" s="1705" t="s">
        <v>2377</v>
      </c>
      <c r="H3075" s="1715"/>
      <c r="I3075" s="1700">
        <v>537</v>
      </c>
      <c r="J3075" s="1716"/>
      <c r="K3075" s="1717"/>
      <c r="L3075" s="2468"/>
      <c r="M3075" s="2463"/>
      <c r="N3075" s="2847"/>
      <c r="O3075" s="1817"/>
      <c r="P3075" s="1817" t="e">
        <f>INDEX(#REF!,MATCH(F3075,#REF!,0),2)</f>
        <v>#REF!</v>
      </c>
      <c r="Q3075" s="43"/>
      <c r="R3075" s="43"/>
      <c r="S3075" s="43"/>
      <c r="T3075" s="43"/>
      <c r="U3075" s="43"/>
      <c r="V3075" s="43"/>
      <c r="W3075" s="43"/>
      <c r="X3075" s="43"/>
      <c r="Y3075" s="43"/>
      <c r="Z3075" s="43"/>
      <c r="AA3075" s="43"/>
      <c r="AB3075" s="43"/>
      <c r="AC3075" s="43"/>
      <c r="AD3075" s="43"/>
      <c r="AE3075" s="43"/>
      <c r="AF3075" s="43"/>
      <c r="AG3075" s="43"/>
    </row>
    <row r="3076" spans="1:33" ht="45" customHeight="1">
      <c r="A3076" s="1563"/>
      <c r="B3076" s="424" t="s">
        <v>1250</v>
      </c>
      <c r="C3076" s="424" t="s">
        <v>665</v>
      </c>
      <c r="D3076" s="1598"/>
      <c r="E3076" s="2104" t="s">
        <v>1912</v>
      </c>
      <c r="F3076" s="438">
        <v>5239</v>
      </c>
      <c r="G3076" s="1705" t="s">
        <v>2378</v>
      </c>
      <c r="H3076" s="1715"/>
      <c r="I3076" s="1700">
        <v>2640</v>
      </c>
      <c r="J3076" s="1716"/>
      <c r="K3076" s="1717"/>
      <c r="L3076" s="2468"/>
      <c r="M3076" s="2463"/>
      <c r="N3076" s="2847"/>
      <c r="O3076" s="86"/>
      <c r="P3076" s="1817" t="e">
        <f>INDEX(#REF!,MATCH(F3076,#REF!,0),2)</f>
        <v>#REF!</v>
      </c>
      <c r="Q3076" s="43"/>
      <c r="R3076" s="43"/>
      <c r="S3076" s="43"/>
      <c r="T3076" s="43"/>
      <c r="U3076" s="43"/>
      <c r="V3076" s="43"/>
      <c r="W3076" s="43"/>
      <c r="X3076" s="43"/>
      <c r="Y3076" s="43"/>
      <c r="Z3076" s="43"/>
      <c r="AA3076" s="43"/>
      <c r="AB3076" s="43"/>
      <c r="AC3076" s="43"/>
      <c r="AD3076" s="43"/>
      <c r="AE3076" s="43"/>
      <c r="AF3076" s="43"/>
      <c r="AG3076" s="43"/>
    </row>
    <row r="3077" spans="1:33" ht="11.45" customHeight="1">
      <c r="A3077" s="634"/>
      <c r="B3077" s="634" t="s">
        <v>1250</v>
      </c>
      <c r="C3077" s="634" t="s">
        <v>526</v>
      </c>
      <c r="D3077" s="1597">
        <v>950</v>
      </c>
      <c r="E3077" s="2093" t="s">
        <v>1912</v>
      </c>
      <c r="F3077" s="635">
        <v>5240</v>
      </c>
      <c r="G3077" s="432" t="s">
        <v>2441</v>
      </c>
      <c r="H3077" s="1016"/>
      <c r="I3077" s="1697"/>
      <c r="J3077" s="653"/>
      <c r="K3077" s="654"/>
      <c r="L3077" s="1504">
        <v>0</v>
      </c>
      <c r="M3077" s="642"/>
      <c r="N3077" s="2847"/>
      <c r="O3077" s="86"/>
      <c r="P3077" s="1817" t="e">
        <f>INDEX(#REF!,MATCH(F3077,#REF!,0),2)</f>
        <v>#REF!</v>
      </c>
      <c r="Q3077" s="43"/>
      <c r="R3077" s="43"/>
      <c r="S3077" s="43"/>
      <c r="T3077" s="43"/>
      <c r="U3077" s="43"/>
      <c r="V3077" s="43"/>
      <c r="W3077" s="43"/>
      <c r="X3077" s="43"/>
      <c r="Y3077" s="43"/>
      <c r="Z3077" s="43"/>
      <c r="AA3077" s="43"/>
      <c r="AB3077" s="43"/>
      <c r="AC3077" s="43"/>
      <c r="AD3077" s="43"/>
      <c r="AE3077" s="43"/>
      <c r="AF3077" s="43"/>
      <c r="AG3077" s="43"/>
    </row>
    <row r="3078" spans="1:33" ht="42" customHeight="1">
      <c r="A3078" s="1882"/>
      <c r="B3078" s="1882" t="s">
        <v>1250</v>
      </c>
      <c r="C3078" s="1882" t="s">
        <v>526</v>
      </c>
      <c r="D3078" s="1935">
        <v>950</v>
      </c>
      <c r="E3078" s="2229" t="s">
        <v>1912</v>
      </c>
      <c r="F3078" s="1936">
        <v>5240</v>
      </c>
      <c r="G3078" s="3699"/>
      <c r="H3078" s="1715"/>
      <c r="I3078" s="1894"/>
      <c r="J3078" s="1716"/>
      <c r="K3078" s="1717"/>
      <c r="L3078" s="2468"/>
      <c r="M3078" s="3588"/>
      <c r="N3078" s="2847"/>
      <c r="O3078" s="86"/>
      <c r="P3078" s="1817" t="e">
        <f>INDEX(#REF!,MATCH(F3078,#REF!,0),2)</f>
        <v>#REF!</v>
      </c>
      <c r="Q3078" s="43"/>
      <c r="R3078" s="43"/>
      <c r="S3078" s="43"/>
      <c r="T3078" s="43"/>
      <c r="U3078" s="43"/>
      <c r="V3078" s="43"/>
      <c r="W3078" s="43"/>
      <c r="X3078" s="43"/>
      <c r="Y3078" s="43"/>
      <c r="Z3078" s="43"/>
      <c r="AA3078" s="43"/>
      <c r="AB3078" s="43"/>
      <c r="AC3078" s="43"/>
      <c r="AD3078" s="43"/>
      <c r="AE3078" s="43"/>
      <c r="AF3078" s="43"/>
      <c r="AG3078" s="43"/>
    </row>
    <row r="3079" spans="1:33" ht="42" customHeight="1">
      <c r="A3079" s="634"/>
      <c r="B3079" s="634" t="s">
        <v>1250</v>
      </c>
      <c r="C3079" s="634" t="s">
        <v>526</v>
      </c>
      <c r="D3079" s="1597">
        <v>950</v>
      </c>
      <c r="E3079" s="2093" t="s">
        <v>1912</v>
      </c>
      <c r="F3079" s="635">
        <v>5250</v>
      </c>
      <c r="G3079" s="432" t="s">
        <v>470</v>
      </c>
      <c r="H3079" s="1016">
        <v>1488</v>
      </c>
      <c r="I3079" s="1697"/>
      <c r="J3079" s="653"/>
      <c r="K3079" s="654"/>
      <c r="L3079" s="1504">
        <v>0</v>
      </c>
      <c r="M3079" s="642"/>
      <c r="N3079" s="2847"/>
      <c r="O3079" s="86"/>
      <c r="P3079" s="1817" t="e">
        <f>INDEX(#REF!,MATCH(F3079,#REF!,0),2)</f>
        <v>#REF!</v>
      </c>
      <c r="Q3079" s="43"/>
      <c r="R3079" s="43"/>
      <c r="S3079" s="43"/>
      <c r="T3079" s="43"/>
      <c r="U3079" s="43"/>
      <c r="V3079" s="43"/>
      <c r="W3079" s="43"/>
      <c r="X3079" s="43"/>
      <c r="Y3079" s="43"/>
      <c r="Z3079" s="43"/>
      <c r="AA3079" s="43"/>
      <c r="AB3079" s="43"/>
      <c r="AC3079" s="43"/>
      <c r="AD3079" s="43"/>
      <c r="AE3079" s="43"/>
      <c r="AF3079" s="43"/>
      <c r="AG3079" s="43"/>
    </row>
    <row r="3080" spans="1:33" ht="57.6" customHeight="1">
      <c r="A3080" s="1882"/>
      <c r="B3080" s="992" t="s">
        <v>1250</v>
      </c>
      <c r="C3080" s="992" t="s">
        <v>526</v>
      </c>
      <c r="D3080" s="1620"/>
      <c r="E3080" s="2246" t="s">
        <v>1912</v>
      </c>
      <c r="F3080" s="1011">
        <v>5250</v>
      </c>
      <c r="G3080" s="1993" t="s">
        <v>3008</v>
      </c>
      <c r="H3080" s="1994"/>
      <c r="I3080" s="1895">
        <v>1488</v>
      </c>
      <c r="J3080" s="1895"/>
      <c r="K3080" s="1896"/>
      <c r="L3080" s="1994"/>
      <c r="M3080" s="2462"/>
      <c r="N3080" s="2847"/>
      <c r="O3080" s="86"/>
      <c r="P3080" s="1817"/>
      <c r="Q3080" s="43"/>
      <c r="R3080" s="43"/>
      <c r="S3080" s="43"/>
      <c r="T3080" s="43"/>
      <c r="U3080" s="43"/>
      <c r="V3080" s="43"/>
      <c r="W3080" s="43"/>
      <c r="X3080" s="43"/>
      <c r="Y3080" s="43"/>
      <c r="Z3080" s="43"/>
      <c r="AA3080" s="43"/>
      <c r="AB3080" s="43"/>
      <c r="AC3080" s="43"/>
      <c r="AD3080" s="43"/>
      <c r="AE3080" s="43"/>
      <c r="AF3080" s="43"/>
      <c r="AG3080" s="43"/>
    </row>
    <row r="3081" spans="1:33" ht="52.9" customHeight="1">
      <c r="A3081" s="634"/>
      <c r="B3081" s="634" t="s">
        <v>1249</v>
      </c>
      <c r="C3081" s="634" t="s">
        <v>526</v>
      </c>
      <c r="D3081" s="1597">
        <v>950</v>
      </c>
      <c r="E3081" s="2093" t="s">
        <v>1912</v>
      </c>
      <c r="F3081" s="635">
        <v>5250</v>
      </c>
      <c r="G3081" s="432" t="s">
        <v>470</v>
      </c>
      <c r="H3081" s="1016">
        <v>481295</v>
      </c>
      <c r="I3081" s="1697"/>
      <c r="J3081" s="653">
        <v>130468.55</v>
      </c>
      <c r="K3081" s="654"/>
      <c r="L3081" s="641">
        <v>1316500</v>
      </c>
      <c r="M3081" s="642"/>
      <c r="N3081" s="2847"/>
      <c r="O3081" s="86"/>
      <c r="P3081" s="1817"/>
      <c r="Q3081" s="43"/>
      <c r="R3081" s="43"/>
      <c r="S3081" s="43"/>
      <c r="T3081" s="43"/>
      <c r="U3081" s="43"/>
      <c r="V3081" s="43"/>
      <c r="W3081" s="43"/>
      <c r="X3081" s="43"/>
      <c r="Y3081" s="43"/>
      <c r="Z3081" s="43"/>
      <c r="AA3081" s="43"/>
      <c r="AB3081" s="43"/>
      <c r="AC3081" s="43"/>
      <c r="AD3081" s="43"/>
      <c r="AE3081" s="43"/>
      <c r="AF3081" s="43"/>
      <c r="AG3081" s="43"/>
    </row>
    <row r="3082" spans="1:33" ht="42" customHeight="1">
      <c r="A3082" s="1882"/>
      <c r="B3082" s="992" t="s">
        <v>1249</v>
      </c>
      <c r="C3082" s="992" t="s">
        <v>526</v>
      </c>
      <c r="D3082" s="1620"/>
      <c r="E3082" s="2246" t="s">
        <v>1912</v>
      </c>
      <c r="F3082" s="1011">
        <v>5250</v>
      </c>
      <c r="G3082" s="3381" t="s">
        <v>5115</v>
      </c>
      <c r="H3082" s="1994"/>
      <c r="I3082" s="1895"/>
      <c r="J3082" s="1895"/>
      <c r="K3082" s="1896"/>
      <c r="L3082" s="1994"/>
      <c r="M3082" s="3588">
        <v>870000</v>
      </c>
      <c r="N3082" s="2846" t="s">
        <v>5119</v>
      </c>
      <c r="O3082" s="86"/>
      <c r="P3082" s="1817"/>
      <c r="Q3082" s="43"/>
      <c r="R3082" s="43"/>
      <c r="S3082" s="43"/>
      <c r="T3082" s="43"/>
      <c r="U3082" s="43"/>
      <c r="V3082" s="43"/>
      <c r="W3082" s="43"/>
      <c r="X3082" s="43"/>
      <c r="Y3082" s="43"/>
      <c r="Z3082" s="43"/>
      <c r="AA3082" s="43"/>
      <c r="AB3082" s="43"/>
      <c r="AC3082" s="43"/>
      <c r="AD3082" s="43"/>
      <c r="AE3082" s="43"/>
      <c r="AF3082" s="43"/>
      <c r="AG3082" s="43"/>
    </row>
    <row r="3083" spans="1:33" ht="53.45" customHeight="1">
      <c r="A3083" s="1882"/>
      <c r="B3083" s="992" t="s">
        <v>1249</v>
      </c>
      <c r="C3083" s="992" t="s">
        <v>526</v>
      </c>
      <c r="D3083" s="1620"/>
      <c r="E3083" s="2246" t="s">
        <v>1912</v>
      </c>
      <c r="F3083" s="1011">
        <v>5250</v>
      </c>
      <c r="G3083" s="3381" t="s">
        <v>5116</v>
      </c>
      <c r="H3083" s="1994"/>
      <c r="I3083" s="1895"/>
      <c r="J3083" s="1895"/>
      <c r="K3083" s="1896"/>
      <c r="L3083" s="1994"/>
      <c r="M3083" s="3588">
        <v>12000</v>
      </c>
      <c r="N3083" s="2846" t="s">
        <v>5107</v>
      </c>
      <c r="O3083" s="86"/>
      <c r="P3083" s="1817"/>
      <c r="Q3083" s="43"/>
      <c r="R3083" s="43"/>
      <c r="S3083" s="43"/>
      <c r="T3083" s="43"/>
      <c r="U3083" s="43"/>
      <c r="V3083" s="43"/>
      <c r="W3083" s="43"/>
      <c r="X3083" s="43"/>
      <c r="Y3083" s="43"/>
      <c r="Z3083" s="43"/>
      <c r="AA3083" s="43"/>
      <c r="AB3083" s="43"/>
      <c r="AC3083" s="43"/>
      <c r="AD3083" s="43"/>
      <c r="AE3083" s="43"/>
      <c r="AF3083" s="43"/>
      <c r="AG3083" s="43"/>
    </row>
    <row r="3084" spans="1:33" ht="45" customHeight="1">
      <c r="A3084" s="1882"/>
      <c r="B3084" s="992" t="s">
        <v>1249</v>
      </c>
      <c r="C3084" s="992" t="s">
        <v>526</v>
      </c>
      <c r="D3084" s="1620"/>
      <c r="E3084" s="2246" t="s">
        <v>1912</v>
      </c>
      <c r="F3084" s="1011">
        <v>5250</v>
      </c>
      <c r="G3084" s="3381" t="s">
        <v>5117</v>
      </c>
      <c r="H3084" s="1994"/>
      <c r="I3084" s="1895"/>
      <c r="J3084" s="1895"/>
      <c r="K3084" s="1896"/>
      <c r="L3084" s="1994"/>
      <c r="M3084" s="3588">
        <v>425000</v>
      </c>
      <c r="N3084" s="2846" t="s">
        <v>5120</v>
      </c>
      <c r="O3084" s="86"/>
      <c r="P3084" s="1817" t="e">
        <f>INDEX(#REF!,MATCH(F3084,#REF!,0),2)</f>
        <v>#REF!</v>
      </c>
      <c r="Q3084" s="43"/>
      <c r="R3084" s="43"/>
      <c r="S3084" s="43"/>
      <c r="T3084" s="43"/>
      <c r="U3084" s="43"/>
      <c r="V3084" s="43"/>
      <c r="W3084" s="43"/>
      <c r="X3084" s="43"/>
      <c r="Y3084" s="43"/>
      <c r="Z3084" s="43"/>
      <c r="AA3084" s="43"/>
      <c r="AB3084" s="43"/>
      <c r="AC3084" s="43"/>
      <c r="AD3084" s="43"/>
      <c r="AE3084" s="43"/>
      <c r="AF3084" s="43"/>
      <c r="AG3084" s="43"/>
    </row>
    <row r="3085" spans="1:33" ht="45" customHeight="1">
      <c r="A3085" s="1882"/>
      <c r="B3085" s="992" t="s">
        <v>1249</v>
      </c>
      <c r="C3085" s="992" t="s">
        <v>526</v>
      </c>
      <c r="D3085" s="1620"/>
      <c r="E3085" s="2246" t="s">
        <v>1912</v>
      </c>
      <c r="F3085" s="1011">
        <v>5250</v>
      </c>
      <c r="G3085" s="3381" t="s">
        <v>5118</v>
      </c>
      <c r="H3085" s="1994"/>
      <c r="I3085" s="1895"/>
      <c r="J3085" s="1895"/>
      <c r="K3085" s="1896"/>
      <c r="L3085" s="1994"/>
      <c r="M3085" s="3588">
        <v>9500</v>
      </c>
      <c r="N3085" s="2846" t="s">
        <v>5121</v>
      </c>
      <c r="O3085" s="86"/>
      <c r="P3085" s="1817" t="e">
        <f>INDEX(#REF!,MATCH(F3085,#REF!,0),2)</f>
        <v>#REF!</v>
      </c>
      <c r="Q3085" s="43"/>
      <c r="R3085" s="43"/>
      <c r="S3085" s="43"/>
      <c r="T3085" s="43"/>
      <c r="U3085" s="43"/>
      <c r="V3085" s="43"/>
      <c r="W3085" s="43"/>
      <c r="X3085" s="43"/>
      <c r="Y3085" s="43"/>
      <c r="Z3085" s="43"/>
      <c r="AA3085" s="43"/>
      <c r="AB3085" s="43"/>
      <c r="AC3085" s="43"/>
      <c r="AD3085" s="43"/>
      <c r="AE3085" s="43"/>
      <c r="AF3085" s="43"/>
      <c r="AG3085" s="43"/>
    </row>
    <row r="3086" spans="1:33" ht="11.45" customHeight="1">
      <c r="A3086" s="1882"/>
      <c r="B3086" s="992" t="s">
        <v>1249</v>
      </c>
      <c r="C3086" s="992" t="s">
        <v>526</v>
      </c>
      <c r="D3086" s="1620"/>
      <c r="E3086" s="2246" t="s">
        <v>1912</v>
      </c>
      <c r="F3086" s="1011">
        <v>5250</v>
      </c>
      <c r="G3086" s="1993" t="s">
        <v>2920</v>
      </c>
      <c r="H3086" s="1994"/>
      <c r="I3086" s="1895">
        <v>390000</v>
      </c>
      <c r="J3086" s="1895"/>
      <c r="K3086" s="1896"/>
      <c r="L3086" s="1994"/>
      <c r="M3086" s="2462"/>
      <c r="N3086" s="2847"/>
      <c r="O3086" s="86"/>
      <c r="P3086" s="1817" t="e">
        <f>INDEX(#REF!,MATCH(F3086,#REF!,0),2)</f>
        <v>#REF!</v>
      </c>
      <c r="Q3086" s="43"/>
      <c r="R3086" s="43"/>
      <c r="S3086" s="43"/>
      <c r="T3086" s="43"/>
      <c r="U3086" s="43"/>
      <c r="V3086" s="43"/>
      <c r="W3086" s="43"/>
      <c r="X3086" s="43"/>
      <c r="Y3086" s="43"/>
      <c r="Z3086" s="43"/>
      <c r="AA3086" s="43"/>
      <c r="AB3086" s="43"/>
      <c r="AC3086" s="43"/>
      <c r="AD3086" s="43"/>
      <c r="AE3086" s="43"/>
      <c r="AF3086" s="43"/>
      <c r="AG3086" s="43"/>
    </row>
    <row r="3087" spans="1:33" ht="14.45" customHeight="1">
      <c r="A3087" s="1882"/>
      <c r="B3087" s="992" t="s">
        <v>1249</v>
      </c>
      <c r="C3087" s="992" t="s">
        <v>526</v>
      </c>
      <c r="D3087" s="1620"/>
      <c r="E3087" s="2246" t="s">
        <v>1912</v>
      </c>
      <c r="F3087" s="1011">
        <v>5250</v>
      </c>
      <c r="G3087" s="1993" t="s">
        <v>3177</v>
      </c>
      <c r="H3087" s="1677"/>
      <c r="I3087" s="1675">
        <v>43500</v>
      </c>
      <c r="J3087" s="1675"/>
      <c r="K3087" s="1676"/>
      <c r="L3087" s="1677"/>
      <c r="M3087" s="2463"/>
      <c r="N3087" s="2847"/>
      <c r="O3087" s="86"/>
      <c r="P3087" s="1817"/>
      <c r="Q3087" s="43"/>
      <c r="R3087" s="43"/>
      <c r="S3087" s="43"/>
      <c r="T3087" s="43"/>
      <c r="U3087" s="43"/>
      <c r="V3087" s="43"/>
      <c r="W3087" s="43"/>
      <c r="X3087" s="43"/>
      <c r="Y3087" s="43"/>
      <c r="Z3087" s="43"/>
      <c r="AA3087" s="43"/>
      <c r="AB3087" s="43"/>
      <c r="AC3087" s="43"/>
      <c r="AD3087" s="43"/>
      <c r="AE3087" s="43"/>
      <c r="AF3087" s="43"/>
      <c r="AG3087" s="43"/>
    </row>
    <row r="3088" spans="1:33" ht="19.149999999999999" customHeight="1">
      <c r="A3088" s="992"/>
      <c r="B3088" s="992" t="s">
        <v>1249</v>
      </c>
      <c r="C3088" s="992" t="s">
        <v>526</v>
      </c>
      <c r="D3088" s="1620"/>
      <c r="E3088" s="2246" t="s">
        <v>1912</v>
      </c>
      <c r="F3088" s="1011">
        <v>5250</v>
      </c>
      <c r="G3088" s="1055" t="s">
        <v>3176</v>
      </c>
      <c r="H3088" s="1088"/>
      <c r="I3088" s="1154">
        <v>43000</v>
      </c>
      <c r="J3088" s="1154"/>
      <c r="K3088" s="1089"/>
      <c r="L3088" s="1088"/>
      <c r="M3088" s="2462"/>
      <c r="N3088" s="2847"/>
      <c r="O3088" s="86"/>
      <c r="P3088" s="1817" t="e">
        <f>INDEX(#REF!,MATCH(F3088,#REF!,0),2)</f>
        <v>#REF!</v>
      </c>
      <c r="Q3088" s="43"/>
      <c r="R3088" s="43"/>
      <c r="S3088" s="43"/>
      <c r="T3088" s="43"/>
      <c r="U3088" s="43"/>
      <c r="V3088" s="43"/>
      <c r="W3088" s="43"/>
      <c r="X3088" s="43"/>
      <c r="Y3088" s="43"/>
      <c r="Z3088" s="43"/>
      <c r="AA3088" s="43"/>
      <c r="AB3088" s="43"/>
      <c r="AC3088" s="43"/>
      <c r="AD3088" s="43"/>
      <c r="AE3088" s="43"/>
      <c r="AF3088" s="43"/>
      <c r="AG3088" s="43"/>
    </row>
    <row r="3089" spans="1:33" ht="15" customHeight="1">
      <c r="A3089" s="4200"/>
      <c r="B3089" s="992" t="s">
        <v>1249</v>
      </c>
      <c r="C3089" s="992" t="s">
        <v>526</v>
      </c>
      <c r="D3089" s="1620"/>
      <c r="E3089" s="2246" t="s">
        <v>1912</v>
      </c>
      <c r="F3089" s="1011">
        <v>5250</v>
      </c>
      <c r="G3089" s="4372" t="s">
        <v>1180</v>
      </c>
      <c r="H3089" s="3701"/>
      <c r="I3089" s="3669">
        <v>4795</v>
      </c>
      <c r="J3089" s="3669"/>
      <c r="K3089" s="3670"/>
      <c r="L3089" s="3701"/>
      <c r="M3089" s="4373"/>
      <c r="N3089" s="2847"/>
      <c r="O3089" s="86"/>
      <c r="P3089" s="1817" t="e">
        <f>INDEX(#REF!,MATCH(F3089,#REF!,0),2)</f>
        <v>#REF!</v>
      </c>
      <c r="Q3089" s="43"/>
      <c r="R3089" s="43"/>
      <c r="S3089" s="43"/>
      <c r="T3089" s="43"/>
      <c r="U3089" s="43"/>
      <c r="V3089" s="43"/>
      <c r="W3089" s="43"/>
      <c r="X3089" s="43"/>
      <c r="Y3089" s="43"/>
      <c r="Z3089" s="43"/>
      <c r="AA3089" s="43"/>
      <c r="AB3089" s="43"/>
      <c r="AC3089" s="43"/>
      <c r="AD3089" s="43"/>
      <c r="AE3089" s="43"/>
      <c r="AF3089" s="43"/>
      <c r="AG3089" s="43"/>
    </row>
    <row r="3090" spans="1:33" ht="12" customHeight="1">
      <c r="A3090" s="634"/>
      <c r="B3090" s="634" t="s">
        <v>566</v>
      </c>
      <c r="C3090" s="634" t="s">
        <v>1081</v>
      </c>
      <c r="D3090" s="1597">
        <v>950</v>
      </c>
      <c r="E3090" s="2093" t="s">
        <v>1912</v>
      </c>
      <c r="F3090" s="635">
        <v>5250</v>
      </c>
      <c r="G3090" s="432" t="s">
        <v>470</v>
      </c>
      <c r="H3090" s="1016">
        <v>0</v>
      </c>
      <c r="I3090" s="1697"/>
      <c r="J3090" s="653"/>
      <c r="K3090" s="654"/>
      <c r="L3090" s="1504">
        <v>0</v>
      </c>
      <c r="M3090" s="642"/>
      <c r="N3090" s="2847"/>
      <c r="O3090" s="86"/>
      <c r="P3090" s="1817" t="e">
        <f>INDEX(#REF!,MATCH(F3090,#REF!,0),2)</f>
        <v>#REF!</v>
      </c>
      <c r="Q3090" s="43"/>
      <c r="R3090" s="43"/>
      <c r="S3090" s="43"/>
      <c r="T3090" s="43"/>
      <c r="U3090" s="43"/>
      <c r="V3090" s="43"/>
      <c r="W3090" s="43"/>
      <c r="X3090" s="43"/>
      <c r="Y3090" s="43"/>
      <c r="Z3090" s="43"/>
      <c r="AA3090" s="43"/>
      <c r="AB3090" s="43"/>
      <c r="AC3090" s="43"/>
      <c r="AD3090" s="43"/>
      <c r="AE3090" s="43"/>
      <c r="AF3090" s="43"/>
      <c r="AG3090" s="43"/>
    </row>
    <row r="3091" spans="1:33" ht="19.149999999999999" customHeight="1">
      <c r="A3091" s="424"/>
      <c r="B3091" s="424" t="s">
        <v>566</v>
      </c>
      <c r="C3091" s="424" t="s">
        <v>1081</v>
      </c>
      <c r="D3091" s="1598"/>
      <c r="E3091" s="2104" t="s">
        <v>1912</v>
      </c>
      <c r="F3091" s="438">
        <v>5250</v>
      </c>
      <c r="G3091" s="996"/>
      <c r="H3091" s="1038"/>
      <c r="I3091" s="1040"/>
      <c r="J3091" s="1035"/>
      <c r="K3091" s="1036"/>
      <c r="L3091" s="1045"/>
      <c r="M3091" s="2462"/>
      <c r="N3091" s="2847"/>
      <c r="O3091" s="86"/>
      <c r="P3091" s="1817" t="e">
        <f>INDEX(#REF!,MATCH(F3091,#REF!,0),2)</f>
        <v>#REF!</v>
      </c>
      <c r="Q3091" s="43"/>
      <c r="R3091" s="43"/>
      <c r="S3091" s="43"/>
      <c r="T3091" s="43"/>
      <c r="U3091" s="43"/>
      <c r="V3091" s="43"/>
      <c r="W3091" s="43"/>
      <c r="X3091" s="43"/>
      <c r="Y3091" s="43"/>
      <c r="Z3091" s="43"/>
      <c r="AA3091" s="43"/>
      <c r="AB3091" s="43"/>
      <c r="AC3091" s="43"/>
      <c r="AD3091" s="43"/>
      <c r="AE3091" s="43"/>
      <c r="AF3091" s="43"/>
      <c r="AG3091" s="43"/>
    </row>
    <row r="3092" spans="1:33" ht="15" customHeight="1">
      <c r="A3092" s="170"/>
      <c r="B3092" s="170" t="s">
        <v>566</v>
      </c>
      <c r="C3092" s="170" t="s">
        <v>510</v>
      </c>
      <c r="D3092" s="1603">
        <v>956</v>
      </c>
      <c r="E3092" s="2250" t="s">
        <v>1955</v>
      </c>
      <c r="F3092" s="171">
        <v>1119</v>
      </c>
      <c r="G3092" s="172" t="s">
        <v>698</v>
      </c>
      <c r="H3092" s="63">
        <v>22340</v>
      </c>
      <c r="I3092" s="181"/>
      <c r="J3092" s="207"/>
      <c r="K3092" s="62"/>
      <c r="L3092" s="2469">
        <v>28306.006553928313</v>
      </c>
      <c r="M3092" s="181"/>
      <c r="N3092" s="2847" t="s">
        <v>2659</v>
      </c>
      <c r="O3092" s="86"/>
      <c r="P3092" s="1817" t="e">
        <f>INDEX(#REF!,MATCH(F3092,#REF!,0),2)</f>
        <v>#REF!</v>
      </c>
      <c r="Q3092" s="43"/>
      <c r="R3092" s="43"/>
      <c r="S3092" s="43"/>
      <c r="T3092" s="43"/>
      <c r="U3092" s="43"/>
      <c r="V3092" s="43"/>
      <c r="W3092" s="43"/>
      <c r="X3092" s="43"/>
      <c r="Y3092" s="43"/>
      <c r="Z3092" s="43"/>
      <c r="AA3092" s="43"/>
      <c r="AB3092" s="43"/>
      <c r="AC3092" s="43"/>
      <c r="AD3092" s="43"/>
      <c r="AE3092" s="43"/>
      <c r="AF3092" s="43"/>
      <c r="AG3092" s="43"/>
    </row>
    <row r="3093" spans="1:33" ht="18" customHeight="1">
      <c r="A3093" s="173"/>
      <c r="B3093" s="173" t="s">
        <v>566</v>
      </c>
      <c r="C3093" s="173" t="s">
        <v>510</v>
      </c>
      <c r="D3093" s="1604"/>
      <c r="E3093" s="2251" t="s">
        <v>1955</v>
      </c>
      <c r="F3093" s="370">
        <v>1119</v>
      </c>
      <c r="G3093" s="188" t="s">
        <v>699</v>
      </c>
      <c r="H3093" s="214"/>
      <c r="I3093" s="215">
        <v>32537</v>
      </c>
      <c r="J3093" s="183"/>
      <c r="K3093" s="182"/>
      <c r="L3093" s="214"/>
      <c r="M3093" s="2470">
        <v>28306.006553928313</v>
      </c>
      <c r="N3093" s="2847"/>
      <c r="O3093" s="86"/>
      <c r="P3093" s="1817" t="e">
        <f>INDEX(#REF!,MATCH(F3093,#REF!,0),2)</f>
        <v>#REF!</v>
      </c>
      <c r="Q3093" s="43"/>
      <c r="R3093" s="43"/>
      <c r="S3093" s="43"/>
      <c r="T3093" s="43"/>
      <c r="U3093" s="43"/>
      <c r="V3093" s="43"/>
      <c r="W3093" s="43"/>
      <c r="X3093" s="43"/>
      <c r="Y3093" s="43"/>
      <c r="Z3093" s="43"/>
      <c r="AA3093" s="43"/>
      <c r="AB3093" s="43"/>
      <c r="AC3093" s="43"/>
      <c r="AD3093" s="43"/>
      <c r="AE3093" s="43"/>
      <c r="AF3093" s="43"/>
      <c r="AG3093" s="43"/>
    </row>
    <row r="3094" spans="1:33" ht="16.149999999999999" customHeight="1">
      <c r="A3094" s="325"/>
      <c r="B3094" s="173" t="s">
        <v>566</v>
      </c>
      <c r="C3094" s="173" t="s">
        <v>510</v>
      </c>
      <c r="D3094" s="1604"/>
      <c r="E3094" s="2251" t="s">
        <v>1955</v>
      </c>
      <c r="F3094" s="370">
        <v>1119</v>
      </c>
      <c r="G3094" s="378" t="s">
        <v>1427</v>
      </c>
      <c r="H3094" s="294"/>
      <c r="I3094" s="343"/>
      <c r="J3094" s="285"/>
      <c r="K3094" s="287"/>
      <c r="L3094" s="294"/>
      <c r="M3094" s="2471"/>
      <c r="N3094" s="2847"/>
      <c r="O3094" s="86"/>
      <c r="P3094" s="1817" t="e">
        <f>INDEX(#REF!,MATCH(F3094,#REF!,0),2)</f>
        <v>#REF!</v>
      </c>
      <c r="Q3094" s="43"/>
      <c r="R3094" s="43"/>
      <c r="S3094" s="43"/>
      <c r="T3094" s="43"/>
      <c r="U3094" s="43"/>
      <c r="V3094" s="43"/>
      <c r="W3094" s="43"/>
      <c r="X3094" s="43"/>
      <c r="Y3094" s="43"/>
      <c r="Z3094" s="43"/>
      <c r="AA3094" s="43"/>
      <c r="AB3094" s="43"/>
      <c r="AC3094" s="43"/>
      <c r="AD3094" s="43"/>
      <c r="AE3094" s="43"/>
      <c r="AF3094" s="43"/>
      <c r="AG3094" s="43"/>
    </row>
    <row r="3095" spans="1:33" ht="15.6" customHeight="1">
      <c r="A3095" s="170"/>
      <c r="B3095" s="170" t="s">
        <v>566</v>
      </c>
      <c r="C3095" s="170" t="s">
        <v>510</v>
      </c>
      <c r="D3095" s="1603">
        <v>956</v>
      </c>
      <c r="E3095" s="2250" t="s">
        <v>1955</v>
      </c>
      <c r="F3095" s="171">
        <v>1147</v>
      </c>
      <c r="G3095" s="172" t="s">
        <v>653</v>
      </c>
      <c r="H3095" s="63">
        <v>1000</v>
      </c>
      <c r="I3095" s="181"/>
      <c r="J3095" s="207"/>
      <c r="K3095" s="62"/>
      <c r="L3095" s="2469">
        <v>1000</v>
      </c>
      <c r="M3095" s="181"/>
      <c r="N3095" s="2847"/>
      <c r="O3095" s="86"/>
      <c r="P3095" s="1817" t="e">
        <f>INDEX(#REF!,MATCH(F3095,#REF!,0),2)</f>
        <v>#REF!</v>
      </c>
      <c r="Q3095" s="43"/>
      <c r="R3095" s="43"/>
      <c r="S3095" s="43"/>
      <c r="T3095" s="43"/>
      <c r="U3095" s="43"/>
      <c r="V3095" s="43"/>
      <c r="W3095" s="43"/>
      <c r="X3095" s="43"/>
      <c r="Y3095" s="43"/>
      <c r="Z3095" s="43"/>
      <c r="AA3095" s="43"/>
      <c r="AB3095" s="43"/>
      <c r="AC3095" s="43"/>
      <c r="AD3095" s="43"/>
      <c r="AE3095" s="43"/>
      <c r="AF3095" s="43"/>
      <c r="AG3095" s="43"/>
    </row>
    <row r="3096" spans="1:33" ht="34.15" customHeight="1">
      <c r="A3096" s="173"/>
      <c r="B3096" s="173" t="s">
        <v>566</v>
      </c>
      <c r="C3096" s="173" t="s">
        <v>510</v>
      </c>
      <c r="D3096" s="1604"/>
      <c r="E3096" s="2251" t="s">
        <v>1955</v>
      </c>
      <c r="F3096" s="370">
        <v>1147</v>
      </c>
      <c r="G3096" s="188" t="s">
        <v>699</v>
      </c>
      <c r="H3096" s="214"/>
      <c r="I3096" s="215"/>
      <c r="J3096" s="183"/>
      <c r="K3096" s="182"/>
      <c r="L3096" s="214"/>
      <c r="M3096" s="2470">
        <v>1000</v>
      </c>
      <c r="N3096" s="2847"/>
      <c r="O3096" s="86"/>
      <c r="P3096" s="1817" t="e">
        <f>INDEX(#REF!,MATCH(F3096,#REF!,0),2)</f>
        <v>#REF!</v>
      </c>
      <c r="Q3096" s="43"/>
      <c r="R3096" s="43"/>
      <c r="S3096" s="43"/>
      <c r="T3096" s="43"/>
      <c r="U3096" s="43"/>
      <c r="V3096" s="43"/>
      <c r="W3096" s="43"/>
      <c r="X3096" s="43"/>
      <c r="Y3096" s="43"/>
      <c r="Z3096" s="43"/>
      <c r="AA3096" s="43"/>
      <c r="AB3096" s="43"/>
      <c r="AC3096" s="43"/>
      <c r="AD3096" s="43"/>
      <c r="AE3096" s="43"/>
      <c r="AF3096" s="43"/>
      <c r="AG3096" s="43"/>
    </row>
    <row r="3097" spans="1:33" ht="18" customHeight="1">
      <c r="A3097" s="170"/>
      <c r="B3097" s="170" t="s">
        <v>566</v>
      </c>
      <c r="C3097" s="170" t="s">
        <v>510</v>
      </c>
      <c r="D3097" s="1603">
        <v>956</v>
      </c>
      <c r="E3097" s="2252" t="s">
        <v>1955</v>
      </c>
      <c r="F3097" s="171">
        <v>1210</v>
      </c>
      <c r="G3097" s="172" t="s">
        <v>624</v>
      </c>
      <c r="H3097" s="63">
        <v>5124</v>
      </c>
      <c r="I3097" s="181"/>
      <c r="J3097" s="207"/>
      <c r="K3097" s="62"/>
      <c r="L3097" s="2469">
        <v>5124.093446071689</v>
      </c>
      <c r="M3097" s="181"/>
      <c r="N3097" s="2847"/>
      <c r="O3097" s="86"/>
      <c r="P3097" s="1817" t="e">
        <f>INDEX(#REF!,MATCH(F3097,#REF!,0),2)</f>
        <v>#REF!</v>
      </c>
      <c r="Q3097" s="43"/>
      <c r="R3097" s="43"/>
      <c r="S3097" s="43"/>
      <c r="T3097" s="43"/>
      <c r="U3097" s="43"/>
      <c r="V3097" s="43"/>
      <c r="W3097" s="43"/>
      <c r="X3097" s="43"/>
      <c r="Y3097" s="43"/>
      <c r="Z3097" s="43"/>
      <c r="AA3097" s="43"/>
      <c r="AB3097" s="43"/>
      <c r="AC3097" s="43"/>
      <c r="AD3097" s="43"/>
      <c r="AE3097" s="43"/>
      <c r="AF3097" s="43"/>
      <c r="AG3097" s="43"/>
    </row>
    <row r="3098" spans="1:33" ht="13.5" customHeight="1">
      <c r="A3098" s="173"/>
      <c r="B3098" s="173" t="s">
        <v>566</v>
      </c>
      <c r="C3098" s="173" t="s">
        <v>510</v>
      </c>
      <c r="D3098" s="1604"/>
      <c r="E3098" s="2251" t="s">
        <v>1955</v>
      </c>
      <c r="F3098" s="370">
        <v>1210</v>
      </c>
      <c r="G3098" s="333" t="s">
        <v>699</v>
      </c>
      <c r="H3098" s="214"/>
      <c r="I3098" s="215">
        <v>9085</v>
      </c>
      <c r="J3098" s="183"/>
      <c r="K3098" s="182"/>
      <c r="L3098" s="214"/>
      <c r="M3098" s="2470">
        <v>5124.093446071689</v>
      </c>
      <c r="N3098" s="2847"/>
      <c r="O3098" s="86"/>
      <c r="P3098" s="1817" t="e">
        <f>INDEX(#REF!,MATCH(F3098,#REF!,0),2)</f>
        <v>#REF!</v>
      </c>
      <c r="Q3098" s="43"/>
      <c r="R3098" s="43"/>
      <c r="S3098" s="43"/>
      <c r="T3098" s="43"/>
      <c r="U3098" s="43"/>
      <c r="V3098" s="43"/>
      <c r="W3098" s="43"/>
      <c r="X3098" s="43"/>
      <c r="Y3098" s="43"/>
      <c r="Z3098" s="43"/>
      <c r="AA3098" s="43"/>
      <c r="AB3098" s="43"/>
      <c r="AC3098" s="43"/>
      <c r="AD3098" s="43"/>
      <c r="AE3098" s="43"/>
      <c r="AF3098" s="43"/>
      <c r="AG3098" s="43"/>
    </row>
    <row r="3099" spans="1:33" ht="15" customHeight="1">
      <c r="A3099" s="325"/>
      <c r="B3099" s="173" t="s">
        <v>566</v>
      </c>
      <c r="C3099" s="173" t="s">
        <v>510</v>
      </c>
      <c r="D3099" s="1604"/>
      <c r="E3099" s="2251" t="s">
        <v>1955</v>
      </c>
      <c r="F3099" s="370">
        <v>1210</v>
      </c>
      <c r="G3099" s="378" t="s">
        <v>1427</v>
      </c>
      <c r="H3099" s="294"/>
      <c r="I3099" s="343"/>
      <c r="J3099" s="285"/>
      <c r="K3099" s="287"/>
      <c r="L3099" s="294"/>
      <c r="M3099" s="2471"/>
      <c r="N3099" s="2847"/>
      <c r="O3099" s="86"/>
      <c r="P3099" s="1817" t="e">
        <f>INDEX(#REF!,MATCH(F3099,#REF!,0),2)</f>
        <v>#REF!</v>
      </c>
      <c r="Q3099" s="43"/>
      <c r="R3099" s="43"/>
      <c r="S3099" s="43"/>
      <c r="T3099" s="43"/>
      <c r="U3099" s="43"/>
      <c r="V3099" s="43"/>
      <c r="W3099" s="43"/>
      <c r="X3099" s="43"/>
      <c r="Y3099" s="43"/>
      <c r="Z3099" s="43"/>
      <c r="AA3099" s="43"/>
      <c r="AB3099" s="43"/>
      <c r="AC3099" s="43"/>
      <c r="AD3099" s="43"/>
      <c r="AE3099" s="43"/>
      <c r="AF3099" s="43"/>
      <c r="AG3099" s="43"/>
    </row>
    <row r="3100" spans="1:33" ht="16.899999999999999" customHeight="1">
      <c r="A3100" s="170"/>
      <c r="B3100" s="170" t="s">
        <v>566</v>
      </c>
      <c r="C3100" s="170" t="s">
        <v>510</v>
      </c>
      <c r="D3100" s="1603">
        <v>956</v>
      </c>
      <c r="E3100" s="2252" t="s">
        <v>1955</v>
      </c>
      <c r="F3100" s="171">
        <v>1221</v>
      </c>
      <c r="G3100" s="172" t="s">
        <v>269</v>
      </c>
      <c r="H3100" s="63">
        <v>1000</v>
      </c>
      <c r="I3100" s="181"/>
      <c r="J3100" s="207"/>
      <c r="K3100" s="62"/>
      <c r="L3100" s="2469">
        <v>500</v>
      </c>
      <c r="M3100" s="181"/>
      <c r="N3100" s="2847"/>
      <c r="O3100" s="86"/>
      <c r="P3100" s="1817" t="e">
        <f>INDEX(#REF!,MATCH(F3100,#REF!,0),2)</f>
        <v>#REF!</v>
      </c>
      <c r="Q3100" s="43"/>
      <c r="R3100" s="43"/>
      <c r="S3100" s="43"/>
      <c r="T3100" s="43"/>
      <c r="U3100" s="43"/>
      <c r="V3100" s="43"/>
      <c r="W3100" s="43"/>
      <c r="X3100" s="43"/>
      <c r="Y3100" s="43"/>
      <c r="Z3100" s="43"/>
      <c r="AA3100" s="43"/>
      <c r="AB3100" s="43"/>
      <c r="AC3100" s="43"/>
      <c r="AD3100" s="43"/>
      <c r="AE3100" s="43"/>
      <c r="AF3100" s="43"/>
      <c r="AG3100" s="43"/>
    </row>
    <row r="3101" spans="1:33" ht="13.5" customHeight="1">
      <c r="A3101" s="173"/>
      <c r="B3101" s="173" t="s">
        <v>566</v>
      </c>
      <c r="C3101" s="173" t="s">
        <v>510</v>
      </c>
      <c r="D3101" s="1604"/>
      <c r="E3101" s="2251" t="s">
        <v>1955</v>
      </c>
      <c r="F3101" s="370">
        <v>1221</v>
      </c>
      <c r="G3101" s="378" t="s">
        <v>1427</v>
      </c>
      <c r="H3101" s="214"/>
      <c r="I3101" s="215">
        <v>500</v>
      </c>
      <c r="J3101" s="183"/>
      <c r="K3101" s="182"/>
      <c r="L3101" s="214"/>
      <c r="M3101" s="2470">
        <v>500</v>
      </c>
      <c r="N3101" s="2847"/>
      <c r="O3101" s="86"/>
      <c r="P3101" s="1817" t="e">
        <f>INDEX(#REF!,MATCH(F3101,#REF!,0),2)</f>
        <v>#REF!</v>
      </c>
      <c r="Q3101" s="43"/>
      <c r="R3101" s="43"/>
      <c r="S3101" s="43"/>
      <c r="T3101" s="43"/>
      <c r="U3101" s="43"/>
      <c r="V3101" s="43"/>
      <c r="W3101" s="43"/>
      <c r="X3101" s="43"/>
      <c r="Y3101" s="43"/>
      <c r="Z3101" s="43"/>
      <c r="AA3101" s="43"/>
      <c r="AB3101" s="43"/>
      <c r="AC3101" s="43"/>
      <c r="AD3101" s="43"/>
      <c r="AE3101" s="43"/>
      <c r="AF3101" s="43"/>
      <c r="AG3101" s="43"/>
    </row>
    <row r="3102" spans="1:33" ht="15" customHeight="1">
      <c r="A3102" s="170"/>
      <c r="B3102" s="170" t="s">
        <v>566</v>
      </c>
      <c r="C3102" s="170" t="s">
        <v>510</v>
      </c>
      <c r="D3102" s="1603">
        <v>956</v>
      </c>
      <c r="E3102" s="2252" t="s">
        <v>1955</v>
      </c>
      <c r="F3102" s="171">
        <v>2233</v>
      </c>
      <c r="G3102" s="172" t="s">
        <v>263</v>
      </c>
      <c r="H3102" s="63">
        <v>16370</v>
      </c>
      <c r="I3102" s="181"/>
      <c r="J3102" s="207"/>
      <c r="K3102" s="62"/>
      <c r="L3102" s="2469">
        <v>16369.5</v>
      </c>
      <c r="M3102" s="181"/>
      <c r="N3102" s="2847"/>
      <c r="O3102" s="86"/>
      <c r="P3102" s="1817" t="e">
        <f>INDEX(#REF!,MATCH(F3102,#REF!,0),2)</f>
        <v>#REF!</v>
      </c>
      <c r="Q3102" s="43"/>
      <c r="R3102" s="43"/>
      <c r="S3102" s="43"/>
      <c r="T3102" s="43"/>
      <c r="U3102" s="43"/>
      <c r="V3102" s="43"/>
      <c r="W3102" s="43"/>
      <c r="X3102" s="43"/>
      <c r="Y3102" s="43"/>
      <c r="Z3102" s="43"/>
      <c r="AA3102" s="43"/>
      <c r="AB3102" s="43"/>
      <c r="AC3102" s="43"/>
      <c r="AD3102" s="43"/>
      <c r="AE3102" s="43"/>
      <c r="AF3102" s="43"/>
      <c r="AG3102" s="43"/>
    </row>
    <row r="3103" spans="1:33" ht="15" customHeight="1">
      <c r="A3103" s="173"/>
      <c r="B3103" s="173" t="s">
        <v>566</v>
      </c>
      <c r="C3103" s="173" t="s">
        <v>510</v>
      </c>
      <c r="D3103" s="1604"/>
      <c r="E3103" s="2251" t="s">
        <v>1955</v>
      </c>
      <c r="F3103" s="370">
        <v>2233</v>
      </c>
      <c r="G3103" s="378" t="s">
        <v>1427</v>
      </c>
      <c r="H3103" s="214"/>
      <c r="I3103" s="215">
        <v>1100</v>
      </c>
      <c r="J3103" s="183"/>
      <c r="K3103" s="182"/>
      <c r="L3103" s="214"/>
      <c r="M3103" s="2470">
        <v>16369.5</v>
      </c>
      <c r="N3103" s="2847"/>
      <c r="O3103" s="86"/>
      <c r="P3103" s="1817" t="e">
        <f>INDEX(#REF!,MATCH(F3103,#REF!,0),2)</f>
        <v>#REF!</v>
      </c>
      <c r="Q3103" s="43"/>
      <c r="R3103" s="43"/>
      <c r="S3103" s="43"/>
      <c r="T3103" s="43"/>
      <c r="U3103" s="43"/>
      <c r="V3103" s="43"/>
      <c r="W3103" s="43"/>
      <c r="X3103" s="43"/>
      <c r="Y3103" s="43"/>
      <c r="Z3103" s="43"/>
      <c r="AA3103" s="43"/>
      <c r="AB3103" s="43"/>
      <c r="AC3103" s="43"/>
      <c r="AD3103" s="43"/>
      <c r="AE3103" s="43"/>
      <c r="AF3103" s="43"/>
      <c r="AG3103" s="43"/>
    </row>
    <row r="3104" spans="1:33" ht="13.5" customHeight="1">
      <c r="A3104" s="325"/>
      <c r="B3104" s="173" t="s">
        <v>566</v>
      </c>
      <c r="C3104" s="173" t="s">
        <v>510</v>
      </c>
      <c r="D3104" s="1604"/>
      <c r="E3104" s="2251" t="s">
        <v>1955</v>
      </c>
      <c r="F3104" s="370">
        <v>2233</v>
      </c>
      <c r="G3104" s="378"/>
      <c r="H3104" s="294"/>
      <c r="I3104" s="343"/>
      <c r="J3104" s="285"/>
      <c r="K3104" s="287"/>
      <c r="L3104" s="294"/>
      <c r="M3104" s="2471"/>
      <c r="N3104" s="2847"/>
      <c r="O3104" s="86"/>
      <c r="P3104" s="1817" t="e">
        <f>INDEX(#REF!,MATCH(F3104,#REF!,0),2)</f>
        <v>#REF!</v>
      </c>
      <c r="Q3104" s="43"/>
      <c r="R3104" s="43"/>
      <c r="S3104" s="43"/>
      <c r="T3104" s="43"/>
      <c r="U3104" s="43"/>
      <c r="V3104" s="43"/>
      <c r="W3104" s="43"/>
      <c r="X3104" s="43"/>
      <c r="Y3104" s="43"/>
      <c r="Z3104" s="43"/>
      <c r="AA3104" s="43"/>
      <c r="AB3104" s="43"/>
      <c r="AC3104" s="43"/>
      <c r="AD3104" s="43"/>
      <c r="AE3104" s="43"/>
      <c r="AF3104" s="43"/>
      <c r="AG3104" s="43"/>
    </row>
    <row r="3105" spans="1:33" ht="14.45" customHeight="1">
      <c r="A3105" s="170"/>
      <c r="B3105" s="170" t="s">
        <v>566</v>
      </c>
      <c r="C3105" s="170" t="s">
        <v>510</v>
      </c>
      <c r="D3105" s="1603">
        <v>956</v>
      </c>
      <c r="E3105" s="2252" t="s">
        <v>1955</v>
      </c>
      <c r="F3105" s="171">
        <v>2239</v>
      </c>
      <c r="G3105" s="172" t="s">
        <v>266</v>
      </c>
      <c r="H3105" s="63">
        <v>15520</v>
      </c>
      <c r="I3105" s="181"/>
      <c r="J3105" s="207"/>
      <c r="K3105" s="62"/>
      <c r="L3105" s="2469">
        <v>15519.5</v>
      </c>
      <c r="M3105" s="181"/>
      <c r="N3105" s="2847"/>
      <c r="O3105" s="86"/>
      <c r="P3105" s="1817" t="e">
        <f>INDEX(#REF!,MATCH(F3105,#REF!,0),2)</f>
        <v>#REF!</v>
      </c>
      <c r="Q3105" s="43"/>
      <c r="R3105" s="43"/>
      <c r="S3105" s="43"/>
      <c r="T3105" s="43"/>
      <c r="U3105" s="43"/>
      <c r="V3105" s="43"/>
      <c r="W3105" s="43"/>
      <c r="X3105" s="43"/>
      <c r="Y3105" s="43"/>
      <c r="Z3105" s="43"/>
      <c r="AA3105" s="43"/>
      <c r="AB3105" s="43"/>
      <c r="AC3105" s="43"/>
      <c r="AD3105" s="43"/>
      <c r="AE3105" s="43"/>
      <c r="AF3105" s="43"/>
      <c r="AG3105" s="43"/>
    </row>
    <row r="3106" spans="1:33" ht="15" customHeight="1">
      <c r="A3106" s="173"/>
      <c r="B3106" s="173" t="s">
        <v>566</v>
      </c>
      <c r="C3106" s="173" t="s">
        <v>510</v>
      </c>
      <c r="D3106" s="1604"/>
      <c r="E3106" s="2251" t="s">
        <v>1955</v>
      </c>
      <c r="F3106" s="370">
        <v>2239</v>
      </c>
      <c r="G3106" s="188" t="s">
        <v>700</v>
      </c>
      <c r="H3106" s="214"/>
      <c r="I3106" s="215">
        <v>12994</v>
      </c>
      <c r="J3106" s="183"/>
      <c r="K3106" s="182"/>
      <c r="L3106" s="214"/>
      <c r="M3106" s="2470">
        <v>15519.5</v>
      </c>
      <c r="N3106" s="2847"/>
      <c r="O3106" s="86"/>
      <c r="P3106" s="1817" t="e">
        <f>INDEX(#REF!,MATCH(F3106,#REF!,0),2)</f>
        <v>#REF!</v>
      </c>
      <c r="Q3106" s="43"/>
      <c r="R3106" s="43"/>
      <c r="S3106" s="43"/>
      <c r="T3106" s="43"/>
      <c r="U3106" s="43"/>
      <c r="V3106" s="43"/>
      <c r="W3106" s="43"/>
      <c r="X3106" s="43"/>
      <c r="Y3106" s="43"/>
      <c r="Z3106" s="43"/>
      <c r="AA3106" s="43"/>
      <c r="AB3106" s="43"/>
      <c r="AC3106" s="43"/>
      <c r="AD3106" s="43"/>
      <c r="AE3106" s="43"/>
      <c r="AF3106" s="43"/>
      <c r="AG3106" s="43"/>
    </row>
    <row r="3107" spans="1:33" ht="16.899999999999999" customHeight="1">
      <c r="A3107" s="295"/>
      <c r="B3107" s="173" t="s">
        <v>566</v>
      </c>
      <c r="C3107" s="173" t="s">
        <v>510</v>
      </c>
      <c r="D3107" s="1630"/>
      <c r="E3107" s="2251" t="s">
        <v>1955</v>
      </c>
      <c r="F3107" s="370">
        <v>2239</v>
      </c>
      <c r="G3107" s="378" t="s">
        <v>1427</v>
      </c>
      <c r="H3107" s="294"/>
      <c r="I3107" s="304"/>
      <c r="J3107" s="285"/>
      <c r="K3107" s="287"/>
      <c r="L3107" s="294"/>
      <c r="M3107" s="2472"/>
      <c r="N3107" s="2847"/>
      <c r="O3107" s="86"/>
      <c r="P3107" s="1817" t="e">
        <f>INDEX(#REF!,MATCH(F3107,#REF!,0),2)</f>
        <v>#REF!</v>
      </c>
      <c r="Q3107" s="43"/>
      <c r="R3107" s="43"/>
      <c r="S3107" s="43"/>
      <c r="T3107" s="43"/>
      <c r="U3107" s="43"/>
      <c r="V3107" s="43"/>
      <c r="W3107" s="43"/>
      <c r="X3107" s="43"/>
      <c r="Y3107" s="43"/>
      <c r="Z3107" s="43"/>
      <c r="AA3107" s="43"/>
      <c r="AB3107" s="43"/>
      <c r="AC3107" s="43"/>
      <c r="AD3107" s="43"/>
      <c r="AE3107" s="43"/>
      <c r="AF3107" s="43"/>
      <c r="AG3107" s="43"/>
    </row>
    <row r="3108" spans="1:33" ht="19.149999999999999" customHeight="1">
      <c r="A3108" s="170"/>
      <c r="B3108" s="170" t="s">
        <v>566</v>
      </c>
      <c r="C3108" s="170" t="s">
        <v>510</v>
      </c>
      <c r="D3108" s="1603">
        <v>956</v>
      </c>
      <c r="E3108" s="2252" t="s">
        <v>1955</v>
      </c>
      <c r="F3108" s="171">
        <v>2390</v>
      </c>
      <c r="G3108" s="172" t="s">
        <v>793</v>
      </c>
      <c r="H3108" s="63">
        <v>850</v>
      </c>
      <c r="I3108" s="181"/>
      <c r="J3108" s="207"/>
      <c r="K3108" s="62"/>
      <c r="L3108" s="2469">
        <v>850</v>
      </c>
      <c r="M3108" s="181"/>
      <c r="N3108" s="2847"/>
      <c r="O3108" s="86"/>
      <c r="P3108" s="1817" t="e">
        <f>INDEX(#REF!,MATCH(F3108,#REF!,0),2)</f>
        <v>#REF!</v>
      </c>
      <c r="Q3108" s="43"/>
      <c r="R3108" s="43"/>
      <c r="S3108" s="43"/>
      <c r="T3108" s="43"/>
      <c r="U3108" s="43"/>
      <c r="V3108" s="43"/>
      <c r="W3108" s="43"/>
      <c r="X3108" s="43"/>
      <c r="Y3108" s="43"/>
      <c r="Z3108" s="43"/>
      <c r="AA3108" s="43"/>
      <c r="AB3108" s="43"/>
      <c r="AC3108" s="43"/>
      <c r="AD3108" s="43"/>
      <c r="AE3108" s="43"/>
      <c r="AF3108" s="43"/>
      <c r="AG3108" s="43"/>
    </row>
    <row r="3109" spans="1:33" ht="15" customHeight="1">
      <c r="A3109" s="173"/>
      <c r="B3109" s="173" t="s">
        <v>566</v>
      </c>
      <c r="C3109" s="173" t="s">
        <v>510</v>
      </c>
      <c r="D3109" s="1604"/>
      <c r="E3109" s="2251" t="s">
        <v>1955</v>
      </c>
      <c r="F3109" s="370">
        <v>2390</v>
      </c>
      <c r="G3109" s="378" t="s">
        <v>1427</v>
      </c>
      <c r="H3109" s="214"/>
      <c r="I3109" s="215">
        <v>850</v>
      </c>
      <c r="J3109" s="183"/>
      <c r="K3109" s="182"/>
      <c r="L3109" s="214"/>
      <c r="M3109" s="2470">
        <v>850</v>
      </c>
      <c r="N3109" s="2847"/>
      <c r="O3109" s="86"/>
      <c r="P3109" s="1817" t="e">
        <f>INDEX(#REF!,MATCH(F3109,#REF!,0),2)</f>
        <v>#REF!</v>
      </c>
      <c r="Q3109" s="43"/>
      <c r="R3109" s="43"/>
      <c r="S3109" s="43"/>
      <c r="T3109" s="43"/>
      <c r="U3109" s="43"/>
      <c r="V3109" s="43"/>
      <c r="W3109" s="43"/>
      <c r="X3109" s="43"/>
      <c r="Y3109" s="43"/>
      <c r="Z3109" s="43"/>
      <c r="AA3109" s="43"/>
      <c r="AB3109" s="43"/>
      <c r="AC3109" s="43"/>
      <c r="AD3109" s="43"/>
      <c r="AE3109" s="43"/>
      <c r="AF3109" s="43"/>
      <c r="AG3109" s="43"/>
    </row>
    <row r="3110" spans="1:33" ht="18" customHeight="1">
      <c r="A3110" s="170"/>
      <c r="B3110" s="170" t="s">
        <v>566</v>
      </c>
      <c r="C3110" s="170" t="s">
        <v>510</v>
      </c>
      <c r="D3110" s="1603">
        <v>956</v>
      </c>
      <c r="E3110" s="2252" t="s">
        <v>1955</v>
      </c>
      <c r="F3110" s="171">
        <v>5238</v>
      </c>
      <c r="G3110" s="172" t="s">
        <v>831</v>
      </c>
      <c r="H3110" s="63">
        <v>3274</v>
      </c>
      <c r="I3110" s="181"/>
      <c r="J3110" s="207"/>
      <c r="K3110" s="62"/>
      <c r="L3110" s="2469">
        <v>3273.9</v>
      </c>
      <c r="M3110" s="181"/>
      <c r="N3110" s="2847"/>
      <c r="O3110" s="86"/>
      <c r="P3110" s="1817" t="e">
        <f>INDEX(#REF!,MATCH(F3110,#REF!,0),2)</f>
        <v>#REF!</v>
      </c>
      <c r="Q3110" s="43"/>
      <c r="R3110" s="43"/>
      <c r="S3110" s="43"/>
      <c r="T3110" s="43"/>
      <c r="U3110" s="43"/>
      <c r="V3110" s="43"/>
      <c r="W3110" s="43"/>
      <c r="X3110" s="43"/>
      <c r="Y3110" s="43"/>
      <c r="Z3110" s="43"/>
      <c r="AA3110" s="43"/>
      <c r="AB3110" s="43"/>
      <c r="AC3110" s="43"/>
      <c r="AD3110" s="43"/>
      <c r="AE3110" s="43"/>
      <c r="AF3110" s="43"/>
      <c r="AG3110" s="43"/>
    </row>
    <row r="3111" spans="1:33" ht="16.149999999999999" customHeight="1">
      <c r="A3111" s="173"/>
      <c r="B3111" s="173" t="s">
        <v>566</v>
      </c>
      <c r="C3111" s="173" t="s">
        <v>510</v>
      </c>
      <c r="D3111" s="1604"/>
      <c r="E3111" s="2251" t="s">
        <v>1955</v>
      </c>
      <c r="F3111" s="370">
        <v>5238</v>
      </c>
      <c r="G3111" s="378" t="s">
        <v>1427</v>
      </c>
      <c r="H3111" s="214"/>
      <c r="I3111" s="215"/>
      <c r="J3111" s="183"/>
      <c r="K3111" s="182"/>
      <c r="L3111" s="214"/>
      <c r="M3111" s="2470">
        <v>3273.9</v>
      </c>
      <c r="N3111" s="2847"/>
      <c r="O3111" s="86"/>
      <c r="P3111" s="1817" t="e">
        <f>INDEX(#REF!,MATCH(F3111,#REF!,0),2)</f>
        <v>#REF!</v>
      </c>
      <c r="Q3111" s="43"/>
      <c r="R3111" s="43"/>
      <c r="S3111" s="43"/>
      <c r="T3111" s="43"/>
      <c r="U3111" s="43"/>
      <c r="V3111" s="43"/>
      <c r="W3111" s="43"/>
      <c r="X3111" s="43"/>
      <c r="Y3111" s="43"/>
      <c r="Z3111" s="43"/>
      <c r="AA3111" s="43"/>
      <c r="AB3111" s="43"/>
      <c r="AC3111" s="43"/>
      <c r="AD3111" s="43"/>
      <c r="AE3111" s="43"/>
      <c r="AF3111" s="43"/>
      <c r="AG3111" s="43"/>
    </row>
    <row r="3112" spans="1:33" ht="34.15" customHeight="1">
      <c r="A3112" s="170"/>
      <c r="B3112" s="170" t="s">
        <v>566</v>
      </c>
      <c r="C3112" s="170" t="s">
        <v>510</v>
      </c>
      <c r="D3112" s="1603">
        <v>9824</v>
      </c>
      <c r="E3112" s="2250" t="s">
        <v>1956</v>
      </c>
      <c r="F3112" s="171">
        <v>1119</v>
      </c>
      <c r="G3112" s="172" t="s">
        <v>698</v>
      </c>
      <c r="H3112" s="63">
        <v>25000</v>
      </c>
      <c r="I3112" s="181"/>
      <c r="J3112" s="207"/>
      <c r="K3112" s="62"/>
      <c r="L3112" s="3533">
        <v>0</v>
      </c>
      <c r="M3112" s="3534"/>
      <c r="N3112" s="2847" t="s">
        <v>4848</v>
      </c>
      <c r="O3112" s="86"/>
      <c r="P3112" s="1817" t="e">
        <f>INDEX(#REF!,MATCH(F3112,#REF!,0),2)</f>
        <v>#REF!</v>
      </c>
      <c r="Q3112" s="43"/>
      <c r="R3112" s="43"/>
      <c r="S3112" s="43"/>
      <c r="T3112" s="43"/>
      <c r="U3112" s="43"/>
      <c r="V3112" s="43"/>
      <c r="W3112" s="43"/>
      <c r="X3112" s="43"/>
      <c r="Y3112" s="43"/>
      <c r="Z3112" s="43"/>
      <c r="AA3112" s="43"/>
      <c r="AB3112" s="43"/>
      <c r="AC3112" s="43"/>
      <c r="AD3112" s="43"/>
      <c r="AE3112" s="43"/>
      <c r="AF3112" s="43"/>
      <c r="AG3112" s="43"/>
    </row>
    <row r="3113" spans="1:33" ht="21" customHeight="1">
      <c r="A3113" s="173"/>
      <c r="B3113" s="173" t="s">
        <v>566</v>
      </c>
      <c r="C3113" s="173" t="s">
        <v>510</v>
      </c>
      <c r="D3113" s="1604"/>
      <c r="E3113" s="2251" t="s">
        <v>1956</v>
      </c>
      <c r="F3113" s="370">
        <v>1119</v>
      </c>
      <c r="G3113" s="922" t="s">
        <v>1427</v>
      </c>
      <c r="H3113" s="214"/>
      <c r="I3113" s="215">
        <v>25000</v>
      </c>
      <c r="J3113" s="183"/>
      <c r="K3113" s="182"/>
      <c r="L3113" s="3535"/>
      <c r="M3113" s="3536"/>
      <c r="N3113" s="2847"/>
      <c r="O3113" s="86"/>
      <c r="P3113" s="1817" t="e">
        <f>INDEX(#REF!,MATCH(F3113,#REF!,0),2)</f>
        <v>#REF!</v>
      </c>
      <c r="Q3113" s="43"/>
      <c r="R3113" s="43"/>
      <c r="S3113" s="43"/>
      <c r="T3113" s="43"/>
      <c r="U3113" s="43"/>
      <c r="V3113" s="43"/>
      <c r="W3113" s="43"/>
      <c r="X3113" s="43"/>
      <c r="Y3113" s="43"/>
      <c r="Z3113" s="43"/>
      <c r="AA3113" s="43"/>
      <c r="AB3113" s="43"/>
      <c r="AC3113" s="43"/>
      <c r="AD3113" s="43"/>
      <c r="AE3113" s="43"/>
      <c r="AF3113" s="43"/>
      <c r="AG3113" s="43"/>
    </row>
    <row r="3114" spans="1:33" ht="13.5" customHeight="1">
      <c r="A3114" s="170"/>
      <c r="B3114" s="170" t="s">
        <v>566</v>
      </c>
      <c r="C3114" s="170" t="s">
        <v>510</v>
      </c>
      <c r="D3114" s="1603">
        <v>9824</v>
      </c>
      <c r="E3114" s="2252" t="s">
        <v>1956</v>
      </c>
      <c r="F3114" s="171">
        <v>1210</v>
      </c>
      <c r="G3114" s="172" t="s">
        <v>624</v>
      </c>
      <c r="H3114" s="63">
        <v>4451</v>
      </c>
      <c r="I3114" s="181"/>
      <c r="J3114" s="207"/>
      <c r="K3114" s="62"/>
      <c r="L3114" s="3533">
        <v>0</v>
      </c>
      <c r="M3114" s="3534"/>
      <c r="N3114" s="2847" t="s">
        <v>4848</v>
      </c>
      <c r="O3114" s="86"/>
      <c r="P3114" s="1817" t="e">
        <f>INDEX(#REF!,MATCH(F3114,#REF!,0),2)</f>
        <v>#REF!</v>
      </c>
      <c r="Q3114" s="43"/>
      <c r="R3114" s="43"/>
      <c r="S3114" s="43"/>
      <c r="T3114" s="43"/>
      <c r="U3114" s="43"/>
      <c r="V3114" s="43"/>
      <c r="W3114" s="43"/>
      <c r="X3114" s="43"/>
      <c r="Y3114" s="43"/>
      <c r="Z3114" s="43"/>
      <c r="AA3114" s="43"/>
      <c r="AB3114" s="43"/>
      <c r="AC3114" s="43"/>
      <c r="AD3114" s="43"/>
      <c r="AE3114" s="43"/>
      <c r="AF3114" s="43"/>
      <c r="AG3114" s="43"/>
    </row>
    <row r="3115" spans="1:33" ht="15" customHeight="1">
      <c r="A3115" s="173"/>
      <c r="B3115" s="173" t="s">
        <v>566</v>
      </c>
      <c r="C3115" s="173" t="s">
        <v>510</v>
      </c>
      <c r="D3115" s="1604"/>
      <c r="E3115" s="2251" t="s">
        <v>1956</v>
      </c>
      <c r="F3115" s="370">
        <v>1210</v>
      </c>
      <c r="G3115" s="922" t="s">
        <v>1246</v>
      </c>
      <c r="H3115" s="214"/>
      <c r="I3115" s="215">
        <v>4451</v>
      </c>
      <c r="J3115" s="183"/>
      <c r="K3115" s="182"/>
      <c r="L3115" s="3535"/>
      <c r="M3115" s="3536"/>
      <c r="N3115" s="2847"/>
      <c r="O3115" s="86"/>
      <c r="P3115" s="1817" t="e">
        <f>INDEX(#REF!,MATCH(F3115,#REF!,0),2)</f>
        <v>#REF!</v>
      </c>
      <c r="Q3115" s="43"/>
      <c r="R3115" s="43"/>
      <c r="S3115" s="43"/>
      <c r="T3115" s="43"/>
      <c r="U3115" s="43"/>
      <c r="V3115" s="43"/>
      <c r="W3115" s="43"/>
      <c r="X3115" s="43"/>
      <c r="Y3115" s="43"/>
      <c r="Z3115" s="43"/>
      <c r="AA3115" s="43"/>
      <c r="AB3115" s="43"/>
      <c r="AC3115" s="43"/>
      <c r="AD3115" s="43"/>
      <c r="AE3115" s="43"/>
      <c r="AF3115" s="43"/>
      <c r="AG3115" s="43"/>
    </row>
    <row r="3116" spans="1:33" ht="13.5" customHeight="1">
      <c r="A3116" s="170"/>
      <c r="B3116" s="170" t="s">
        <v>566</v>
      </c>
      <c r="C3116" s="170" t="s">
        <v>510</v>
      </c>
      <c r="D3116" s="1603">
        <v>9824</v>
      </c>
      <c r="E3116" s="2252" t="s">
        <v>1956</v>
      </c>
      <c r="F3116" s="171">
        <v>1221</v>
      </c>
      <c r="G3116" s="172" t="s">
        <v>269</v>
      </c>
      <c r="H3116" s="63">
        <v>100</v>
      </c>
      <c r="I3116" s="181"/>
      <c r="J3116" s="207"/>
      <c r="K3116" s="62"/>
      <c r="L3116" s="3533">
        <v>0</v>
      </c>
      <c r="M3116" s="3534"/>
      <c r="N3116" s="2847" t="s">
        <v>4848</v>
      </c>
      <c r="O3116" s="86"/>
      <c r="P3116" s="1817" t="e">
        <f>INDEX(#REF!,MATCH(F3116,#REF!,0),2)</f>
        <v>#REF!</v>
      </c>
      <c r="Q3116" s="43"/>
      <c r="R3116" s="43"/>
      <c r="S3116" s="43"/>
      <c r="T3116" s="43"/>
      <c r="U3116" s="43"/>
      <c r="V3116" s="43"/>
      <c r="W3116" s="43"/>
      <c r="X3116" s="43"/>
      <c r="Y3116" s="43"/>
      <c r="Z3116" s="43"/>
      <c r="AA3116" s="43"/>
      <c r="AB3116" s="43"/>
      <c r="AC3116" s="43"/>
      <c r="AD3116" s="43"/>
      <c r="AE3116" s="43"/>
      <c r="AF3116" s="43"/>
      <c r="AG3116" s="43"/>
    </row>
    <row r="3117" spans="1:33" ht="12.75" customHeight="1">
      <c r="A3117" s="173"/>
      <c r="B3117" s="173" t="s">
        <v>566</v>
      </c>
      <c r="C3117" s="173" t="s">
        <v>510</v>
      </c>
      <c r="D3117" s="1604"/>
      <c r="E3117" s="2251" t="s">
        <v>1956</v>
      </c>
      <c r="F3117" s="370">
        <v>1221</v>
      </c>
      <c r="G3117" s="922" t="s">
        <v>1246</v>
      </c>
      <c r="H3117" s="214"/>
      <c r="I3117" s="215">
        <v>100</v>
      </c>
      <c r="J3117" s="183"/>
      <c r="K3117" s="182"/>
      <c r="L3117" s="3535"/>
      <c r="M3117" s="3536"/>
      <c r="N3117" s="2847"/>
      <c r="O3117" s="86"/>
      <c r="P3117" s="1817" t="e">
        <f>INDEX(#REF!,MATCH(F3117,#REF!,0),2)</f>
        <v>#REF!</v>
      </c>
      <c r="Q3117" s="43"/>
      <c r="R3117" s="43"/>
      <c r="S3117" s="43"/>
      <c r="T3117" s="43"/>
      <c r="U3117" s="43"/>
      <c r="V3117" s="43"/>
      <c r="W3117" s="43"/>
      <c r="X3117" s="43"/>
      <c r="Y3117" s="43"/>
      <c r="Z3117" s="43"/>
      <c r="AA3117" s="43"/>
      <c r="AB3117" s="43"/>
      <c r="AC3117" s="43"/>
      <c r="AD3117" s="43"/>
      <c r="AE3117" s="43"/>
      <c r="AF3117" s="43"/>
      <c r="AG3117" s="43"/>
    </row>
    <row r="3118" spans="1:33" ht="13.5" customHeight="1">
      <c r="A3118" s="170"/>
      <c r="B3118" s="170" t="s">
        <v>566</v>
      </c>
      <c r="C3118" s="170" t="s">
        <v>510</v>
      </c>
      <c r="D3118" s="1603">
        <v>9824</v>
      </c>
      <c r="E3118" s="2252" t="s">
        <v>1956</v>
      </c>
      <c r="F3118" s="171">
        <v>2239</v>
      </c>
      <c r="G3118" s="172" t="s">
        <v>237</v>
      </c>
      <c r="H3118" s="63">
        <v>5749</v>
      </c>
      <c r="I3118" s="181"/>
      <c r="J3118" s="207"/>
      <c r="K3118" s="62"/>
      <c r="L3118" s="3533">
        <v>0</v>
      </c>
      <c r="M3118" s="3534"/>
      <c r="N3118" s="2847" t="s">
        <v>4848</v>
      </c>
      <c r="O3118" s="86"/>
      <c r="P3118" s="1817" t="e">
        <f>INDEX(#REF!,MATCH(F3118,#REF!,0),2)</f>
        <v>#REF!</v>
      </c>
      <c r="Q3118" s="43"/>
      <c r="R3118" s="43"/>
      <c r="S3118" s="43"/>
      <c r="T3118" s="43"/>
      <c r="U3118" s="43"/>
      <c r="V3118" s="43"/>
      <c r="W3118" s="43"/>
      <c r="X3118" s="43"/>
      <c r="Y3118" s="43"/>
      <c r="Z3118" s="43"/>
      <c r="AA3118" s="43"/>
      <c r="AB3118" s="43"/>
      <c r="AC3118" s="43"/>
      <c r="AD3118" s="43"/>
      <c r="AE3118" s="43"/>
      <c r="AF3118" s="43"/>
      <c r="AG3118" s="43"/>
    </row>
    <row r="3119" spans="1:33" ht="12.75" customHeight="1">
      <c r="A3119" s="173"/>
      <c r="B3119" s="173" t="s">
        <v>566</v>
      </c>
      <c r="C3119" s="173" t="s">
        <v>510</v>
      </c>
      <c r="D3119" s="1604"/>
      <c r="E3119" s="2251" t="s">
        <v>1956</v>
      </c>
      <c r="F3119" s="370">
        <v>5239</v>
      </c>
      <c r="G3119" s="922" t="s">
        <v>1246</v>
      </c>
      <c r="H3119" s="214"/>
      <c r="I3119" s="215">
        <v>5749</v>
      </c>
      <c r="J3119" s="183"/>
      <c r="K3119" s="182"/>
      <c r="L3119" s="3535"/>
      <c r="M3119" s="3536"/>
      <c r="N3119" s="2847"/>
      <c r="O3119" s="86"/>
      <c r="P3119" s="1817" t="e">
        <f>INDEX(#REF!,MATCH(F3119,#REF!,0),2)</f>
        <v>#REF!</v>
      </c>
      <c r="Q3119" s="43"/>
      <c r="R3119" s="43"/>
      <c r="S3119" s="43"/>
      <c r="T3119" s="43"/>
      <c r="U3119" s="43"/>
      <c r="V3119" s="43"/>
      <c r="W3119" s="43"/>
      <c r="X3119" s="43"/>
      <c r="Y3119" s="43"/>
      <c r="Z3119" s="43"/>
      <c r="AA3119" s="43"/>
      <c r="AB3119" s="43"/>
      <c r="AC3119" s="43"/>
      <c r="AD3119" s="43"/>
      <c r="AE3119" s="43"/>
      <c r="AF3119" s="43"/>
      <c r="AG3119" s="43"/>
    </row>
    <row r="3120" spans="1:33" ht="13.5" customHeight="1">
      <c r="A3120" s="3084"/>
      <c r="B3120" s="3084" t="s">
        <v>512</v>
      </c>
      <c r="C3120" s="3084" t="s">
        <v>506</v>
      </c>
      <c r="D3120" s="3085">
        <v>1012</v>
      </c>
      <c r="E3120" s="3619" t="s">
        <v>1943</v>
      </c>
      <c r="F3120" s="3086">
        <v>1119</v>
      </c>
      <c r="G3120" s="3087" t="s">
        <v>224</v>
      </c>
      <c r="H3120" s="3765">
        <v>5000</v>
      </c>
      <c r="I3120" s="3766"/>
      <c r="J3120" s="3750"/>
      <c r="K3120" s="1724"/>
      <c r="L3120" s="3750">
        <v>5000</v>
      </c>
      <c r="M3120" s="3767"/>
      <c r="N3120" s="2847"/>
      <c r="O3120" s="86"/>
      <c r="P3120" s="1817" t="e">
        <f>INDEX(#REF!,MATCH(F3120,#REF!,0),2)</f>
        <v>#REF!</v>
      </c>
      <c r="Q3120" s="43"/>
      <c r="R3120" s="43"/>
      <c r="S3120" s="43"/>
      <c r="T3120" s="43"/>
      <c r="U3120" s="43"/>
      <c r="V3120" s="43"/>
      <c r="W3120" s="43"/>
      <c r="X3120" s="43"/>
      <c r="Y3120" s="43"/>
      <c r="Z3120" s="43"/>
      <c r="AA3120" s="43"/>
      <c r="AB3120" s="43"/>
      <c r="AC3120" s="43"/>
      <c r="AD3120" s="43"/>
      <c r="AE3120" s="43"/>
      <c r="AF3120" s="43"/>
      <c r="AG3120" s="43"/>
    </row>
    <row r="3121" spans="1:33" ht="12.75" customHeight="1">
      <c r="A3121" s="2790"/>
      <c r="B3121" s="2790" t="s">
        <v>512</v>
      </c>
      <c r="C3121" s="2790" t="s">
        <v>506</v>
      </c>
      <c r="D3121" s="3071"/>
      <c r="E3121" s="3109" t="s">
        <v>1943</v>
      </c>
      <c r="F3121" s="3072">
        <v>1119</v>
      </c>
      <c r="G3121" s="3377" t="s">
        <v>1223</v>
      </c>
      <c r="H3121" s="2799"/>
      <c r="I3121" s="2799">
        <v>5000</v>
      </c>
      <c r="J3121" s="2779"/>
      <c r="K3121" s="2777"/>
      <c r="L3121" s="2779"/>
      <c r="M3121" s="2779">
        <v>5000</v>
      </c>
      <c r="N3121" s="2847"/>
      <c r="O3121" s="86"/>
      <c r="P3121" s="1817" t="e">
        <f>INDEX(#REF!,MATCH(F3121,#REF!,0),2)</f>
        <v>#REF!</v>
      </c>
      <c r="Q3121" s="43"/>
      <c r="R3121" s="43"/>
      <c r="S3121" s="43"/>
      <c r="T3121" s="43"/>
      <c r="U3121" s="43"/>
      <c r="V3121" s="43"/>
      <c r="W3121" s="43"/>
      <c r="X3121" s="43"/>
      <c r="Y3121" s="43"/>
      <c r="Z3121" s="43"/>
      <c r="AA3121" s="43"/>
      <c r="AB3121" s="43"/>
      <c r="AC3121" s="43"/>
      <c r="AD3121" s="43"/>
      <c r="AE3121" s="43"/>
      <c r="AF3121" s="43"/>
      <c r="AG3121" s="43"/>
    </row>
    <row r="3122" spans="1:33" ht="13.5" customHeight="1">
      <c r="A3122" s="3084"/>
      <c r="B3122" s="3084" t="s">
        <v>512</v>
      </c>
      <c r="C3122" s="3084" t="s">
        <v>506</v>
      </c>
      <c r="D3122" s="3085">
        <v>1012</v>
      </c>
      <c r="E3122" s="3619" t="s">
        <v>1943</v>
      </c>
      <c r="F3122" s="3086">
        <v>1147</v>
      </c>
      <c r="G3122" s="3087" t="s">
        <v>2023</v>
      </c>
      <c r="H3122" s="3765">
        <v>177</v>
      </c>
      <c r="I3122" s="3766"/>
      <c r="J3122" s="3750"/>
      <c r="K3122" s="1724"/>
      <c r="L3122" s="3750">
        <v>177</v>
      </c>
      <c r="M3122" s="3767"/>
      <c r="N3122" s="2847"/>
      <c r="O3122" s="86"/>
      <c r="P3122" s="1817" t="e">
        <f>INDEX(#REF!,MATCH(F3122,#REF!,0),2)</f>
        <v>#REF!</v>
      </c>
      <c r="Q3122" s="43"/>
      <c r="R3122" s="43"/>
      <c r="S3122" s="43"/>
      <c r="T3122" s="43"/>
      <c r="U3122" s="43"/>
      <c r="V3122" s="43"/>
      <c r="W3122" s="43"/>
      <c r="X3122" s="43"/>
      <c r="Y3122" s="43"/>
      <c r="Z3122" s="43"/>
      <c r="AA3122" s="43"/>
      <c r="AB3122" s="43"/>
      <c r="AC3122" s="43"/>
      <c r="AD3122" s="43"/>
      <c r="AE3122" s="43"/>
      <c r="AF3122" s="43"/>
      <c r="AG3122" s="43"/>
    </row>
    <row r="3123" spans="1:33" ht="12.75" customHeight="1">
      <c r="A3123" s="2790"/>
      <c r="B3123" s="2790" t="s">
        <v>512</v>
      </c>
      <c r="C3123" s="2790" t="s">
        <v>506</v>
      </c>
      <c r="D3123" s="3071"/>
      <c r="E3123" s="3109" t="s">
        <v>1943</v>
      </c>
      <c r="F3123" s="3072">
        <v>1147</v>
      </c>
      <c r="G3123" s="2774"/>
      <c r="H3123" s="2799"/>
      <c r="I3123" s="2799">
        <v>177</v>
      </c>
      <c r="J3123" s="2779"/>
      <c r="K3123" s="2777"/>
      <c r="L3123" s="2779"/>
      <c r="M3123" s="2779">
        <v>177</v>
      </c>
      <c r="N3123" s="2847"/>
      <c r="O3123" s="86"/>
      <c r="P3123" s="1817" t="e">
        <f>INDEX(#REF!,MATCH(F3123,#REF!,0),2)</f>
        <v>#REF!</v>
      </c>
      <c r="Q3123" s="43"/>
      <c r="R3123" s="43"/>
      <c r="S3123" s="43"/>
      <c r="T3123" s="43"/>
      <c r="U3123" s="43"/>
      <c r="V3123" s="43"/>
      <c r="W3123" s="43"/>
      <c r="X3123" s="43"/>
      <c r="Y3123" s="43"/>
      <c r="Z3123" s="43"/>
      <c r="AA3123" s="43"/>
      <c r="AB3123" s="43"/>
      <c r="AC3123" s="43"/>
      <c r="AD3123" s="43"/>
      <c r="AE3123" s="43"/>
      <c r="AF3123" s="43"/>
      <c r="AG3123" s="43"/>
    </row>
    <row r="3124" spans="1:33" ht="23.25" customHeight="1">
      <c r="A3124" s="3084"/>
      <c r="B3124" s="3084" t="s">
        <v>512</v>
      </c>
      <c r="C3124" s="3084" t="s">
        <v>506</v>
      </c>
      <c r="D3124" s="3085">
        <v>1012</v>
      </c>
      <c r="E3124" s="3619" t="s">
        <v>1943</v>
      </c>
      <c r="F3124" s="3086">
        <v>1148</v>
      </c>
      <c r="G3124" s="3087" t="s">
        <v>911</v>
      </c>
      <c r="H3124" s="3765">
        <v>0</v>
      </c>
      <c r="I3124" s="3766"/>
      <c r="J3124" s="3750"/>
      <c r="K3124" s="1724"/>
      <c r="L3124" s="3750">
        <v>0</v>
      </c>
      <c r="M3124" s="3767"/>
      <c r="N3124" s="2847"/>
      <c r="O3124" s="86"/>
      <c r="P3124" s="1817" t="e">
        <f>INDEX(#REF!,MATCH(F3124,#REF!,0),2)</f>
        <v>#REF!</v>
      </c>
      <c r="Q3124" s="4"/>
      <c r="R3124" s="4"/>
      <c r="S3124" s="4"/>
      <c r="T3124" s="4"/>
      <c r="U3124" s="4"/>
      <c r="V3124" s="4"/>
      <c r="W3124" s="4"/>
      <c r="X3124" s="4"/>
      <c r="Y3124" s="4"/>
      <c r="Z3124" s="4"/>
      <c r="AA3124" s="4"/>
      <c r="AB3124" s="4"/>
      <c r="AC3124" s="4"/>
      <c r="AD3124" s="4"/>
      <c r="AE3124" s="4"/>
      <c r="AF3124" s="4"/>
      <c r="AG3124" s="4"/>
    </row>
    <row r="3125" spans="1:33" ht="11.45" customHeight="1">
      <c r="A3125" s="2790"/>
      <c r="B3125" s="2790" t="s">
        <v>512</v>
      </c>
      <c r="C3125" s="2790" t="s">
        <v>506</v>
      </c>
      <c r="D3125" s="3071"/>
      <c r="E3125" s="3109" t="s">
        <v>1943</v>
      </c>
      <c r="F3125" s="3072">
        <v>1148</v>
      </c>
      <c r="G3125" s="2774"/>
      <c r="H3125" s="2799"/>
      <c r="I3125" s="2799"/>
      <c r="J3125" s="2779"/>
      <c r="K3125" s="2777"/>
      <c r="L3125" s="2779"/>
      <c r="M3125" s="2779"/>
      <c r="N3125" s="2847"/>
      <c r="O3125" s="86"/>
      <c r="P3125" s="1817" t="e">
        <f>INDEX(#REF!,MATCH(F3125,#REF!,0),2)</f>
        <v>#REF!</v>
      </c>
      <c r="Q3125" s="43"/>
      <c r="R3125" s="43"/>
      <c r="S3125" s="43"/>
      <c r="T3125" s="43"/>
      <c r="U3125" s="43"/>
      <c r="V3125" s="43"/>
      <c r="W3125" s="43"/>
      <c r="X3125" s="43"/>
      <c r="Y3125" s="43"/>
      <c r="Z3125" s="43"/>
      <c r="AA3125" s="43"/>
      <c r="AB3125" s="43"/>
      <c r="AC3125" s="43"/>
      <c r="AD3125" s="43"/>
      <c r="AE3125" s="43"/>
      <c r="AF3125" s="43"/>
      <c r="AG3125" s="43"/>
    </row>
    <row r="3126" spans="1:33" ht="23.25" customHeight="1">
      <c r="A3126" s="3084"/>
      <c r="B3126" s="3084" t="s">
        <v>512</v>
      </c>
      <c r="C3126" s="3084" t="s">
        <v>506</v>
      </c>
      <c r="D3126" s="3085">
        <v>1012</v>
      </c>
      <c r="E3126" s="3619" t="s">
        <v>1943</v>
      </c>
      <c r="F3126" s="3086">
        <v>1150</v>
      </c>
      <c r="G3126" s="3087" t="s">
        <v>623</v>
      </c>
      <c r="H3126" s="3765">
        <v>281890</v>
      </c>
      <c r="I3126" s="3766"/>
      <c r="J3126" s="3750"/>
      <c r="K3126" s="1724"/>
      <c r="L3126" s="3750">
        <v>361078</v>
      </c>
      <c r="M3126" s="3767"/>
      <c r="N3126" s="2847"/>
      <c r="O3126" s="86"/>
      <c r="P3126" s="1817" t="e">
        <f>INDEX(#REF!,MATCH(F3126,#REF!,0),2)</f>
        <v>#REF!</v>
      </c>
      <c r="Q3126" s="4"/>
      <c r="R3126" s="4"/>
      <c r="S3126" s="4"/>
      <c r="T3126" s="4"/>
      <c r="U3126" s="4"/>
      <c r="V3126" s="4"/>
      <c r="W3126" s="4"/>
      <c r="X3126" s="4"/>
      <c r="Y3126" s="4"/>
      <c r="Z3126" s="4"/>
      <c r="AA3126" s="4"/>
      <c r="AB3126" s="4"/>
      <c r="AC3126" s="4"/>
      <c r="AD3126" s="4"/>
      <c r="AE3126" s="4"/>
      <c r="AF3126" s="4"/>
      <c r="AG3126" s="4"/>
    </row>
    <row r="3127" spans="1:33" ht="15.75" customHeight="1">
      <c r="A3127" s="2790"/>
      <c r="B3127" s="2790" t="s">
        <v>512</v>
      </c>
      <c r="C3127" s="2790" t="s">
        <v>506</v>
      </c>
      <c r="D3127" s="3071"/>
      <c r="E3127" s="3109" t="s">
        <v>1943</v>
      </c>
      <c r="F3127" s="3072">
        <v>1150</v>
      </c>
      <c r="G3127" s="3377" t="s">
        <v>1223</v>
      </c>
      <c r="H3127" s="2799"/>
      <c r="I3127" s="2799">
        <v>281890</v>
      </c>
      <c r="J3127" s="2779"/>
      <c r="K3127" s="2777"/>
      <c r="L3127" s="2779"/>
      <c r="M3127" s="2779">
        <v>361078</v>
      </c>
      <c r="N3127" s="2847"/>
      <c r="O3127" s="86"/>
      <c r="P3127" s="1817" t="e">
        <f>INDEX(#REF!,MATCH(F3127,#REF!,0),2)</f>
        <v>#REF!</v>
      </c>
      <c r="Q3127" s="43"/>
      <c r="R3127" s="43"/>
      <c r="S3127" s="43"/>
      <c r="T3127" s="43"/>
      <c r="U3127" s="43"/>
      <c r="V3127" s="43"/>
      <c r="W3127" s="43"/>
      <c r="X3127" s="43"/>
      <c r="Y3127" s="43"/>
      <c r="Z3127" s="43"/>
      <c r="AA3127" s="43"/>
      <c r="AB3127" s="43"/>
      <c r="AC3127" s="43"/>
      <c r="AD3127" s="43"/>
      <c r="AE3127" s="43"/>
      <c r="AF3127" s="43"/>
      <c r="AG3127" s="43"/>
    </row>
    <row r="3128" spans="1:33" ht="13.15" customHeight="1">
      <c r="A3128" s="3084"/>
      <c r="B3128" s="3084" t="s">
        <v>512</v>
      </c>
      <c r="C3128" s="3084" t="s">
        <v>506</v>
      </c>
      <c r="D3128" s="3085">
        <v>1012</v>
      </c>
      <c r="E3128" s="3619" t="s">
        <v>1943</v>
      </c>
      <c r="F3128" s="3086">
        <v>1210</v>
      </c>
      <c r="G3128" s="3087" t="s">
        <v>228</v>
      </c>
      <c r="H3128" s="3765">
        <v>83110</v>
      </c>
      <c r="I3128" s="3766"/>
      <c r="J3128" s="3750"/>
      <c r="K3128" s="1724"/>
      <c r="L3128" s="3750">
        <v>83110</v>
      </c>
      <c r="M3128" s="3767"/>
      <c r="N3128" s="2847"/>
      <c r="O3128" s="86"/>
      <c r="P3128" s="1817" t="e">
        <f>INDEX(#REF!,MATCH(F3128,#REF!,0),2)</f>
        <v>#REF!</v>
      </c>
      <c r="Q3128" s="4"/>
      <c r="R3128" s="4"/>
      <c r="S3128" s="4"/>
      <c r="T3128" s="4"/>
      <c r="U3128" s="4"/>
      <c r="V3128" s="4"/>
      <c r="W3128" s="4"/>
      <c r="X3128" s="4"/>
      <c r="Y3128" s="4"/>
      <c r="Z3128" s="4"/>
      <c r="AA3128" s="4"/>
      <c r="AB3128" s="4"/>
      <c r="AC3128" s="4"/>
      <c r="AD3128" s="4"/>
      <c r="AE3128" s="4"/>
      <c r="AF3128" s="4"/>
      <c r="AG3128" s="4"/>
    </row>
    <row r="3129" spans="1:33" ht="15.75" customHeight="1">
      <c r="A3129" s="2790"/>
      <c r="B3129" s="2790" t="s">
        <v>512</v>
      </c>
      <c r="C3129" s="2790" t="s">
        <v>506</v>
      </c>
      <c r="D3129" s="3071"/>
      <c r="E3129" s="3109" t="s">
        <v>1943</v>
      </c>
      <c r="F3129" s="3072">
        <v>1210</v>
      </c>
      <c r="G3129" s="3377" t="s">
        <v>1223</v>
      </c>
      <c r="H3129" s="2799"/>
      <c r="I3129" s="2799">
        <v>83110</v>
      </c>
      <c r="J3129" s="2779"/>
      <c r="K3129" s="2777"/>
      <c r="L3129" s="2779"/>
      <c r="M3129" s="2779">
        <v>83110</v>
      </c>
      <c r="N3129" s="2847"/>
      <c r="O3129" s="86"/>
      <c r="P3129" s="1817" t="e">
        <f>INDEX(#REF!,MATCH(F3129,#REF!,0),2)</f>
        <v>#REF!</v>
      </c>
      <c r="Q3129" s="43"/>
      <c r="R3129" s="43"/>
      <c r="S3129" s="43"/>
      <c r="T3129" s="43"/>
      <c r="U3129" s="43"/>
      <c r="V3129" s="43"/>
      <c r="W3129" s="43"/>
      <c r="X3129" s="43"/>
      <c r="Y3129" s="43"/>
      <c r="Z3129" s="43"/>
      <c r="AA3129" s="43"/>
      <c r="AB3129" s="43"/>
      <c r="AC3129" s="43"/>
      <c r="AD3129" s="43"/>
      <c r="AE3129" s="43"/>
      <c r="AF3129" s="43"/>
      <c r="AG3129" s="43"/>
    </row>
    <row r="3130" spans="1:33" ht="13.15" customHeight="1">
      <c r="A3130" s="3084"/>
      <c r="B3130" s="3084" t="s">
        <v>512</v>
      </c>
      <c r="C3130" s="3084" t="s">
        <v>506</v>
      </c>
      <c r="D3130" s="3085">
        <v>1012</v>
      </c>
      <c r="E3130" s="3619" t="s">
        <v>1943</v>
      </c>
      <c r="F3130" s="3086">
        <v>1228</v>
      </c>
      <c r="G3130" s="3087" t="s">
        <v>980</v>
      </c>
      <c r="H3130" s="3765">
        <v>3265</v>
      </c>
      <c r="I3130" s="3766"/>
      <c r="J3130" s="3750"/>
      <c r="K3130" s="1724"/>
      <c r="L3130" s="3750">
        <v>3265</v>
      </c>
      <c r="M3130" s="3767"/>
      <c r="N3130" s="2847"/>
      <c r="O3130" s="86"/>
      <c r="P3130" s="1817" t="e">
        <f>INDEX(#REF!,MATCH(F3130,#REF!,0),2)</f>
        <v>#REF!</v>
      </c>
      <c r="Q3130" s="4"/>
      <c r="R3130" s="4"/>
      <c r="S3130" s="4"/>
      <c r="T3130" s="4"/>
      <c r="U3130" s="4"/>
      <c r="V3130" s="4"/>
      <c r="W3130" s="4"/>
      <c r="X3130" s="4"/>
      <c r="Y3130" s="4"/>
      <c r="Z3130" s="4"/>
      <c r="AA3130" s="4"/>
      <c r="AB3130" s="4"/>
      <c r="AC3130" s="4"/>
      <c r="AD3130" s="4"/>
      <c r="AE3130" s="4"/>
      <c r="AF3130" s="4"/>
      <c r="AG3130" s="4"/>
    </row>
    <row r="3131" spans="1:33" ht="15.75" customHeight="1">
      <c r="A3131" s="2790"/>
      <c r="B3131" s="2790" t="s">
        <v>512</v>
      </c>
      <c r="C3131" s="2790" t="s">
        <v>506</v>
      </c>
      <c r="D3131" s="3071"/>
      <c r="E3131" s="3109" t="s">
        <v>1943</v>
      </c>
      <c r="F3131" s="3072">
        <v>1228</v>
      </c>
      <c r="G3131" s="2774"/>
      <c r="H3131" s="2799"/>
      <c r="I3131" s="2799">
        <v>3265</v>
      </c>
      <c r="J3131" s="2779"/>
      <c r="K3131" s="2777"/>
      <c r="L3131" s="2779"/>
      <c r="M3131" s="2779">
        <v>3265</v>
      </c>
      <c r="N3131" s="2847"/>
      <c r="O3131" s="86"/>
      <c r="P3131" s="1817" t="e">
        <f>INDEX(#REF!,MATCH(F3131,#REF!,0),2)</f>
        <v>#REF!</v>
      </c>
      <c r="Q3131" s="43"/>
      <c r="R3131" s="43"/>
      <c r="S3131" s="43"/>
      <c r="T3131" s="43"/>
      <c r="U3131" s="43"/>
      <c r="V3131" s="43"/>
      <c r="W3131" s="43"/>
      <c r="X3131" s="43"/>
      <c r="Y3131" s="43"/>
      <c r="Z3131" s="43"/>
      <c r="AA3131" s="43"/>
      <c r="AB3131" s="43"/>
      <c r="AC3131" s="43"/>
      <c r="AD3131" s="43"/>
      <c r="AE3131" s="43"/>
      <c r="AF3131" s="43"/>
      <c r="AG3131" s="43"/>
    </row>
    <row r="3132" spans="1:33" ht="13.15" customHeight="1">
      <c r="A3132" s="3084"/>
      <c r="B3132" s="3084" t="s">
        <v>512</v>
      </c>
      <c r="C3132" s="3084" t="s">
        <v>506</v>
      </c>
      <c r="D3132" s="3085">
        <v>1012</v>
      </c>
      <c r="E3132" s="3619" t="s">
        <v>1943</v>
      </c>
      <c r="F3132" s="3086">
        <v>2233</v>
      </c>
      <c r="G3132" s="3087" t="s">
        <v>263</v>
      </c>
      <c r="H3132" s="3765">
        <v>22890</v>
      </c>
      <c r="I3132" s="3766"/>
      <c r="J3132" s="3750"/>
      <c r="K3132" s="1724"/>
      <c r="L3132" s="3750">
        <v>22890</v>
      </c>
      <c r="M3132" s="3767"/>
      <c r="N3132" s="2847"/>
      <c r="O3132" s="86"/>
      <c r="P3132" s="1817" t="e">
        <f>INDEX(#REF!,MATCH(F3132,#REF!,0),2)</f>
        <v>#REF!</v>
      </c>
      <c r="Q3132" s="4"/>
      <c r="R3132" s="4"/>
      <c r="S3132" s="4"/>
      <c r="T3132" s="4"/>
      <c r="U3132" s="4"/>
      <c r="V3132" s="4"/>
      <c r="W3132" s="4"/>
      <c r="X3132" s="4"/>
      <c r="Y3132" s="4"/>
      <c r="Z3132" s="4"/>
      <c r="AA3132" s="4"/>
      <c r="AB3132" s="4"/>
      <c r="AC3132" s="4"/>
      <c r="AD3132" s="4"/>
      <c r="AE3132" s="4"/>
      <c r="AF3132" s="4"/>
      <c r="AG3132" s="4"/>
    </row>
    <row r="3133" spans="1:33" ht="15.75" customHeight="1">
      <c r="A3133" s="2790"/>
      <c r="B3133" s="2790" t="s">
        <v>512</v>
      </c>
      <c r="C3133" s="2790" t="s">
        <v>506</v>
      </c>
      <c r="D3133" s="3071"/>
      <c r="E3133" s="3109" t="s">
        <v>1943</v>
      </c>
      <c r="F3133" s="3072">
        <v>2233</v>
      </c>
      <c r="G3133" s="3377" t="s">
        <v>1223</v>
      </c>
      <c r="H3133" s="2799"/>
      <c r="I3133" s="2799">
        <v>22890</v>
      </c>
      <c r="J3133" s="2779"/>
      <c r="K3133" s="2777"/>
      <c r="L3133" s="2779"/>
      <c r="M3133" s="2779">
        <v>22890</v>
      </c>
      <c r="N3133" s="2847"/>
      <c r="O3133" s="86"/>
      <c r="P3133" s="1817" t="e">
        <f>INDEX(#REF!,MATCH(F3133,#REF!,0),2)</f>
        <v>#REF!</v>
      </c>
      <c r="Q3133" s="43"/>
      <c r="R3133" s="43"/>
      <c r="S3133" s="43"/>
      <c r="T3133" s="43"/>
      <c r="U3133" s="43"/>
      <c r="V3133" s="43"/>
      <c r="W3133" s="43"/>
      <c r="X3133" s="43"/>
      <c r="Y3133" s="43"/>
      <c r="Z3133" s="43"/>
      <c r="AA3133" s="43"/>
      <c r="AB3133" s="43"/>
      <c r="AC3133" s="43"/>
      <c r="AD3133" s="43"/>
      <c r="AE3133" s="43"/>
      <c r="AF3133" s="43"/>
      <c r="AG3133" s="43"/>
    </row>
    <row r="3134" spans="1:33" ht="15.75" customHeight="1">
      <c r="A3134" s="3084"/>
      <c r="B3134" s="3084" t="s">
        <v>512</v>
      </c>
      <c r="C3134" s="3084" t="s">
        <v>506</v>
      </c>
      <c r="D3134" s="3085">
        <v>1012</v>
      </c>
      <c r="E3134" s="3619" t="s">
        <v>1943</v>
      </c>
      <c r="F3134" s="3086">
        <v>2239</v>
      </c>
      <c r="G3134" s="3087" t="s">
        <v>1801</v>
      </c>
      <c r="H3134" s="3765">
        <v>100</v>
      </c>
      <c r="I3134" s="3766"/>
      <c r="J3134" s="3750"/>
      <c r="K3134" s="1724"/>
      <c r="L3134" s="3750">
        <v>100</v>
      </c>
      <c r="M3134" s="3767"/>
      <c r="N3134" s="2847"/>
      <c r="O3134" s="86"/>
      <c r="P3134" s="1817" t="e">
        <f>INDEX(#REF!,MATCH(F3134,#REF!,0),2)</f>
        <v>#REF!</v>
      </c>
      <c r="Q3134" s="43"/>
      <c r="R3134" s="43"/>
      <c r="S3134" s="43"/>
      <c r="T3134" s="43"/>
      <c r="U3134" s="43"/>
      <c r="V3134" s="43"/>
      <c r="W3134" s="43"/>
      <c r="X3134" s="43"/>
      <c r="Y3134" s="43"/>
      <c r="Z3134" s="43"/>
      <c r="AA3134" s="43"/>
      <c r="AB3134" s="43"/>
      <c r="AC3134" s="43"/>
      <c r="AD3134" s="43"/>
      <c r="AE3134" s="43"/>
      <c r="AF3134" s="43"/>
      <c r="AG3134" s="43"/>
    </row>
    <row r="3135" spans="1:33" ht="15.75" customHeight="1">
      <c r="A3135" s="2790"/>
      <c r="B3135" s="2790" t="s">
        <v>512</v>
      </c>
      <c r="C3135" s="2790" t="s">
        <v>506</v>
      </c>
      <c r="D3135" s="3071"/>
      <c r="E3135" s="3109" t="s">
        <v>1943</v>
      </c>
      <c r="F3135" s="3072">
        <v>2239</v>
      </c>
      <c r="G3135" s="3377"/>
      <c r="H3135" s="2799"/>
      <c r="I3135" s="2799">
        <v>100</v>
      </c>
      <c r="J3135" s="2779"/>
      <c r="K3135" s="2777"/>
      <c r="L3135" s="2779"/>
      <c r="M3135" s="2779">
        <v>100</v>
      </c>
      <c r="N3135" s="2847"/>
      <c r="O3135" s="86"/>
      <c r="P3135" s="1817" t="e">
        <f>INDEX(#REF!,MATCH(F3135,#REF!,0),2)</f>
        <v>#REF!</v>
      </c>
      <c r="Q3135" s="43"/>
      <c r="R3135" s="43"/>
      <c r="S3135" s="43"/>
      <c r="T3135" s="43"/>
      <c r="U3135" s="43"/>
      <c r="V3135" s="43"/>
      <c r="W3135" s="43"/>
      <c r="X3135" s="43"/>
      <c r="Y3135" s="43"/>
      <c r="Z3135" s="43"/>
      <c r="AA3135" s="43"/>
      <c r="AB3135" s="43"/>
      <c r="AC3135" s="43"/>
      <c r="AD3135" s="43"/>
      <c r="AE3135" s="43"/>
      <c r="AF3135" s="43"/>
      <c r="AG3135" s="43"/>
    </row>
    <row r="3136" spans="1:33" ht="15.75" customHeight="1">
      <c r="A3136" s="3084"/>
      <c r="B3136" s="3084" t="s">
        <v>512</v>
      </c>
      <c r="C3136" s="3084" t="s">
        <v>506</v>
      </c>
      <c r="D3136" s="3085">
        <v>1012</v>
      </c>
      <c r="E3136" s="3619" t="s">
        <v>1943</v>
      </c>
      <c r="F3136" s="3086">
        <v>2312</v>
      </c>
      <c r="G3136" s="3087" t="s">
        <v>363</v>
      </c>
      <c r="H3136" s="3765">
        <v>4770</v>
      </c>
      <c r="I3136" s="3766"/>
      <c r="J3136" s="3750"/>
      <c r="K3136" s="1724"/>
      <c r="L3136" s="3750">
        <v>4490</v>
      </c>
      <c r="M3136" s="3767"/>
      <c r="N3136" s="2847"/>
      <c r="O3136" s="86"/>
      <c r="P3136" s="1817" t="e">
        <f>INDEX(#REF!,MATCH(F3136,#REF!,0),2)</f>
        <v>#REF!</v>
      </c>
      <c r="Q3136" s="43"/>
      <c r="R3136" s="43"/>
      <c r="S3136" s="43"/>
      <c r="T3136" s="43"/>
      <c r="U3136" s="43"/>
      <c r="V3136" s="43"/>
      <c r="W3136" s="43"/>
      <c r="X3136" s="43"/>
      <c r="Y3136" s="43"/>
      <c r="Z3136" s="43"/>
      <c r="AA3136" s="43"/>
      <c r="AB3136" s="43"/>
      <c r="AC3136" s="43"/>
      <c r="AD3136" s="43"/>
      <c r="AE3136" s="43"/>
      <c r="AF3136" s="43"/>
      <c r="AG3136" s="43"/>
    </row>
    <row r="3137" spans="1:33" ht="15.75" customHeight="1">
      <c r="A3137" s="2790"/>
      <c r="B3137" s="2790" t="s">
        <v>512</v>
      </c>
      <c r="C3137" s="2790" t="s">
        <v>506</v>
      </c>
      <c r="D3137" s="3071"/>
      <c r="E3137" s="3109" t="s">
        <v>1943</v>
      </c>
      <c r="F3137" s="3072">
        <v>2312</v>
      </c>
      <c r="G3137" s="3377"/>
      <c r="H3137" s="2799"/>
      <c r="I3137" s="2799">
        <v>300</v>
      </c>
      <c r="J3137" s="2779"/>
      <c r="K3137" s="2777"/>
      <c r="L3137" s="2779"/>
      <c r="M3137" s="2779"/>
      <c r="N3137" s="2847"/>
      <c r="O3137" s="86"/>
      <c r="P3137" s="1817" t="e">
        <f>INDEX(#REF!,MATCH(F3137,#REF!,0),2)</f>
        <v>#REF!</v>
      </c>
      <c r="Q3137" s="43"/>
      <c r="R3137" s="43"/>
      <c r="S3137" s="43"/>
      <c r="T3137" s="43"/>
      <c r="U3137" s="43"/>
      <c r="V3137" s="43"/>
      <c r="W3137" s="43"/>
      <c r="X3137" s="43"/>
      <c r="Y3137" s="43"/>
      <c r="Z3137" s="43"/>
      <c r="AA3137" s="43"/>
      <c r="AB3137" s="43"/>
      <c r="AC3137" s="43"/>
      <c r="AD3137" s="43"/>
      <c r="AE3137" s="43"/>
      <c r="AF3137" s="43"/>
      <c r="AG3137" s="43"/>
    </row>
    <row r="3138" spans="1:33" ht="13.15" customHeight="1">
      <c r="A3138" s="2790"/>
      <c r="B3138" s="2790" t="s">
        <v>512</v>
      </c>
      <c r="C3138" s="2790" t="s">
        <v>506</v>
      </c>
      <c r="D3138" s="3071"/>
      <c r="E3138" s="3109" t="s">
        <v>1943</v>
      </c>
      <c r="F3138" s="3072">
        <v>2312</v>
      </c>
      <c r="G3138" s="3377" t="s">
        <v>2398</v>
      </c>
      <c r="H3138" s="2549"/>
      <c r="I3138" s="2549">
        <v>1750</v>
      </c>
      <c r="J3138" s="1650"/>
      <c r="K3138" s="1652"/>
      <c r="L3138" s="1650"/>
      <c r="M3138" s="2779">
        <v>1750</v>
      </c>
      <c r="N3138" s="2847"/>
      <c r="O3138" s="86"/>
      <c r="P3138" s="1817" t="e">
        <f>INDEX(#REF!,MATCH(F3138,#REF!,0),2)</f>
        <v>#REF!</v>
      </c>
      <c r="Q3138" s="4"/>
      <c r="R3138" s="4"/>
      <c r="S3138" s="4"/>
      <c r="T3138" s="4"/>
      <c r="U3138" s="4"/>
      <c r="V3138" s="4"/>
      <c r="W3138" s="4"/>
      <c r="X3138" s="4"/>
      <c r="Y3138" s="4"/>
      <c r="Z3138" s="4"/>
      <c r="AA3138" s="4"/>
      <c r="AB3138" s="4"/>
      <c r="AC3138" s="4"/>
      <c r="AD3138" s="4"/>
      <c r="AE3138" s="4"/>
      <c r="AF3138" s="4"/>
      <c r="AG3138" s="4"/>
    </row>
    <row r="3139" spans="1:33" ht="15.75" customHeight="1">
      <c r="A3139" s="2790"/>
      <c r="B3139" s="2790" t="s">
        <v>512</v>
      </c>
      <c r="C3139" s="2790" t="s">
        <v>506</v>
      </c>
      <c r="D3139" s="3071"/>
      <c r="E3139" s="3109" t="s">
        <v>1943</v>
      </c>
      <c r="F3139" s="3072">
        <v>2312</v>
      </c>
      <c r="G3139" s="3377" t="s">
        <v>2399</v>
      </c>
      <c r="H3139" s="2549"/>
      <c r="I3139" s="2549">
        <v>600</v>
      </c>
      <c r="J3139" s="1650"/>
      <c r="K3139" s="1652"/>
      <c r="L3139" s="1650"/>
      <c r="M3139" s="2779">
        <v>600</v>
      </c>
      <c r="N3139" s="2847"/>
      <c r="O3139" s="86"/>
      <c r="P3139" s="1817" t="e">
        <f>INDEX(#REF!,MATCH(F3139,#REF!,0),2)</f>
        <v>#REF!</v>
      </c>
      <c r="Q3139" s="43"/>
      <c r="R3139" s="43"/>
      <c r="S3139" s="43"/>
      <c r="T3139" s="43"/>
      <c r="U3139" s="43"/>
      <c r="V3139" s="43"/>
      <c r="W3139" s="43"/>
      <c r="X3139" s="43"/>
      <c r="Y3139" s="43"/>
      <c r="Z3139" s="43"/>
      <c r="AA3139" s="43"/>
      <c r="AB3139" s="43"/>
      <c r="AC3139" s="43"/>
      <c r="AD3139" s="43"/>
      <c r="AE3139" s="43"/>
      <c r="AF3139" s="43"/>
      <c r="AG3139" s="43"/>
    </row>
    <row r="3140" spans="1:33" ht="13.15" customHeight="1">
      <c r="A3140" s="2790"/>
      <c r="B3140" s="2790" t="s">
        <v>512</v>
      </c>
      <c r="C3140" s="2790" t="s">
        <v>506</v>
      </c>
      <c r="D3140" s="3071"/>
      <c r="E3140" s="3109" t="s">
        <v>1943</v>
      </c>
      <c r="F3140" s="3072">
        <v>2312</v>
      </c>
      <c r="G3140" s="3377" t="s">
        <v>2400</v>
      </c>
      <c r="H3140" s="2549"/>
      <c r="I3140" s="2549">
        <v>120</v>
      </c>
      <c r="J3140" s="1650"/>
      <c r="K3140" s="1652"/>
      <c r="L3140" s="1650"/>
      <c r="M3140" s="2779">
        <v>140</v>
      </c>
      <c r="N3140" s="2847"/>
      <c r="O3140" s="86"/>
      <c r="P3140" s="1817" t="e">
        <f>INDEX(#REF!,MATCH(F3140,#REF!,0),2)</f>
        <v>#REF!</v>
      </c>
      <c r="Q3140" s="4"/>
      <c r="R3140" s="4"/>
      <c r="S3140" s="4"/>
      <c r="T3140" s="4"/>
      <c r="U3140" s="4"/>
      <c r="V3140" s="4"/>
      <c r="W3140" s="4"/>
      <c r="X3140" s="4"/>
      <c r="Y3140" s="4"/>
      <c r="Z3140" s="4"/>
      <c r="AA3140" s="4"/>
      <c r="AB3140" s="4"/>
      <c r="AC3140" s="4"/>
      <c r="AD3140" s="4"/>
      <c r="AE3140" s="4"/>
      <c r="AF3140" s="4"/>
      <c r="AG3140" s="4"/>
    </row>
    <row r="3141" spans="1:33" ht="15.75" customHeight="1">
      <c r="A3141" s="2790"/>
      <c r="B3141" s="2790" t="s">
        <v>512</v>
      </c>
      <c r="C3141" s="2790" t="s">
        <v>506</v>
      </c>
      <c r="D3141" s="3071"/>
      <c r="E3141" s="3109" t="s">
        <v>1943</v>
      </c>
      <c r="F3141" s="3072">
        <v>2312</v>
      </c>
      <c r="G3141" s="3377" t="s">
        <v>2401</v>
      </c>
      <c r="H3141" s="2549"/>
      <c r="I3141" s="2549">
        <v>2000</v>
      </c>
      <c r="J3141" s="1650"/>
      <c r="K3141" s="1652"/>
      <c r="L3141" s="1650"/>
      <c r="M3141" s="2779">
        <v>2000</v>
      </c>
      <c r="N3141" s="2847"/>
      <c r="O3141" s="86"/>
      <c r="P3141" s="1817" t="e">
        <f>INDEX(#REF!,MATCH(F3141,#REF!,0),2)</f>
        <v>#REF!</v>
      </c>
      <c r="Q3141" s="43"/>
      <c r="R3141" s="43"/>
      <c r="S3141" s="43"/>
      <c r="T3141" s="43"/>
      <c r="U3141" s="43"/>
      <c r="V3141" s="43"/>
      <c r="W3141" s="43"/>
      <c r="X3141" s="43"/>
      <c r="Y3141" s="43"/>
      <c r="Z3141" s="43"/>
      <c r="AA3141" s="43"/>
      <c r="AB3141" s="43"/>
      <c r="AC3141" s="43"/>
      <c r="AD3141" s="43"/>
      <c r="AE3141" s="43"/>
      <c r="AF3141" s="43"/>
      <c r="AG3141" s="43"/>
    </row>
    <row r="3142" spans="1:33" ht="13.15" customHeight="1">
      <c r="A3142" s="3084"/>
      <c r="B3142" s="3084" t="s">
        <v>512</v>
      </c>
      <c r="C3142" s="3084" t="s">
        <v>506</v>
      </c>
      <c r="D3142" s="3085">
        <v>1012</v>
      </c>
      <c r="E3142" s="3619" t="s">
        <v>1943</v>
      </c>
      <c r="F3142" s="3086">
        <v>2322</v>
      </c>
      <c r="G3142" s="3087" t="s">
        <v>319</v>
      </c>
      <c r="H3142" s="3765">
        <v>400</v>
      </c>
      <c r="I3142" s="3766"/>
      <c r="J3142" s="3750"/>
      <c r="K3142" s="1724"/>
      <c r="L3142" s="3750">
        <v>400</v>
      </c>
      <c r="M3142" s="3767"/>
      <c r="N3142" s="2847"/>
      <c r="O3142" s="86"/>
      <c r="P3142" s="1817" t="e">
        <f>INDEX(#REF!,MATCH(F3142,#REF!,0),2)</f>
        <v>#REF!</v>
      </c>
      <c r="Q3142" s="4"/>
      <c r="R3142" s="4"/>
      <c r="S3142" s="4"/>
      <c r="T3142" s="4"/>
      <c r="U3142" s="4"/>
      <c r="V3142" s="4"/>
      <c r="W3142" s="4"/>
      <c r="X3142" s="4"/>
      <c r="Y3142" s="4"/>
      <c r="Z3142" s="4"/>
      <c r="AA3142" s="4"/>
      <c r="AB3142" s="4"/>
      <c r="AC3142" s="4"/>
      <c r="AD3142" s="4"/>
      <c r="AE3142" s="4"/>
      <c r="AF3142" s="4"/>
      <c r="AG3142" s="4"/>
    </row>
    <row r="3143" spans="1:33" ht="15.75" customHeight="1">
      <c r="A3143" s="2790"/>
      <c r="B3143" s="2790" t="s">
        <v>512</v>
      </c>
      <c r="C3143" s="2790" t="s">
        <v>506</v>
      </c>
      <c r="D3143" s="3071"/>
      <c r="E3143" s="3109" t="s">
        <v>1943</v>
      </c>
      <c r="F3143" s="3072">
        <v>2322</v>
      </c>
      <c r="G3143" s="3377"/>
      <c r="H3143" s="2799"/>
      <c r="I3143" s="2799">
        <v>400</v>
      </c>
      <c r="J3143" s="2779"/>
      <c r="K3143" s="2777"/>
      <c r="L3143" s="2779"/>
      <c r="M3143" s="2779">
        <v>400</v>
      </c>
      <c r="N3143" s="2847"/>
      <c r="O3143" s="86"/>
      <c r="P3143" s="1817" t="e">
        <f>INDEX(#REF!,MATCH(F3143,#REF!,0),2)</f>
        <v>#REF!</v>
      </c>
      <c r="Q3143" s="43"/>
      <c r="R3143" s="43"/>
      <c r="S3143" s="43"/>
      <c r="T3143" s="43"/>
      <c r="U3143" s="43"/>
      <c r="V3143" s="43"/>
      <c r="W3143" s="43"/>
      <c r="X3143" s="43"/>
      <c r="Y3143" s="43"/>
      <c r="Z3143" s="43"/>
      <c r="AA3143" s="43"/>
      <c r="AB3143" s="43"/>
      <c r="AC3143" s="43"/>
      <c r="AD3143" s="43"/>
      <c r="AE3143" s="43"/>
      <c r="AF3143" s="43"/>
      <c r="AG3143" s="43"/>
    </row>
    <row r="3144" spans="1:33" ht="13.15" customHeight="1">
      <c r="A3144" s="3084"/>
      <c r="B3144" s="3084" t="s">
        <v>512</v>
      </c>
      <c r="C3144" s="3084" t="s">
        <v>506</v>
      </c>
      <c r="D3144" s="3085">
        <v>1012</v>
      </c>
      <c r="E3144" s="3619" t="s">
        <v>1943</v>
      </c>
      <c r="F3144" s="3086">
        <v>2350</v>
      </c>
      <c r="G3144" s="3087" t="s">
        <v>1984</v>
      </c>
      <c r="H3144" s="3765">
        <v>100</v>
      </c>
      <c r="I3144" s="3766"/>
      <c r="J3144" s="3750"/>
      <c r="K3144" s="1724"/>
      <c r="L3144" s="3750">
        <v>100</v>
      </c>
      <c r="M3144" s="3767"/>
      <c r="N3144" s="2847"/>
      <c r="O3144" s="86"/>
      <c r="P3144" s="1817" t="e">
        <f>INDEX(#REF!,MATCH(F3144,#REF!,0),2)</f>
        <v>#REF!</v>
      </c>
      <c r="Q3144" s="4"/>
      <c r="R3144" s="4"/>
      <c r="S3144" s="4"/>
      <c r="T3144" s="4"/>
      <c r="U3144" s="4"/>
      <c r="V3144" s="4"/>
      <c r="W3144" s="4"/>
      <c r="X3144" s="4"/>
      <c r="Y3144" s="4"/>
      <c r="Z3144" s="4"/>
      <c r="AA3144" s="4"/>
      <c r="AB3144" s="4"/>
      <c r="AC3144" s="4"/>
      <c r="AD3144" s="4"/>
      <c r="AE3144" s="4"/>
      <c r="AF3144" s="4"/>
      <c r="AG3144" s="4"/>
    </row>
    <row r="3145" spans="1:33" ht="15.75" customHeight="1">
      <c r="A3145" s="2790"/>
      <c r="B3145" s="2790" t="s">
        <v>512</v>
      </c>
      <c r="C3145" s="2790" t="s">
        <v>506</v>
      </c>
      <c r="D3145" s="3071"/>
      <c r="E3145" s="3109" t="s">
        <v>1943</v>
      </c>
      <c r="F3145" s="3072">
        <v>2350</v>
      </c>
      <c r="G3145" s="3377"/>
      <c r="H3145" s="2799"/>
      <c r="I3145" s="2799">
        <v>100</v>
      </c>
      <c r="J3145" s="2779"/>
      <c r="K3145" s="2777"/>
      <c r="L3145" s="2779"/>
      <c r="M3145" s="2779">
        <v>100</v>
      </c>
      <c r="N3145" s="2847"/>
      <c r="O3145" s="86"/>
      <c r="P3145" s="1817" t="e">
        <f>INDEX(#REF!,MATCH(F3145,#REF!,0),2)</f>
        <v>#REF!</v>
      </c>
      <c r="Q3145" s="43"/>
      <c r="R3145" s="43"/>
      <c r="S3145" s="43"/>
      <c r="T3145" s="43"/>
      <c r="U3145" s="43"/>
      <c r="V3145" s="43"/>
      <c r="W3145" s="43"/>
      <c r="X3145" s="43"/>
      <c r="Y3145" s="43"/>
      <c r="Z3145" s="43"/>
      <c r="AA3145" s="43"/>
      <c r="AB3145" s="43"/>
      <c r="AC3145" s="43"/>
      <c r="AD3145" s="43"/>
      <c r="AE3145" s="43"/>
      <c r="AF3145" s="43"/>
      <c r="AG3145" s="43"/>
    </row>
    <row r="3146" spans="1:33" ht="13.15" customHeight="1">
      <c r="A3146" s="3084"/>
      <c r="B3146" s="3084" t="s">
        <v>512</v>
      </c>
      <c r="C3146" s="3084" t="s">
        <v>506</v>
      </c>
      <c r="D3146" s="3085">
        <v>1012</v>
      </c>
      <c r="E3146" s="3619" t="s">
        <v>1943</v>
      </c>
      <c r="F3146" s="3691">
        <v>5120</v>
      </c>
      <c r="G3146" s="3087" t="s">
        <v>899</v>
      </c>
      <c r="H3146" s="3765">
        <v>3590</v>
      </c>
      <c r="I3146" s="3766"/>
      <c r="J3146" s="3750"/>
      <c r="K3146" s="1724"/>
      <c r="L3146" s="3750">
        <v>3590</v>
      </c>
      <c r="M3146" s="3767"/>
      <c r="N3146" s="2847"/>
      <c r="O3146" s="86"/>
      <c r="P3146" s="1817" t="e">
        <f>INDEX(#REF!,MATCH(F3146,#REF!,0),2)</f>
        <v>#REF!</v>
      </c>
      <c r="Q3146" s="4"/>
      <c r="R3146" s="4"/>
      <c r="S3146" s="4"/>
      <c r="T3146" s="4"/>
      <c r="U3146" s="4"/>
      <c r="V3146" s="4"/>
      <c r="W3146" s="4"/>
      <c r="X3146" s="4"/>
      <c r="Y3146" s="4"/>
      <c r="Z3146" s="4"/>
      <c r="AA3146" s="4"/>
      <c r="AB3146" s="4"/>
      <c r="AC3146" s="4"/>
      <c r="AD3146" s="4"/>
      <c r="AE3146" s="4"/>
      <c r="AF3146" s="4"/>
      <c r="AG3146" s="4"/>
    </row>
    <row r="3147" spans="1:33" ht="15.75" customHeight="1">
      <c r="A3147" s="2790"/>
      <c r="B3147" s="2790" t="s">
        <v>512</v>
      </c>
      <c r="C3147" s="2790" t="s">
        <v>506</v>
      </c>
      <c r="D3147" s="3071"/>
      <c r="E3147" s="3109" t="s">
        <v>1943</v>
      </c>
      <c r="F3147" s="3692">
        <v>5120</v>
      </c>
      <c r="G3147" s="2774" t="s">
        <v>1673</v>
      </c>
      <c r="H3147" s="2799"/>
      <c r="I3147" s="2799">
        <v>3590</v>
      </c>
      <c r="J3147" s="2779"/>
      <c r="K3147" s="2777"/>
      <c r="L3147" s="2779"/>
      <c r="M3147" s="2779">
        <v>3590</v>
      </c>
      <c r="N3147" s="2847"/>
      <c r="O3147" s="86"/>
      <c r="P3147" s="1817" t="e">
        <f>INDEX(#REF!,MATCH(F3147,#REF!,0),2)</f>
        <v>#REF!</v>
      </c>
      <c r="Q3147" s="43"/>
      <c r="R3147" s="43"/>
      <c r="S3147" s="43"/>
      <c r="T3147" s="43"/>
      <c r="U3147" s="43"/>
      <c r="V3147" s="43"/>
      <c r="W3147" s="43"/>
      <c r="X3147" s="43"/>
      <c r="Y3147" s="43"/>
      <c r="Z3147" s="43"/>
      <c r="AA3147" s="43"/>
      <c r="AB3147" s="43"/>
      <c r="AC3147" s="43"/>
      <c r="AD3147" s="43"/>
      <c r="AE3147" s="43"/>
      <c r="AF3147" s="43"/>
      <c r="AG3147" s="43"/>
    </row>
    <row r="3148" spans="1:33" ht="11.45" customHeight="1">
      <c r="A3148" s="3084"/>
      <c r="B3148" s="3084" t="s">
        <v>512</v>
      </c>
      <c r="C3148" s="3084" t="s">
        <v>506</v>
      </c>
      <c r="D3148" s="3085">
        <v>1012</v>
      </c>
      <c r="E3148" s="3619" t="s">
        <v>1943</v>
      </c>
      <c r="F3148" s="3086">
        <v>5238</v>
      </c>
      <c r="G3148" s="3087" t="s">
        <v>1091</v>
      </c>
      <c r="H3148" s="3765">
        <v>4800</v>
      </c>
      <c r="I3148" s="3766"/>
      <c r="J3148" s="3750"/>
      <c r="K3148" s="1724"/>
      <c r="L3148" s="3750">
        <v>4800</v>
      </c>
      <c r="M3148" s="3767"/>
      <c r="N3148" s="2847"/>
      <c r="O3148" s="86"/>
      <c r="P3148" s="1817" t="e">
        <f>INDEX(#REF!,MATCH(F3148,#REF!,0),2)</f>
        <v>#REF!</v>
      </c>
      <c r="Q3148" s="4"/>
      <c r="R3148" s="4"/>
      <c r="S3148" s="4"/>
      <c r="T3148" s="4"/>
      <c r="U3148" s="4"/>
      <c r="V3148" s="4"/>
      <c r="W3148" s="4"/>
      <c r="X3148" s="4"/>
      <c r="Y3148" s="4"/>
      <c r="Z3148" s="4"/>
      <c r="AA3148" s="4"/>
      <c r="AB3148" s="4"/>
      <c r="AC3148" s="4"/>
      <c r="AD3148" s="4"/>
      <c r="AE3148" s="4"/>
      <c r="AF3148" s="4"/>
      <c r="AG3148" s="4"/>
    </row>
    <row r="3149" spans="1:33" ht="15.75" customHeight="1">
      <c r="A3149" s="2790"/>
      <c r="B3149" s="2790" t="s">
        <v>512</v>
      </c>
      <c r="C3149" s="2790" t="s">
        <v>506</v>
      </c>
      <c r="D3149" s="3071"/>
      <c r="E3149" s="3109" t="s">
        <v>1943</v>
      </c>
      <c r="F3149" s="3072">
        <v>5238</v>
      </c>
      <c r="G3149" s="3377" t="s">
        <v>1782</v>
      </c>
      <c r="H3149" s="2799"/>
      <c r="I3149" s="2799">
        <v>4800</v>
      </c>
      <c r="J3149" s="2779"/>
      <c r="K3149" s="2777"/>
      <c r="L3149" s="2779"/>
      <c r="M3149" s="2779">
        <v>4800</v>
      </c>
      <c r="N3149" s="2847"/>
      <c r="O3149" s="86"/>
      <c r="P3149" s="1817" t="s">
        <v>2440</v>
      </c>
      <c r="Q3149" s="43"/>
      <c r="R3149" s="43"/>
      <c r="S3149" s="43"/>
      <c r="T3149" s="43"/>
      <c r="U3149" s="43"/>
      <c r="V3149" s="43"/>
      <c r="W3149" s="43"/>
      <c r="X3149" s="43"/>
      <c r="Y3149" s="43"/>
      <c r="Z3149" s="43"/>
      <c r="AA3149" s="43"/>
      <c r="AB3149" s="43"/>
      <c r="AC3149" s="43"/>
      <c r="AD3149" s="43"/>
      <c r="AE3149" s="43"/>
      <c r="AF3149" s="43"/>
      <c r="AG3149" s="43"/>
    </row>
    <row r="3150" spans="1:33" ht="10.9" customHeight="1">
      <c r="A3150" s="3084"/>
      <c r="B3150" s="3084" t="s">
        <v>512</v>
      </c>
      <c r="C3150" s="3084" t="s">
        <v>506</v>
      </c>
      <c r="D3150" s="3085">
        <v>1012</v>
      </c>
      <c r="E3150" s="3619" t="s">
        <v>1943</v>
      </c>
      <c r="F3150" s="3086">
        <v>5239</v>
      </c>
      <c r="G3150" s="3087" t="s">
        <v>2574</v>
      </c>
      <c r="H3150" s="3765"/>
      <c r="I3150" s="3766"/>
      <c r="J3150" s="3750"/>
      <c r="K3150" s="1724"/>
      <c r="L3150" s="3750">
        <v>1000</v>
      </c>
      <c r="M3150" s="3767"/>
      <c r="N3150" s="2847"/>
      <c r="O3150" s="86"/>
      <c r="P3150" s="1817" t="e">
        <f>INDEX(#REF!,MATCH(F3150,#REF!,0),2)</f>
        <v>#REF!</v>
      </c>
      <c r="Q3150" s="43"/>
      <c r="R3150" s="43"/>
      <c r="S3150" s="43"/>
      <c r="T3150" s="43"/>
      <c r="U3150" s="43"/>
      <c r="V3150" s="43"/>
      <c r="W3150" s="43"/>
      <c r="X3150" s="43"/>
      <c r="Y3150" s="43"/>
      <c r="Z3150" s="43"/>
      <c r="AA3150" s="43"/>
      <c r="AB3150" s="43"/>
      <c r="AC3150" s="43"/>
      <c r="AD3150" s="43"/>
      <c r="AE3150" s="43"/>
      <c r="AF3150" s="43"/>
      <c r="AG3150" s="43"/>
    </row>
    <row r="3151" spans="1:33" ht="15.75" customHeight="1">
      <c r="A3151" s="2790"/>
      <c r="B3151" s="2790" t="s">
        <v>512</v>
      </c>
      <c r="C3151" s="2790" t="s">
        <v>509</v>
      </c>
      <c r="D3151" s="3071"/>
      <c r="E3151" s="3109" t="s">
        <v>1943</v>
      </c>
      <c r="F3151" s="3072">
        <v>5239</v>
      </c>
      <c r="G3151" s="3377" t="s">
        <v>5167</v>
      </c>
      <c r="H3151" s="2799"/>
      <c r="I3151" s="2799"/>
      <c r="J3151" s="2779"/>
      <c r="K3151" s="2777"/>
      <c r="L3151" s="2779"/>
      <c r="M3151" s="2779">
        <v>1000</v>
      </c>
      <c r="N3151" s="2846" t="s">
        <v>5674</v>
      </c>
      <c r="O3151" s="86"/>
      <c r="P3151" s="1817" t="e">
        <f>INDEX(#REF!,MATCH(F3151,#REF!,0),2)</f>
        <v>#REF!</v>
      </c>
      <c r="Q3151" s="43"/>
      <c r="R3151" s="43"/>
      <c r="S3151" s="43"/>
      <c r="T3151" s="43"/>
      <c r="U3151" s="43"/>
      <c r="V3151" s="43"/>
      <c r="W3151" s="43"/>
      <c r="X3151" s="43"/>
      <c r="Y3151" s="43"/>
      <c r="Z3151" s="43"/>
      <c r="AA3151" s="43"/>
      <c r="AB3151" s="43"/>
      <c r="AC3151" s="43"/>
      <c r="AD3151" s="43"/>
      <c r="AE3151" s="43"/>
      <c r="AF3151" s="43"/>
      <c r="AG3151" s="43"/>
    </row>
    <row r="3152" spans="1:33">
      <c r="A3152" s="3084"/>
      <c r="B3152" s="3084" t="s">
        <v>512</v>
      </c>
      <c r="C3152" s="3084" t="s">
        <v>506</v>
      </c>
      <c r="D3152" s="3085">
        <v>1012</v>
      </c>
      <c r="E3152" s="3619" t="s">
        <v>1943</v>
      </c>
      <c r="F3152" s="3086">
        <v>6411</v>
      </c>
      <c r="G3152" s="3087" t="s">
        <v>1224</v>
      </c>
      <c r="H3152" s="3765">
        <v>6000</v>
      </c>
      <c r="I3152" s="3766"/>
      <c r="J3152" s="3750"/>
      <c r="K3152" s="1724"/>
      <c r="L3152" s="3750">
        <v>6000</v>
      </c>
      <c r="M3152" s="3767"/>
      <c r="N3152" s="2847"/>
      <c r="O3152" s="86"/>
      <c r="P3152" s="1817" t="e">
        <f>INDEX(#REF!,MATCH(F3152,#REF!,0),2)</f>
        <v>#REF!</v>
      </c>
    </row>
    <row r="3153" spans="1:48">
      <c r="A3153" s="2790"/>
      <c r="B3153" s="2790" t="s">
        <v>512</v>
      </c>
      <c r="C3153" s="2790" t="s">
        <v>506</v>
      </c>
      <c r="D3153" s="3071"/>
      <c r="E3153" s="3109" t="s">
        <v>1943</v>
      </c>
      <c r="F3153" s="3072">
        <v>6411</v>
      </c>
      <c r="G3153" s="3377"/>
      <c r="H3153" s="2799"/>
      <c r="I3153" s="2799">
        <v>6000</v>
      </c>
      <c r="J3153" s="2779"/>
      <c r="K3153" s="2777"/>
      <c r="L3153" s="2779"/>
      <c r="M3153" s="2779">
        <v>6000</v>
      </c>
      <c r="N3153" s="2847"/>
      <c r="O3153" s="86"/>
      <c r="P3153" s="1817" t="e">
        <f>INDEX(#REF!,MATCH(F3153,#REF!,0),2)</f>
        <v>#REF!</v>
      </c>
    </row>
    <row r="3154" spans="1:48" ht="22.5">
      <c r="A3154" s="3084"/>
      <c r="B3154" s="3084" t="s">
        <v>512</v>
      </c>
      <c r="C3154" s="3084" t="s">
        <v>506</v>
      </c>
      <c r="D3154" s="3085">
        <v>1012</v>
      </c>
      <c r="E3154" s="3619" t="s">
        <v>1943</v>
      </c>
      <c r="F3154" s="3086">
        <v>6421</v>
      </c>
      <c r="G3154" s="3087" t="s">
        <v>2024</v>
      </c>
      <c r="H3154" s="3765">
        <v>5000</v>
      </c>
      <c r="I3154" s="3766"/>
      <c r="J3154" s="3750"/>
      <c r="K3154" s="1724"/>
      <c r="L3154" s="3750">
        <v>5000</v>
      </c>
      <c r="M3154" s="3767"/>
      <c r="N3154" s="2847"/>
      <c r="O3154" s="86"/>
      <c r="P3154" s="1817" t="e">
        <f>INDEX(#REF!,MATCH(F3154,#REF!,0),2)</f>
        <v>#REF!</v>
      </c>
    </row>
    <row r="3155" spans="1:48">
      <c r="A3155" s="2790"/>
      <c r="B3155" s="2790" t="s">
        <v>512</v>
      </c>
      <c r="C3155" s="2790" t="s">
        <v>506</v>
      </c>
      <c r="D3155" s="3071"/>
      <c r="E3155" s="3109" t="s">
        <v>1943</v>
      </c>
      <c r="F3155" s="3072">
        <v>6421</v>
      </c>
      <c r="G3155" s="3377"/>
      <c r="H3155" s="2799"/>
      <c r="I3155" s="2799">
        <v>5000</v>
      </c>
      <c r="J3155" s="2779"/>
      <c r="K3155" s="2777"/>
      <c r="L3155" s="2779"/>
      <c r="M3155" s="2779">
        <v>5000</v>
      </c>
      <c r="N3155" s="2847"/>
      <c r="O3155" s="86"/>
      <c r="P3155" s="1817" t="e">
        <f>INDEX(#REF!,MATCH(F3155,#REF!,0),2)</f>
        <v>#REF!</v>
      </c>
    </row>
    <row r="3156" spans="1:48" ht="16.5" customHeight="1">
      <c r="A3156" s="755"/>
      <c r="B3156" s="755" t="s">
        <v>663</v>
      </c>
      <c r="C3156" s="755" t="s">
        <v>652</v>
      </c>
      <c r="D3156" s="1600">
        <v>1010</v>
      </c>
      <c r="E3156" s="2247" t="s">
        <v>1942</v>
      </c>
      <c r="F3156" s="756">
        <v>1119</v>
      </c>
      <c r="G3156" s="757" t="s">
        <v>224</v>
      </c>
      <c r="H3156" s="760">
        <v>323393.99999999994</v>
      </c>
      <c r="I3156" s="760"/>
      <c r="J3156" s="760"/>
      <c r="K3156" s="761"/>
      <c r="L3156" s="3750">
        <v>367970.08800000011</v>
      </c>
      <c r="M3156" s="1580"/>
      <c r="N3156" s="2847"/>
      <c r="O3156" s="86"/>
      <c r="P3156" s="1817" t="e">
        <f>INDEX(#REF!,MATCH(F3156,#REF!,0),2)</f>
        <v>#REF!</v>
      </c>
      <c r="Q3156" s="4"/>
      <c r="R3156" s="4"/>
      <c r="S3156" s="4"/>
      <c r="T3156" s="4"/>
      <c r="U3156" s="4"/>
      <c r="V3156" s="4"/>
      <c r="W3156" s="4"/>
      <c r="X3156" s="4"/>
      <c r="Y3156" s="4"/>
      <c r="Z3156" s="4"/>
      <c r="AA3156" s="4"/>
      <c r="AB3156" s="4"/>
      <c r="AC3156" s="4"/>
      <c r="AD3156" s="4"/>
      <c r="AE3156" s="4"/>
      <c r="AF3156" s="4"/>
      <c r="AG3156" s="4"/>
    </row>
    <row r="3157" spans="1:48" ht="19.5" customHeight="1">
      <c r="A3157" s="762"/>
      <c r="B3157" s="762" t="s">
        <v>663</v>
      </c>
      <c r="C3157" s="762" t="s">
        <v>652</v>
      </c>
      <c r="D3157" s="1599"/>
      <c r="E3157" s="2245" t="s">
        <v>1942</v>
      </c>
      <c r="F3157" s="763">
        <v>1119</v>
      </c>
      <c r="G3157" s="786" t="s">
        <v>663</v>
      </c>
      <c r="H3157" s="765"/>
      <c r="I3157" s="765">
        <v>343375.99999999994</v>
      </c>
      <c r="J3157" s="765"/>
      <c r="K3157" s="766"/>
      <c r="L3157" s="1650"/>
      <c r="M3157" s="1576">
        <v>367970.08800000011</v>
      </c>
      <c r="N3157" s="2847"/>
      <c r="O3157" s="86"/>
      <c r="P3157" s="1817" t="e">
        <f>INDEX(#REF!,MATCH(F3157,#REF!,0),2)</f>
        <v>#REF!</v>
      </c>
      <c r="Q3157" s="43"/>
      <c r="R3157" s="43"/>
      <c r="S3157" s="43"/>
      <c r="T3157" s="43"/>
      <c r="U3157" s="43"/>
      <c r="V3157" s="43"/>
      <c r="W3157" s="43"/>
      <c r="X3157" s="43"/>
      <c r="Y3157" s="43"/>
      <c r="Z3157" s="43"/>
      <c r="AA3157" s="43"/>
      <c r="AB3157" s="43"/>
      <c r="AC3157" s="43"/>
      <c r="AD3157" s="43"/>
      <c r="AE3157" s="43"/>
      <c r="AF3157" s="43"/>
      <c r="AG3157" s="43"/>
    </row>
    <row r="3158" spans="1:48" ht="13.9" customHeight="1">
      <c r="A3158" s="762"/>
      <c r="B3158" s="762" t="s">
        <v>663</v>
      </c>
      <c r="C3158" s="762" t="s">
        <v>652</v>
      </c>
      <c r="D3158" s="1599"/>
      <c r="E3158" s="2245" t="s">
        <v>1942</v>
      </c>
      <c r="F3158" s="763">
        <v>1119</v>
      </c>
      <c r="G3158" s="786" t="s">
        <v>3201</v>
      </c>
      <c r="H3158" s="765"/>
      <c r="I3158" s="765">
        <v>-10162</v>
      </c>
      <c r="J3158" s="765"/>
      <c r="K3158" s="766"/>
      <c r="L3158" s="1650"/>
      <c r="M3158" s="1576"/>
      <c r="N3158" s="2847"/>
      <c r="O3158" s="86"/>
      <c r="P3158" s="1817" t="e">
        <f>INDEX(#REF!,MATCH(F3158,#REF!,0),2)</f>
        <v>#REF!</v>
      </c>
      <c r="Q3158" s="11"/>
      <c r="R3158" s="11"/>
      <c r="S3158" s="11"/>
      <c r="T3158" s="11"/>
      <c r="U3158" s="11"/>
      <c r="V3158" s="11"/>
      <c r="W3158" s="4"/>
      <c r="X3158" s="11"/>
      <c r="Y3158" s="11"/>
      <c r="Z3158" s="11"/>
      <c r="AA3158" s="11"/>
      <c r="AB3158" s="11"/>
      <c r="AC3158" s="11"/>
      <c r="AD3158" s="11"/>
      <c r="AE3158" s="11"/>
      <c r="AF3158" s="11"/>
      <c r="AG3158" s="11"/>
      <c r="AH3158" s="11"/>
      <c r="AI3158" s="11"/>
      <c r="AJ3158" s="11"/>
      <c r="AK3158" s="11"/>
      <c r="AL3158" s="11"/>
      <c r="AM3158" s="11"/>
      <c r="AN3158" s="11"/>
      <c r="AO3158" s="11"/>
      <c r="AP3158" s="11"/>
      <c r="AQ3158" s="11"/>
      <c r="AR3158" s="11"/>
      <c r="AS3158" s="11"/>
      <c r="AT3158" s="11"/>
      <c r="AU3158" s="11"/>
      <c r="AV3158" s="11"/>
    </row>
    <row r="3159" spans="1:48" ht="18.600000000000001" customHeight="1">
      <c r="A3159" s="1882"/>
      <c r="B3159" s="762" t="s">
        <v>663</v>
      </c>
      <c r="C3159" s="762" t="s">
        <v>652</v>
      </c>
      <c r="D3159" s="1599"/>
      <c r="E3159" s="2245" t="s">
        <v>1942</v>
      </c>
      <c r="F3159" s="763">
        <v>1119</v>
      </c>
      <c r="G3159" s="1911" t="s">
        <v>3266</v>
      </c>
      <c r="H3159" s="1651"/>
      <c r="I3159" s="1651">
        <v>-9820</v>
      </c>
      <c r="J3159" s="1651"/>
      <c r="K3159" s="1652"/>
      <c r="L3159" s="1650"/>
      <c r="M3159" s="1892"/>
      <c r="N3159" s="2847"/>
      <c r="O3159" s="86"/>
      <c r="P3159" s="1817" t="e">
        <f>INDEX(#REF!,MATCH(F3159,#REF!,0),2)</f>
        <v>#REF!</v>
      </c>
      <c r="Q3159" s="43"/>
      <c r="R3159" s="43"/>
      <c r="S3159" s="43"/>
      <c r="T3159" s="43"/>
      <c r="U3159" s="43"/>
      <c r="V3159" s="43"/>
      <c r="W3159" s="43"/>
      <c r="X3159" s="43"/>
      <c r="Y3159" s="43"/>
      <c r="Z3159" s="43"/>
      <c r="AA3159" s="43"/>
      <c r="AB3159" s="43"/>
      <c r="AC3159" s="43"/>
      <c r="AD3159" s="43"/>
      <c r="AE3159" s="43"/>
      <c r="AF3159" s="43"/>
      <c r="AG3159" s="43"/>
    </row>
    <row r="3160" spans="1:48" ht="19.5" customHeight="1">
      <c r="A3160" s="755"/>
      <c r="B3160" s="755" t="s">
        <v>512</v>
      </c>
      <c r="C3160" s="755" t="s">
        <v>506</v>
      </c>
      <c r="D3160" s="1600">
        <v>1010</v>
      </c>
      <c r="E3160" s="2247" t="s">
        <v>1942</v>
      </c>
      <c r="F3160" s="756">
        <v>1119</v>
      </c>
      <c r="G3160" s="757" t="s">
        <v>775</v>
      </c>
      <c r="H3160" s="835">
        <v>21000</v>
      </c>
      <c r="I3160" s="759"/>
      <c r="J3160" s="760"/>
      <c r="K3160" s="761"/>
      <c r="L3160" s="4062">
        <v>0</v>
      </c>
      <c r="M3160" s="1580"/>
      <c r="N3160" s="2847"/>
      <c r="O3160" s="86"/>
      <c r="P3160" s="1817" t="e">
        <f>INDEX(#REF!,MATCH(F3160,#REF!,0),2)</f>
        <v>#REF!</v>
      </c>
      <c r="Q3160" s="4"/>
      <c r="R3160" s="4"/>
      <c r="S3160" s="4"/>
      <c r="T3160" s="4"/>
      <c r="U3160" s="4"/>
      <c r="V3160" s="4"/>
      <c r="W3160" s="4"/>
      <c r="X3160" s="4"/>
      <c r="Y3160" s="4"/>
      <c r="Z3160" s="4"/>
      <c r="AA3160" s="4"/>
      <c r="AB3160" s="4"/>
      <c r="AC3160" s="4"/>
      <c r="AD3160" s="4"/>
      <c r="AE3160" s="4"/>
      <c r="AF3160" s="4"/>
      <c r="AG3160" s="4"/>
    </row>
    <row r="3161" spans="1:48" ht="12.75" customHeight="1">
      <c r="A3161" s="762"/>
      <c r="B3161" s="762" t="s">
        <v>512</v>
      </c>
      <c r="C3161" s="762" t="s">
        <v>506</v>
      </c>
      <c r="D3161" s="1599"/>
      <c r="E3161" s="2245" t="s">
        <v>1942</v>
      </c>
      <c r="F3161" s="763">
        <v>1119</v>
      </c>
      <c r="G3161" s="772" t="s">
        <v>1510</v>
      </c>
      <c r="H3161" s="764"/>
      <c r="I3161" s="764">
        <v>21000</v>
      </c>
      <c r="J3161" s="765"/>
      <c r="K3161" s="766"/>
      <c r="L3161" s="1650"/>
      <c r="M3161" s="1576"/>
      <c r="N3161" s="2847"/>
      <c r="O3161" s="86"/>
      <c r="P3161" s="1817" t="e">
        <f>INDEX(#REF!,MATCH(F3161,#REF!,0),2)</f>
        <v>#REF!</v>
      </c>
      <c r="Q3161" s="43"/>
      <c r="R3161" s="43"/>
      <c r="S3161" s="43"/>
      <c r="T3161" s="43"/>
      <c r="U3161" s="43"/>
      <c r="V3161" s="43"/>
      <c r="W3161" s="43"/>
      <c r="X3161" s="43"/>
      <c r="Y3161" s="43"/>
      <c r="Z3161" s="43"/>
      <c r="AA3161" s="43"/>
      <c r="AB3161" s="43"/>
      <c r="AC3161" s="43"/>
      <c r="AD3161" s="43"/>
      <c r="AE3161" s="43"/>
      <c r="AF3161" s="43"/>
      <c r="AG3161" s="43"/>
    </row>
    <row r="3162" spans="1:48" ht="19.5" customHeight="1">
      <c r="A3162" s="755"/>
      <c r="B3162" s="755" t="s">
        <v>663</v>
      </c>
      <c r="C3162" s="755" t="s">
        <v>652</v>
      </c>
      <c r="D3162" s="1600">
        <v>1010</v>
      </c>
      <c r="E3162" s="2247" t="s">
        <v>1942</v>
      </c>
      <c r="F3162" s="756">
        <v>1142</v>
      </c>
      <c r="G3162" s="757" t="s">
        <v>1201</v>
      </c>
      <c r="H3162" s="760">
        <v>100</v>
      </c>
      <c r="I3162" s="760"/>
      <c r="J3162" s="760"/>
      <c r="K3162" s="761"/>
      <c r="L3162" s="3750">
        <v>100</v>
      </c>
      <c r="M3162" s="1580"/>
      <c r="N3162" s="2847"/>
      <c r="O3162" s="86"/>
      <c r="P3162" s="1817" t="e">
        <f>INDEX(#REF!,MATCH(F3162,#REF!,0),2)</f>
        <v>#REF!</v>
      </c>
      <c r="Q3162" s="4"/>
      <c r="R3162" s="4"/>
      <c r="S3162" s="4"/>
      <c r="T3162" s="4"/>
      <c r="U3162" s="4"/>
      <c r="V3162" s="4"/>
      <c r="W3162" s="4"/>
      <c r="X3162" s="4"/>
      <c r="Y3162" s="4"/>
      <c r="Z3162" s="4"/>
      <c r="AA3162" s="4"/>
      <c r="AB3162" s="4"/>
      <c r="AC3162" s="4"/>
      <c r="AD3162" s="4"/>
      <c r="AE3162" s="4"/>
      <c r="AF3162" s="4"/>
      <c r="AG3162" s="4"/>
    </row>
    <row r="3163" spans="1:48" ht="16.5" customHeight="1">
      <c r="A3163" s="762"/>
      <c r="B3163" s="762" t="s">
        <v>663</v>
      </c>
      <c r="C3163" s="762" t="s">
        <v>652</v>
      </c>
      <c r="D3163" s="1599">
        <v>1010</v>
      </c>
      <c r="E3163" s="2245" t="s">
        <v>1942</v>
      </c>
      <c r="F3163" s="1816">
        <v>1142</v>
      </c>
      <c r="G3163" s="850"/>
      <c r="H3163" s="851"/>
      <c r="I3163" s="851">
        <v>100</v>
      </c>
      <c r="J3163" s="765"/>
      <c r="K3163" s="766"/>
      <c r="L3163" s="1650"/>
      <c r="M3163" s="1576">
        <v>100</v>
      </c>
      <c r="N3163" s="2847"/>
      <c r="O3163" s="86"/>
      <c r="P3163" s="1817" t="e">
        <f>INDEX(#REF!,MATCH(F3163,#REF!,0),2)</f>
        <v>#REF!</v>
      </c>
      <c r="Q3163" s="43"/>
      <c r="R3163" s="43"/>
      <c r="S3163" s="43"/>
      <c r="T3163" s="43"/>
      <c r="U3163" s="43"/>
      <c r="V3163" s="43"/>
      <c r="W3163" s="43"/>
      <c r="X3163" s="43"/>
      <c r="Y3163" s="43"/>
      <c r="Z3163" s="43"/>
      <c r="AA3163" s="43"/>
      <c r="AB3163" s="43"/>
      <c r="AC3163" s="43"/>
      <c r="AD3163" s="43"/>
      <c r="AE3163" s="43"/>
      <c r="AF3163" s="43"/>
      <c r="AG3163" s="43"/>
    </row>
    <row r="3164" spans="1:48" ht="23.25" customHeight="1">
      <c r="A3164" s="755"/>
      <c r="B3164" s="755" t="s">
        <v>663</v>
      </c>
      <c r="C3164" s="755" t="s">
        <v>652</v>
      </c>
      <c r="D3164" s="1600">
        <v>1010</v>
      </c>
      <c r="E3164" s="2247" t="s">
        <v>1942</v>
      </c>
      <c r="F3164" s="756">
        <v>1146</v>
      </c>
      <c r="G3164" s="757" t="s">
        <v>922</v>
      </c>
      <c r="H3164" s="760">
        <v>13800</v>
      </c>
      <c r="I3164" s="760"/>
      <c r="J3164" s="760"/>
      <c r="K3164" s="761"/>
      <c r="L3164" s="3750">
        <v>13800</v>
      </c>
      <c r="M3164" s="1580"/>
      <c r="N3164" s="2847"/>
      <c r="O3164" s="86"/>
      <c r="P3164" s="1817" t="e">
        <f>INDEX(#REF!,MATCH(F3164,#REF!,0),2)</f>
        <v>#REF!</v>
      </c>
      <c r="Q3164" s="4"/>
      <c r="R3164" s="4"/>
      <c r="S3164" s="4"/>
      <c r="T3164" s="4"/>
      <c r="U3164" s="4"/>
      <c r="V3164" s="4"/>
      <c r="W3164" s="4"/>
      <c r="X3164" s="4"/>
      <c r="Y3164" s="4"/>
      <c r="Z3164" s="4"/>
      <c r="AA3164" s="4"/>
      <c r="AB3164" s="4"/>
      <c r="AC3164" s="4"/>
      <c r="AD3164" s="4"/>
      <c r="AE3164" s="4"/>
      <c r="AF3164" s="4"/>
      <c r="AG3164" s="4"/>
    </row>
    <row r="3165" spans="1:48" ht="10.9" customHeight="1">
      <c r="A3165" s="762"/>
      <c r="B3165" s="762" t="s">
        <v>663</v>
      </c>
      <c r="C3165" s="762" t="s">
        <v>652</v>
      </c>
      <c r="D3165" s="1599"/>
      <c r="E3165" s="2245" t="s">
        <v>1942</v>
      </c>
      <c r="F3165" s="763">
        <v>1146</v>
      </c>
      <c r="G3165" s="786"/>
      <c r="H3165" s="551"/>
      <c r="I3165" s="551">
        <v>13800</v>
      </c>
      <c r="J3165" s="551"/>
      <c r="K3165" s="722"/>
      <c r="L3165" s="550"/>
      <c r="M3165" s="1671">
        <v>13800</v>
      </c>
      <c r="N3165" s="2847"/>
      <c r="O3165" s="86"/>
      <c r="P3165" s="1817" t="e">
        <f>INDEX(#REF!,MATCH(F3165,#REF!,0),2)</f>
        <v>#REF!</v>
      </c>
      <c r="Q3165" s="4"/>
      <c r="R3165" s="4"/>
      <c r="S3165" s="4"/>
      <c r="T3165" s="4"/>
      <c r="U3165" s="4"/>
      <c r="V3165" s="4"/>
      <c r="W3165" s="4"/>
      <c r="X3165" s="4"/>
      <c r="Y3165" s="4"/>
      <c r="Z3165" s="4"/>
      <c r="AA3165" s="4"/>
      <c r="AB3165" s="4"/>
      <c r="AC3165" s="4"/>
      <c r="AD3165" s="4"/>
      <c r="AE3165" s="4"/>
      <c r="AF3165" s="4"/>
      <c r="AG3165" s="4"/>
    </row>
    <row r="3166" spans="1:48" ht="18.75" customHeight="1">
      <c r="A3166" s="755"/>
      <c r="B3166" s="755" t="s">
        <v>663</v>
      </c>
      <c r="C3166" s="755" t="s">
        <v>652</v>
      </c>
      <c r="D3166" s="1600">
        <v>1010</v>
      </c>
      <c r="E3166" s="2247" t="s">
        <v>1942</v>
      </c>
      <c r="F3166" s="756">
        <v>1147</v>
      </c>
      <c r="G3166" s="757" t="s">
        <v>226</v>
      </c>
      <c r="H3166" s="760">
        <v>28947.999999999993</v>
      </c>
      <c r="I3166" s="760"/>
      <c r="J3166" s="760"/>
      <c r="K3166" s="761"/>
      <c r="L3166" s="3750">
        <v>30664.173999999999</v>
      </c>
      <c r="M3166" s="1580"/>
      <c r="N3166" s="2847"/>
      <c r="O3166" s="86"/>
      <c r="P3166" s="1817" t="e">
        <f>INDEX(#REF!,MATCH(F3166,#REF!,0),2)</f>
        <v>#REF!</v>
      </c>
      <c r="Q3166" s="43"/>
      <c r="R3166" s="43"/>
      <c r="S3166" s="43"/>
      <c r="T3166" s="43"/>
      <c r="U3166" s="43"/>
      <c r="V3166" s="43"/>
      <c r="W3166" s="43"/>
      <c r="X3166" s="43"/>
      <c r="Y3166" s="43"/>
      <c r="Z3166" s="43"/>
      <c r="AA3166" s="43"/>
      <c r="AB3166" s="43"/>
      <c r="AC3166" s="43"/>
      <c r="AD3166" s="43"/>
      <c r="AE3166" s="43"/>
      <c r="AF3166" s="43"/>
      <c r="AG3166" s="43"/>
    </row>
    <row r="3167" spans="1:48" ht="11.25" customHeight="1">
      <c r="A3167" s="762"/>
      <c r="B3167" s="762" t="s">
        <v>663</v>
      </c>
      <c r="C3167" s="762" t="s">
        <v>652</v>
      </c>
      <c r="D3167" s="1599"/>
      <c r="E3167" s="2245" t="s">
        <v>1942</v>
      </c>
      <c r="F3167" s="763">
        <v>1147</v>
      </c>
      <c r="G3167" s="786" t="s">
        <v>663</v>
      </c>
      <c r="H3167" s="551"/>
      <c r="I3167" s="551">
        <v>28947.999999999993</v>
      </c>
      <c r="J3167" s="551"/>
      <c r="K3167" s="722"/>
      <c r="L3167" s="550"/>
      <c r="M3167" s="1576">
        <v>30664.173999999999</v>
      </c>
      <c r="N3167" s="2847"/>
      <c r="O3167" s="86"/>
      <c r="P3167" s="1817" t="e">
        <f>INDEX(#REF!,MATCH(F3167,#REF!,0),2)</f>
        <v>#REF!</v>
      </c>
      <c r="Q3167" s="4"/>
      <c r="R3167" s="4"/>
      <c r="S3167" s="4"/>
      <c r="T3167" s="4"/>
      <c r="U3167" s="4"/>
      <c r="V3167" s="4"/>
      <c r="W3167" s="4"/>
      <c r="X3167" s="4"/>
      <c r="Y3167" s="4"/>
      <c r="Z3167" s="4"/>
      <c r="AA3167" s="4"/>
      <c r="AB3167" s="4"/>
      <c r="AC3167" s="4"/>
      <c r="AD3167" s="4"/>
      <c r="AE3167" s="4"/>
      <c r="AF3167" s="4"/>
      <c r="AG3167" s="4"/>
    </row>
    <row r="3168" spans="1:48" ht="20.45" customHeight="1">
      <c r="A3168" s="4582"/>
      <c r="B3168" s="762" t="s">
        <v>663</v>
      </c>
      <c r="C3168" s="762" t="s">
        <v>652</v>
      </c>
      <c r="D3168" s="1599"/>
      <c r="E3168" s="2245" t="s">
        <v>1942</v>
      </c>
      <c r="F3168" s="763">
        <v>1147</v>
      </c>
      <c r="G3168" s="4583" t="s">
        <v>6213</v>
      </c>
      <c r="H3168" s="551"/>
      <c r="I3168" s="551"/>
      <c r="J3168" s="551"/>
      <c r="K3168" s="722"/>
      <c r="L3168" s="550"/>
      <c r="M3168" s="4589">
        <v>15527.955336192248</v>
      </c>
      <c r="N3168" s="2847"/>
      <c r="O3168" s="86"/>
      <c r="P3168" s="1817" t="e">
        <f>INDEX(#REF!,MATCH(F3168,#REF!,0),2)</f>
        <v>#REF!</v>
      </c>
      <c r="Q3168" s="11"/>
      <c r="R3168" s="11"/>
      <c r="S3168" s="11"/>
      <c r="T3168" s="11"/>
      <c r="U3168" s="11"/>
      <c r="V3168" s="11"/>
      <c r="W3168" s="4"/>
      <c r="X3168" s="11"/>
      <c r="Y3168" s="11"/>
      <c r="Z3168" s="11"/>
      <c r="AA3168" s="11"/>
      <c r="AB3168" s="11"/>
      <c r="AC3168" s="11"/>
      <c r="AD3168" s="11"/>
      <c r="AE3168" s="11"/>
      <c r="AF3168" s="11"/>
      <c r="AG3168" s="11"/>
      <c r="AH3168" s="11"/>
      <c r="AI3168" s="11"/>
      <c r="AJ3168" s="11"/>
      <c r="AK3168" s="11"/>
      <c r="AL3168" s="11"/>
      <c r="AM3168" s="11"/>
      <c r="AN3168" s="11"/>
      <c r="AO3168" s="11"/>
      <c r="AP3168" s="11"/>
      <c r="AQ3168" s="11"/>
      <c r="AR3168" s="11"/>
      <c r="AS3168" s="11"/>
      <c r="AT3168" s="11"/>
      <c r="AU3168" s="11"/>
      <c r="AV3168" s="11"/>
    </row>
    <row r="3169" spans="1:48" ht="14.25" customHeight="1">
      <c r="A3169" s="755"/>
      <c r="B3169" s="755" t="s">
        <v>663</v>
      </c>
      <c r="C3169" s="755" t="s">
        <v>652</v>
      </c>
      <c r="D3169" s="1600">
        <v>1010</v>
      </c>
      <c r="E3169" s="2247" t="s">
        <v>1942</v>
      </c>
      <c r="F3169" s="756">
        <v>1148</v>
      </c>
      <c r="G3169" s="757" t="s">
        <v>227</v>
      </c>
      <c r="H3169" s="760">
        <v>3000</v>
      </c>
      <c r="I3169" s="760"/>
      <c r="J3169" s="760"/>
      <c r="K3169" s="761"/>
      <c r="L3169" s="3750">
        <v>900</v>
      </c>
      <c r="M3169" s="1580"/>
      <c r="N3169" s="2847"/>
      <c r="O3169" s="86"/>
      <c r="P3169" s="1817" t="e">
        <f>INDEX(#REF!,MATCH(F3169,#REF!,0),2)</f>
        <v>#REF!</v>
      </c>
      <c r="Q3169" s="43"/>
      <c r="R3169" s="43"/>
      <c r="S3169" s="43"/>
      <c r="T3169" s="43"/>
      <c r="U3169" s="43"/>
      <c r="V3169" s="43"/>
      <c r="W3169" s="43"/>
      <c r="X3169" s="43"/>
      <c r="Y3169" s="43"/>
      <c r="Z3169" s="43"/>
      <c r="AA3169" s="43"/>
      <c r="AB3169" s="43"/>
      <c r="AC3169" s="43"/>
      <c r="AD3169" s="43"/>
      <c r="AE3169" s="43"/>
      <c r="AF3169" s="43"/>
      <c r="AG3169" s="43"/>
    </row>
    <row r="3170" spans="1:48" ht="25.15" customHeight="1">
      <c r="A3170" s="762"/>
      <c r="B3170" s="762" t="s">
        <v>663</v>
      </c>
      <c r="C3170" s="762" t="s">
        <v>652</v>
      </c>
      <c r="D3170" s="1599"/>
      <c r="E3170" s="2245" t="s">
        <v>1942</v>
      </c>
      <c r="F3170" s="763">
        <v>1148</v>
      </c>
      <c r="G3170" s="836" t="s">
        <v>1674</v>
      </c>
      <c r="H3170" s="551"/>
      <c r="I3170" s="551">
        <v>900</v>
      </c>
      <c r="J3170" s="551"/>
      <c r="K3170" s="722"/>
      <c r="L3170" s="550"/>
      <c r="M3170" s="1576">
        <v>900</v>
      </c>
      <c r="N3170" s="2847"/>
      <c r="O3170" s="86"/>
      <c r="P3170" s="1817" t="e">
        <f>INDEX(#REF!,MATCH(F3170,#REF!,0),2)</f>
        <v>#REF!</v>
      </c>
      <c r="Q3170" s="11"/>
      <c r="R3170" s="11"/>
      <c r="S3170" s="11"/>
      <c r="T3170" s="11"/>
      <c r="U3170" s="11"/>
      <c r="V3170" s="11"/>
      <c r="W3170" s="4"/>
      <c r="X3170" s="11"/>
      <c r="Y3170" s="11"/>
      <c r="Z3170" s="11"/>
      <c r="AA3170" s="11"/>
      <c r="AB3170" s="11"/>
      <c r="AC3170" s="11"/>
      <c r="AD3170" s="11"/>
      <c r="AE3170" s="11"/>
      <c r="AF3170" s="11"/>
      <c r="AG3170" s="11"/>
      <c r="AH3170" s="11"/>
      <c r="AI3170" s="11"/>
      <c r="AJ3170" s="11"/>
      <c r="AK3170" s="11"/>
      <c r="AL3170" s="11"/>
      <c r="AM3170" s="11"/>
      <c r="AN3170" s="11"/>
      <c r="AO3170" s="11"/>
      <c r="AP3170" s="11"/>
      <c r="AQ3170" s="11"/>
      <c r="AR3170" s="11"/>
      <c r="AS3170" s="11"/>
      <c r="AT3170" s="11"/>
      <c r="AU3170" s="11"/>
      <c r="AV3170" s="11"/>
    </row>
    <row r="3171" spans="1:48" ht="20.45" customHeight="1">
      <c r="A3171" s="762"/>
      <c r="B3171" s="762" t="s">
        <v>663</v>
      </c>
      <c r="C3171" s="762" t="s">
        <v>652</v>
      </c>
      <c r="D3171" s="1599"/>
      <c r="E3171" s="2245" t="s">
        <v>1942</v>
      </c>
      <c r="F3171" s="1816">
        <v>1148</v>
      </c>
      <c r="G3171" s="850" t="s">
        <v>1222</v>
      </c>
      <c r="H3171" s="851"/>
      <c r="I3171" s="851">
        <v>2100</v>
      </c>
      <c r="J3171" s="765"/>
      <c r="K3171" s="766"/>
      <c r="L3171" s="1650"/>
      <c r="M3171" s="1576"/>
      <c r="N3171" s="2847"/>
      <c r="O3171" s="86"/>
      <c r="P3171" s="1817" t="e">
        <f>INDEX(#REF!,MATCH(F3171,#REF!,0),2)</f>
        <v>#REF!</v>
      </c>
      <c r="Q3171" s="1779"/>
      <c r="R3171" s="1779"/>
      <c r="S3171" s="1779"/>
      <c r="T3171" s="1779"/>
      <c r="U3171" s="1779"/>
      <c r="V3171" s="1779"/>
      <c r="W3171" s="43"/>
      <c r="X3171" s="1779"/>
      <c r="Y3171" s="1779"/>
      <c r="Z3171" s="1779"/>
      <c r="AA3171" s="1779"/>
      <c r="AB3171" s="1779"/>
      <c r="AC3171" s="1779"/>
      <c r="AD3171" s="1779"/>
      <c r="AE3171" s="1779"/>
      <c r="AF3171" s="1779"/>
      <c r="AG3171" s="1779"/>
      <c r="AH3171" s="1779"/>
      <c r="AI3171" s="1779"/>
      <c r="AJ3171" s="1779"/>
      <c r="AK3171" s="1779"/>
      <c r="AL3171" s="1779"/>
      <c r="AM3171" s="1779"/>
      <c r="AN3171" s="1779"/>
      <c r="AO3171" s="1779"/>
      <c r="AP3171" s="1779"/>
      <c r="AQ3171" s="1779"/>
      <c r="AR3171" s="1779"/>
      <c r="AS3171" s="1779"/>
      <c r="AT3171" s="1779"/>
      <c r="AU3171" s="1779"/>
      <c r="AV3171" s="1779"/>
    </row>
    <row r="3172" spans="1:48" ht="18.600000000000001" customHeight="1">
      <c r="A3172" s="755"/>
      <c r="B3172" s="755" t="s">
        <v>663</v>
      </c>
      <c r="C3172" s="755" t="s">
        <v>507</v>
      </c>
      <c r="D3172" s="1600">
        <v>1010</v>
      </c>
      <c r="E3172" s="2247" t="s">
        <v>1942</v>
      </c>
      <c r="F3172" s="756">
        <v>1150</v>
      </c>
      <c r="G3172" s="757" t="s">
        <v>408</v>
      </c>
      <c r="H3172" s="759">
        <v>5499</v>
      </c>
      <c r="I3172" s="759"/>
      <c r="J3172" s="760"/>
      <c r="K3172" s="761"/>
      <c r="L3172" s="3750">
        <v>0</v>
      </c>
      <c r="M3172" s="1580"/>
      <c r="N3172" s="2847"/>
      <c r="O3172" s="86"/>
      <c r="P3172" s="1817" t="e">
        <f>INDEX(#REF!,MATCH(F3172,#REF!,0),2)</f>
        <v>#REF!</v>
      </c>
      <c r="Q3172" s="1779"/>
      <c r="R3172" s="1779"/>
      <c r="S3172" s="1779"/>
      <c r="T3172" s="1779"/>
      <c r="U3172" s="1779"/>
      <c r="V3172" s="1779"/>
      <c r="W3172" s="43"/>
      <c r="X3172" s="1779"/>
      <c r="Y3172" s="1779"/>
      <c r="Z3172" s="1779"/>
      <c r="AA3172" s="1779"/>
      <c r="AB3172" s="1779"/>
      <c r="AC3172" s="1779"/>
      <c r="AD3172" s="1779"/>
      <c r="AE3172" s="1779"/>
      <c r="AF3172" s="1779"/>
      <c r="AG3172" s="1779"/>
      <c r="AH3172" s="1779"/>
      <c r="AI3172" s="1779"/>
      <c r="AJ3172" s="1779"/>
      <c r="AK3172" s="1779"/>
      <c r="AL3172" s="1779"/>
      <c r="AM3172" s="1779"/>
      <c r="AN3172" s="1779"/>
      <c r="AO3172" s="1779"/>
      <c r="AP3172" s="1779"/>
      <c r="AQ3172" s="1779"/>
      <c r="AR3172" s="1779"/>
      <c r="AS3172" s="1779"/>
      <c r="AT3172" s="1779"/>
      <c r="AU3172" s="1779"/>
      <c r="AV3172" s="1779"/>
    </row>
    <row r="3173" spans="1:48" ht="15.75" customHeight="1">
      <c r="A3173" s="762"/>
      <c r="B3173" s="762" t="s">
        <v>663</v>
      </c>
      <c r="C3173" s="762" t="s">
        <v>507</v>
      </c>
      <c r="D3173" s="1599"/>
      <c r="E3173" s="2245" t="s">
        <v>1942</v>
      </c>
      <c r="F3173" s="763">
        <v>1150</v>
      </c>
      <c r="G3173" s="772" t="s">
        <v>752</v>
      </c>
      <c r="H3173" s="550"/>
      <c r="I3173" s="550">
        <v>5499</v>
      </c>
      <c r="J3173" s="551"/>
      <c r="K3173" s="761"/>
      <c r="L3173" s="550"/>
      <c r="M3173" s="1671"/>
      <c r="N3173" s="2847"/>
      <c r="O3173" s="86"/>
      <c r="P3173" s="1817" t="e">
        <f>INDEX(#REF!,MATCH(F3173,#REF!,0),2)</f>
        <v>#REF!</v>
      </c>
      <c r="Q3173" s="43"/>
      <c r="R3173" s="43"/>
      <c r="S3173" s="43"/>
      <c r="T3173" s="43"/>
      <c r="U3173" s="43"/>
      <c r="V3173" s="43"/>
      <c r="W3173" s="43"/>
      <c r="X3173" s="43"/>
      <c r="Y3173" s="43"/>
      <c r="Z3173" s="43"/>
      <c r="AA3173" s="43"/>
      <c r="AB3173" s="43"/>
      <c r="AC3173" s="43"/>
      <c r="AD3173" s="43"/>
      <c r="AE3173" s="43"/>
      <c r="AF3173" s="43"/>
      <c r="AG3173" s="43"/>
    </row>
    <row r="3174" spans="1:48" ht="13.15" customHeight="1">
      <c r="A3174" s="755"/>
      <c r="B3174" s="755" t="s">
        <v>663</v>
      </c>
      <c r="C3174" s="755" t="s">
        <v>652</v>
      </c>
      <c r="D3174" s="1600">
        <v>1010</v>
      </c>
      <c r="E3174" s="2247" t="s">
        <v>1942</v>
      </c>
      <c r="F3174" s="756">
        <v>1170</v>
      </c>
      <c r="G3174" s="757" t="s">
        <v>724</v>
      </c>
      <c r="H3174" s="760">
        <v>315</v>
      </c>
      <c r="I3174" s="760"/>
      <c r="J3174" s="760"/>
      <c r="K3174" s="761"/>
      <c r="L3174" s="3750">
        <v>300</v>
      </c>
      <c r="M3174" s="1580"/>
      <c r="N3174" s="2847"/>
      <c r="O3174" s="86"/>
      <c r="P3174" s="1817" t="e">
        <f>INDEX(#REF!,MATCH(F3174,#REF!,0),2)</f>
        <v>#REF!</v>
      </c>
      <c r="Q3174" s="4"/>
      <c r="R3174" s="4"/>
      <c r="S3174" s="4"/>
      <c r="T3174" s="4"/>
      <c r="U3174" s="4"/>
      <c r="V3174" s="4"/>
      <c r="W3174" s="4"/>
      <c r="X3174" s="4"/>
      <c r="Y3174" s="4"/>
      <c r="Z3174" s="4"/>
      <c r="AA3174" s="4"/>
      <c r="AB3174" s="4"/>
      <c r="AC3174" s="4"/>
      <c r="AD3174" s="4"/>
      <c r="AE3174" s="4"/>
      <c r="AF3174" s="4"/>
      <c r="AG3174" s="4"/>
    </row>
    <row r="3175" spans="1:48" ht="18.600000000000001" customHeight="1">
      <c r="A3175" s="762"/>
      <c r="B3175" s="762" t="s">
        <v>663</v>
      </c>
      <c r="C3175" s="762" t="s">
        <v>652</v>
      </c>
      <c r="D3175" s="1599"/>
      <c r="E3175" s="2245" t="s">
        <v>1942</v>
      </c>
      <c r="F3175" s="763">
        <v>1170</v>
      </c>
      <c r="G3175" s="786" t="s">
        <v>1509</v>
      </c>
      <c r="H3175" s="765"/>
      <c r="I3175" s="765">
        <v>315</v>
      </c>
      <c r="J3175" s="765"/>
      <c r="K3175" s="766"/>
      <c r="L3175" s="1650"/>
      <c r="M3175" s="1576">
        <v>300</v>
      </c>
      <c r="N3175" s="2847"/>
      <c r="O3175" s="86"/>
      <c r="P3175" s="1817" t="e">
        <f>INDEX(#REF!,MATCH(F3175,#REF!,0),2)</f>
        <v>#REF!</v>
      </c>
      <c r="Q3175" s="43"/>
      <c r="R3175" s="43"/>
      <c r="S3175" s="43"/>
      <c r="T3175" s="43"/>
      <c r="U3175" s="43"/>
      <c r="V3175" s="43"/>
      <c r="W3175" s="43"/>
      <c r="X3175" s="43"/>
      <c r="Y3175" s="43"/>
      <c r="Z3175" s="43"/>
      <c r="AA3175" s="43"/>
      <c r="AB3175" s="43"/>
      <c r="AC3175" s="43"/>
      <c r="AD3175" s="43"/>
      <c r="AE3175" s="43"/>
      <c r="AF3175" s="43"/>
      <c r="AG3175" s="43"/>
    </row>
    <row r="3176" spans="1:48" ht="15.75" customHeight="1">
      <c r="A3176" s="755"/>
      <c r="B3176" s="755" t="s">
        <v>512</v>
      </c>
      <c r="C3176" s="755" t="s">
        <v>506</v>
      </c>
      <c r="D3176" s="1600">
        <v>1010</v>
      </c>
      <c r="E3176" s="2247" t="s">
        <v>1942</v>
      </c>
      <c r="F3176" s="756">
        <v>1210</v>
      </c>
      <c r="G3176" s="757" t="s">
        <v>776</v>
      </c>
      <c r="H3176" s="835">
        <v>4953.8999999999996</v>
      </c>
      <c r="I3176" s="759"/>
      <c r="J3176" s="760"/>
      <c r="K3176" s="761"/>
      <c r="L3176" s="4062">
        <v>0</v>
      </c>
      <c r="M3176" s="1580"/>
      <c r="N3176" s="2847"/>
      <c r="O3176" s="86"/>
      <c r="P3176" s="1817" t="e">
        <f>INDEX(#REF!,MATCH(F3176,#REF!,0),2)</f>
        <v>#REF!</v>
      </c>
      <c r="Q3176" s="43"/>
      <c r="R3176" s="43"/>
      <c r="S3176" s="43"/>
      <c r="T3176" s="43"/>
      <c r="U3176" s="43"/>
      <c r="V3176" s="43"/>
      <c r="W3176" s="43"/>
      <c r="X3176" s="43"/>
      <c r="Y3176" s="43"/>
      <c r="Z3176" s="43"/>
      <c r="AA3176" s="43"/>
      <c r="AB3176" s="43"/>
      <c r="AC3176" s="43"/>
      <c r="AD3176" s="43"/>
      <c r="AE3176" s="43"/>
      <c r="AF3176" s="43"/>
      <c r="AG3176" s="43"/>
    </row>
    <row r="3177" spans="1:48" ht="18.600000000000001" customHeight="1">
      <c r="A3177" s="762"/>
      <c r="B3177" s="762" t="s">
        <v>512</v>
      </c>
      <c r="C3177" s="762" t="s">
        <v>506</v>
      </c>
      <c r="D3177" s="1599"/>
      <c r="E3177" s="2245" t="s">
        <v>1942</v>
      </c>
      <c r="F3177" s="763">
        <v>1210</v>
      </c>
      <c r="G3177" s="772" t="s">
        <v>1510</v>
      </c>
      <c r="H3177" s="752"/>
      <c r="I3177" s="550">
        <v>4953.8999999999996</v>
      </c>
      <c r="J3177" s="753"/>
      <c r="K3177" s="754"/>
      <c r="L3177" s="1650"/>
      <c r="M3177" s="1671"/>
      <c r="N3177" s="2847"/>
      <c r="O3177" s="86"/>
      <c r="P3177" s="1817" t="e">
        <f>INDEX(#REF!,MATCH(F3177,#REF!,0),2)</f>
        <v>#REF!</v>
      </c>
      <c r="Q3177" s="43"/>
      <c r="R3177" s="43"/>
      <c r="S3177" s="43"/>
      <c r="T3177" s="43"/>
      <c r="U3177" s="43"/>
      <c r="V3177" s="43"/>
      <c r="W3177" s="43"/>
      <c r="X3177" s="43"/>
      <c r="Y3177" s="43"/>
      <c r="Z3177" s="43"/>
      <c r="AA3177" s="43"/>
      <c r="AB3177" s="43"/>
      <c r="AC3177" s="43"/>
      <c r="AD3177" s="43"/>
      <c r="AE3177" s="43"/>
      <c r="AF3177" s="43"/>
      <c r="AG3177" s="43"/>
    </row>
    <row r="3178" spans="1:48" ht="18.600000000000001" customHeight="1">
      <c r="A3178" s="755"/>
      <c r="B3178" s="755" t="s">
        <v>663</v>
      </c>
      <c r="C3178" s="755" t="s">
        <v>652</v>
      </c>
      <c r="D3178" s="1600">
        <v>1010</v>
      </c>
      <c r="E3178" s="2247" t="s">
        <v>1942</v>
      </c>
      <c r="F3178" s="756">
        <v>1210</v>
      </c>
      <c r="G3178" s="757" t="s">
        <v>228</v>
      </c>
      <c r="H3178" s="760">
        <v>84441.785790000009</v>
      </c>
      <c r="I3178" s="760"/>
      <c r="J3178" s="760"/>
      <c r="K3178" s="761"/>
      <c r="L3178" s="3750">
        <v>96434.973306452783</v>
      </c>
      <c r="M3178" s="1580"/>
      <c r="N3178" s="2847"/>
      <c r="O3178" s="86"/>
      <c r="P3178" s="1817" t="e">
        <f>INDEX(#REF!,MATCH(F3178,#REF!,0),2)</f>
        <v>#REF!</v>
      </c>
      <c r="Q3178" s="11"/>
      <c r="R3178" s="11"/>
      <c r="S3178" s="11"/>
      <c r="T3178" s="11"/>
      <c r="U3178" s="11"/>
      <c r="V3178" s="4"/>
      <c r="W3178" s="11"/>
      <c r="X3178" s="11"/>
      <c r="Y3178" s="11"/>
      <c r="Z3178" s="11"/>
      <c r="AA3178" s="11"/>
      <c r="AB3178" s="11"/>
      <c r="AC3178" s="11"/>
      <c r="AD3178" s="11"/>
      <c r="AE3178" s="11"/>
      <c r="AF3178" s="11"/>
      <c r="AG3178" s="11"/>
      <c r="AH3178" s="11"/>
      <c r="AI3178" s="11"/>
      <c r="AJ3178" s="11"/>
      <c r="AK3178" s="11"/>
      <c r="AL3178" s="11"/>
      <c r="AM3178" s="11"/>
      <c r="AN3178" s="11"/>
      <c r="AO3178" s="11"/>
      <c r="AP3178" s="11"/>
      <c r="AQ3178" s="11"/>
      <c r="AR3178" s="11"/>
      <c r="AS3178" s="11"/>
      <c r="AT3178" s="11"/>
      <c r="AU3178" s="11"/>
    </row>
    <row r="3179" spans="1:48" ht="18.600000000000001" customHeight="1">
      <c r="A3179" s="762"/>
      <c r="B3179" s="762" t="s">
        <v>663</v>
      </c>
      <c r="C3179" s="762" t="s">
        <v>652</v>
      </c>
      <c r="D3179" s="1599"/>
      <c r="E3179" s="2245" t="s">
        <v>1942</v>
      </c>
      <c r="F3179" s="763">
        <v>1210</v>
      </c>
      <c r="G3179" s="786" t="s">
        <v>663</v>
      </c>
      <c r="H3179" s="765"/>
      <c r="I3179" s="551">
        <v>87579.785790000009</v>
      </c>
      <c r="J3179" s="765"/>
      <c r="K3179" s="766"/>
      <c r="L3179" s="1650"/>
      <c r="M3179" s="1576">
        <v>92771.928642645027</v>
      </c>
      <c r="N3179" s="2847"/>
      <c r="O3179" s="86"/>
      <c r="P3179" s="1817" t="e">
        <f>INDEX(#REF!,MATCH(F3179,#REF!,0),2)</f>
        <v>#REF!</v>
      </c>
      <c r="Q3179" s="43"/>
      <c r="R3179" s="43"/>
      <c r="S3179" s="43"/>
      <c r="T3179" s="43"/>
      <c r="U3179" s="43"/>
      <c r="V3179" s="43"/>
      <c r="W3179" s="43"/>
      <c r="X3179" s="43"/>
      <c r="Y3179" s="43"/>
      <c r="Z3179" s="43"/>
      <c r="AA3179" s="43"/>
      <c r="AB3179" s="43"/>
      <c r="AC3179" s="43"/>
      <c r="AD3179" s="43"/>
      <c r="AE3179" s="43"/>
      <c r="AF3179" s="43"/>
      <c r="AG3179" s="43"/>
    </row>
    <row r="3180" spans="1:48" ht="18.600000000000001" customHeight="1">
      <c r="A3180" s="4582"/>
      <c r="B3180" s="762" t="s">
        <v>663</v>
      </c>
      <c r="C3180" s="762" t="s">
        <v>652</v>
      </c>
      <c r="D3180" s="1599"/>
      <c r="E3180" s="2245" t="s">
        <v>1942</v>
      </c>
      <c r="F3180" s="763">
        <v>1210</v>
      </c>
      <c r="G3180" s="4583" t="s">
        <v>6213</v>
      </c>
      <c r="H3180" s="1651"/>
      <c r="I3180" s="551"/>
      <c r="J3180" s="1651"/>
      <c r="K3180" s="1652"/>
      <c r="L3180" s="1650"/>
      <c r="M3180" s="4589">
        <v>3663.0446638077515</v>
      </c>
      <c r="N3180" s="2847"/>
      <c r="O3180" s="1817"/>
      <c r="P3180" s="1817" t="e">
        <f>INDEX(#REF!,MATCH(F3180,#REF!,0),2)</f>
        <v>#REF!</v>
      </c>
      <c r="Q3180" s="43"/>
      <c r="R3180" s="43"/>
      <c r="S3180" s="43"/>
      <c r="T3180" s="43"/>
      <c r="U3180" s="43"/>
      <c r="V3180" s="43"/>
      <c r="W3180" s="43"/>
      <c r="X3180" s="43"/>
      <c r="Y3180" s="43"/>
      <c r="Z3180" s="43"/>
      <c r="AA3180" s="43"/>
      <c r="AB3180" s="43"/>
      <c r="AC3180" s="43"/>
      <c r="AD3180" s="43"/>
      <c r="AE3180" s="43"/>
      <c r="AF3180" s="43"/>
      <c r="AG3180" s="43"/>
    </row>
    <row r="3181" spans="1:48" ht="34.9" customHeight="1">
      <c r="A3181" s="762"/>
      <c r="B3181" s="762" t="s">
        <v>663</v>
      </c>
      <c r="C3181" s="762" t="s">
        <v>652</v>
      </c>
      <c r="D3181" s="1599"/>
      <c r="E3181" s="2245" t="s">
        <v>1942</v>
      </c>
      <c r="F3181" s="1816">
        <v>1210</v>
      </c>
      <c r="G3181" s="786" t="s">
        <v>3201</v>
      </c>
      <c r="H3181" s="851"/>
      <c r="I3181" s="851">
        <v>-3138</v>
      </c>
      <c r="J3181" s="765"/>
      <c r="K3181" s="766"/>
      <c r="L3181" s="1650"/>
      <c r="M3181" s="1576"/>
      <c r="N3181" s="2847"/>
      <c r="O3181" s="86"/>
      <c r="P3181" s="1817" t="e">
        <f>INDEX(#REF!,MATCH(F3181,#REF!,0),2)</f>
        <v>#REF!</v>
      </c>
      <c r="Q3181" s="11"/>
      <c r="R3181" s="11"/>
      <c r="S3181" s="11"/>
      <c r="T3181" s="11"/>
      <c r="U3181" s="11"/>
      <c r="V3181" s="11"/>
      <c r="W3181" s="4"/>
      <c r="X3181" s="11"/>
      <c r="Y3181" s="11"/>
      <c r="Z3181" s="11"/>
      <c r="AA3181" s="11"/>
      <c r="AB3181" s="11"/>
      <c r="AC3181" s="11"/>
      <c r="AD3181" s="11"/>
      <c r="AE3181" s="11"/>
      <c r="AF3181" s="11"/>
      <c r="AG3181" s="11"/>
      <c r="AH3181" s="11"/>
      <c r="AI3181" s="11"/>
      <c r="AJ3181" s="11"/>
      <c r="AK3181" s="11"/>
      <c r="AL3181" s="11"/>
      <c r="AM3181" s="11"/>
      <c r="AN3181" s="11"/>
      <c r="AO3181" s="11"/>
      <c r="AP3181" s="11"/>
      <c r="AQ3181" s="11"/>
      <c r="AR3181" s="11"/>
      <c r="AS3181" s="11"/>
      <c r="AT3181" s="11"/>
      <c r="AU3181" s="11"/>
      <c r="AV3181" s="11"/>
    </row>
    <row r="3182" spans="1:48" ht="38.450000000000003" customHeight="1">
      <c r="A3182" s="755"/>
      <c r="B3182" s="755" t="s">
        <v>663</v>
      </c>
      <c r="C3182" s="755" t="s">
        <v>652</v>
      </c>
      <c r="D3182" s="1600">
        <v>1010</v>
      </c>
      <c r="E3182" s="2247" t="s">
        <v>1942</v>
      </c>
      <c r="F3182" s="756">
        <v>1221</v>
      </c>
      <c r="G3182" s="757" t="s">
        <v>229</v>
      </c>
      <c r="H3182" s="760">
        <v>19083.462409999996</v>
      </c>
      <c r="I3182" s="760"/>
      <c r="J3182" s="760"/>
      <c r="K3182" s="761"/>
      <c r="L3182" s="3750">
        <v>20214.820086455002</v>
      </c>
      <c r="M3182" s="1580"/>
      <c r="N3182" s="2847"/>
      <c r="O3182" s="86"/>
      <c r="P3182" s="1817" t="e">
        <f>INDEX(#REF!,MATCH(F3182,#REF!,0),2)</f>
        <v>#REF!</v>
      </c>
      <c r="Q3182" s="11"/>
      <c r="R3182" s="11"/>
      <c r="S3182" s="11"/>
      <c r="T3182" s="11"/>
      <c r="U3182" s="11"/>
      <c r="V3182" s="11"/>
      <c r="W3182" s="4"/>
      <c r="X3182" s="11"/>
      <c r="Y3182" s="11"/>
      <c r="Z3182" s="11"/>
      <c r="AA3182" s="11"/>
      <c r="AB3182" s="11"/>
      <c r="AC3182" s="11"/>
      <c r="AD3182" s="11"/>
      <c r="AE3182" s="11"/>
      <c r="AF3182" s="11"/>
      <c r="AG3182" s="11"/>
      <c r="AH3182" s="11"/>
      <c r="AI3182" s="11"/>
      <c r="AJ3182" s="11"/>
      <c r="AK3182" s="11"/>
      <c r="AL3182" s="11"/>
      <c r="AM3182" s="11"/>
      <c r="AN3182" s="11"/>
      <c r="AO3182" s="11"/>
      <c r="AP3182" s="11"/>
      <c r="AQ3182" s="11"/>
      <c r="AR3182" s="11"/>
      <c r="AS3182" s="11"/>
      <c r="AT3182" s="11"/>
      <c r="AU3182" s="11"/>
      <c r="AV3182" s="11"/>
    </row>
    <row r="3183" spans="1:48" ht="22.9" customHeight="1">
      <c r="A3183" s="762"/>
      <c r="B3183" s="762" t="s">
        <v>663</v>
      </c>
      <c r="C3183" s="762" t="s">
        <v>652</v>
      </c>
      <c r="D3183" s="1599">
        <v>1010</v>
      </c>
      <c r="E3183" s="2245" t="s">
        <v>1942</v>
      </c>
      <c r="F3183" s="1816">
        <v>1221</v>
      </c>
      <c r="G3183" s="850" t="s">
        <v>1222</v>
      </c>
      <c r="H3183" s="851"/>
      <c r="I3183" s="851">
        <v>19083.462409999996</v>
      </c>
      <c r="J3183" s="765"/>
      <c r="K3183" s="766"/>
      <c r="L3183" s="1650"/>
      <c r="M3183" s="1576">
        <v>20214.820086455002</v>
      </c>
      <c r="N3183" s="2847"/>
      <c r="O3183" s="86"/>
      <c r="P3183" s="1817" t="e">
        <f>INDEX(#REF!,MATCH(F3183,#REF!,0),2)</f>
        <v>#REF!</v>
      </c>
      <c r="Q3183" s="1779"/>
      <c r="R3183" s="1779"/>
      <c r="S3183" s="1779"/>
      <c r="T3183" s="1779"/>
      <c r="U3183" s="1779"/>
      <c r="V3183" s="1779"/>
      <c r="W3183" s="43"/>
      <c r="X3183" s="1779"/>
      <c r="Y3183" s="1779"/>
      <c r="Z3183" s="1779"/>
      <c r="AA3183" s="1779"/>
      <c r="AB3183" s="1779"/>
      <c r="AC3183" s="1779"/>
      <c r="AD3183" s="1779"/>
      <c r="AE3183" s="1779"/>
      <c r="AF3183" s="1779"/>
      <c r="AG3183" s="1779"/>
      <c r="AH3183" s="1779"/>
      <c r="AI3183" s="1779"/>
      <c r="AJ3183" s="1779"/>
      <c r="AK3183" s="1779"/>
      <c r="AL3183" s="1779"/>
      <c r="AM3183" s="1779"/>
      <c r="AN3183" s="1779"/>
      <c r="AO3183" s="1779"/>
      <c r="AP3183" s="1779"/>
      <c r="AQ3183" s="1779"/>
      <c r="AR3183" s="1779"/>
      <c r="AS3183" s="1779"/>
      <c r="AT3183" s="1779"/>
      <c r="AU3183" s="1779"/>
      <c r="AV3183" s="1779"/>
    </row>
    <row r="3184" spans="1:48" ht="11.45" customHeight="1">
      <c r="A3184" s="755"/>
      <c r="B3184" s="755" t="s">
        <v>1248</v>
      </c>
      <c r="C3184" s="755" t="s">
        <v>652</v>
      </c>
      <c r="D3184" s="1600">
        <v>1010</v>
      </c>
      <c r="E3184" s="2247" t="s">
        <v>1942</v>
      </c>
      <c r="F3184" s="756">
        <v>1223</v>
      </c>
      <c r="G3184" s="757" t="s">
        <v>1576</v>
      </c>
      <c r="H3184" s="759">
        <v>2875</v>
      </c>
      <c r="I3184" s="759"/>
      <c r="J3184" s="760"/>
      <c r="K3184" s="761"/>
      <c r="L3184" s="3750">
        <v>2875</v>
      </c>
      <c r="M3184" s="1580"/>
      <c r="N3184" s="2847"/>
      <c r="O3184" s="86"/>
      <c r="P3184" s="1817" t="e">
        <f>INDEX(#REF!,MATCH(F3184,#REF!,0),2)</f>
        <v>#REF!</v>
      </c>
      <c r="Q3184" s="1779"/>
      <c r="R3184" s="1779"/>
      <c r="S3184" s="1779"/>
      <c r="T3184" s="1779"/>
      <c r="U3184" s="1779"/>
      <c r="V3184" s="1779"/>
      <c r="W3184" s="43"/>
      <c r="X3184" s="1779"/>
      <c r="Y3184" s="1779"/>
      <c r="Z3184" s="1779"/>
      <c r="AA3184" s="1779"/>
      <c r="AB3184" s="1779"/>
      <c r="AC3184" s="1779"/>
      <c r="AD3184" s="1779"/>
      <c r="AE3184" s="1779"/>
      <c r="AF3184" s="1779"/>
      <c r="AG3184" s="1779"/>
      <c r="AH3184" s="1779"/>
      <c r="AI3184" s="1779"/>
      <c r="AJ3184" s="1779"/>
      <c r="AK3184" s="1779"/>
      <c r="AL3184" s="1779"/>
      <c r="AM3184" s="1779"/>
      <c r="AN3184" s="1779"/>
      <c r="AO3184" s="1779"/>
      <c r="AP3184" s="1779"/>
      <c r="AQ3184" s="1779"/>
      <c r="AR3184" s="1779"/>
      <c r="AS3184" s="1779"/>
      <c r="AT3184" s="1779"/>
      <c r="AU3184" s="1779"/>
      <c r="AV3184" s="1779"/>
    </row>
    <row r="3185" spans="1:48" ht="11.45" customHeight="1">
      <c r="A3185" s="1882"/>
      <c r="B3185" s="1882" t="s">
        <v>1248</v>
      </c>
      <c r="C3185" s="1882" t="s">
        <v>652</v>
      </c>
      <c r="D3185" s="1935">
        <v>1010</v>
      </c>
      <c r="E3185" s="2229" t="s">
        <v>1942</v>
      </c>
      <c r="F3185" s="2363">
        <v>1223</v>
      </c>
      <c r="G3185" s="1939" t="s">
        <v>3225</v>
      </c>
      <c r="H3185" s="1723"/>
      <c r="I3185" s="1723">
        <v>875</v>
      </c>
      <c r="J3185" s="1651"/>
      <c r="K3185" s="1652"/>
      <c r="L3185" s="1650"/>
      <c r="M3185" s="1892">
        <v>875</v>
      </c>
      <c r="N3185" s="2847"/>
      <c r="O3185" s="86"/>
      <c r="P3185" s="1817" t="e">
        <f>INDEX(#REF!,MATCH(F3185,#REF!,0),2)</f>
        <v>#REF!</v>
      </c>
      <c r="Q3185" s="11"/>
      <c r="R3185" s="11"/>
      <c r="S3185" s="11"/>
      <c r="T3185" s="11"/>
      <c r="U3185" s="11"/>
      <c r="V3185" s="11"/>
      <c r="W3185" s="4"/>
      <c r="X3185" s="11"/>
      <c r="Y3185" s="11"/>
      <c r="Z3185" s="11"/>
      <c r="AA3185" s="11"/>
      <c r="AB3185" s="11"/>
      <c r="AC3185" s="11"/>
      <c r="AD3185" s="11"/>
      <c r="AE3185" s="11"/>
      <c r="AF3185" s="11"/>
      <c r="AG3185" s="11"/>
      <c r="AH3185" s="11"/>
      <c r="AI3185" s="11"/>
      <c r="AJ3185" s="11"/>
      <c r="AK3185" s="11"/>
      <c r="AL3185" s="11"/>
      <c r="AM3185" s="11"/>
      <c r="AN3185" s="11"/>
      <c r="AO3185" s="11"/>
      <c r="AP3185" s="11"/>
      <c r="AQ3185" s="11"/>
      <c r="AR3185" s="11"/>
      <c r="AS3185" s="11"/>
      <c r="AT3185" s="11"/>
      <c r="AU3185" s="11"/>
      <c r="AV3185" s="11"/>
    </row>
    <row r="3186" spans="1:48" ht="18.600000000000001" customHeight="1">
      <c r="A3186" s="1882"/>
      <c r="B3186" s="1882" t="s">
        <v>1248</v>
      </c>
      <c r="C3186" s="1882" t="s">
        <v>652</v>
      </c>
      <c r="D3186" s="1935">
        <v>1010</v>
      </c>
      <c r="E3186" s="2229" t="s">
        <v>1942</v>
      </c>
      <c r="F3186" s="2363">
        <v>1223</v>
      </c>
      <c r="G3186" s="1939" t="s">
        <v>3224</v>
      </c>
      <c r="H3186" s="1723"/>
      <c r="I3186" s="1723">
        <v>2000</v>
      </c>
      <c r="J3186" s="1651"/>
      <c r="K3186" s="1652"/>
      <c r="L3186" s="1650"/>
      <c r="M3186" s="1892">
        <v>2000</v>
      </c>
      <c r="N3186" s="2847"/>
      <c r="O3186" s="86"/>
      <c r="P3186" s="1817" t="e">
        <f>INDEX(#REF!,MATCH(F3186,#REF!,0),2)</f>
        <v>#REF!</v>
      </c>
      <c r="Q3186" s="11"/>
      <c r="R3186" s="11"/>
      <c r="S3186" s="11"/>
      <c r="T3186" s="11"/>
      <c r="U3186" s="11"/>
      <c r="V3186" s="11"/>
      <c r="W3186" s="4"/>
      <c r="X3186" s="11"/>
      <c r="Y3186" s="11"/>
      <c r="Z3186" s="11"/>
      <c r="AA3186" s="11"/>
      <c r="AB3186" s="11"/>
      <c r="AC3186" s="11"/>
      <c r="AD3186" s="11"/>
      <c r="AE3186" s="11"/>
      <c r="AF3186" s="11"/>
      <c r="AG3186" s="11"/>
      <c r="AH3186" s="11"/>
      <c r="AI3186" s="11"/>
      <c r="AJ3186" s="11"/>
      <c r="AK3186" s="11"/>
      <c r="AL3186" s="11"/>
      <c r="AM3186" s="11"/>
      <c r="AN3186" s="11"/>
      <c r="AO3186" s="11"/>
      <c r="AP3186" s="11"/>
      <c r="AQ3186" s="11"/>
      <c r="AR3186" s="11"/>
      <c r="AS3186" s="11"/>
      <c r="AT3186" s="11"/>
      <c r="AU3186" s="11"/>
    </row>
    <row r="3187" spans="1:48" ht="11.45" customHeight="1">
      <c r="A3187" s="755"/>
      <c r="B3187" s="755" t="s">
        <v>1248</v>
      </c>
      <c r="C3187" s="755" t="s">
        <v>652</v>
      </c>
      <c r="D3187" s="1600">
        <v>1010</v>
      </c>
      <c r="E3187" s="2247" t="s">
        <v>1942</v>
      </c>
      <c r="F3187" s="756">
        <v>1228</v>
      </c>
      <c r="G3187" s="757" t="s">
        <v>230</v>
      </c>
      <c r="H3187" s="759">
        <v>1564</v>
      </c>
      <c r="I3187" s="759"/>
      <c r="J3187" s="760"/>
      <c r="K3187" s="761"/>
      <c r="L3187" s="3750">
        <v>2564</v>
      </c>
      <c r="M3187" s="1580"/>
      <c r="N3187" s="2847"/>
      <c r="O3187" s="86"/>
      <c r="P3187" s="1817" t="e">
        <f>INDEX(#REF!,MATCH(F3187,#REF!,0),2)</f>
        <v>#REF!</v>
      </c>
      <c r="Q3187" s="11"/>
      <c r="R3187" s="11"/>
      <c r="S3187" s="11"/>
      <c r="T3187" s="11"/>
      <c r="U3187" s="11"/>
      <c r="V3187" s="11"/>
      <c r="W3187" s="4"/>
      <c r="X3187" s="11"/>
      <c r="Y3187" s="11"/>
      <c r="Z3187" s="11"/>
      <c r="AA3187" s="11"/>
      <c r="AB3187" s="11"/>
      <c r="AC3187" s="11"/>
      <c r="AD3187" s="11"/>
      <c r="AE3187" s="11"/>
      <c r="AF3187" s="11"/>
      <c r="AG3187" s="11"/>
      <c r="AH3187" s="11"/>
      <c r="AI3187" s="11"/>
      <c r="AJ3187" s="11"/>
      <c r="AK3187" s="11"/>
      <c r="AL3187" s="11"/>
      <c r="AM3187" s="11"/>
      <c r="AN3187" s="11"/>
      <c r="AO3187" s="11"/>
      <c r="AP3187" s="11"/>
      <c r="AQ3187" s="11"/>
      <c r="AR3187" s="11"/>
      <c r="AS3187" s="11"/>
      <c r="AT3187" s="11"/>
      <c r="AU3187" s="11"/>
      <c r="AV3187" s="11"/>
    </row>
    <row r="3188" spans="1:48" ht="13.9" customHeight="1">
      <c r="A3188" s="762"/>
      <c r="B3188" s="762" t="s">
        <v>1248</v>
      </c>
      <c r="C3188" s="762" t="s">
        <v>652</v>
      </c>
      <c r="D3188" s="1599"/>
      <c r="E3188" s="2245" t="s">
        <v>1942</v>
      </c>
      <c r="F3188" s="763">
        <v>1228</v>
      </c>
      <c r="G3188" s="2774" t="s">
        <v>1512</v>
      </c>
      <c r="H3188" s="2549"/>
      <c r="I3188" s="2799">
        <v>564</v>
      </c>
      <c r="J3188" s="1650"/>
      <c r="K3188" s="1652"/>
      <c r="L3188" s="1650"/>
      <c r="M3188" s="2779">
        <v>564</v>
      </c>
      <c r="N3188" s="2847"/>
      <c r="O3188" s="86"/>
      <c r="P3188" s="1817" t="e">
        <f>INDEX(#REF!,MATCH(F3188,#REF!,0),2)</f>
        <v>#REF!</v>
      </c>
      <c r="Q3188" s="11"/>
      <c r="R3188" s="11"/>
      <c r="S3188" s="11"/>
      <c r="T3188" s="11"/>
      <c r="U3188" s="11"/>
      <c r="V3188" s="11"/>
      <c r="W3188" s="4"/>
      <c r="X3188" s="11"/>
      <c r="Y3188" s="11"/>
      <c r="Z3188" s="11"/>
      <c r="AA3188" s="11"/>
      <c r="AB3188" s="11"/>
      <c r="AC3188" s="11"/>
      <c r="AD3188" s="11"/>
      <c r="AE3188" s="11"/>
      <c r="AF3188" s="11"/>
      <c r="AG3188" s="11"/>
      <c r="AH3188" s="11"/>
      <c r="AI3188" s="11"/>
      <c r="AJ3188" s="11"/>
      <c r="AK3188" s="11"/>
      <c r="AL3188" s="11"/>
      <c r="AM3188" s="11"/>
      <c r="AN3188" s="11"/>
      <c r="AO3188" s="11"/>
      <c r="AP3188" s="11"/>
      <c r="AQ3188" s="11"/>
      <c r="AR3188" s="11"/>
      <c r="AS3188" s="11"/>
      <c r="AT3188" s="11"/>
      <c r="AU3188" s="11"/>
    </row>
    <row r="3189" spans="1:48" ht="11.45" customHeight="1">
      <c r="A3189" s="762"/>
      <c r="B3189" s="762" t="s">
        <v>1248</v>
      </c>
      <c r="C3189" s="762" t="s">
        <v>652</v>
      </c>
      <c r="D3189" s="1599"/>
      <c r="E3189" s="2245" t="s">
        <v>1942</v>
      </c>
      <c r="F3189" s="763">
        <v>1228</v>
      </c>
      <c r="G3189" s="2810" t="s">
        <v>5149</v>
      </c>
      <c r="H3189" s="2799"/>
      <c r="I3189" s="2799">
        <v>1000</v>
      </c>
      <c r="J3189" s="2779"/>
      <c r="K3189" s="2777"/>
      <c r="L3189" s="1650"/>
      <c r="M3189" s="2779">
        <v>2000</v>
      </c>
      <c r="N3189" s="2847" t="s">
        <v>5148</v>
      </c>
      <c r="O3189" s="86"/>
      <c r="P3189" s="1817" t="e">
        <f>INDEX(#REF!,MATCH(F3189,#REF!,0),2)</f>
        <v>#REF!</v>
      </c>
      <c r="Q3189" s="11"/>
      <c r="R3189" s="11"/>
      <c r="S3189" s="11"/>
      <c r="T3189" s="11"/>
      <c r="U3189" s="11"/>
      <c r="V3189" s="11"/>
      <c r="W3189" s="4"/>
      <c r="X3189" s="11"/>
      <c r="Y3189" s="11"/>
      <c r="Z3189" s="11"/>
      <c r="AA3189" s="11"/>
      <c r="AB3189" s="11"/>
      <c r="AC3189" s="11"/>
      <c r="AD3189" s="11"/>
      <c r="AE3189" s="11"/>
      <c r="AF3189" s="11"/>
      <c r="AG3189" s="11"/>
      <c r="AH3189" s="11"/>
      <c r="AI3189" s="11"/>
      <c r="AJ3189" s="11"/>
      <c r="AK3189" s="11"/>
      <c r="AL3189" s="11"/>
      <c r="AM3189" s="11"/>
      <c r="AN3189" s="11"/>
      <c r="AO3189" s="11"/>
      <c r="AP3189" s="11"/>
      <c r="AQ3189" s="11"/>
      <c r="AR3189" s="11"/>
      <c r="AS3189" s="11"/>
      <c r="AT3189" s="11"/>
      <c r="AU3189" s="11"/>
      <c r="AV3189" s="11"/>
    </row>
    <row r="3190" spans="1:48" ht="11.45" customHeight="1">
      <c r="A3190" s="755"/>
      <c r="B3190" s="755" t="s">
        <v>1248</v>
      </c>
      <c r="C3190" s="755" t="s">
        <v>505</v>
      </c>
      <c r="D3190" s="1600">
        <v>1010</v>
      </c>
      <c r="E3190" s="2247" t="s">
        <v>1942</v>
      </c>
      <c r="F3190" s="756">
        <v>2111</v>
      </c>
      <c r="G3190" s="757" t="s">
        <v>977</v>
      </c>
      <c r="H3190" s="759">
        <v>300</v>
      </c>
      <c r="I3190" s="759"/>
      <c r="J3190" s="760"/>
      <c r="K3190" s="761"/>
      <c r="L3190" s="3750">
        <v>300</v>
      </c>
      <c r="M3190" s="1580"/>
      <c r="N3190" s="2847"/>
      <c r="O3190" s="86"/>
      <c r="P3190" s="1817" t="e">
        <f>INDEX(#REF!,MATCH(F3190,#REF!,0),2)</f>
        <v>#REF!</v>
      </c>
      <c r="Q3190" s="11"/>
      <c r="R3190" s="11"/>
      <c r="S3190" s="11"/>
      <c r="T3190" s="11"/>
      <c r="U3190" s="11"/>
      <c r="V3190" s="11"/>
      <c r="W3190" s="4"/>
      <c r="X3190" s="11"/>
      <c r="Y3190" s="11"/>
      <c r="Z3190" s="11"/>
      <c r="AA3190" s="11"/>
      <c r="AB3190" s="11"/>
      <c r="AC3190" s="11"/>
      <c r="AD3190" s="11"/>
      <c r="AE3190" s="11"/>
      <c r="AF3190" s="11"/>
      <c r="AG3190" s="11"/>
      <c r="AH3190" s="11"/>
      <c r="AI3190" s="11"/>
      <c r="AJ3190" s="11"/>
      <c r="AK3190" s="11"/>
      <c r="AL3190" s="11"/>
      <c r="AM3190" s="11"/>
      <c r="AN3190" s="11"/>
      <c r="AO3190" s="11"/>
      <c r="AP3190" s="11"/>
      <c r="AQ3190" s="11"/>
      <c r="AR3190" s="11"/>
      <c r="AS3190" s="11"/>
      <c r="AT3190" s="11"/>
      <c r="AU3190" s="11"/>
    </row>
    <row r="3191" spans="1:48" ht="27.75" customHeight="1">
      <c r="A3191" s="762"/>
      <c r="B3191" s="762" t="s">
        <v>1248</v>
      </c>
      <c r="C3191" s="762" t="s">
        <v>505</v>
      </c>
      <c r="D3191" s="1599"/>
      <c r="E3191" s="2245" t="s">
        <v>1942</v>
      </c>
      <c r="F3191" s="763">
        <v>2111</v>
      </c>
      <c r="G3191" s="786" t="s">
        <v>271</v>
      </c>
      <c r="H3191" s="550"/>
      <c r="I3191" s="550">
        <v>300</v>
      </c>
      <c r="J3191" s="551"/>
      <c r="K3191" s="761"/>
      <c r="L3191" s="550"/>
      <c r="M3191" s="1671">
        <v>300</v>
      </c>
      <c r="N3191" s="2847"/>
      <c r="O3191" s="86"/>
      <c r="P3191" s="1817" t="e">
        <f>INDEX(#REF!,MATCH(F3191,#REF!,0),2)</f>
        <v>#REF!</v>
      </c>
      <c r="Q3191" s="11"/>
      <c r="R3191" s="11"/>
      <c r="S3191" s="11"/>
      <c r="T3191" s="11"/>
      <c r="U3191" s="11"/>
      <c r="V3191" s="11"/>
      <c r="W3191" s="4"/>
      <c r="X3191" s="11"/>
      <c r="Y3191" s="11"/>
      <c r="Z3191" s="11"/>
      <c r="AA3191" s="11"/>
      <c r="AB3191" s="11"/>
      <c r="AC3191" s="11"/>
      <c r="AD3191" s="11"/>
      <c r="AE3191" s="11"/>
      <c r="AF3191" s="11"/>
      <c r="AG3191" s="11"/>
      <c r="AH3191" s="11"/>
      <c r="AI3191" s="11"/>
      <c r="AJ3191" s="11"/>
      <c r="AK3191" s="11"/>
      <c r="AL3191" s="11"/>
      <c r="AM3191" s="11"/>
      <c r="AN3191" s="11"/>
      <c r="AO3191" s="11"/>
      <c r="AP3191" s="11"/>
      <c r="AQ3191" s="11"/>
      <c r="AR3191" s="11"/>
      <c r="AS3191" s="11"/>
      <c r="AT3191" s="11"/>
      <c r="AU3191" s="11"/>
      <c r="AV3191" s="11"/>
    </row>
    <row r="3192" spans="1:48" ht="11.45" customHeight="1">
      <c r="A3192" s="755"/>
      <c r="B3192" s="755" t="s">
        <v>1248</v>
      </c>
      <c r="C3192" s="755" t="s">
        <v>505</v>
      </c>
      <c r="D3192" s="1600">
        <v>1010</v>
      </c>
      <c r="E3192" s="2247" t="s">
        <v>1942</v>
      </c>
      <c r="F3192" s="756">
        <v>2112</v>
      </c>
      <c r="G3192" s="757" t="s">
        <v>978</v>
      </c>
      <c r="H3192" s="759">
        <v>100</v>
      </c>
      <c r="I3192" s="759"/>
      <c r="J3192" s="760"/>
      <c r="K3192" s="761"/>
      <c r="L3192" s="3750">
        <v>100</v>
      </c>
      <c r="M3192" s="1580"/>
      <c r="N3192" s="2847"/>
      <c r="O3192" s="86"/>
      <c r="P3192" s="1817" t="e">
        <f>INDEX(#REF!,MATCH(F3192,#REF!,0),2)</f>
        <v>#REF!</v>
      </c>
      <c r="Q3192" s="11"/>
      <c r="R3192" s="11"/>
      <c r="S3192" s="11"/>
      <c r="T3192" s="11"/>
      <c r="U3192" s="11"/>
      <c r="V3192" s="11"/>
      <c r="W3192" s="4"/>
      <c r="X3192" s="11"/>
      <c r="Y3192" s="11"/>
      <c r="Z3192" s="11"/>
      <c r="AA3192" s="11"/>
      <c r="AB3192" s="11"/>
      <c r="AC3192" s="11"/>
      <c r="AD3192" s="11"/>
      <c r="AE3192" s="11"/>
      <c r="AF3192" s="11"/>
      <c r="AG3192" s="11"/>
      <c r="AH3192" s="11"/>
      <c r="AI3192" s="11"/>
      <c r="AJ3192" s="11"/>
      <c r="AK3192" s="11"/>
      <c r="AL3192" s="11"/>
      <c r="AM3192" s="11"/>
      <c r="AN3192" s="11"/>
      <c r="AO3192" s="11"/>
      <c r="AP3192" s="11"/>
      <c r="AQ3192" s="11"/>
      <c r="AR3192" s="11"/>
      <c r="AS3192" s="11"/>
      <c r="AT3192" s="11"/>
      <c r="AU3192" s="11"/>
      <c r="AV3192" s="11"/>
    </row>
    <row r="3193" spans="1:48" ht="24" customHeight="1">
      <c r="A3193" s="762"/>
      <c r="B3193" s="762" t="s">
        <v>1248</v>
      </c>
      <c r="C3193" s="762" t="s">
        <v>505</v>
      </c>
      <c r="D3193" s="1599"/>
      <c r="E3193" s="2245" t="s">
        <v>1942</v>
      </c>
      <c r="F3193" s="763">
        <v>2112</v>
      </c>
      <c r="G3193" s="786" t="s">
        <v>271</v>
      </c>
      <c r="H3193" s="550"/>
      <c r="I3193" s="550">
        <v>100</v>
      </c>
      <c r="J3193" s="551"/>
      <c r="K3193" s="761"/>
      <c r="L3193" s="550"/>
      <c r="M3193" s="1671">
        <v>100</v>
      </c>
      <c r="N3193" s="2847"/>
      <c r="O3193" s="86"/>
      <c r="P3193" s="1817" t="e">
        <f>INDEX(#REF!,MATCH(F3193,#REF!,0),2)</f>
        <v>#REF!</v>
      </c>
      <c r="Q3193" s="11"/>
      <c r="R3193" s="11"/>
      <c r="S3193" s="11"/>
      <c r="T3193" s="11"/>
      <c r="U3193" s="11"/>
      <c r="V3193" s="11"/>
      <c r="W3193" s="4"/>
      <c r="X3193" s="11"/>
      <c r="Y3193" s="11"/>
      <c r="Z3193" s="11"/>
      <c r="AA3193" s="11"/>
      <c r="AB3193" s="11"/>
      <c r="AC3193" s="11"/>
      <c r="AD3193" s="11"/>
      <c r="AE3193" s="11"/>
      <c r="AF3193" s="11"/>
      <c r="AG3193" s="11"/>
      <c r="AH3193" s="11"/>
      <c r="AI3193" s="11"/>
      <c r="AJ3193" s="11"/>
      <c r="AK3193" s="11"/>
      <c r="AL3193" s="11"/>
      <c r="AM3193" s="11"/>
      <c r="AN3193" s="11"/>
      <c r="AO3193" s="11"/>
      <c r="AP3193" s="11"/>
      <c r="AQ3193" s="11"/>
      <c r="AR3193" s="11"/>
      <c r="AS3193" s="11"/>
      <c r="AT3193" s="11"/>
      <c r="AU3193" s="11"/>
      <c r="AV3193" s="11"/>
    </row>
    <row r="3194" spans="1:48" ht="13.5" customHeight="1">
      <c r="A3194" s="755"/>
      <c r="B3194" s="755" t="s">
        <v>1248</v>
      </c>
      <c r="C3194" s="755" t="s">
        <v>505</v>
      </c>
      <c r="D3194" s="1600">
        <v>1010</v>
      </c>
      <c r="E3194" s="2247" t="s">
        <v>1942</v>
      </c>
      <c r="F3194" s="756">
        <v>2121</v>
      </c>
      <c r="G3194" s="757" t="s">
        <v>894</v>
      </c>
      <c r="H3194" s="759">
        <v>100</v>
      </c>
      <c r="I3194" s="759"/>
      <c r="J3194" s="760"/>
      <c r="K3194" s="761"/>
      <c r="L3194" s="3750">
        <v>100</v>
      </c>
      <c r="M3194" s="1580"/>
      <c r="N3194" s="2847"/>
      <c r="O3194" s="86"/>
      <c r="P3194" s="1817" t="e">
        <f>INDEX(#REF!,MATCH(F3194,#REF!,0),2)</f>
        <v>#REF!</v>
      </c>
      <c r="Q3194" s="11"/>
      <c r="R3194" s="11"/>
      <c r="S3194" s="11"/>
      <c r="T3194" s="11"/>
      <c r="U3194" s="11"/>
      <c r="V3194" s="11"/>
      <c r="W3194" s="4"/>
      <c r="X3194" s="11"/>
      <c r="Y3194" s="11"/>
      <c r="Z3194" s="11"/>
      <c r="AA3194" s="11"/>
      <c r="AB3194" s="11"/>
      <c r="AC3194" s="11"/>
      <c r="AD3194" s="11"/>
      <c r="AE3194" s="11"/>
      <c r="AF3194" s="11"/>
      <c r="AG3194" s="11"/>
      <c r="AH3194" s="11"/>
      <c r="AI3194" s="11"/>
      <c r="AJ3194" s="11"/>
      <c r="AK3194" s="11"/>
      <c r="AL3194" s="11"/>
      <c r="AM3194" s="11"/>
      <c r="AN3194" s="11"/>
      <c r="AO3194" s="11"/>
      <c r="AP3194" s="11"/>
      <c r="AQ3194" s="11"/>
      <c r="AR3194" s="11"/>
      <c r="AS3194" s="11"/>
      <c r="AT3194" s="11"/>
      <c r="AU3194" s="11"/>
      <c r="AV3194" s="11"/>
    </row>
    <row r="3195" spans="1:48" ht="11.45" customHeight="1">
      <c r="A3195" s="762"/>
      <c r="B3195" s="762" t="s">
        <v>1248</v>
      </c>
      <c r="C3195" s="762" t="s">
        <v>505</v>
      </c>
      <c r="D3195" s="1599"/>
      <c r="E3195" s="2245" t="s">
        <v>1942</v>
      </c>
      <c r="F3195" s="763">
        <v>2121</v>
      </c>
      <c r="G3195" s="786"/>
      <c r="H3195" s="550"/>
      <c r="I3195" s="550">
        <v>100</v>
      </c>
      <c r="J3195" s="551"/>
      <c r="K3195" s="761"/>
      <c r="L3195" s="550"/>
      <c r="M3195" s="1671">
        <v>100</v>
      </c>
      <c r="N3195" s="2847"/>
      <c r="O3195" s="86"/>
      <c r="P3195" s="1817" t="e">
        <f>INDEX(#REF!,MATCH(F3195,#REF!,0),2)</f>
        <v>#REF!</v>
      </c>
      <c r="Q3195" s="11"/>
      <c r="R3195" s="11"/>
      <c r="S3195" s="11"/>
      <c r="T3195" s="11"/>
      <c r="U3195" s="11"/>
      <c r="V3195" s="11"/>
      <c r="W3195" s="4"/>
      <c r="X3195" s="11"/>
      <c r="Y3195" s="11"/>
      <c r="Z3195" s="11"/>
      <c r="AA3195" s="11"/>
      <c r="AB3195" s="11"/>
      <c r="AC3195" s="11"/>
      <c r="AD3195" s="11"/>
      <c r="AE3195" s="11"/>
      <c r="AF3195" s="11"/>
      <c r="AG3195" s="11"/>
      <c r="AH3195" s="11"/>
      <c r="AI3195" s="11"/>
      <c r="AJ3195" s="11"/>
      <c r="AK3195" s="11"/>
      <c r="AL3195" s="11"/>
      <c r="AM3195" s="11"/>
      <c r="AN3195" s="11"/>
      <c r="AO3195" s="11"/>
      <c r="AP3195" s="11"/>
      <c r="AQ3195" s="11"/>
      <c r="AR3195" s="11"/>
      <c r="AS3195" s="11"/>
      <c r="AT3195" s="11"/>
      <c r="AU3195" s="11"/>
      <c r="AV3195" s="11"/>
    </row>
    <row r="3196" spans="1:48" ht="13.15" customHeight="1">
      <c r="A3196" s="755"/>
      <c r="B3196" s="755" t="s">
        <v>1248</v>
      </c>
      <c r="C3196" s="755" t="s">
        <v>507</v>
      </c>
      <c r="D3196" s="1600">
        <v>1010</v>
      </c>
      <c r="E3196" s="2247" t="s">
        <v>1942</v>
      </c>
      <c r="F3196" s="756">
        <v>2210</v>
      </c>
      <c r="G3196" s="757" t="s">
        <v>879</v>
      </c>
      <c r="H3196" s="759">
        <v>9932</v>
      </c>
      <c r="I3196" s="759"/>
      <c r="J3196" s="760"/>
      <c r="K3196" s="761"/>
      <c r="L3196" s="3750">
        <v>7511.5679999999993</v>
      </c>
      <c r="M3196" s="1580"/>
      <c r="N3196" s="2847"/>
      <c r="O3196" s="86"/>
      <c r="P3196" s="1817" t="e">
        <f>INDEX(#REF!,MATCH(F3196,#REF!,0),2)</f>
        <v>#REF!</v>
      </c>
      <c r="Q3196" s="11"/>
      <c r="R3196" s="11"/>
      <c r="S3196" s="11"/>
      <c r="T3196" s="11"/>
      <c r="U3196" s="11"/>
      <c r="V3196" s="11"/>
      <c r="W3196" s="4"/>
      <c r="X3196" s="11"/>
      <c r="Y3196" s="11"/>
      <c r="Z3196" s="11"/>
      <c r="AA3196" s="11"/>
      <c r="AB3196" s="11"/>
      <c r="AC3196" s="11"/>
      <c r="AD3196" s="11"/>
      <c r="AE3196" s="11"/>
      <c r="AF3196" s="11"/>
      <c r="AG3196" s="11"/>
      <c r="AH3196" s="11"/>
      <c r="AI3196" s="11"/>
      <c r="AJ3196" s="11"/>
      <c r="AK3196" s="11"/>
      <c r="AL3196" s="11"/>
      <c r="AM3196" s="11"/>
      <c r="AN3196" s="11"/>
      <c r="AO3196" s="11"/>
      <c r="AP3196" s="11"/>
      <c r="AQ3196" s="11"/>
      <c r="AR3196" s="11"/>
      <c r="AS3196" s="11"/>
      <c r="AT3196" s="11"/>
      <c r="AU3196" s="11"/>
      <c r="AV3196" s="11"/>
    </row>
    <row r="3197" spans="1:48" ht="18.600000000000001" customHeight="1">
      <c r="A3197" s="762"/>
      <c r="B3197" s="762" t="s">
        <v>1248</v>
      </c>
      <c r="C3197" s="762" t="s">
        <v>507</v>
      </c>
      <c r="D3197" s="1599"/>
      <c r="E3197" s="2245" t="s">
        <v>1942</v>
      </c>
      <c r="F3197" s="763">
        <v>2210</v>
      </c>
      <c r="G3197" s="2774" t="s">
        <v>5123</v>
      </c>
      <c r="H3197" s="752"/>
      <c r="I3197" s="752">
        <v>5360</v>
      </c>
      <c r="J3197" s="753"/>
      <c r="K3197" s="754"/>
      <c r="L3197" s="1650"/>
      <c r="M3197" s="2779">
        <v>3099.5679999999993</v>
      </c>
      <c r="N3197" s="2847"/>
      <c r="O3197" s="86"/>
      <c r="P3197" s="1817" t="e">
        <f>INDEX(#REF!,MATCH(F3197,#REF!,0),2)</f>
        <v>#REF!</v>
      </c>
      <c r="Q3197" s="43"/>
      <c r="R3197" s="43"/>
      <c r="S3197" s="43"/>
      <c r="T3197" s="43"/>
      <c r="U3197" s="43"/>
      <c r="V3197" s="43"/>
      <c r="W3197" s="43"/>
      <c r="X3197" s="43"/>
      <c r="Y3197" s="43"/>
      <c r="Z3197" s="43"/>
      <c r="AA3197" s="43"/>
      <c r="AB3197" s="43"/>
      <c r="AC3197" s="43"/>
      <c r="AD3197" s="43"/>
      <c r="AE3197" s="43"/>
      <c r="AF3197" s="43"/>
      <c r="AG3197" s="43"/>
    </row>
    <row r="3198" spans="1:48" ht="11.45" customHeight="1">
      <c r="A3198" s="762"/>
      <c r="B3198" s="762" t="s">
        <v>1248</v>
      </c>
      <c r="C3198" s="762" t="s">
        <v>507</v>
      </c>
      <c r="D3198" s="1599"/>
      <c r="E3198" s="2245" t="s">
        <v>1942</v>
      </c>
      <c r="F3198" s="763">
        <v>2210</v>
      </c>
      <c r="G3198" s="2774" t="s">
        <v>5124</v>
      </c>
      <c r="H3198" s="752"/>
      <c r="I3198" s="752">
        <v>1920</v>
      </c>
      <c r="J3198" s="753"/>
      <c r="K3198" s="754"/>
      <c r="L3198" s="1650"/>
      <c r="M3198" s="2779">
        <v>2760</v>
      </c>
      <c r="N3198" s="2847" t="s">
        <v>5125</v>
      </c>
      <c r="O3198" s="86"/>
      <c r="P3198" s="1817" t="e">
        <f>INDEX(#REF!,MATCH(F3198,#REF!,0),2)</f>
        <v>#REF!</v>
      </c>
      <c r="Q3198" s="11"/>
      <c r="R3198" s="11"/>
      <c r="S3198" s="11"/>
      <c r="T3198" s="11"/>
      <c r="U3198" s="11"/>
      <c r="V3198" s="11"/>
      <c r="W3198" s="4"/>
      <c r="X3198" s="11"/>
      <c r="Y3198" s="11"/>
      <c r="Z3198" s="11"/>
      <c r="AA3198" s="11"/>
      <c r="AB3198" s="11"/>
      <c r="AC3198" s="11"/>
      <c r="AD3198" s="11"/>
      <c r="AE3198" s="11"/>
      <c r="AF3198" s="11"/>
      <c r="AG3198" s="11"/>
      <c r="AH3198" s="11"/>
      <c r="AI3198" s="11"/>
      <c r="AJ3198" s="11"/>
      <c r="AK3198" s="11"/>
      <c r="AL3198" s="11"/>
      <c r="AM3198" s="11"/>
      <c r="AN3198" s="11"/>
      <c r="AO3198" s="11"/>
      <c r="AP3198" s="11"/>
      <c r="AQ3198" s="11"/>
      <c r="AR3198" s="11"/>
      <c r="AS3198" s="11"/>
      <c r="AT3198" s="11"/>
      <c r="AU3198" s="11"/>
      <c r="AV3198" s="11"/>
    </row>
    <row r="3199" spans="1:48" ht="18.600000000000001" customHeight="1">
      <c r="A3199" s="762"/>
      <c r="B3199" s="762" t="s">
        <v>1248</v>
      </c>
      <c r="C3199" s="762" t="s">
        <v>507</v>
      </c>
      <c r="D3199" s="1599"/>
      <c r="E3199" s="2245" t="s">
        <v>1942</v>
      </c>
      <c r="F3199" s="763">
        <v>2210</v>
      </c>
      <c r="G3199" s="772" t="s">
        <v>1511</v>
      </c>
      <c r="H3199" s="764"/>
      <c r="I3199" s="764">
        <v>1452</v>
      </c>
      <c r="J3199" s="765"/>
      <c r="K3199" s="766"/>
      <c r="L3199" s="1650"/>
      <c r="M3199" s="1576">
        <v>1452</v>
      </c>
      <c r="N3199" s="241"/>
      <c r="O3199" s="86"/>
      <c r="P3199" s="1817" t="e">
        <f>INDEX(#REF!,MATCH(F3199,#REF!,0),2)</f>
        <v>#REF!</v>
      </c>
      <c r="Q3199" s="43"/>
      <c r="R3199" s="43"/>
      <c r="S3199" s="43"/>
      <c r="T3199" s="43"/>
      <c r="U3199" s="43"/>
      <c r="V3199" s="43"/>
      <c r="W3199" s="43"/>
      <c r="X3199" s="43"/>
      <c r="Y3199" s="43"/>
      <c r="Z3199" s="43"/>
      <c r="AA3199" s="43"/>
      <c r="AB3199" s="43"/>
      <c r="AC3199" s="43"/>
      <c r="AD3199" s="43"/>
      <c r="AE3199" s="43"/>
      <c r="AF3199" s="43"/>
      <c r="AG3199" s="43"/>
    </row>
    <row r="3200" spans="1:48" ht="11.45" customHeight="1">
      <c r="A3200" s="762"/>
      <c r="B3200" s="762" t="s">
        <v>1248</v>
      </c>
      <c r="C3200" s="762" t="s">
        <v>507</v>
      </c>
      <c r="D3200" s="1599"/>
      <c r="E3200" s="2245" t="s">
        <v>1942</v>
      </c>
      <c r="F3200" s="763">
        <v>2210</v>
      </c>
      <c r="G3200" s="772" t="s">
        <v>1531</v>
      </c>
      <c r="H3200" s="752"/>
      <c r="I3200" s="752">
        <v>1200</v>
      </c>
      <c r="J3200" s="753"/>
      <c r="K3200" s="754"/>
      <c r="L3200" s="1650"/>
      <c r="M3200" s="1576">
        <v>200</v>
      </c>
      <c r="N3200" s="2847"/>
      <c r="O3200" s="86"/>
      <c r="P3200" s="1817" t="e">
        <f>INDEX(#REF!,MATCH(F3200,#REF!,0),2)</f>
        <v>#REF!</v>
      </c>
      <c r="Q3200" s="11"/>
      <c r="R3200" s="11"/>
      <c r="S3200" s="11"/>
      <c r="T3200" s="11"/>
      <c r="U3200" s="11"/>
      <c r="V3200" s="11"/>
      <c r="W3200" s="4"/>
      <c r="X3200" s="11"/>
      <c r="Y3200" s="11"/>
      <c r="Z3200" s="11"/>
      <c r="AA3200" s="11"/>
      <c r="AB3200" s="11"/>
      <c r="AC3200" s="11"/>
      <c r="AD3200" s="11"/>
      <c r="AE3200" s="11"/>
      <c r="AF3200" s="11"/>
      <c r="AG3200" s="11"/>
      <c r="AH3200" s="11"/>
      <c r="AI3200" s="11"/>
      <c r="AJ3200" s="11"/>
      <c r="AK3200" s="11"/>
      <c r="AL3200" s="11"/>
      <c r="AM3200" s="11"/>
      <c r="AN3200" s="11"/>
      <c r="AO3200" s="11"/>
      <c r="AP3200" s="11"/>
      <c r="AQ3200" s="11"/>
      <c r="AR3200" s="11"/>
      <c r="AS3200" s="11"/>
      <c r="AT3200" s="11"/>
      <c r="AU3200" s="11"/>
      <c r="AV3200" s="11"/>
    </row>
    <row r="3201" spans="1:48" ht="13.15" customHeight="1">
      <c r="A3201" s="755"/>
      <c r="B3201" s="755" t="s">
        <v>1248</v>
      </c>
      <c r="C3201" s="755" t="s">
        <v>505</v>
      </c>
      <c r="D3201" s="1600">
        <v>1010</v>
      </c>
      <c r="E3201" s="2247" t="s">
        <v>1942</v>
      </c>
      <c r="F3201" s="756">
        <v>2221</v>
      </c>
      <c r="G3201" s="757" t="s">
        <v>958</v>
      </c>
      <c r="H3201" s="759">
        <v>4846</v>
      </c>
      <c r="I3201" s="759"/>
      <c r="J3201" s="760"/>
      <c r="K3201" s="761"/>
      <c r="L3201" s="3750">
        <v>4846</v>
      </c>
      <c r="M3201" s="1580"/>
      <c r="N3201" s="2847"/>
      <c r="O3201" s="86"/>
      <c r="P3201" s="1817" t="e">
        <f>INDEX(#REF!,MATCH(F3201,#REF!,0),2)</f>
        <v>#REF!</v>
      </c>
      <c r="Q3201" s="11"/>
      <c r="R3201" s="11"/>
      <c r="S3201" s="11"/>
      <c r="T3201" s="11"/>
      <c r="U3201" s="11"/>
      <c r="V3201" s="11"/>
      <c r="W3201" s="4"/>
      <c r="X3201" s="11"/>
      <c r="Y3201" s="11"/>
      <c r="Z3201" s="11"/>
      <c r="AA3201" s="11"/>
      <c r="AB3201" s="11"/>
      <c r="AC3201" s="11"/>
      <c r="AD3201" s="11"/>
      <c r="AE3201" s="11"/>
      <c r="AF3201" s="11"/>
      <c r="AG3201" s="11"/>
      <c r="AH3201" s="11"/>
      <c r="AI3201" s="11"/>
      <c r="AJ3201" s="11"/>
      <c r="AK3201" s="11"/>
      <c r="AL3201" s="11"/>
      <c r="AM3201" s="11"/>
      <c r="AN3201" s="11"/>
      <c r="AO3201" s="11"/>
      <c r="AP3201" s="11"/>
      <c r="AQ3201" s="11"/>
      <c r="AR3201" s="11"/>
      <c r="AS3201" s="11"/>
      <c r="AT3201" s="11"/>
      <c r="AU3201" s="11"/>
      <c r="AV3201" s="11"/>
    </row>
    <row r="3202" spans="1:48" ht="18.600000000000001" customHeight="1">
      <c r="A3202" s="762"/>
      <c r="B3202" s="762" t="s">
        <v>1248</v>
      </c>
      <c r="C3202" s="762" t="s">
        <v>505</v>
      </c>
      <c r="D3202" s="1599"/>
      <c r="E3202" s="2245" t="s">
        <v>1942</v>
      </c>
      <c r="F3202" s="763">
        <v>2221</v>
      </c>
      <c r="G3202" s="850" t="s">
        <v>5126</v>
      </c>
      <c r="H3202" s="851"/>
      <c r="I3202" s="852">
        <v>1000</v>
      </c>
      <c r="J3202" s="765"/>
      <c r="K3202" s="766"/>
      <c r="L3202" s="1650"/>
      <c r="M3202" s="1576">
        <v>1000</v>
      </c>
      <c r="N3202" s="2847"/>
      <c r="O3202" s="86"/>
      <c r="P3202" s="1817" t="e">
        <f>INDEX(#REF!,MATCH(F3202,#REF!,0),2)</f>
        <v>#REF!</v>
      </c>
      <c r="Q3202" s="43"/>
      <c r="R3202" s="43"/>
      <c r="S3202" s="43"/>
      <c r="T3202" s="43"/>
      <c r="U3202" s="43"/>
      <c r="V3202" s="43"/>
      <c r="W3202" s="43"/>
      <c r="X3202" s="43"/>
      <c r="Y3202" s="43"/>
      <c r="Z3202" s="43"/>
      <c r="AA3202" s="43"/>
      <c r="AB3202" s="43"/>
      <c r="AC3202" s="43"/>
      <c r="AD3202" s="43"/>
      <c r="AE3202" s="43"/>
      <c r="AF3202" s="43"/>
      <c r="AG3202" s="43"/>
    </row>
    <row r="3203" spans="1:48" ht="34.9" customHeight="1">
      <c r="A3203" s="762"/>
      <c r="B3203" s="762" t="s">
        <v>1248</v>
      </c>
      <c r="C3203" s="762" t="s">
        <v>505</v>
      </c>
      <c r="D3203" s="1599"/>
      <c r="E3203" s="2245" t="s">
        <v>1942</v>
      </c>
      <c r="F3203" s="1816">
        <v>2221</v>
      </c>
      <c r="G3203" s="850" t="s">
        <v>5152</v>
      </c>
      <c r="H3203" s="851"/>
      <c r="I3203" s="851">
        <v>3846</v>
      </c>
      <c r="J3203" s="765"/>
      <c r="K3203" s="766"/>
      <c r="L3203" s="1650"/>
      <c r="M3203" s="1576">
        <v>3846</v>
      </c>
      <c r="N3203" s="2847"/>
      <c r="O3203" s="86"/>
      <c r="P3203" s="1817" t="e">
        <f>INDEX(#REF!,MATCH(F3203,#REF!,0),2)</f>
        <v>#REF!</v>
      </c>
      <c r="Q3203" s="11"/>
      <c r="R3203" s="11"/>
      <c r="S3203" s="11"/>
      <c r="T3203" s="11"/>
      <c r="U3203" s="11"/>
      <c r="V3203" s="11"/>
      <c r="W3203" s="4"/>
      <c r="X3203" s="11"/>
      <c r="Y3203" s="11"/>
      <c r="Z3203" s="11"/>
      <c r="AA3203" s="11"/>
      <c r="AB3203" s="11"/>
      <c r="AC3203" s="11"/>
      <c r="AD3203" s="11"/>
      <c r="AE3203" s="11"/>
      <c r="AF3203" s="11"/>
      <c r="AG3203" s="11"/>
      <c r="AH3203" s="11"/>
      <c r="AI3203" s="11"/>
      <c r="AJ3203" s="11"/>
      <c r="AK3203" s="11"/>
      <c r="AL3203" s="11"/>
      <c r="AM3203" s="11"/>
      <c r="AN3203" s="11"/>
      <c r="AO3203" s="11"/>
      <c r="AP3203" s="11"/>
      <c r="AQ3203" s="11"/>
      <c r="AR3203" s="11"/>
      <c r="AS3203" s="11"/>
      <c r="AT3203" s="11"/>
      <c r="AU3203" s="11"/>
      <c r="AV3203" s="11"/>
    </row>
    <row r="3204" spans="1:48" ht="38.450000000000003" customHeight="1">
      <c r="A3204" s="755"/>
      <c r="B3204" s="755" t="s">
        <v>1248</v>
      </c>
      <c r="C3204" s="755" t="s">
        <v>505</v>
      </c>
      <c r="D3204" s="1600">
        <v>1010</v>
      </c>
      <c r="E3204" s="2247" t="s">
        <v>1942</v>
      </c>
      <c r="F3204" s="756">
        <v>2222</v>
      </c>
      <c r="G3204" s="757" t="s">
        <v>272</v>
      </c>
      <c r="H3204" s="759">
        <v>800</v>
      </c>
      <c r="I3204" s="759"/>
      <c r="J3204" s="760"/>
      <c r="K3204" s="761"/>
      <c r="L3204" s="3750">
        <v>200</v>
      </c>
      <c r="M3204" s="1580"/>
      <c r="N3204" s="2847"/>
      <c r="O3204" s="86"/>
      <c r="P3204" s="1817" t="e">
        <f>INDEX(#REF!,MATCH(F3204,#REF!,0),2)</f>
        <v>#REF!</v>
      </c>
      <c r="Q3204" s="11"/>
      <c r="R3204" s="11"/>
      <c r="S3204" s="11"/>
      <c r="T3204" s="11"/>
      <c r="U3204" s="11"/>
      <c r="V3204" s="11"/>
      <c r="W3204" s="4"/>
      <c r="X3204" s="11"/>
      <c r="Y3204" s="11"/>
      <c r="Z3204" s="11"/>
      <c r="AA3204" s="11"/>
      <c r="AB3204" s="11"/>
      <c r="AC3204" s="11"/>
      <c r="AD3204" s="11"/>
      <c r="AE3204" s="11"/>
      <c r="AF3204" s="11"/>
      <c r="AG3204" s="11"/>
      <c r="AH3204" s="11"/>
      <c r="AI3204" s="11"/>
      <c r="AJ3204" s="11"/>
      <c r="AK3204" s="11"/>
      <c r="AL3204" s="11"/>
      <c r="AM3204" s="11"/>
      <c r="AN3204" s="11"/>
      <c r="AO3204" s="11"/>
      <c r="AP3204" s="11"/>
      <c r="AQ3204" s="11"/>
      <c r="AR3204" s="11"/>
      <c r="AS3204" s="11"/>
      <c r="AT3204" s="11"/>
      <c r="AU3204" s="11"/>
      <c r="AV3204" s="11"/>
    </row>
    <row r="3205" spans="1:48" ht="13.9" customHeight="1">
      <c r="A3205" s="762"/>
      <c r="B3205" s="762" t="s">
        <v>1248</v>
      </c>
      <c r="C3205" s="762" t="s">
        <v>505</v>
      </c>
      <c r="D3205" s="1599">
        <v>1010</v>
      </c>
      <c r="E3205" s="2245" t="s">
        <v>1942</v>
      </c>
      <c r="F3205" s="1816">
        <v>2222</v>
      </c>
      <c r="G3205" s="850" t="s">
        <v>5152</v>
      </c>
      <c r="H3205" s="851"/>
      <c r="I3205" s="851">
        <v>800</v>
      </c>
      <c r="J3205" s="765"/>
      <c r="K3205" s="766"/>
      <c r="L3205" s="1650"/>
      <c r="M3205" s="1576">
        <v>200</v>
      </c>
      <c r="N3205" s="2847"/>
      <c r="O3205" s="86"/>
      <c r="P3205" s="1817" t="e">
        <f>INDEX(#REF!,MATCH(F3205,#REF!,0),2)</f>
        <v>#REF!</v>
      </c>
      <c r="Q3205" s="11"/>
      <c r="R3205" s="11"/>
      <c r="S3205" s="11"/>
      <c r="T3205" s="11"/>
      <c r="U3205" s="11"/>
      <c r="V3205" s="11"/>
      <c r="W3205" s="4"/>
      <c r="X3205" s="11"/>
      <c r="Y3205" s="11"/>
      <c r="Z3205" s="11"/>
      <c r="AA3205" s="11"/>
      <c r="AB3205" s="11"/>
      <c r="AC3205" s="11"/>
      <c r="AD3205" s="11"/>
      <c r="AE3205" s="11"/>
      <c r="AF3205" s="11"/>
      <c r="AG3205" s="11"/>
      <c r="AH3205" s="11"/>
      <c r="AI3205" s="11"/>
      <c r="AJ3205" s="11"/>
      <c r="AK3205" s="11"/>
      <c r="AL3205" s="11"/>
      <c r="AM3205" s="11"/>
      <c r="AN3205" s="11"/>
      <c r="AO3205" s="11"/>
      <c r="AP3205" s="11"/>
      <c r="AQ3205" s="11"/>
      <c r="AR3205" s="11"/>
      <c r="AS3205" s="11"/>
      <c r="AT3205" s="11"/>
      <c r="AU3205" s="11"/>
      <c r="AV3205" s="11"/>
    </row>
    <row r="3206" spans="1:48" ht="22.9" customHeight="1">
      <c r="A3206" s="755"/>
      <c r="B3206" s="755" t="s">
        <v>1248</v>
      </c>
      <c r="C3206" s="755" t="s">
        <v>505</v>
      </c>
      <c r="D3206" s="1600">
        <v>1010</v>
      </c>
      <c r="E3206" s="2247" t="s">
        <v>1942</v>
      </c>
      <c r="F3206" s="756">
        <v>2223</v>
      </c>
      <c r="G3206" s="757" t="s">
        <v>273</v>
      </c>
      <c r="H3206" s="759">
        <v>5690</v>
      </c>
      <c r="I3206" s="759"/>
      <c r="J3206" s="760"/>
      <c r="K3206" s="761"/>
      <c r="L3206" s="3750">
        <v>3500</v>
      </c>
      <c r="M3206" s="1580"/>
      <c r="N3206" s="2847"/>
      <c r="O3206" s="86"/>
      <c r="P3206" s="1817" t="e">
        <f>INDEX(#REF!,MATCH(F3206,#REF!,0),2)</f>
        <v>#REF!</v>
      </c>
      <c r="Q3206" s="11"/>
      <c r="R3206" s="11"/>
      <c r="S3206" s="11"/>
      <c r="T3206" s="11"/>
      <c r="U3206" s="11"/>
      <c r="V3206" s="11"/>
      <c r="W3206" s="4"/>
      <c r="X3206" s="11"/>
      <c r="Y3206" s="11"/>
      <c r="Z3206" s="11"/>
      <c r="AA3206" s="11"/>
      <c r="AB3206" s="11"/>
      <c r="AC3206" s="11"/>
      <c r="AD3206" s="11"/>
      <c r="AE3206" s="11"/>
      <c r="AF3206" s="11"/>
      <c r="AG3206" s="11"/>
      <c r="AH3206" s="11"/>
      <c r="AI3206" s="11"/>
      <c r="AJ3206" s="11"/>
      <c r="AK3206" s="11"/>
      <c r="AL3206" s="11"/>
      <c r="AM3206" s="11"/>
      <c r="AN3206" s="11"/>
      <c r="AO3206" s="11"/>
      <c r="AP3206" s="11"/>
      <c r="AQ3206" s="11"/>
      <c r="AR3206" s="11"/>
      <c r="AS3206" s="11"/>
      <c r="AT3206" s="11"/>
      <c r="AU3206" s="11"/>
      <c r="AV3206" s="11"/>
    </row>
    <row r="3207" spans="1:48" ht="15" customHeight="1">
      <c r="A3207" s="762"/>
      <c r="B3207" s="762" t="s">
        <v>1248</v>
      </c>
      <c r="C3207" s="762" t="s">
        <v>505</v>
      </c>
      <c r="D3207" s="1599"/>
      <c r="E3207" s="2245" t="s">
        <v>1942</v>
      </c>
      <c r="F3207" s="763">
        <v>2223</v>
      </c>
      <c r="G3207" s="850" t="s">
        <v>5126</v>
      </c>
      <c r="H3207" s="851"/>
      <c r="I3207" s="852">
        <v>1000</v>
      </c>
      <c r="J3207" s="765"/>
      <c r="K3207" s="766"/>
      <c r="L3207" s="1650"/>
      <c r="M3207" s="1576">
        <v>1000</v>
      </c>
      <c r="N3207" s="2847"/>
      <c r="O3207" s="86"/>
      <c r="P3207" s="1817" t="e">
        <f>INDEX(#REF!,MATCH(F3207,#REF!,0),2)</f>
        <v>#REF!</v>
      </c>
      <c r="Q3207" s="11"/>
      <c r="R3207" s="11"/>
      <c r="S3207" s="11"/>
      <c r="T3207" s="11"/>
      <c r="U3207" s="11"/>
      <c r="V3207" s="11"/>
      <c r="W3207" s="4"/>
      <c r="X3207" s="11"/>
      <c r="Y3207" s="11"/>
      <c r="Z3207" s="11"/>
      <c r="AA3207" s="11"/>
      <c r="AB3207" s="11"/>
      <c r="AC3207" s="11"/>
      <c r="AD3207" s="11"/>
      <c r="AE3207" s="11"/>
      <c r="AF3207" s="11"/>
      <c r="AG3207" s="11"/>
      <c r="AH3207" s="11"/>
      <c r="AI3207" s="11"/>
      <c r="AJ3207" s="11"/>
      <c r="AK3207" s="11"/>
      <c r="AL3207" s="11"/>
      <c r="AM3207" s="11"/>
      <c r="AN3207" s="11"/>
      <c r="AO3207" s="11"/>
      <c r="AP3207" s="11"/>
      <c r="AQ3207" s="11"/>
      <c r="AR3207" s="11"/>
      <c r="AS3207" s="11"/>
      <c r="AT3207" s="11"/>
      <c r="AU3207" s="11"/>
      <c r="AV3207" s="11"/>
    </row>
    <row r="3208" spans="1:48" ht="30.6" customHeight="1">
      <c r="A3208" s="762"/>
      <c r="B3208" s="762" t="s">
        <v>1248</v>
      </c>
      <c r="C3208" s="762" t="s">
        <v>505</v>
      </c>
      <c r="D3208" s="1599"/>
      <c r="E3208" s="2245" t="s">
        <v>1942</v>
      </c>
      <c r="F3208" s="1816">
        <v>2223</v>
      </c>
      <c r="G3208" s="850" t="s">
        <v>5152</v>
      </c>
      <c r="H3208" s="851"/>
      <c r="I3208" s="851">
        <v>4690</v>
      </c>
      <c r="J3208" s="765"/>
      <c r="K3208" s="766"/>
      <c r="L3208" s="1650"/>
      <c r="M3208" s="1576">
        <v>2500</v>
      </c>
      <c r="N3208" s="3756" t="s">
        <v>5668</v>
      </c>
      <c r="O3208" s="86"/>
      <c r="P3208" s="1817" t="e">
        <f>INDEX(#REF!,MATCH(F3208,#REF!,0),2)</f>
        <v>#REF!</v>
      </c>
      <c r="Q3208" s="11"/>
      <c r="R3208" s="11"/>
      <c r="S3208" s="11"/>
      <c r="T3208" s="11"/>
      <c r="U3208" s="11"/>
      <c r="V3208" s="11"/>
      <c r="W3208" s="4"/>
      <c r="X3208" s="11"/>
      <c r="Y3208" s="11"/>
      <c r="Z3208" s="11"/>
      <c r="AA3208" s="11"/>
      <c r="AB3208" s="11"/>
      <c r="AC3208" s="11"/>
      <c r="AD3208" s="11"/>
      <c r="AE3208" s="11"/>
      <c r="AF3208" s="11"/>
      <c r="AG3208" s="11"/>
      <c r="AH3208" s="11"/>
      <c r="AI3208" s="11"/>
      <c r="AJ3208" s="11"/>
      <c r="AK3208" s="11"/>
      <c r="AL3208" s="11"/>
      <c r="AM3208" s="11"/>
      <c r="AN3208" s="11"/>
      <c r="AO3208" s="11"/>
      <c r="AP3208" s="11"/>
      <c r="AQ3208" s="11"/>
      <c r="AR3208" s="11"/>
      <c r="AS3208" s="11"/>
      <c r="AT3208" s="11"/>
      <c r="AU3208" s="11"/>
      <c r="AV3208" s="11"/>
    </row>
    <row r="3209" spans="1:48" ht="37.15" customHeight="1">
      <c r="A3209" s="755"/>
      <c r="B3209" s="755" t="s">
        <v>1248</v>
      </c>
      <c r="C3209" s="755" t="s">
        <v>505</v>
      </c>
      <c r="D3209" s="1600">
        <v>1010</v>
      </c>
      <c r="E3209" s="2247" t="s">
        <v>1942</v>
      </c>
      <c r="F3209" s="756">
        <v>2233</v>
      </c>
      <c r="G3209" s="757" t="s">
        <v>452</v>
      </c>
      <c r="H3209" s="759">
        <v>0</v>
      </c>
      <c r="I3209" s="759"/>
      <c r="J3209" s="760"/>
      <c r="K3209" s="761"/>
      <c r="L3209" s="3750">
        <v>0</v>
      </c>
      <c r="M3209" s="1580"/>
      <c r="N3209" s="2847"/>
      <c r="O3209" s="86"/>
      <c r="P3209" s="1817" t="e">
        <f>INDEX(#REF!,MATCH(F3209,#REF!,0),2)</f>
        <v>#REF!</v>
      </c>
      <c r="Q3209" s="11"/>
      <c r="R3209" s="11"/>
      <c r="S3209" s="11"/>
      <c r="T3209" s="11"/>
      <c r="U3209" s="11"/>
      <c r="V3209" s="11"/>
      <c r="W3209" s="4"/>
      <c r="X3209" s="11"/>
      <c r="Y3209" s="11"/>
      <c r="Z3209" s="11"/>
      <c r="AA3209" s="11"/>
      <c r="AB3209" s="11"/>
      <c r="AC3209" s="11"/>
      <c r="AD3209" s="11"/>
      <c r="AE3209" s="11"/>
      <c r="AF3209" s="11"/>
      <c r="AG3209" s="11"/>
      <c r="AH3209" s="11"/>
      <c r="AI3209" s="11"/>
      <c r="AJ3209" s="11"/>
      <c r="AK3209" s="11"/>
      <c r="AL3209" s="11"/>
      <c r="AM3209" s="11"/>
      <c r="AN3209" s="11"/>
      <c r="AO3209" s="11"/>
      <c r="AP3209" s="11"/>
      <c r="AQ3209" s="11"/>
      <c r="AR3209" s="11"/>
      <c r="AS3209" s="11"/>
      <c r="AT3209" s="11"/>
      <c r="AU3209" s="11"/>
      <c r="AV3209" s="11"/>
    </row>
    <row r="3210" spans="1:48" ht="30.6" customHeight="1">
      <c r="A3210" s="762"/>
      <c r="B3210" s="762" t="s">
        <v>1248</v>
      </c>
      <c r="C3210" s="762" t="s">
        <v>505</v>
      </c>
      <c r="D3210" s="1599"/>
      <c r="E3210" s="2245" t="s">
        <v>1942</v>
      </c>
      <c r="F3210" s="763">
        <v>2233</v>
      </c>
      <c r="G3210" s="772" t="s">
        <v>1512</v>
      </c>
      <c r="H3210" s="764"/>
      <c r="I3210" s="752">
        <v>0</v>
      </c>
      <c r="J3210" s="765"/>
      <c r="K3210" s="766"/>
      <c r="L3210" s="1650"/>
      <c r="M3210" s="1576">
        <v>0</v>
      </c>
      <c r="N3210" s="2847" t="s">
        <v>2393</v>
      </c>
      <c r="O3210" s="86"/>
      <c r="P3210" s="1817" t="e">
        <f>INDEX(#REF!,MATCH(F3210,#REF!,0),2)</f>
        <v>#REF!</v>
      </c>
      <c r="Q3210" s="11"/>
      <c r="R3210" s="11"/>
      <c r="S3210" s="11"/>
      <c r="T3210" s="11"/>
      <c r="U3210" s="11"/>
      <c r="V3210" s="11"/>
      <c r="W3210" s="4"/>
      <c r="X3210" s="11"/>
      <c r="Y3210" s="11"/>
      <c r="Z3210" s="11"/>
      <c r="AA3210" s="11"/>
      <c r="AB3210" s="11"/>
      <c r="AC3210" s="11"/>
      <c r="AD3210" s="11"/>
      <c r="AE3210" s="11"/>
      <c r="AF3210" s="11"/>
      <c r="AG3210" s="11"/>
      <c r="AH3210" s="11"/>
      <c r="AI3210" s="11"/>
      <c r="AJ3210" s="11"/>
      <c r="AK3210" s="11"/>
      <c r="AL3210" s="11"/>
      <c r="AM3210" s="11"/>
      <c r="AN3210" s="11"/>
      <c r="AO3210" s="11"/>
      <c r="AP3210" s="11"/>
      <c r="AQ3210" s="11"/>
      <c r="AR3210" s="11"/>
      <c r="AS3210" s="11"/>
      <c r="AT3210" s="11"/>
      <c r="AU3210" s="11"/>
      <c r="AV3210" s="11"/>
    </row>
    <row r="3211" spans="1:48" ht="20.45" customHeight="1">
      <c r="A3211" s="755"/>
      <c r="B3211" s="755" t="s">
        <v>1248</v>
      </c>
      <c r="C3211" s="755" t="s">
        <v>505</v>
      </c>
      <c r="D3211" s="1600">
        <v>1010</v>
      </c>
      <c r="E3211" s="2247" t="s">
        <v>1942</v>
      </c>
      <c r="F3211" s="756">
        <v>2234</v>
      </c>
      <c r="G3211" s="757" t="s">
        <v>235</v>
      </c>
      <c r="H3211" s="759">
        <v>890</v>
      </c>
      <c r="I3211" s="759"/>
      <c r="J3211" s="760"/>
      <c r="K3211" s="761"/>
      <c r="L3211" s="3750">
        <v>410</v>
      </c>
      <c r="M3211" s="1578"/>
      <c r="N3211" s="2847"/>
      <c r="O3211" s="86"/>
      <c r="P3211" s="1817" t="e">
        <f>INDEX(#REF!,MATCH(F3211,#REF!,0),2)</f>
        <v>#REF!</v>
      </c>
      <c r="Q3211" s="1779"/>
      <c r="R3211" s="1779"/>
      <c r="S3211" s="1779"/>
      <c r="T3211" s="1779"/>
      <c r="U3211" s="1779"/>
      <c r="V3211" s="1779"/>
      <c r="W3211" s="43"/>
      <c r="X3211" s="1779"/>
      <c r="Y3211" s="1779"/>
      <c r="Z3211" s="1779"/>
      <c r="AA3211" s="1779"/>
      <c r="AB3211" s="1779"/>
      <c r="AC3211" s="1779"/>
      <c r="AD3211" s="1779"/>
      <c r="AE3211" s="1779"/>
      <c r="AF3211" s="1779"/>
      <c r="AG3211" s="1779"/>
      <c r="AH3211" s="1779"/>
      <c r="AI3211" s="1779"/>
      <c r="AJ3211" s="1779"/>
      <c r="AK3211" s="1779"/>
      <c r="AL3211" s="1779"/>
      <c r="AM3211" s="1779"/>
      <c r="AN3211" s="1779"/>
      <c r="AO3211" s="1779"/>
      <c r="AP3211" s="1779"/>
      <c r="AQ3211" s="1779"/>
      <c r="AR3211" s="1779"/>
      <c r="AS3211" s="1779"/>
      <c r="AT3211" s="1779"/>
      <c r="AU3211" s="1779"/>
      <c r="AV3211" s="1779"/>
    </row>
    <row r="3212" spans="1:48" ht="34.5" customHeight="1">
      <c r="A3212" s="762"/>
      <c r="B3212" s="762" t="s">
        <v>1248</v>
      </c>
      <c r="C3212" s="762" t="s">
        <v>505</v>
      </c>
      <c r="D3212" s="1599"/>
      <c r="E3212" s="2245" t="s">
        <v>1942</v>
      </c>
      <c r="F3212" s="763">
        <v>2234</v>
      </c>
      <c r="G3212" s="817" t="s">
        <v>1532</v>
      </c>
      <c r="H3212" s="752"/>
      <c r="I3212" s="752">
        <v>680</v>
      </c>
      <c r="J3212" s="753"/>
      <c r="K3212" s="754"/>
      <c r="L3212" s="1657"/>
      <c r="M3212" s="1575">
        <v>200</v>
      </c>
      <c r="N3212" s="3764" t="s">
        <v>5669</v>
      </c>
      <c r="O3212" s="86"/>
      <c r="P3212" s="1817" t="e">
        <f>INDEX(#REF!,MATCH(F3212,#REF!,0),2)</f>
        <v>#REF!</v>
      </c>
      <c r="Q3212" s="11"/>
      <c r="R3212" s="11"/>
      <c r="S3212" s="11"/>
      <c r="T3212" s="11"/>
      <c r="U3212" s="11"/>
      <c r="V3212" s="11"/>
      <c r="W3212" s="4"/>
      <c r="X3212" s="11"/>
      <c r="Y3212" s="11"/>
      <c r="Z3212" s="11"/>
      <c r="AA3212" s="11"/>
      <c r="AB3212" s="11"/>
      <c r="AC3212" s="11"/>
      <c r="AD3212" s="11"/>
      <c r="AE3212" s="11"/>
      <c r="AF3212" s="11"/>
      <c r="AG3212" s="11"/>
      <c r="AH3212" s="11"/>
      <c r="AI3212" s="11"/>
      <c r="AJ3212" s="11"/>
      <c r="AK3212" s="11"/>
      <c r="AL3212" s="11"/>
      <c r="AM3212" s="11"/>
      <c r="AN3212" s="11"/>
      <c r="AO3212" s="11"/>
      <c r="AP3212" s="11"/>
      <c r="AQ3212" s="11"/>
      <c r="AR3212" s="11"/>
      <c r="AS3212" s="11"/>
      <c r="AT3212" s="11"/>
      <c r="AU3212" s="11"/>
      <c r="AV3212" s="11"/>
    </row>
    <row r="3213" spans="1:48" ht="12" customHeight="1">
      <c r="A3213" s="762"/>
      <c r="B3213" s="762" t="s">
        <v>1248</v>
      </c>
      <c r="C3213" s="762" t="s">
        <v>505</v>
      </c>
      <c r="D3213" s="1599"/>
      <c r="E3213" s="2245" t="s">
        <v>1942</v>
      </c>
      <c r="F3213" s="763">
        <v>2234</v>
      </c>
      <c r="G3213" s="817" t="s">
        <v>1513</v>
      </c>
      <c r="H3213" s="764"/>
      <c r="I3213" s="764">
        <v>210</v>
      </c>
      <c r="J3213" s="765"/>
      <c r="K3213" s="766"/>
      <c r="L3213" s="1657"/>
      <c r="M3213" s="1576">
        <v>210</v>
      </c>
      <c r="N3213" s="2847"/>
      <c r="O3213" s="86"/>
      <c r="P3213" s="1817" t="e">
        <f>INDEX(#REF!,MATCH(F3213,#REF!,0),2)</f>
        <v>#REF!</v>
      </c>
      <c r="Q3213" s="11"/>
      <c r="R3213" s="11"/>
      <c r="S3213" s="11"/>
      <c r="T3213" s="11"/>
      <c r="U3213" s="11"/>
      <c r="V3213" s="11"/>
      <c r="W3213" s="4"/>
      <c r="X3213" s="11"/>
      <c r="Y3213" s="11"/>
      <c r="Z3213" s="11"/>
      <c r="AA3213" s="11"/>
      <c r="AB3213" s="11"/>
      <c r="AC3213" s="11"/>
      <c r="AD3213" s="11"/>
      <c r="AE3213" s="11"/>
      <c r="AF3213" s="11"/>
      <c r="AG3213" s="11"/>
      <c r="AH3213" s="11"/>
      <c r="AI3213" s="11"/>
      <c r="AJ3213" s="11"/>
      <c r="AK3213" s="11"/>
      <c r="AL3213" s="11"/>
      <c r="AM3213" s="11"/>
      <c r="AN3213" s="11"/>
      <c r="AO3213" s="11"/>
      <c r="AP3213" s="11"/>
      <c r="AQ3213" s="11"/>
      <c r="AR3213" s="11"/>
      <c r="AS3213" s="11"/>
      <c r="AT3213" s="11"/>
      <c r="AU3213" s="11"/>
      <c r="AV3213" s="11"/>
    </row>
    <row r="3214" spans="1:48" ht="12" customHeight="1">
      <c r="A3214" s="755"/>
      <c r="B3214" s="755" t="s">
        <v>1248</v>
      </c>
      <c r="C3214" s="755" t="s">
        <v>507</v>
      </c>
      <c r="D3214" s="1600">
        <v>1010</v>
      </c>
      <c r="E3214" s="2247" t="s">
        <v>1942</v>
      </c>
      <c r="F3214" s="756">
        <v>2235</v>
      </c>
      <c r="G3214" s="757" t="s">
        <v>2431</v>
      </c>
      <c r="H3214" s="759">
        <v>7540</v>
      </c>
      <c r="I3214" s="759"/>
      <c r="J3214" s="760"/>
      <c r="K3214" s="761"/>
      <c r="L3214" s="3750">
        <v>9240</v>
      </c>
      <c r="M3214" s="1578"/>
      <c r="N3214" s="3756"/>
      <c r="O3214" s="86"/>
      <c r="P3214" s="1817" t="e">
        <f>INDEX(#REF!,MATCH(F3214,#REF!,0),2)</f>
        <v>#REF!</v>
      </c>
      <c r="Q3214" s="11"/>
      <c r="R3214" s="11"/>
      <c r="S3214" s="11"/>
      <c r="T3214" s="11"/>
      <c r="U3214" s="11"/>
      <c r="V3214" s="11"/>
      <c r="W3214" s="4"/>
      <c r="X3214" s="11"/>
      <c r="Y3214" s="11"/>
      <c r="Z3214" s="11"/>
      <c r="AA3214" s="11"/>
      <c r="AB3214" s="11"/>
      <c r="AC3214" s="11"/>
      <c r="AD3214" s="11"/>
      <c r="AE3214" s="11"/>
      <c r="AF3214" s="11"/>
      <c r="AG3214" s="11"/>
      <c r="AH3214" s="11"/>
      <c r="AI3214" s="11"/>
      <c r="AJ3214" s="11"/>
      <c r="AK3214" s="11"/>
      <c r="AL3214" s="11"/>
      <c r="AM3214" s="11"/>
      <c r="AN3214" s="11"/>
      <c r="AO3214" s="11"/>
      <c r="AP3214" s="11"/>
      <c r="AQ3214" s="11"/>
      <c r="AR3214" s="11"/>
      <c r="AS3214" s="11"/>
      <c r="AT3214" s="11"/>
      <c r="AU3214" s="11"/>
      <c r="AV3214" s="11"/>
    </row>
    <row r="3215" spans="1:48" ht="28.15" customHeight="1">
      <c r="A3215" s="762"/>
      <c r="B3215" s="762" t="s">
        <v>1248</v>
      </c>
      <c r="C3215" s="762" t="s">
        <v>507</v>
      </c>
      <c r="D3215" s="1599"/>
      <c r="E3215" s="2245" t="s">
        <v>1942</v>
      </c>
      <c r="F3215" s="763">
        <v>2235</v>
      </c>
      <c r="G3215" s="772" t="s">
        <v>5140</v>
      </c>
      <c r="H3215" s="752"/>
      <c r="I3215" s="752">
        <v>7540</v>
      </c>
      <c r="J3215" s="753"/>
      <c r="K3215" s="754"/>
      <c r="L3215" s="1657"/>
      <c r="M3215" s="1576">
        <v>9240</v>
      </c>
      <c r="N3215" s="2846" t="s">
        <v>5670</v>
      </c>
      <c r="O3215" s="86"/>
      <c r="P3215" s="1817" t="e">
        <f>INDEX(#REF!,MATCH(F3215,#REF!,0),2)</f>
        <v>#REF!</v>
      </c>
      <c r="Q3215" s="43"/>
      <c r="R3215" s="43"/>
      <c r="S3215" s="43"/>
      <c r="T3215" s="43"/>
      <c r="U3215" s="43"/>
      <c r="V3215" s="43"/>
      <c r="W3215" s="43"/>
      <c r="X3215" s="43"/>
      <c r="Y3215" s="43"/>
      <c r="Z3215" s="43"/>
      <c r="AA3215" s="43"/>
      <c r="AB3215" s="43"/>
      <c r="AC3215" s="43"/>
      <c r="AD3215" s="43"/>
      <c r="AE3215" s="43"/>
      <c r="AF3215" s="43"/>
      <c r="AG3215" s="43"/>
      <c r="AH3215" s="43"/>
      <c r="AI3215" s="43"/>
      <c r="AJ3215" s="43"/>
      <c r="AK3215" s="43"/>
      <c r="AL3215" s="43"/>
      <c r="AM3215" s="43"/>
      <c r="AN3215" s="43"/>
      <c r="AO3215" s="43"/>
      <c r="AP3215" s="43"/>
      <c r="AQ3215" s="43"/>
      <c r="AR3215" s="43"/>
      <c r="AS3215" s="43"/>
      <c r="AT3215" s="43"/>
      <c r="AU3215" s="43"/>
      <c r="AV3215" s="43"/>
    </row>
    <row r="3216" spans="1:48" ht="13.15" customHeight="1">
      <c r="A3216" s="755"/>
      <c r="B3216" s="755" t="s">
        <v>1248</v>
      </c>
      <c r="C3216" s="755" t="s">
        <v>507</v>
      </c>
      <c r="D3216" s="1600">
        <v>1010</v>
      </c>
      <c r="E3216" s="2247" t="s">
        <v>1942</v>
      </c>
      <c r="F3216" s="756">
        <v>2239</v>
      </c>
      <c r="G3216" s="757" t="s">
        <v>237</v>
      </c>
      <c r="H3216" s="759">
        <v>10349</v>
      </c>
      <c r="I3216" s="759"/>
      <c r="J3216" s="760"/>
      <c r="K3216" s="761"/>
      <c r="L3216" s="3750">
        <v>5478.0000000000009</v>
      </c>
      <c r="M3216" s="1578"/>
      <c r="N3216" s="3756"/>
      <c r="O3216" s="86"/>
      <c r="P3216" s="1817" t="e">
        <f>INDEX(#REF!,MATCH(F3216,#REF!,0),2)</f>
        <v>#REF!</v>
      </c>
      <c r="Q3216" s="43"/>
      <c r="R3216" s="43"/>
      <c r="S3216" s="43"/>
      <c r="T3216" s="43"/>
      <c r="U3216" s="43"/>
      <c r="V3216" s="43"/>
      <c r="W3216" s="43"/>
      <c r="X3216" s="43"/>
      <c r="Y3216" s="43"/>
      <c r="Z3216" s="43"/>
      <c r="AA3216" s="43"/>
      <c r="AB3216" s="43"/>
      <c r="AC3216" s="43"/>
      <c r="AD3216" s="43"/>
      <c r="AE3216" s="43"/>
      <c r="AF3216" s="43"/>
      <c r="AG3216" s="43"/>
      <c r="AH3216" s="1774"/>
      <c r="AI3216" s="1030"/>
      <c r="AJ3216" s="1030"/>
      <c r="AK3216" s="1775"/>
      <c r="AL3216" s="11"/>
      <c r="AM3216" s="11"/>
      <c r="AN3216" s="11"/>
      <c r="AO3216" s="11"/>
      <c r="AP3216" s="11"/>
      <c r="AQ3216" s="11"/>
      <c r="AR3216" s="11"/>
      <c r="AS3216" s="11"/>
      <c r="AT3216" s="11"/>
      <c r="AU3216" s="11"/>
      <c r="AV3216" s="11"/>
    </row>
    <row r="3217" spans="1:48" ht="37.15" customHeight="1">
      <c r="A3217" s="762"/>
      <c r="B3217" s="762" t="s">
        <v>1248</v>
      </c>
      <c r="C3217" s="762" t="s">
        <v>507</v>
      </c>
      <c r="D3217" s="1599"/>
      <c r="E3217" s="2245" t="s">
        <v>1942</v>
      </c>
      <c r="F3217" s="763">
        <v>2239</v>
      </c>
      <c r="G3217" s="772" t="s">
        <v>1533</v>
      </c>
      <c r="H3217" s="764"/>
      <c r="I3217" s="764">
        <v>200</v>
      </c>
      <c r="J3217" s="765">
        <v>250</v>
      </c>
      <c r="K3217" s="766"/>
      <c r="L3217" s="1657"/>
      <c r="M3217" s="1576">
        <v>250</v>
      </c>
      <c r="N3217" s="241"/>
      <c r="O3217" s="86"/>
      <c r="P3217" s="1817" t="e">
        <f>INDEX(#REF!,MATCH(F3217,#REF!,0),2)</f>
        <v>#REF!</v>
      </c>
      <c r="Q3217" s="43"/>
      <c r="R3217" s="43"/>
      <c r="S3217" s="43"/>
      <c r="T3217" s="43"/>
      <c r="U3217" s="43"/>
      <c r="V3217" s="43"/>
      <c r="W3217" s="43"/>
      <c r="X3217" s="43"/>
      <c r="Y3217" s="43"/>
      <c r="Z3217" s="43"/>
      <c r="AA3217" s="43"/>
      <c r="AB3217" s="43"/>
      <c r="AC3217" s="43"/>
      <c r="AD3217" s="43"/>
      <c r="AE3217" s="43"/>
      <c r="AF3217" s="43"/>
      <c r="AG3217" s="43"/>
      <c r="AH3217" s="1774"/>
      <c r="AI3217" s="1030"/>
      <c r="AJ3217" s="1030"/>
      <c r="AK3217" s="1775"/>
      <c r="AL3217" s="11"/>
      <c r="AM3217" s="11"/>
      <c r="AN3217" s="11"/>
      <c r="AO3217" s="11"/>
      <c r="AP3217" s="11"/>
      <c r="AQ3217" s="11"/>
      <c r="AR3217" s="11"/>
      <c r="AS3217" s="11"/>
      <c r="AT3217" s="11"/>
      <c r="AU3217" s="11"/>
      <c r="AV3217" s="11"/>
    </row>
    <row r="3218" spans="1:48" ht="13.9" customHeight="1">
      <c r="A3218" s="762"/>
      <c r="B3218" s="762" t="s">
        <v>1248</v>
      </c>
      <c r="C3218" s="762" t="s">
        <v>507</v>
      </c>
      <c r="D3218" s="1599"/>
      <c r="E3218" s="2245" t="s">
        <v>1942</v>
      </c>
      <c r="F3218" s="763">
        <v>2239</v>
      </c>
      <c r="G3218" s="772" t="s">
        <v>5141</v>
      </c>
      <c r="H3218" s="764"/>
      <c r="I3218" s="764">
        <v>5224</v>
      </c>
      <c r="J3218" s="765"/>
      <c r="K3218" s="766"/>
      <c r="L3218" s="1657"/>
      <c r="M3218" s="1646">
        <v>5228.0000000000009</v>
      </c>
      <c r="N3218" s="2847"/>
      <c r="O3218" s="86"/>
      <c r="P3218" s="1817" t="e">
        <f>INDEX(#REF!,MATCH(F3218,#REF!,0),2)</f>
        <v>#REF!</v>
      </c>
      <c r="Q3218" s="43"/>
      <c r="R3218" s="43"/>
      <c r="S3218" s="43"/>
      <c r="T3218" s="43"/>
      <c r="U3218" s="43"/>
      <c r="V3218" s="43"/>
      <c r="W3218" s="43"/>
      <c r="X3218" s="43"/>
      <c r="Y3218" s="43"/>
      <c r="Z3218" s="43"/>
      <c r="AA3218" s="43"/>
      <c r="AB3218" s="43"/>
      <c r="AC3218" s="43"/>
      <c r="AD3218" s="43"/>
      <c r="AE3218" s="43"/>
      <c r="AF3218" s="43"/>
      <c r="AG3218" s="43"/>
      <c r="AH3218" s="43"/>
      <c r="AI3218" s="43"/>
      <c r="AJ3218" s="43"/>
      <c r="AK3218" s="43"/>
      <c r="AL3218" s="43"/>
      <c r="AM3218" s="43"/>
      <c r="AN3218" s="43"/>
      <c r="AO3218" s="43"/>
      <c r="AP3218" s="43"/>
      <c r="AQ3218" s="43"/>
      <c r="AR3218" s="43"/>
      <c r="AS3218" s="43"/>
      <c r="AT3218" s="43"/>
      <c r="AU3218" s="43"/>
      <c r="AV3218" s="43"/>
    </row>
    <row r="3219" spans="1:48" ht="14.45" customHeight="1">
      <c r="A3219" s="762"/>
      <c r="B3219" s="762" t="s">
        <v>1248</v>
      </c>
      <c r="C3219" s="762" t="s">
        <v>507</v>
      </c>
      <c r="D3219" s="1599"/>
      <c r="E3219" s="2245" t="s">
        <v>1942</v>
      </c>
      <c r="F3219" s="763">
        <v>2239</v>
      </c>
      <c r="G3219" s="772" t="s">
        <v>1220</v>
      </c>
      <c r="H3219" s="764"/>
      <c r="I3219" s="764">
        <v>800</v>
      </c>
      <c r="J3219" s="765"/>
      <c r="K3219" s="766"/>
      <c r="L3219" s="1657"/>
      <c r="M3219" s="1575"/>
      <c r="N3219" s="2847"/>
      <c r="O3219" s="86"/>
      <c r="P3219" s="1817" t="e">
        <f>INDEX(#REF!,MATCH(F3219,#REF!,0),2)</f>
        <v>#REF!</v>
      </c>
      <c r="Q3219" s="43"/>
      <c r="R3219" s="43"/>
      <c r="S3219" s="43"/>
      <c r="T3219" s="43"/>
      <c r="U3219" s="43"/>
      <c r="V3219" s="43"/>
      <c r="W3219" s="43"/>
      <c r="X3219" s="43"/>
      <c r="Y3219" s="43"/>
      <c r="Z3219" s="43"/>
      <c r="AA3219" s="43"/>
      <c r="AB3219" s="43"/>
      <c r="AC3219" s="43"/>
      <c r="AD3219" s="43"/>
      <c r="AE3219" s="43"/>
      <c r="AF3219" s="43"/>
      <c r="AG3219" s="43"/>
      <c r="AH3219" s="4"/>
      <c r="AI3219" s="4"/>
      <c r="AJ3219" s="4"/>
      <c r="AK3219" s="4"/>
      <c r="AL3219" s="4"/>
      <c r="AM3219" s="4"/>
      <c r="AN3219" s="4"/>
      <c r="AO3219" s="4"/>
      <c r="AP3219" s="4"/>
      <c r="AQ3219" s="4"/>
      <c r="AR3219" s="4"/>
      <c r="AS3219" s="4"/>
      <c r="AT3219" s="4"/>
      <c r="AU3219" s="4"/>
      <c r="AV3219" s="4"/>
    </row>
    <row r="3220" spans="1:48" ht="45" customHeight="1">
      <c r="A3220" s="1882"/>
      <c r="B3220" s="762" t="s">
        <v>1248</v>
      </c>
      <c r="C3220" s="762" t="s">
        <v>507</v>
      </c>
      <c r="D3220" s="1599"/>
      <c r="E3220" s="2245" t="s">
        <v>1942</v>
      </c>
      <c r="F3220" s="763">
        <v>2239</v>
      </c>
      <c r="G3220" s="1884" t="s">
        <v>3052</v>
      </c>
      <c r="H3220" s="1574"/>
      <c r="I3220" s="1574">
        <v>5000</v>
      </c>
      <c r="J3220" s="1572"/>
      <c r="K3220" s="1573"/>
      <c r="L3220" s="1648"/>
      <c r="M3220" s="1968"/>
      <c r="N3220" s="2847"/>
      <c r="O3220" s="86"/>
      <c r="P3220" s="1817" t="e">
        <f>INDEX(#REF!,MATCH(F3220,#REF!,0),2)</f>
        <v>#REF!</v>
      </c>
      <c r="Q3220" s="43"/>
      <c r="R3220" s="43"/>
      <c r="S3220" s="43"/>
      <c r="T3220" s="43"/>
      <c r="U3220" s="43"/>
      <c r="V3220" s="43"/>
      <c r="W3220" s="43"/>
      <c r="X3220" s="43"/>
      <c r="Y3220" s="43"/>
      <c r="Z3220" s="43"/>
      <c r="AA3220" s="43"/>
      <c r="AB3220" s="43"/>
      <c r="AC3220" s="43"/>
      <c r="AD3220" s="43"/>
      <c r="AE3220" s="43"/>
      <c r="AF3220" s="43"/>
      <c r="AG3220" s="43"/>
      <c r="AH3220" s="43"/>
      <c r="AI3220" s="43"/>
      <c r="AJ3220" s="43"/>
      <c r="AK3220" s="43"/>
      <c r="AL3220" s="43"/>
      <c r="AM3220" s="43"/>
      <c r="AN3220" s="43"/>
      <c r="AO3220" s="43"/>
      <c r="AP3220" s="43"/>
      <c r="AQ3220" s="43"/>
      <c r="AR3220" s="43"/>
      <c r="AS3220" s="43"/>
      <c r="AT3220" s="43"/>
      <c r="AU3220" s="43"/>
      <c r="AV3220" s="43"/>
    </row>
    <row r="3221" spans="1:48" ht="21.6" customHeight="1">
      <c r="A3221" s="1268"/>
      <c r="B3221" s="762" t="s">
        <v>1248</v>
      </c>
      <c r="C3221" s="762" t="s">
        <v>507</v>
      </c>
      <c r="D3221" s="1599"/>
      <c r="E3221" s="2245" t="s">
        <v>1942</v>
      </c>
      <c r="F3221" s="505">
        <v>2239</v>
      </c>
      <c r="G3221" s="1273" t="s">
        <v>3225</v>
      </c>
      <c r="H3221" s="1155"/>
      <c r="I3221" s="1155">
        <v>-875</v>
      </c>
      <c r="J3221" s="1155"/>
      <c r="K3221" s="1157"/>
      <c r="L3221" s="1648"/>
      <c r="M3221" s="1575"/>
      <c r="N3221" s="2847"/>
      <c r="O3221" s="86"/>
      <c r="P3221" s="1817" t="e">
        <f>INDEX(#REF!,MATCH(F3221,#REF!,0),2)</f>
        <v>#REF!</v>
      </c>
      <c r="Q3221" s="43"/>
      <c r="R3221" s="43"/>
      <c r="S3221" s="43"/>
      <c r="T3221" s="43"/>
      <c r="U3221" s="43"/>
      <c r="V3221" s="43"/>
      <c r="W3221" s="43"/>
      <c r="X3221" s="43"/>
      <c r="Y3221" s="43"/>
      <c r="Z3221" s="43"/>
      <c r="AA3221" s="43"/>
      <c r="AB3221" s="43"/>
      <c r="AC3221" s="43"/>
      <c r="AD3221" s="43"/>
      <c r="AE3221" s="43"/>
      <c r="AF3221" s="43"/>
      <c r="AG3221" s="43"/>
      <c r="AH3221" s="43"/>
      <c r="AI3221" s="43"/>
      <c r="AJ3221" s="43"/>
      <c r="AK3221" s="43"/>
      <c r="AL3221" s="43"/>
      <c r="AM3221" s="43"/>
      <c r="AN3221" s="43"/>
      <c r="AO3221" s="43"/>
      <c r="AP3221" s="43"/>
      <c r="AQ3221" s="43"/>
      <c r="AR3221" s="43"/>
      <c r="AS3221" s="43"/>
      <c r="AT3221" s="43"/>
      <c r="AU3221" s="43"/>
      <c r="AV3221" s="43"/>
    </row>
    <row r="3222" spans="1:48" ht="20.45" customHeight="1">
      <c r="A3222" s="755" t="s">
        <v>265</v>
      </c>
      <c r="B3222" s="755" t="s">
        <v>1249</v>
      </c>
      <c r="C3222" s="755" t="s">
        <v>557</v>
      </c>
      <c r="D3222" s="1600">
        <v>1010</v>
      </c>
      <c r="E3222" s="2247" t="s">
        <v>1942</v>
      </c>
      <c r="F3222" s="756">
        <v>2241</v>
      </c>
      <c r="G3222" s="757" t="s">
        <v>467</v>
      </c>
      <c r="H3222" s="759">
        <v>0</v>
      </c>
      <c r="I3222" s="759"/>
      <c r="J3222" s="760"/>
      <c r="K3222" s="761"/>
      <c r="L3222" s="3750">
        <v>0</v>
      </c>
      <c r="M3222" s="1580"/>
      <c r="N3222" s="2847"/>
      <c r="O3222" s="86"/>
      <c r="P3222" s="1817" t="e">
        <f>INDEX(#REF!,MATCH(F3222,#REF!,0),2)</f>
        <v>#REF!</v>
      </c>
      <c r="Q3222" s="43"/>
      <c r="R3222" s="43"/>
      <c r="S3222" s="43"/>
      <c r="T3222" s="43"/>
      <c r="U3222" s="43"/>
      <c r="V3222" s="43"/>
      <c r="W3222" s="43"/>
      <c r="X3222" s="43"/>
      <c r="Y3222" s="43"/>
      <c r="Z3222" s="43"/>
      <c r="AA3222" s="43"/>
      <c r="AB3222" s="43"/>
      <c r="AC3222" s="43"/>
      <c r="AD3222" s="43"/>
      <c r="AE3222" s="43"/>
      <c r="AF3222" s="43"/>
      <c r="AG3222" s="43"/>
      <c r="AH3222" s="43"/>
      <c r="AI3222" s="43"/>
      <c r="AJ3222" s="43"/>
      <c r="AK3222" s="43"/>
      <c r="AL3222" s="43"/>
      <c r="AM3222" s="43"/>
      <c r="AN3222" s="43"/>
      <c r="AO3222" s="43"/>
      <c r="AP3222" s="43"/>
      <c r="AQ3222" s="43"/>
      <c r="AR3222" s="43"/>
      <c r="AS3222" s="43"/>
      <c r="AT3222" s="43"/>
      <c r="AU3222" s="43"/>
      <c r="AV3222" s="43"/>
    </row>
    <row r="3223" spans="1:48" ht="20.45" customHeight="1">
      <c r="A3223" s="762" t="s">
        <v>265</v>
      </c>
      <c r="B3223" s="762" t="s">
        <v>1249</v>
      </c>
      <c r="C3223" s="762" t="s">
        <v>557</v>
      </c>
      <c r="D3223" s="1599"/>
      <c r="E3223" s="2245" t="s">
        <v>1942</v>
      </c>
      <c r="F3223" s="763">
        <v>2241</v>
      </c>
      <c r="G3223" s="772" t="s">
        <v>5142</v>
      </c>
      <c r="H3223" s="752"/>
      <c r="I3223" s="752"/>
      <c r="J3223" s="753"/>
      <c r="K3223" s="754"/>
      <c r="L3223" s="1650"/>
      <c r="M3223" s="1576">
        <v>0</v>
      </c>
      <c r="N3223" s="2396" t="s">
        <v>6047</v>
      </c>
      <c r="O3223" s="86"/>
      <c r="P3223" s="1817" t="e">
        <f>INDEX(#REF!,MATCH(F3223,#REF!,0),2)</f>
        <v>#REF!</v>
      </c>
      <c r="Q3223" s="43"/>
      <c r="R3223" s="43"/>
      <c r="S3223" s="43"/>
      <c r="T3223" s="43"/>
      <c r="U3223" s="43"/>
      <c r="V3223" s="43"/>
      <c r="W3223" s="43"/>
      <c r="X3223" s="43"/>
      <c r="Y3223" s="43"/>
      <c r="Z3223" s="43"/>
      <c r="AA3223" s="43"/>
      <c r="AB3223" s="43"/>
      <c r="AC3223" s="43"/>
      <c r="AD3223" s="43"/>
      <c r="AE3223" s="43"/>
      <c r="AF3223" s="43"/>
      <c r="AG3223" s="43"/>
      <c r="AH3223" s="43"/>
      <c r="AI3223" s="43"/>
      <c r="AJ3223" s="43"/>
      <c r="AK3223" s="43"/>
      <c r="AL3223" s="43"/>
      <c r="AM3223" s="43"/>
      <c r="AN3223" s="43"/>
      <c r="AO3223" s="43"/>
      <c r="AP3223" s="43"/>
      <c r="AQ3223" s="43"/>
      <c r="AR3223" s="43"/>
      <c r="AS3223" s="43"/>
      <c r="AT3223" s="43"/>
      <c r="AU3223" s="43"/>
      <c r="AV3223" s="43"/>
    </row>
    <row r="3224" spans="1:48" ht="13.15" customHeight="1">
      <c r="A3224" s="755" t="s">
        <v>265</v>
      </c>
      <c r="B3224" s="755" t="s">
        <v>1248</v>
      </c>
      <c r="C3224" s="755" t="s">
        <v>505</v>
      </c>
      <c r="D3224" s="1600">
        <v>1010</v>
      </c>
      <c r="E3224" s="2247" t="s">
        <v>1942</v>
      </c>
      <c r="F3224" s="756">
        <v>2243</v>
      </c>
      <c r="G3224" s="757" t="s">
        <v>279</v>
      </c>
      <c r="H3224" s="759">
        <v>2370</v>
      </c>
      <c r="I3224" s="759"/>
      <c r="J3224" s="760"/>
      <c r="K3224" s="761"/>
      <c r="L3224" s="3750">
        <v>2301.64</v>
      </c>
      <c r="M3224" s="1580"/>
      <c r="N3224" s="2847"/>
      <c r="O3224" s="86"/>
      <c r="P3224" s="1817" t="e">
        <f>INDEX(#REF!,MATCH(F3224,#REF!,0),2)</f>
        <v>#REF!</v>
      </c>
      <c r="Q3224" s="43"/>
      <c r="R3224" s="43"/>
      <c r="S3224" s="43"/>
      <c r="T3224" s="43"/>
      <c r="U3224" s="43"/>
      <c r="V3224" s="43"/>
      <c r="W3224" s="43"/>
      <c r="X3224" s="43"/>
      <c r="Y3224" s="43"/>
      <c r="Z3224" s="43"/>
      <c r="AA3224" s="43"/>
      <c r="AB3224" s="43"/>
      <c r="AC3224" s="43"/>
      <c r="AD3224" s="43"/>
      <c r="AE3224" s="43"/>
      <c r="AF3224" s="43"/>
      <c r="AG3224" s="43"/>
      <c r="AH3224" s="43"/>
      <c r="AI3224" s="43"/>
      <c r="AJ3224" s="43"/>
      <c r="AK3224" s="43"/>
      <c r="AL3224" s="43"/>
      <c r="AM3224" s="43"/>
      <c r="AN3224" s="43"/>
      <c r="AO3224" s="43"/>
      <c r="AP3224" s="43"/>
      <c r="AQ3224" s="43"/>
      <c r="AR3224" s="43"/>
      <c r="AS3224" s="43"/>
      <c r="AT3224" s="43"/>
      <c r="AU3224" s="43"/>
      <c r="AV3224" s="43"/>
    </row>
    <row r="3225" spans="1:48" ht="21.6" customHeight="1">
      <c r="A3225" s="762" t="s">
        <v>265</v>
      </c>
      <c r="B3225" s="762" t="s">
        <v>1248</v>
      </c>
      <c r="C3225" s="762" t="s">
        <v>505</v>
      </c>
      <c r="D3225" s="1599"/>
      <c r="E3225" s="2245" t="s">
        <v>1942</v>
      </c>
      <c r="F3225" s="763">
        <v>2243</v>
      </c>
      <c r="G3225" s="772" t="s">
        <v>1077</v>
      </c>
      <c r="H3225" s="752"/>
      <c r="I3225" s="752">
        <v>350</v>
      </c>
      <c r="J3225" s="753"/>
      <c r="K3225" s="754"/>
      <c r="L3225" s="1650"/>
      <c r="M3225" s="1576">
        <v>350</v>
      </c>
      <c r="N3225" s="2847"/>
      <c r="O3225" s="86"/>
      <c r="P3225" s="1817" t="e">
        <f>INDEX(#REF!,MATCH(F3225,#REF!,0),2)</f>
        <v>#REF!</v>
      </c>
      <c r="Q3225" s="43"/>
      <c r="R3225" s="43"/>
      <c r="S3225" s="43"/>
      <c r="T3225" s="43"/>
      <c r="U3225" s="43"/>
      <c r="V3225" s="43"/>
      <c r="W3225" s="43"/>
      <c r="X3225" s="43"/>
      <c r="Y3225" s="43"/>
      <c r="Z3225" s="43"/>
      <c r="AA3225" s="43"/>
      <c r="AB3225" s="43"/>
      <c r="AC3225" s="43"/>
      <c r="AD3225" s="43"/>
      <c r="AE3225" s="43"/>
      <c r="AF3225" s="43"/>
      <c r="AG3225" s="43"/>
      <c r="AH3225" s="43"/>
      <c r="AI3225" s="43"/>
      <c r="AJ3225" s="43"/>
      <c r="AK3225" s="43"/>
      <c r="AL3225" s="43"/>
      <c r="AM3225" s="43"/>
      <c r="AN3225" s="43"/>
      <c r="AO3225" s="43"/>
      <c r="AP3225" s="43"/>
      <c r="AQ3225" s="43"/>
      <c r="AR3225" s="43"/>
      <c r="AS3225" s="43"/>
      <c r="AT3225" s="43"/>
      <c r="AU3225" s="43"/>
      <c r="AV3225" s="43"/>
    </row>
    <row r="3226" spans="1:48" ht="30.6" customHeight="1">
      <c r="A3226" s="762"/>
      <c r="B3226" s="762" t="s">
        <v>1248</v>
      </c>
      <c r="C3226" s="762" t="s">
        <v>513</v>
      </c>
      <c r="D3226" s="1599"/>
      <c r="E3226" s="2245" t="s">
        <v>1942</v>
      </c>
      <c r="F3226" s="763">
        <v>2243</v>
      </c>
      <c r="G3226" s="1567" t="s">
        <v>5144</v>
      </c>
      <c r="H3226" s="752"/>
      <c r="I3226" s="752">
        <v>1110</v>
      </c>
      <c r="J3226" s="753"/>
      <c r="K3226" s="754"/>
      <c r="L3226" s="1650"/>
      <c r="M3226" s="1576">
        <v>991.64</v>
      </c>
      <c r="N3226" s="2847"/>
      <c r="O3226" s="86"/>
      <c r="P3226" s="1817" t="e">
        <f>INDEX(#REF!,MATCH(F3226,#REF!,0),2)</f>
        <v>#REF!</v>
      </c>
      <c r="Q3226" s="43"/>
      <c r="R3226" s="43"/>
      <c r="S3226" s="43"/>
      <c r="T3226" s="43"/>
      <c r="U3226" s="43"/>
      <c r="V3226" s="43"/>
      <c r="W3226" s="43"/>
      <c r="X3226" s="43"/>
      <c r="Y3226" s="43"/>
      <c r="Z3226" s="43"/>
      <c r="AA3226" s="43"/>
      <c r="AB3226" s="43"/>
      <c r="AC3226" s="43"/>
      <c r="AD3226" s="43"/>
      <c r="AE3226" s="43"/>
      <c r="AF3226" s="43"/>
      <c r="AG3226" s="43"/>
      <c r="AH3226" s="43"/>
      <c r="AI3226" s="43"/>
      <c r="AJ3226" s="43"/>
      <c r="AK3226" s="43"/>
      <c r="AL3226" s="43"/>
      <c r="AM3226" s="43"/>
      <c r="AN3226" s="43"/>
      <c r="AO3226" s="43"/>
      <c r="AP3226" s="43"/>
      <c r="AQ3226" s="43"/>
      <c r="AR3226" s="43"/>
      <c r="AS3226" s="43"/>
      <c r="AT3226" s="43"/>
      <c r="AU3226" s="43"/>
      <c r="AV3226" s="43"/>
    </row>
    <row r="3227" spans="1:48" ht="13.15" customHeight="1">
      <c r="A3227" s="762"/>
      <c r="B3227" s="762" t="s">
        <v>1248</v>
      </c>
      <c r="C3227" s="762" t="s">
        <v>513</v>
      </c>
      <c r="D3227" s="1599"/>
      <c r="E3227" s="2245" t="s">
        <v>1942</v>
      </c>
      <c r="F3227" s="763">
        <v>2243</v>
      </c>
      <c r="G3227" s="772" t="s">
        <v>5143</v>
      </c>
      <c r="H3227" s="764"/>
      <c r="I3227" s="764">
        <v>350</v>
      </c>
      <c r="J3227" s="765"/>
      <c r="K3227" s="766"/>
      <c r="L3227" s="1650"/>
      <c r="M3227" s="1576">
        <v>400</v>
      </c>
      <c r="N3227" s="2847"/>
      <c r="O3227" s="86"/>
      <c r="P3227" s="1817" t="e">
        <f>INDEX(#REF!,MATCH(F3227,#REF!,0),2)</f>
        <v>#REF!</v>
      </c>
      <c r="Q3227" s="43"/>
      <c r="R3227" s="43"/>
      <c r="S3227" s="43"/>
      <c r="T3227" s="43"/>
      <c r="U3227" s="43"/>
      <c r="V3227" s="43"/>
      <c r="W3227" s="43"/>
      <c r="X3227" s="43"/>
      <c r="Y3227" s="43"/>
      <c r="Z3227" s="43"/>
      <c r="AA3227" s="43"/>
      <c r="AB3227" s="43"/>
      <c r="AC3227" s="43"/>
      <c r="AD3227" s="43"/>
      <c r="AE3227" s="43"/>
      <c r="AF3227" s="43"/>
      <c r="AG3227" s="43"/>
      <c r="AH3227" s="43"/>
      <c r="AI3227" s="43"/>
      <c r="AJ3227" s="43"/>
      <c r="AK3227" s="43"/>
      <c r="AL3227" s="43"/>
      <c r="AM3227" s="43"/>
      <c r="AN3227" s="43"/>
      <c r="AO3227" s="43"/>
      <c r="AP3227" s="43"/>
      <c r="AQ3227" s="43"/>
      <c r="AR3227" s="43"/>
      <c r="AS3227" s="43"/>
      <c r="AT3227" s="43"/>
      <c r="AU3227" s="43"/>
      <c r="AV3227" s="43"/>
    </row>
    <row r="3228" spans="1:48" ht="21.6" customHeight="1">
      <c r="A3228" s="762"/>
      <c r="B3228" s="762" t="s">
        <v>1248</v>
      </c>
      <c r="C3228" s="762" t="s">
        <v>513</v>
      </c>
      <c r="D3228" s="1599"/>
      <c r="E3228" s="2245" t="s">
        <v>1942</v>
      </c>
      <c r="F3228" s="763">
        <v>2243</v>
      </c>
      <c r="G3228" s="772" t="s">
        <v>1534</v>
      </c>
      <c r="H3228" s="764"/>
      <c r="I3228" s="764">
        <v>560</v>
      </c>
      <c r="J3228" s="765"/>
      <c r="K3228" s="766"/>
      <c r="L3228" s="1650"/>
      <c r="M3228" s="1576">
        <v>560</v>
      </c>
      <c r="N3228" s="2396" t="s">
        <v>5671</v>
      </c>
      <c r="O3228" s="86"/>
      <c r="P3228" s="1817" t="e">
        <f>INDEX(#REF!,MATCH(F3228,#REF!,0),2)</f>
        <v>#REF!</v>
      </c>
      <c r="Q3228" s="43"/>
      <c r="R3228" s="43"/>
      <c r="S3228" s="43"/>
      <c r="T3228" s="43"/>
      <c r="U3228" s="43"/>
      <c r="V3228" s="43"/>
      <c r="W3228" s="43"/>
      <c r="X3228" s="43"/>
      <c r="Y3228" s="43"/>
      <c r="Z3228" s="43"/>
      <c r="AA3228" s="43"/>
      <c r="AB3228" s="43"/>
      <c r="AC3228" s="43"/>
      <c r="AD3228" s="43"/>
      <c r="AE3228" s="43"/>
      <c r="AF3228" s="43"/>
      <c r="AG3228" s="43"/>
      <c r="AH3228" s="43"/>
      <c r="AI3228" s="43"/>
      <c r="AJ3228" s="43"/>
      <c r="AK3228" s="43"/>
      <c r="AL3228" s="43"/>
      <c r="AM3228" s="43"/>
      <c r="AN3228" s="43"/>
      <c r="AO3228" s="43"/>
      <c r="AP3228" s="43"/>
      <c r="AQ3228" s="43"/>
      <c r="AR3228" s="43"/>
      <c r="AS3228" s="43"/>
      <c r="AT3228" s="43"/>
      <c r="AU3228" s="43"/>
      <c r="AV3228" s="43"/>
    </row>
    <row r="3229" spans="1:48" ht="13.15" customHeight="1">
      <c r="A3229" s="1370"/>
      <c r="B3229" s="762" t="s">
        <v>1248</v>
      </c>
      <c r="C3229" s="762" t="s">
        <v>513</v>
      </c>
      <c r="D3229" s="1599"/>
      <c r="E3229" s="2245" t="s">
        <v>1942</v>
      </c>
      <c r="F3229" s="763">
        <v>2243</v>
      </c>
      <c r="G3229" s="1374"/>
      <c r="H3229" s="1375"/>
      <c r="I3229" s="1375"/>
      <c r="J3229" s="1379"/>
      <c r="K3229" s="1380"/>
      <c r="L3229" s="1657"/>
      <c r="M3229" s="1575"/>
      <c r="N3229" s="2847"/>
      <c r="O3229" s="86"/>
      <c r="P3229" s="1817" t="e">
        <f>INDEX(#REF!,MATCH(F3229,#REF!,0),2)</f>
        <v>#REF!</v>
      </c>
      <c r="Q3229" s="43"/>
      <c r="R3229" s="43"/>
      <c r="S3229" s="43"/>
      <c r="T3229" s="43"/>
      <c r="U3229" s="43"/>
      <c r="V3229" s="43"/>
      <c r="W3229" s="43"/>
      <c r="X3229" s="43"/>
      <c r="Y3229" s="43"/>
      <c r="Z3229" s="43"/>
      <c r="AA3229" s="43"/>
      <c r="AB3229" s="43"/>
      <c r="AC3229" s="43"/>
      <c r="AD3229" s="43"/>
      <c r="AE3229" s="43"/>
      <c r="AF3229" s="43"/>
      <c r="AG3229" s="43"/>
      <c r="AH3229" s="43"/>
      <c r="AI3229" s="43"/>
      <c r="AJ3229" s="43"/>
      <c r="AK3229" s="43"/>
      <c r="AL3229" s="43"/>
      <c r="AM3229" s="43"/>
      <c r="AN3229" s="43"/>
      <c r="AO3229" s="43"/>
      <c r="AP3229" s="43"/>
      <c r="AQ3229" s="43"/>
      <c r="AR3229" s="43"/>
      <c r="AS3229" s="43"/>
      <c r="AT3229" s="43"/>
      <c r="AU3229" s="43"/>
      <c r="AV3229" s="43"/>
    </row>
    <row r="3230" spans="1:48" ht="14.25" customHeight="1">
      <c r="A3230" s="755" t="s">
        <v>265</v>
      </c>
      <c r="B3230" s="755" t="s">
        <v>1248</v>
      </c>
      <c r="C3230" s="755" t="s">
        <v>513</v>
      </c>
      <c r="D3230" s="1600">
        <v>1010</v>
      </c>
      <c r="E3230" s="2247" t="s">
        <v>1942</v>
      </c>
      <c r="F3230" s="756">
        <v>2244</v>
      </c>
      <c r="G3230" s="757" t="s">
        <v>280</v>
      </c>
      <c r="H3230" s="759">
        <v>2835</v>
      </c>
      <c r="I3230" s="759"/>
      <c r="J3230" s="760"/>
      <c r="K3230" s="761"/>
      <c r="L3230" s="3750">
        <v>780.8</v>
      </c>
      <c r="M3230" s="1580"/>
      <c r="N3230" s="2847"/>
      <c r="O3230" s="86"/>
      <c r="P3230" s="1817" t="e">
        <f>INDEX(#REF!,MATCH(F3230,#REF!,0),2)</f>
        <v>#REF!</v>
      </c>
      <c r="Q3230" s="43"/>
      <c r="R3230" s="43"/>
      <c r="S3230" s="43"/>
      <c r="T3230" s="43"/>
      <c r="U3230" s="43"/>
      <c r="V3230" s="43"/>
      <c r="W3230" s="43"/>
      <c r="X3230" s="43"/>
      <c r="Y3230" s="43"/>
      <c r="Z3230" s="43"/>
      <c r="AA3230" s="43"/>
      <c r="AB3230" s="43"/>
      <c r="AC3230" s="43"/>
      <c r="AD3230" s="43"/>
      <c r="AE3230" s="43"/>
      <c r="AF3230" s="43"/>
      <c r="AG3230" s="43"/>
      <c r="AH3230" s="43"/>
      <c r="AI3230" s="43"/>
      <c r="AJ3230" s="43"/>
      <c r="AK3230" s="43"/>
      <c r="AL3230" s="43"/>
      <c r="AM3230" s="43"/>
      <c r="AN3230" s="43"/>
      <c r="AO3230" s="43"/>
      <c r="AP3230" s="43"/>
      <c r="AQ3230" s="43"/>
      <c r="AR3230" s="43"/>
      <c r="AS3230" s="43"/>
      <c r="AT3230" s="43"/>
      <c r="AU3230" s="43"/>
      <c r="AV3230" s="43"/>
    </row>
    <row r="3231" spans="1:48" ht="20.45" customHeight="1">
      <c r="A3231" s="762" t="s">
        <v>265</v>
      </c>
      <c r="B3231" s="762" t="s">
        <v>1248</v>
      </c>
      <c r="C3231" s="762" t="s">
        <v>513</v>
      </c>
      <c r="D3231" s="1599"/>
      <c r="E3231" s="2245" t="s">
        <v>1942</v>
      </c>
      <c r="F3231" s="763">
        <v>2244</v>
      </c>
      <c r="G3231" s="1567" t="s">
        <v>2394</v>
      </c>
      <c r="H3231" s="752"/>
      <c r="I3231" s="752">
        <v>2205</v>
      </c>
      <c r="J3231" s="753"/>
      <c r="K3231" s="754"/>
      <c r="L3231" s="1650"/>
      <c r="M3231" s="1576"/>
      <c r="N3231" s="2847" t="s">
        <v>5145</v>
      </c>
      <c r="O3231" s="86"/>
      <c r="P3231" s="1817" t="e">
        <f>INDEX(#REF!,MATCH(F3231,#REF!,0),2)</f>
        <v>#REF!</v>
      </c>
      <c r="Q3231" s="43"/>
      <c r="R3231" s="43"/>
      <c r="S3231" s="43"/>
      <c r="T3231" s="43"/>
      <c r="U3231" s="43"/>
      <c r="V3231" s="43"/>
      <c r="W3231" s="43"/>
      <c r="X3231" s="43"/>
      <c r="Y3231" s="43"/>
      <c r="Z3231" s="43"/>
      <c r="AA3231" s="43"/>
      <c r="AB3231" s="43"/>
      <c r="AC3231" s="43"/>
      <c r="AD3231" s="43"/>
      <c r="AE3231" s="43"/>
      <c r="AF3231" s="43"/>
      <c r="AG3231" s="43"/>
      <c r="AH3231" s="43"/>
      <c r="AI3231" s="43"/>
      <c r="AJ3231" s="43"/>
      <c r="AK3231" s="43"/>
      <c r="AL3231" s="43"/>
      <c r="AM3231" s="43"/>
      <c r="AN3231" s="43"/>
      <c r="AO3231" s="43"/>
      <c r="AP3231" s="43"/>
      <c r="AQ3231" s="43"/>
      <c r="AR3231" s="43"/>
      <c r="AS3231" s="43"/>
      <c r="AT3231" s="43"/>
      <c r="AU3231" s="43"/>
      <c r="AV3231" s="43"/>
    </row>
    <row r="3232" spans="1:48" ht="36" customHeight="1">
      <c r="A3232" s="762"/>
      <c r="B3232" s="762" t="s">
        <v>1248</v>
      </c>
      <c r="C3232" s="762" t="s">
        <v>513</v>
      </c>
      <c r="D3232" s="1599"/>
      <c r="E3232" s="2245" t="s">
        <v>1942</v>
      </c>
      <c r="F3232" s="763">
        <v>2244</v>
      </c>
      <c r="G3232" s="1567" t="s">
        <v>5147</v>
      </c>
      <c r="H3232" s="752"/>
      <c r="I3232" s="752">
        <v>630</v>
      </c>
      <c r="J3232" s="753"/>
      <c r="K3232" s="754"/>
      <c r="L3232" s="1650"/>
      <c r="M3232" s="1576">
        <v>780.8</v>
      </c>
      <c r="N3232" s="2847"/>
      <c r="O3232" s="86"/>
      <c r="P3232" s="1817" t="e">
        <f>INDEX(#REF!,MATCH(F3232,#REF!,0),2)</f>
        <v>#REF!</v>
      </c>
      <c r="Q3232" s="11"/>
      <c r="R3232" s="11"/>
      <c r="S3232" s="11"/>
      <c r="T3232" s="11"/>
      <c r="U3232" s="11"/>
      <c r="V3232" s="11"/>
      <c r="W3232" s="4"/>
      <c r="X3232" s="11"/>
      <c r="Y3232" s="11"/>
      <c r="Z3232" s="11"/>
      <c r="AA3232" s="11"/>
      <c r="AB3232" s="11"/>
      <c r="AC3232" s="11"/>
      <c r="AD3232" s="11"/>
      <c r="AE3232" s="11"/>
      <c r="AF3232" s="11"/>
      <c r="AG3232" s="11"/>
      <c r="AH3232" s="11"/>
      <c r="AI3232" s="11"/>
      <c r="AJ3232" s="11"/>
      <c r="AK3232" s="11"/>
      <c r="AL3232" s="11"/>
      <c r="AM3232" s="11"/>
      <c r="AN3232" s="11"/>
      <c r="AO3232" s="11"/>
      <c r="AP3232" s="11"/>
      <c r="AQ3232" s="11"/>
      <c r="AR3232" s="11"/>
      <c r="AS3232" s="11"/>
      <c r="AT3232" s="11"/>
      <c r="AU3232" s="11"/>
      <c r="AV3232" s="11"/>
    </row>
    <row r="3233" spans="1:48" ht="21.6" customHeight="1">
      <c r="A3233" s="755" t="s">
        <v>265</v>
      </c>
      <c r="B3233" s="755" t="s">
        <v>1248</v>
      </c>
      <c r="C3233" s="755" t="s">
        <v>505</v>
      </c>
      <c r="D3233" s="1600">
        <v>1010</v>
      </c>
      <c r="E3233" s="2247" t="s">
        <v>1942</v>
      </c>
      <c r="F3233" s="756">
        <v>2247</v>
      </c>
      <c r="G3233" s="757" t="s">
        <v>281</v>
      </c>
      <c r="H3233" s="759">
        <v>2000</v>
      </c>
      <c r="I3233" s="759"/>
      <c r="J3233" s="760"/>
      <c r="K3233" s="761"/>
      <c r="L3233" s="3750">
        <v>2000</v>
      </c>
      <c r="M3233" s="1580"/>
      <c r="N3233" s="2847"/>
      <c r="O3233" s="86"/>
      <c r="P3233" s="1817" t="e">
        <f>INDEX(#REF!,MATCH(F3233,#REF!,0),2)</f>
        <v>#REF!</v>
      </c>
      <c r="Q3233" s="11"/>
      <c r="R3233" s="11"/>
      <c r="S3233" s="11"/>
      <c r="T3233" s="11"/>
      <c r="U3233" s="11"/>
      <c r="V3233" s="11"/>
      <c r="W3233" s="4"/>
      <c r="X3233" s="11"/>
      <c r="Y3233" s="11"/>
      <c r="Z3233" s="11"/>
      <c r="AA3233" s="11"/>
      <c r="AB3233" s="11"/>
      <c r="AC3233" s="11"/>
      <c r="AD3233" s="11"/>
      <c r="AE3233" s="11"/>
      <c r="AF3233" s="11"/>
      <c r="AG3233" s="11"/>
      <c r="AH3233" s="11"/>
      <c r="AI3233" s="11"/>
      <c r="AJ3233" s="11"/>
      <c r="AK3233" s="11"/>
      <c r="AL3233" s="11"/>
      <c r="AM3233" s="11"/>
      <c r="AN3233" s="11"/>
      <c r="AO3233" s="11"/>
      <c r="AP3233" s="11"/>
      <c r="AQ3233" s="11"/>
      <c r="AR3233" s="11"/>
      <c r="AS3233" s="11"/>
      <c r="AT3233" s="11"/>
      <c r="AU3233" s="11"/>
      <c r="AV3233" s="11"/>
    </row>
    <row r="3234" spans="1:48" ht="20.45" customHeight="1">
      <c r="A3234" s="762" t="s">
        <v>265</v>
      </c>
      <c r="B3234" s="762" t="s">
        <v>1248</v>
      </c>
      <c r="C3234" s="762" t="s">
        <v>505</v>
      </c>
      <c r="D3234" s="1599"/>
      <c r="E3234" s="2245" t="s">
        <v>1942</v>
      </c>
      <c r="F3234" s="763">
        <v>2247</v>
      </c>
      <c r="G3234" s="1567" t="s">
        <v>2492</v>
      </c>
      <c r="H3234" s="752"/>
      <c r="I3234" s="752">
        <v>2000</v>
      </c>
      <c r="J3234" s="753"/>
      <c r="K3234" s="754"/>
      <c r="L3234" s="1650"/>
      <c r="M3234" s="1576">
        <v>2000</v>
      </c>
      <c r="N3234" s="2847"/>
      <c r="O3234" s="86"/>
      <c r="P3234" s="1817" t="e">
        <f>INDEX(#REF!,MATCH(F3234,#REF!,0),2)</f>
        <v>#REF!</v>
      </c>
      <c r="Q3234" s="43"/>
      <c r="R3234" s="43"/>
      <c r="S3234" s="43"/>
      <c r="T3234" s="43"/>
      <c r="U3234" s="43"/>
      <c r="V3234" s="43"/>
      <c r="W3234" s="43"/>
      <c r="X3234" s="43"/>
      <c r="Y3234" s="43"/>
      <c r="Z3234" s="43"/>
      <c r="AA3234" s="43"/>
      <c r="AB3234" s="43"/>
      <c r="AC3234" s="43"/>
      <c r="AD3234" s="43"/>
      <c r="AE3234" s="43"/>
      <c r="AF3234" s="43"/>
      <c r="AG3234" s="43"/>
      <c r="AH3234" s="43"/>
      <c r="AI3234" s="43"/>
      <c r="AJ3234" s="43"/>
      <c r="AK3234" s="43"/>
      <c r="AL3234" s="43"/>
      <c r="AM3234" s="43"/>
      <c r="AN3234" s="43"/>
      <c r="AO3234" s="43"/>
      <c r="AP3234" s="43"/>
      <c r="AQ3234" s="43"/>
      <c r="AR3234" s="43"/>
      <c r="AS3234" s="43"/>
      <c r="AT3234" s="43"/>
      <c r="AU3234" s="43"/>
      <c r="AV3234" s="43"/>
    </row>
    <row r="3235" spans="1:48" ht="21.6" customHeight="1">
      <c r="A3235" s="755" t="s">
        <v>265</v>
      </c>
      <c r="B3235" s="755" t="s">
        <v>1248</v>
      </c>
      <c r="C3235" s="755" t="s">
        <v>505</v>
      </c>
      <c r="D3235" s="1600">
        <v>1010</v>
      </c>
      <c r="E3235" s="2247" t="s">
        <v>1942</v>
      </c>
      <c r="F3235" s="756">
        <v>2250</v>
      </c>
      <c r="G3235" s="757" t="s">
        <v>1254</v>
      </c>
      <c r="H3235" s="759"/>
      <c r="I3235" s="759"/>
      <c r="J3235" s="760"/>
      <c r="K3235" s="761"/>
      <c r="L3235" s="3750">
        <v>600</v>
      </c>
      <c r="M3235" s="1580"/>
      <c r="N3235" s="2847"/>
      <c r="O3235" s="86"/>
      <c r="P3235" s="1817" t="e">
        <f>INDEX(#REF!,MATCH(F3235,#REF!,0),2)</f>
        <v>#REF!</v>
      </c>
      <c r="Q3235" s="43"/>
      <c r="R3235" s="43"/>
      <c r="S3235" s="43"/>
      <c r="T3235" s="43"/>
      <c r="U3235" s="43"/>
      <c r="V3235" s="43"/>
      <c r="W3235" s="43"/>
      <c r="X3235" s="43"/>
      <c r="Y3235" s="43"/>
      <c r="Z3235" s="43"/>
      <c r="AA3235" s="43"/>
      <c r="AB3235" s="43"/>
      <c r="AC3235" s="43"/>
      <c r="AD3235" s="43"/>
      <c r="AE3235" s="43"/>
      <c r="AF3235" s="43"/>
      <c r="AG3235" s="43"/>
      <c r="AH3235" s="43"/>
      <c r="AI3235" s="43"/>
      <c r="AJ3235" s="43"/>
      <c r="AK3235" s="43"/>
      <c r="AL3235" s="43"/>
      <c r="AM3235" s="43"/>
      <c r="AN3235" s="43"/>
      <c r="AO3235" s="43"/>
      <c r="AP3235" s="43"/>
      <c r="AQ3235" s="43"/>
      <c r="AR3235" s="43"/>
      <c r="AS3235" s="43"/>
      <c r="AT3235" s="43"/>
      <c r="AU3235" s="43"/>
      <c r="AV3235" s="43"/>
    </row>
    <row r="3236" spans="1:48" ht="21" customHeight="1">
      <c r="A3236" s="762" t="s">
        <v>265</v>
      </c>
      <c r="B3236" s="762" t="s">
        <v>1248</v>
      </c>
      <c r="C3236" s="762" t="s">
        <v>505</v>
      </c>
      <c r="D3236" s="1599"/>
      <c r="E3236" s="2245" t="s">
        <v>1942</v>
      </c>
      <c r="F3236" s="763">
        <v>2250</v>
      </c>
      <c r="G3236" s="1567" t="s">
        <v>1516</v>
      </c>
      <c r="H3236" s="752"/>
      <c r="I3236" s="752"/>
      <c r="J3236" s="753"/>
      <c r="K3236" s="754"/>
      <c r="L3236" s="1650"/>
      <c r="M3236" s="1576">
        <v>600</v>
      </c>
      <c r="N3236" s="2847"/>
      <c r="O3236" s="86"/>
      <c r="P3236" s="1817" t="e">
        <f>INDEX(#REF!,MATCH(F3236,#REF!,0),2)</f>
        <v>#REF!</v>
      </c>
      <c r="Q3236" s="43"/>
      <c r="R3236" s="43"/>
      <c r="S3236" s="43"/>
      <c r="T3236" s="43"/>
      <c r="U3236" s="43"/>
      <c r="V3236" s="43"/>
      <c r="W3236" s="43"/>
      <c r="X3236" s="43"/>
      <c r="Y3236" s="43"/>
      <c r="Z3236" s="43"/>
      <c r="AA3236" s="43"/>
      <c r="AB3236" s="43"/>
      <c r="AC3236" s="43"/>
      <c r="AD3236" s="43"/>
      <c r="AE3236" s="43"/>
      <c r="AF3236" s="43"/>
      <c r="AG3236" s="43"/>
      <c r="AH3236" s="43"/>
      <c r="AI3236" s="43"/>
      <c r="AJ3236" s="43"/>
      <c r="AK3236" s="43"/>
      <c r="AL3236" s="43"/>
      <c r="AM3236" s="43"/>
      <c r="AN3236" s="43"/>
      <c r="AO3236" s="43"/>
      <c r="AP3236" s="43"/>
      <c r="AQ3236" s="43"/>
      <c r="AR3236" s="43"/>
      <c r="AS3236" s="43"/>
      <c r="AT3236" s="43"/>
      <c r="AU3236" s="43"/>
      <c r="AV3236" s="43"/>
    </row>
    <row r="3237" spans="1:48" ht="12" customHeight="1">
      <c r="A3237" s="755" t="s">
        <v>265</v>
      </c>
      <c r="B3237" s="755" t="s">
        <v>1248</v>
      </c>
      <c r="C3237" s="755" t="s">
        <v>505</v>
      </c>
      <c r="D3237" s="1600">
        <v>1010</v>
      </c>
      <c r="E3237" s="2247" t="s">
        <v>1942</v>
      </c>
      <c r="F3237" s="756">
        <v>2261</v>
      </c>
      <c r="G3237" s="757" t="s">
        <v>330</v>
      </c>
      <c r="H3237" s="759">
        <v>22510</v>
      </c>
      <c r="I3237" s="759"/>
      <c r="J3237" s="760"/>
      <c r="K3237" s="761"/>
      <c r="L3237" s="3750">
        <v>12952</v>
      </c>
      <c r="M3237" s="1580"/>
      <c r="N3237" s="2847"/>
      <c r="O3237" s="86"/>
      <c r="P3237" s="1817" t="e">
        <f>INDEX(#REF!,MATCH(F3237,#REF!,0),2)</f>
        <v>#REF!</v>
      </c>
      <c r="Q3237" s="43"/>
      <c r="R3237" s="43"/>
      <c r="S3237" s="43"/>
      <c r="T3237" s="43"/>
      <c r="U3237" s="43"/>
      <c r="V3237" s="43"/>
      <c r="W3237" s="43"/>
      <c r="X3237" s="43"/>
      <c r="Y3237" s="43"/>
      <c r="Z3237" s="43"/>
      <c r="AA3237" s="43"/>
      <c r="AB3237" s="43"/>
      <c r="AC3237" s="43"/>
      <c r="AD3237" s="43"/>
      <c r="AE3237" s="43"/>
      <c r="AF3237" s="43"/>
      <c r="AG3237" s="43"/>
      <c r="AH3237" s="43"/>
      <c r="AI3237" s="43"/>
      <c r="AJ3237" s="43"/>
      <c r="AK3237" s="43"/>
      <c r="AL3237" s="43"/>
      <c r="AM3237" s="43"/>
      <c r="AN3237" s="43"/>
      <c r="AO3237" s="43"/>
      <c r="AP3237" s="43"/>
      <c r="AQ3237" s="43"/>
      <c r="AR3237" s="43"/>
      <c r="AS3237" s="43"/>
      <c r="AT3237" s="43"/>
      <c r="AU3237" s="43"/>
      <c r="AV3237" s="43"/>
    </row>
    <row r="3238" spans="1:48" ht="12" customHeight="1">
      <c r="A3238" s="762" t="s">
        <v>265</v>
      </c>
      <c r="B3238" s="762" t="s">
        <v>1248</v>
      </c>
      <c r="C3238" s="762" t="s">
        <v>505</v>
      </c>
      <c r="D3238" s="1599"/>
      <c r="E3238" s="2245" t="s">
        <v>1942</v>
      </c>
      <c r="F3238" s="763">
        <v>2261</v>
      </c>
      <c r="G3238" s="1567" t="s">
        <v>5150</v>
      </c>
      <c r="H3238" s="752"/>
      <c r="I3238" s="837">
        <v>8200</v>
      </c>
      <c r="J3238" s="753"/>
      <c r="K3238" s="754"/>
      <c r="L3238" s="1650"/>
      <c r="M3238" s="1646">
        <v>12952</v>
      </c>
      <c r="N3238" s="2847"/>
      <c r="O3238" s="86"/>
      <c r="P3238" s="1817" t="e">
        <f>INDEX(#REF!,MATCH(F3238,#REF!,0),2)</f>
        <v>#REF!</v>
      </c>
      <c r="Q3238" s="43"/>
      <c r="R3238" s="43"/>
      <c r="S3238" s="43"/>
      <c r="T3238" s="43"/>
      <c r="U3238" s="43"/>
      <c r="V3238" s="43"/>
      <c r="W3238" s="43"/>
      <c r="X3238" s="43"/>
      <c r="Y3238" s="43"/>
      <c r="Z3238" s="43"/>
      <c r="AA3238" s="43"/>
      <c r="AB3238" s="43"/>
      <c r="AC3238" s="43"/>
      <c r="AD3238" s="43"/>
      <c r="AE3238" s="43"/>
      <c r="AF3238" s="43"/>
      <c r="AG3238" s="43"/>
      <c r="AH3238" s="43"/>
      <c r="AI3238" s="43"/>
      <c r="AJ3238" s="43"/>
      <c r="AK3238" s="43"/>
      <c r="AL3238" s="43"/>
      <c r="AM3238" s="43"/>
      <c r="AN3238" s="43"/>
      <c r="AO3238" s="43"/>
      <c r="AP3238" s="43"/>
      <c r="AQ3238" s="43"/>
      <c r="AR3238" s="43"/>
      <c r="AS3238" s="43"/>
      <c r="AT3238" s="43"/>
      <c r="AU3238" s="43"/>
      <c r="AV3238" s="43"/>
    </row>
    <row r="3239" spans="1:48" ht="12" customHeight="1">
      <c r="A3239" s="762" t="s">
        <v>265</v>
      </c>
      <c r="B3239" s="762" t="s">
        <v>1248</v>
      </c>
      <c r="C3239" s="762" t="s">
        <v>505</v>
      </c>
      <c r="D3239" s="1599"/>
      <c r="E3239" s="2245" t="s">
        <v>1942</v>
      </c>
      <c r="F3239" s="763">
        <v>2261</v>
      </c>
      <c r="G3239" s="1567" t="s">
        <v>1514</v>
      </c>
      <c r="H3239" s="764"/>
      <c r="I3239" s="838">
        <v>14310</v>
      </c>
      <c r="J3239" s="765"/>
      <c r="K3239" s="766"/>
      <c r="L3239" s="1650"/>
      <c r="M3239" s="3757"/>
      <c r="N3239" s="3756" t="s">
        <v>5151</v>
      </c>
      <c r="O3239" s="86"/>
      <c r="P3239" s="1817" t="e">
        <f>INDEX(#REF!,MATCH(F3239,#REF!,0),2)</f>
        <v>#REF!</v>
      </c>
      <c r="Q3239" s="1779"/>
      <c r="R3239" s="1779"/>
      <c r="S3239" s="1779"/>
      <c r="T3239" s="1779"/>
      <c r="U3239" s="1779"/>
      <c r="V3239" s="1779"/>
      <c r="W3239" s="43"/>
      <c r="X3239" s="1779"/>
      <c r="Y3239" s="1779"/>
      <c r="Z3239" s="1779"/>
      <c r="AA3239" s="1779"/>
      <c r="AB3239" s="1779"/>
      <c r="AC3239" s="1779"/>
      <c r="AD3239" s="1779"/>
      <c r="AE3239" s="1779"/>
      <c r="AF3239" s="1779"/>
      <c r="AG3239" s="1779"/>
      <c r="AH3239" s="1779"/>
      <c r="AI3239" s="1779"/>
      <c r="AJ3239" s="1779"/>
      <c r="AK3239" s="1779"/>
      <c r="AL3239" s="1779"/>
      <c r="AM3239" s="1779"/>
      <c r="AN3239" s="1779"/>
      <c r="AO3239" s="1779"/>
      <c r="AP3239" s="1779"/>
      <c r="AQ3239" s="1779"/>
      <c r="AR3239" s="1779"/>
      <c r="AS3239" s="1779"/>
      <c r="AT3239" s="1779"/>
      <c r="AU3239" s="1779"/>
      <c r="AV3239" s="1779"/>
    </row>
    <row r="3240" spans="1:48" ht="12" customHeight="1">
      <c r="A3240" s="755" t="s">
        <v>265</v>
      </c>
      <c r="B3240" s="755" t="s">
        <v>1248</v>
      </c>
      <c r="C3240" s="755" t="s">
        <v>505</v>
      </c>
      <c r="D3240" s="1600">
        <v>1010</v>
      </c>
      <c r="E3240" s="2247" t="s">
        <v>1942</v>
      </c>
      <c r="F3240" s="756">
        <v>2264</v>
      </c>
      <c r="G3240" s="757" t="s">
        <v>3045</v>
      </c>
      <c r="H3240" s="759">
        <v>795</v>
      </c>
      <c r="I3240" s="759"/>
      <c r="J3240" s="760"/>
      <c r="K3240" s="761"/>
      <c r="L3240" s="3750">
        <v>795</v>
      </c>
      <c r="M3240" s="1580"/>
      <c r="N3240" s="2847"/>
      <c r="O3240" s="86"/>
      <c r="P3240" s="1817" t="e">
        <f>INDEX(#REF!,MATCH(F3240,#REF!,0),2)</f>
        <v>#REF!</v>
      </c>
      <c r="Q3240" s="1779"/>
      <c r="R3240" s="1779"/>
      <c r="S3240" s="1779"/>
      <c r="T3240" s="1779"/>
      <c r="U3240" s="1779"/>
      <c r="V3240" s="1779"/>
      <c r="W3240" s="43"/>
      <c r="X3240" s="1779"/>
      <c r="Y3240" s="1779"/>
      <c r="Z3240" s="1779"/>
      <c r="AA3240" s="1779"/>
      <c r="AB3240" s="1779"/>
      <c r="AC3240" s="1779"/>
      <c r="AD3240" s="1779"/>
      <c r="AE3240" s="1779"/>
      <c r="AF3240" s="1779"/>
      <c r="AG3240" s="1779"/>
      <c r="AH3240" s="1779"/>
      <c r="AI3240" s="1779"/>
      <c r="AJ3240" s="1779"/>
      <c r="AK3240" s="1779"/>
      <c r="AL3240" s="1779"/>
      <c r="AM3240" s="1779"/>
      <c r="AN3240" s="1779"/>
      <c r="AO3240" s="1779"/>
      <c r="AP3240" s="1779"/>
      <c r="AQ3240" s="1779"/>
      <c r="AR3240" s="1779"/>
      <c r="AS3240" s="1779"/>
      <c r="AT3240" s="1779"/>
      <c r="AU3240" s="1779"/>
      <c r="AV3240" s="1779"/>
    </row>
    <row r="3241" spans="1:48" ht="15" customHeight="1">
      <c r="A3241" s="762" t="s">
        <v>265</v>
      </c>
      <c r="B3241" s="762" t="s">
        <v>1248</v>
      </c>
      <c r="C3241" s="762" t="s">
        <v>513</v>
      </c>
      <c r="D3241" s="1599"/>
      <c r="E3241" s="2245" t="s">
        <v>1942</v>
      </c>
      <c r="F3241" s="763">
        <v>2264</v>
      </c>
      <c r="G3241" s="1567" t="s">
        <v>5146</v>
      </c>
      <c r="H3241" s="752"/>
      <c r="I3241" s="752">
        <v>795</v>
      </c>
      <c r="J3241" s="753"/>
      <c r="K3241" s="754"/>
      <c r="L3241" s="1650"/>
      <c r="M3241" s="1576">
        <v>795</v>
      </c>
      <c r="N3241" s="3756"/>
      <c r="O3241" s="86"/>
      <c r="P3241" s="1817" t="e">
        <f>INDEX(#REF!,MATCH(F3241,#REF!,0),2)</f>
        <v>#REF!</v>
      </c>
      <c r="Q3241" s="43"/>
      <c r="R3241" s="43"/>
      <c r="S3241" s="43"/>
      <c r="T3241" s="43"/>
      <c r="U3241" s="43"/>
      <c r="V3241" s="43"/>
      <c r="W3241" s="43"/>
      <c r="X3241" s="43"/>
      <c r="Y3241" s="43"/>
      <c r="Z3241" s="43"/>
      <c r="AA3241" s="43"/>
      <c r="AB3241" s="43"/>
      <c r="AC3241" s="43"/>
      <c r="AD3241" s="43"/>
      <c r="AE3241" s="43"/>
      <c r="AF3241" s="43"/>
      <c r="AG3241" s="43"/>
      <c r="AH3241" s="43"/>
      <c r="AI3241" s="43"/>
      <c r="AJ3241" s="43"/>
      <c r="AK3241" s="43"/>
      <c r="AL3241" s="43"/>
      <c r="AM3241" s="43"/>
      <c r="AN3241" s="43"/>
      <c r="AO3241" s="43"/>
      <c r="AP3241" s="43"/>
      <c r="AQ3241" s="43"/>
      <c r="AR3241" s="43"/>
      <c r="AS3241" s="43"/>
      <c r="AT3241" s="43"/>
      <c r="AU3241" s="43"/>
      <c r="AV3241" s="43"/>
    </row>
    <row r="3242" spans="1:48" ht="13.5" customHeight="1">
      <c r="A3242" s="755" t="s">
        <v>265</v>
      </c>
      <c r="B3242" s="755" t="s">
        <v>1248</v>
      </c>
      <c r="C3242" s="755" t="s">
        <v>507</v>
      </c>
      <c r="D3242" s="1600">
        <v>1010</v>
      </c>
      <c r="E3242" s="2247" t="s">
        <v>1942</v>
      </c>
      <c r="F3242" s="756">
        <v>2311</v>
      </c>
      <c r="G3242" s="757" t="s">
        <v>245</v>
      </c>
      <c r="H3242" s="759">
        <v>2600</v>
      </c>
      <c r="I3242" s="759"/>
      <c r="J3242" s="760"/>
      <c r="K3242" s="761"/>
      <c r="L3242" s="3760">
        <v>2400</v>
      </c>
      <c r="M3242" s="1578"/>
      <c r="N3242" s="3756" t="s">
        <v>5155</v>
      </c>
      <c r="O3242" s="86"/>
      <c r="P3242" s="1817" t="e">
        <f>INDEX(#REF!,MATCH(F3242,#REF!,0),2)</f>
        <v>#REF!</v>
      </c>
      <c r="Q3242" s="43"/>
      <c r="R3242" s="43"/>
      <c r="S3242" s="43"/>
      <c r="T3242" s="43"/>
      <c r="U3242" s="43"/>
      <c r="V3242" s="43"/>
      <c r="W3242" s="43"/>
      <c r="X3242" s="43"/>
      <c r="Y3242" s="43"/>
      <c r="Z3242" s="43"/>
      <c r="AA3242" s="43"/>
      <c r="AB3242" s="43"/>
      <c r="AC3242" s="43"/>
      <c r="AD3242" s="43"/>
      <c r="AE3242" s="43"/>
      <c r="AF3242" s="43"/>
      <c r="AG3242" s="43"/>
      <c r="AH3242" s="4"/>
      <c r="AI3242" s="4"/>
      <c r="AJ3242" s="4"/>
      <c r="AK3242" s="4"/>
      <c r="AL3242" s="4"/>
      <c r="AM3242" s="4"/>
      <c r="AN3242" s="4"/>
      <c r="AO3242" s="4"/>
      <c r="AP3242" s="4"/>
      <c r="AQ3242" s="4"/>
      <c r="AR3242" s="4"/>
      <c r="AS3242" s="4"/>
      <c r="AT3242" s="4"/>
      <c r="AU3242" s="4"/>
      <c r="AV3242" s="4"/>
    </row>
    <row r="3243" spans="1:48" ht="13.5" customHeight="1">
      <c r="A3243" s="762"/>
      <c r="B3243" s="762" t="s">
        <v>1248</v>
      </c>
      <c r="C3243" s="762" t="s">
        <v>507</v>
      </c>
      <c r="D3243" s="1599"/>
      <c r="E3243" s="2245" t="s">
        <v>1942</v>
      </c>
      <c r="F3243" s="763">
        <v>2311</v>
      </c>
      <c r="G3243" s="1577" t="s">
        <v>5153</v>
      </c>
      <c r="H3243" s="752"/>
      <c r="I3243" s="837">
        <v>1000</v>
      </c>
      <c r="J3243" s="753"/>
      <c r="K3243" s="754"/>
      <c r="L3243" s="1657"/>
      <c r="M3243" s="3759">
        <v>1000</v>
      </c>
      <c r="N3243" s="3756" t="s">
        <v>5156</v>
      </c>
      <c r="O3243" s="86"/>
      <c r="P3243" s="1817" t="e">
        <f>INDEX(#REF!,MATCH(F3243,#REF!,0),2)</f>
        <v>#REF!</v>
      </c>
      <c r="Q3243" s="11"/>
      <c r="R3243" s="11"/>
      <c r="S3243" s="11"/>
      <c r="T3243" s="11"/>
      <c r="U3243" s="11"/>
      <c r="V3243" s="11"/>
      <c r="W3243" s="4"/>
      <c r="X3243" s="11"/>
      <c r="Y3243" s="11"/>
      <c r="Z3243" s="11"/>
      <c r="AA3243" s="11"/>
      <c r="AB3243" s="11"/>
      <c r="AC3243" s="11"/>
      <c r="AD3243" s="11"/>
      <c r="AE3243" s="11"/>
      <c r="AF3243" s="11"/>
      <c r="AG3243" s="11"/>
      <c r="AH3243" s="11"/>
      <c r="AI3243" s="11"/>
      <c r="AJ3243" s="11"/>
      <c r="AK3243" s="11"/>
      <c r="AL3243" s="11"/>
      <c r="AM3243" s="11"/>
      <c r="AN3243" s="11"/>
      <c r="AO3243" s="11"/>
      <c r="AP3243" s="11"/>
      <c r="AQ3243" s="11"/>
      <c r="AR3243" s="11"/>
      <c r="AS3243" s="11"/>
      <c r="AT3243" s="11"/>
      <c r="AU3243" s="11"/>
      <c r="AV3243" s="11"/>
    </row>
    <row r="3244" spans="1:48" ht="11.45" customHeight="1">
      <c r="A3244" s="762"/>
      <c r="B3244" s="762" t="s">
        <v>1248</v>
      </c>
      <c r="C3244" s="762" t="s">
        <v>507</v>
      </c>
      <c r="D3244" s="1599"/>
      <c r="E3244" s="2245" t="s">
        <v>1942</v>
      </c>
      <c r="F3244" s="763">
        <v>2311</v>
      </c>
      <c r="G3244" s="1567" t="s">
        <v>5154</v>
      </c>
      <c r="H3244" s="752"/>
      <c r="I3244" s="837">
        <v>800</v>
      </c>
      <c r="J3244" s="753"/>
      <c r="K3244" s="754"/>
      <c r="L3244" s="1657"/>
      <c r="M3244" s="3759">
        <v>600</v>
      </c>
      <c r="N3244" s="3756" t="s">
        <v>5156</v>
      </c>
      <c r="O3244" s="86"/>
      <c r="P3244" s="1817" t="e">
        <f>INDEX(#REF!,MATCH(F3244,#REF!,0),2)</f>
        <v>#REF!</v>
      </c>
      <c r="Q3244" s="1779"/>
      <c r="R3244" s="1779"/>
      <c r="S3244" s="1779"/>
      <c r="T3244" s="1779"/>
      <c r="U3244" s="1779"/>
      <c r="V3244" s="1779"/>
      <c r="W3244" s="43"/>
      <c r="X3244" s="1779"/>
      <c r="Y3244" s="1779"/>
      <c r="Z3244" s="1779"/>
      <c r="AA3244" s="1779"/>
      <c r="AB3244" s="1779"/>
      <c r="AC3244" s="1779"/>
      <c r="AD3244" s="1779"/>
      <c r="AE3244" s="1779"/>
      <c r="AF3244" s="1779"/>
      <c r="AG3244" s="1779"/>
      <c r="AH3244" s="1779"/>
      <c r="AI3244" s="1779"/>
      <c r="AJ3244" s="1779"/>
      <c r="AK3244" s="1779"/>
      <c r="AL3244" s="1779"/>
      <c r="AM3244" s="1779"/>
      <c r="AN3244" s="1779"/>
      <c r="AO3244" s="1779"/>
      <c r="AP3244" s="1779"/>
      <c r="AQ3244" s="1779"/>
      <c r="AR3244" s="1779"/>
      <c r="AS3244" s="1779"/>
      <c r="AT3244" s="1779"/>
      <c r="AU3244" s="1779"/>
      <c r="AV3244" s="1779"/>
    </row>
    <row r="3245" spans="1:48" ht="11.45" customHeight="1">
      <c r="A3245" s="762"/>
      <c r="B3245" s="762" t="s">
        <v>1248</v>
      </c>
      <c r="C3245" s="762" t="s">
        <v>507</v>
      </c>
      <c r="D3245" s="1599"/>
      <c r="E3245" s="2245" t="s">
        <v>1942</v>
      </c>
      <c r="F3245" s="763">
        <v>2311</v>
      </c>
      <c r="G3245" s="1567" t="s">
        <v>287</v>
      </c>
      <c r="H3245" s="752"/>
      <c r="I3245" s="837">
        <v>800</v>
      </c>
      <c r="J3245" s="753"/>
      <c r="K3245" s="754"/>
      <c r="L3245" s="1657"/>
      <c r="M3245" s="3758">
        <v>800</v>
      </c>
      <c r="N3245" s="2847"/>
      <c r="O3245" s="86"/>
      <c r="P3245" s="1817" t="e">
        <f>INDEX(#REF!,MATCH(F3245,#REF!,0),2)</f>
        <v>#REF!</v>
      </c>
      <c r="Q3245" s="11"/>
      <c r="R3245" s="11"/>
      <c r="S3245" s="11"/>
      <c r="T3245" s="11"/>
      <c r="U3245" s="11"/>
      <c r="V3245" s="11"/>
      <c r="W3245" s="4"/>
      <c r="X3245" s="11"/>
      <c r="Y3245" s="11"/>
      <c r="Z3245" s="11"/>
      <c r="AA3245" s="11"/>
      <c r="AB3245" s="11"/>
      <c r="AC3245" s="11"/>
      <c r="AD3245" s="11"/>
      <c r="AE3245" s="11"/>
      <c r="AF3245" s="11"/>
      <c r="AG3245" s="11"/>
      <c r="AH3245" s="11"/>
      <c r="AI3245" s="11"/>
      <c r="AJ3245" s="11"/>
      <c r="AK3245" s="11"/>
      <c r="AL3245" s="11"/>
      <c r="AM3245" s="11"/>
      <c r="AN3245" s="11"/>
      <c r="AO3245" s="11"/>
      <c r="AP3245" s="11"/>
      <c r="AQ3245" s="11"/>
      <c r="AR3245" s="11"/>
      <c r="AS3245" s="11"/>
      <c r="AT3245" s="11"/>
      <c r="AU3245" s="11"/>
      <c r="AV3245" s="11"/>
    </row>
    <row r="3246" spans="1:48" ht="11.45" customHeight="1">
      <c r="A3246" s="1370"/>
      <c r="B3246" s="762" t="s">
        <v>1248</v>
      </c>
      <c r="C3246" s="762" t="s">
        <v>507</v>
      </c>
      <c r="D3246" s="1599"/>
      <c r="E3246" s="2245" t="s">
        <v>1942</v>
      </c>
      <c r="F3246" s="763">
        <v>2311</v>
      </c>
      <c r="G3246" s="1374"/>
      <c r="H3246" s="1375"/>
      <c r="I3246" s="1462"/>
      <c r="J3246" s="1379"/>
      <c r="K3246" s="1380"/>
      <c r="L3246" s="1657"/>
      <c r="M3246" s="1579"/>
      <c r="N3246" s="2847"/>
      <c r="O3246" s="86"/>
      <c r="P3246" s="1817" t="e">
        <f>INDEX(#REF!,MATCH(F3246,#REF!,0),2)</f>
        <v>#REF!</v>
      </c>
      <c r="Q3246" s="11"/>
      <c r="R3246" s="11"/>
      <c r="S3246" s="11"/>
      <c r="T3246" s="11"/>
      <c r="U3246" s="11"/>
      <c r="V3246" s="11"/>
      <c r="W3246" s="4"/>
      <c r="X3246" s="11"/>
      <c r="Y3246" s="11"/>
      <c r="Z3246" s="11"/>
      <c r="AA3246" s="11"/>
      <c r="AB3246" s="11"/>
      <c r="AC3246" s="11"/>
      <c r="AD3246" s="11"/>
      <c r="AE3246" s="11"/>
      <c r="AF3246" s="11"/>
      <c r="AG3246" s="11"/>
      <c r="AH3246" s="11"/>
      <c r="AI3246" s="11"/>
      <c r="AJ3246" s="11"/>
      <c r="AK3246" s="11"/>
      <c r="AL3246" s="11"/>
      <c r="AM3246" s="11"/>
      <c r="AN3246" s="11"/>
      <c r="AO3246" s="11"/>
      <c r="AP3246" s="11"/>
      <c r="AQ3246" s="11"/>
      <c r="AR3246" s="11"/>
      <c r="AS3246" s="11"/>
      <c r="AT3246" s="11"/>
      <c r="AU3246" s="11"/>
      <c r="AV3246" s="11"/>
    </row>
    <row r="3247" spans="1:48" ht="11.45" customHeight="1">
      <c r="A3247" s="755" t="s">
        <v>265</v>
      </c>
      <c r="B3247" s="755" t="s">
        <v>1248</v>
      </c>
      <c r="C3247" s="755" t="s">
        <v>505</v>
      </c>
      <c r="D3247" s="1600">
        <v>1010</v>
      </c>
      <c r="E3247" s="2247" t="s">
        <v>1942</v>
      </c>
      <c r="F3247" s="756">
        <v>2312</v>
      </c>
      <c r="G3247" s="757" t="s">
        <v>249</v>
      </c>
      <c r="H3247" s="759">
        <v>3574</v>
      </c>
      <c r="I3247" s="759"/>
      <c r="J3247" s="760"/>
      <c r="K3247" s="761"/>
      <c r="L3247" s="3750">
        <v>1970</v>
      </c>
      <c r="M3247" s="1580"/>
      <c r="N3247" s="2847"/>
      <c r="O3247" s="86"/>
      <c r="P3247" s="1817" t="e">
        <f>INDEX(#REF!,MATCH(F3247,#REF!,0),2)</f>
        <v>#REF!</v>
      </c>
      <c r="Q3247" s="11"/>
      <c r="R3247" s="11"/>
      <c r="S3247" s="11"/>
      <c r="T3247" s="11"/>
      <c r="U3247" s="11"/>
      <c r="V3247" s="11"/>
      <c r="W3247" s="4"/>
      <c r="X3247" s="11"/>
      <c r="Y3247" s="11"/>
      <c r="Z3247" s="11"/>
      <c r="AA3247" s="11"/>
      <c r="AB3247" s="11"/>
      <c r="AC3247" s="11"/>
      <c r="AD3247" s="11"/>
      <c r="AE3247" s="11"/>
      <c r="AF3247" s="11"/>
      <c r="AG3247" s="11"/>
      <c r="AH3247" s="11"/>
      <c r="AI3247" s="11"/>
      <c r="AJ3247" s="11"/>
      <c r="AK3247" s="11"/>
      <c r="AL3247" s="11"/>
      <c r="AM3247" s="11"/>
      <c r="AN3247" s="11"/>
      <c r="AO3247" s="11"/>
      <c r="AP3247" s="11"/>
      <c r="AQ3247" s="11"/>
      <c r="AR3247" s="11"/>
      <c r="AS3247" s="11"/>
      <c r="AT3247" s="11"/>
      <c r="AU3247" s="11"/>
      <c r="AV3247" s="11"/>
    </row>
    <row r="3248" spans="1:48" ht="11.45" customHeight="1">
      <c r="A3248" s="762" t="s">
        <v>265</v>
      </c>
      <c r="B3248" s="762" t="s">
        <v>1248</v>
      </c>
      <c r="C3248" s="762" t="s">
        <v>505</v>
      </c>
      <c r="D3248" s="1599"/>
      <c r="E3248" s="2245" t="s">
        <v>1942</v>
      </c>
      <c r="F3248" s="763">
        <v>2312</v>
      </c>
      <c r="G3248" s="817" t="s">
        <v>5157</v>
      </c>
      <c r="H3248" s="752"/>
      <c r="I3248" s="752">
        <v>3000</v>
      </c>
      <c r="J3248" s="753"/>
      <c r="K3248" s="754"/>
      <c r="L3248" s="1650"/>
      <c r="M3248" s="1576">
        <v>400</v>
      </c>
      <c r="N3248" s="2847"/>
      <c r="O3248" s="86"/>
      <c r="P3248" s="1817"/>
    </row>
    <row r="3249" spans="1:48" ht="15" customHeight="1">
      <c r="A3249" s="762"/>
      <c r="B3249" s="762" t="s">
        <v>1248</v>
      </c>
      <c r="C3249" s="762" t="s">
        <v>505</v>
      </c>
      <c r="D3249" s="1599"/>
      <c r="E3249" s="2245" t="s">
        <v>1942</v>
      </c>
      <c r="F3249" s="763">
        <v>2312</v>
      </c>
      <c r="G3249" s="817" t="s">
        <v>5158</v>
      </c>
      <c r="H3249" s="752"/>
      <c r="I3249" s="752">
        <v>160</v>
      </c>
      <c r="J3249" s="753"/>
      <c r="K3249" s="754"/>
      <c r="L3249" s="1650"/>
      <c r="M3249" s="1576">
        <v>170</v>
      </c>
      <c r="N3249" s="2847"/>
      <c r="O3249" s="86"/>
      <c r="P3249" s="1817" t="e">
        <f>INDEX(#REF!,MATCH(F3249,#REF!,0),2)</f>
        <v>#REF!</v>
      </c>
    </row>
    <row r="3250" spans="1:48" ht="19.5" customHeight="1">
      <c r="A3250" s="762"/>
      <c r="B3250" s="762" t="s">
        <v>1248</v>
      </c>
      <c r="C3250" s="762" t="s">
        <v>505</v>
      </c>
      <c r="D3250" s="1599"/>
      <c r="E3250" s="2245" t="s">
        <v>1942</v>
      </c>
      <c r="F3250" s="763">
        <v>2312</v>
      </c>
      <c r="G3250" s="817" t="s">
        <v>5159</v>
      </c>
      <c r="H3250" s="764"/>
      <c r="I3250" s="764">
        <v>74</v>
      </c>
      <c r="J3250" s="765"/>
      <c r="K3250" s="766"/>
      <c r="L3250" s="1650"/>
      <c r="M3250" s="1576">
        <v>400</v>
      </c>
      <c r="N3250" s="2847"/>
      <c r="O3250" s="86"/>
      <c r="P3250" s="1817" t="e">
        <f>INDEX(#REF!,MATCH(F3250,#REF!,0),2)</f>
        <v>#REF!</v>
      </c>
    </row>
    <row r="3251" spans="1:48" ht="11.45" customHeight="1">
      <c r="A3251" s="762"/>
      <c r="B3251" s="762" t="s">
        <v>1248</v>
      </c>
      <c r="C3251" s="762" t="s">
        <v>505</v>
      </c>
      <c r="D3251" s="1599"/>
      <c r="E3251" s="2245" t="s">
        <v>1942</v>
      </c>
      <c r="F3251" s="763">
        <v>2312</v>
      </c>
      <c r="G3251" s="817" t="s">
        <v>5160</v>
      </c>
      <c r="H3251" s="764"/>
      <c r="I3251" s="764">
        <v>40</v>
      </c>
      <c r="J3251" s="765"/>
      <c r="K3251" s="766"/>
      <c r="L3251" s="1650"/>
      <c r="M3251" s="1576">
        <v>300</v>
      </c>
      <c r="N3251" s="2847"/>
      <c r="O3251" s="86"/>
      <c r="P3251" s="1817" t="e">
        <f>INDEX(#REF!,MATCH(F3251,#REF!,0),2)</f>
        <v>#REF!</v>
      </c>
    </row>
    <row r="3252" spans="1:48" ht="28.9" customHeight="1">
      <c r="A3252" s="2790"/>
      <c r="B3252" s="762" t="s">
        <v>1248</v>
      </c>
      <c r="C3252" s="762" t="s">
        <v>505</v>
      </c>
      <c r="D3252" s="1599"/>
      <c r="E3252" s="2245" t="s">
        <v>1942</v>
      </c>
      <c r="F3252" s="763">
        <v>2312</v>
      </c>
      <c r="G3252" s="2810" t="s">
        <v>5166</v>
      </c>
      <c r="H3252" s="1650"/>
      <c r="I3252" s="1650"/>
      <c r="J3252" s="1651"/>
      <c r="K3252" s="1652"/>
      <c r="L3252" s="1650"/>
      <c r="M3252" s="2779">
        <v>400</v>
      </c>
      <c r="N3252" s="2847"/>
      <c r="O3252" s="86"/>
      <c r="P3252" s="1817" t="e">
        <f>INDEX(#REF!,MATCH(F3252,#REF!,0),2)</f>
        <v>#REF!</v>
      </c>
    </row>
    <row r="3253" spans="1:48" ht="24" customHeight="1">
      <c r="A3253" s="1370"/>
      <c r="B3253" s="762" t="s">
        <v>1248</v>
      </c>
      <c r="C3253" s="762" t="s">
        <v>505</v>
      </c>
      <c r="D3253" s="1599"/>
      <c r="E3253" s="2245" t="s">
        <v>1942</v>
      </c>
      <c r="F3253" s="763">
        <v>2312</v>
      </c>
      <c r="G3253" s="1643" t="s">
        <v>454</v>
      </c>
      <c r="H3253" s="1375"/>
      <c r="I3253" s="1375">
        <v>300</v>
      </c>
      <c r="J3253" s="1379"/>
      <c r="K3253" s="1380"/>
      <c r="L3253" s="1650"/>
      <c r="M3253" s="1576">
        <v>300</v>
      </c>
      <c r="N3253" s="2847"/>
      <c r="O3253" s="86"/>
      <c r="P3253" s="1817" t="e">
        <f>INDEX(#REF!,MATCH(F3253,#REF!,0),2)</f>
        <v>#REF!</v>
      </c>
    </row>
    <row r="3254" spans="1:48" ht="11.45" customHeight="1">
      <c r="A3254" s="755" t="s">
        <v>265</v>
      </c>
      <c r="B3254" s="755" t="s">
        <v>1248</v>
      </c>
      <c r="C3254" s="755" t="s">
        <v>505</v>
      </c>
      <c r="D3254" s="1600">
        <v>1010</v>
      </c>
      <c r="E3254" s="2247" t="s">
        <v>1942</v>
      </c>
      <c r="F3254" s="756">
        <v>2314</v>
      </c>
      <c r="G3254" s="757" t="s">
        <v>3761</v>
      </c>
      <c r="H3254" s="759">
        <v>700</v>
      </c>
      <c r="I3254" s="759"/>
      <c r="J3254" s="760"/>
      <c r="K3254" s="761"/>
      <c r="L3254" s="3750">
        <v>2300</v>
      </c>
      <c r="M3254" s="1580"/>
      <c r="N3254" s="2847"/>
      <c r="O3254" s="86"/>
      <c r="P3254" s="1817" t="e">
        <f>INDEX(#REF!,MATCH(F3254,#REF!,0),2)</f>
        <v>#REF!</v>
      </c>
    </row>
    <row r="3255" spans="1:48" ht="10.9" customHeight="1">
      <c r="A3255" s="762" t="s">
        <v>265</v>
      </c>
      <c r="B3255" s="762" t="s">
        <v>1248</v>
      </c>
      <c r="C3255" s="762" t="s">
        <v>505</v>
      </c>
      <c r="D3255" s="1599"/>
      <c r="E3255" s="2245" t="s">
        <v>1942</v>
      </c>
      <c r="F3255" s="763">
        <v>2314</v>
      </c>
      <c r="G3255" s="772" t="s">
        <v>455</v>
      </c>
      <c r="H3255" s="764"/>
      <c r="I3255" s="764">
        <v>200</v>
      </c>
      <c r="J3255" s="753"/>
      <c r="K3255" s="754"/>
      <c r="L3255" s="1650"/>
      <c r="M3255" s="1576">
        <v>300</v>
      </c>
      <c r="N3255" s="2847"/>
      <c r="O3255" s="86"/>
      <c r="P3255" s="1817" t="e">
        <f>INDEX(#REF!,MATCH(F3255,#REF!,0),2)</f>
        <v>#REF!</v>
      </c>
      <c r="Q3255" s="43"/>
      <c r="R3255" s="43"/>
      <c r="S3255" s="43"/>
      <c r="T3255" s="43"/>
      <c r="U3255" s="43"/>
      <c r="V3255" s="43"/>
      <c r="W3255" s="43"/>
      <c r="X3255" s="43"/>
      <c r="Y3255" s="43"/>
      <c r="Z3255" s="43"/>
      <c r="AA3255" s="43"/>
      <c r="AB3255" s="43"/>
      <c r="AC3255" s="43"/>
      <c r="AD3255" s="43"/>
      <c r="AE3255" s="43"/>
      <c r="AF3255" s="43"/>
      <c r="AG3255" s="43"/>
      <c r="AH3255" s="43"/>
      <c r="AI3255" s="43"/>
      <c r="AJ3255" s="43"/>
      <c r="AK3255" s="43"/>
      <c r="AL3255" s="43"/>
      <c r="AM3255" s="43"/>
      <c r="AN3255" s="43"/>
      <c r="AO3255" s="43"/>
      <c r="AP3255" s="43"/>
      <c r="AQ3255" s="43"/>
      <c r="AR3255" s="43"/>
      <c r="AS3255" s="43"/>
      <c r="AT3255" s="43"/>
      <c r="AU3255" s="43"/>
      <c r="AV3255" s="43"/>
    </row>
    <row r="3256" spans="1:48" ht="19.899999999999999" customHeight="1">
      <c r="A3256" s="2790"/>
      <c r="B3256" s="762" t="s">
        <v>1248</v>
      </c>
      <c r="C3256" s="762" t="s">
        <v>505</v>
      </c>
      <c r="D3256" s="1599"/>
      <c r="E3256" s="2245" t="s">
        <v>1942</v>
      </c>
      <c r="F3256" s="3072">
        <v>2314</v>
      </c>
      <c r="G3256" s="772" t="s">
        <v>5164</v>
      </c>
      <c r="H3256" s="764"/>
      <c r="I3256" s="764">
        <v>500</v>
      </c>
      <c r="J3256" s="1651"/>
      <c r="K3256" s="1652"/>
      <c r="L3256" s="1650"/>
      <c r="M3256" s="2779">
        <v>2000</v>
      </c>
      <c r="N3256" s="3764" t="s">
        <v>5672</v>
      </c>
      <c r="O3256" s="86"/>
      <c r="P3256" s="1817" t="e">
        <f>INDEX(#REF!,MATCH(F3256,#REF!,0),2)</f>
        <v>#REF!</v>
      </c>
      <c r="Q3256" s="11"/>
      <c r="R3256" s="11"/>
      <c r="S3256" s="11"/>
      <c r="T3256" s="11"/>
      <c r="U3256" s="11"/>
      <c r="V3256" s="11"/>
      <c r="W3256" s="4"/>
      <c r="X3256" s="11"/>
      <c r="Y3256" s="11"/>
      <c r="Z3256" s="11"/>
      <c r="AA3256" s="11"/>
      <c r="AB3256" s="11"/>
      <c r="AC3256" s="11"/>
      <c r="AD3256" s="11"/>
      <c r="AE3256" s="11"/>
      <c r="AF3256" s="11"/>
      <c r="AG3256" s="11"/>
      <c r="AH3256" s="11"/>
      <c r="AI3256" s="11"/>
      <c r="AJ3256" s="11"/>
      <c r="AK3256" s="11"/>
      <c r="AL3256" s="11"/>
      <c r="AM3256" s="11"/>
      <c r="AN3256" s="11"/>
      <c r="AO3256" s="11"/>
      <c r="AP3256" s="11"/>
      <c r="AQ3256" s="11"/>
      <c r="AR3256" s="11"/>
      <c r="AS3256" s="11"/>
      <c r="AT3256" s="11"/>
      <c r="AU3256" s="11"/>
      <c r="AV3256" s="11"/>
    </row>
    <row r="3257" spans="1:48" ht="25.15" customHeight="1">
      <c r="A3257" s="755" t="s">
        <v>265</v>
      </c>
      <c r="B3257" s="755" t="s">
        <v>1248</v>
      </c>
      <c r="C3257" s="755" t="s">
        <v>505</v>
      </c>
      <c r="D3257" s="1600">
        <v>1010</v>
      </c>
      <c r="E3257" s="2247" t="s">
        <v>1942</v>
      </c>
      <c r="F3257" s="756">
        <v>2322</v>
      </c>
      <c r="G3257" s="757" t="s">
        <v>319</v>
      </c>
      <c r="H3257" s="759">
        <v>1848</v>
      </c>
      <c r="I3257" s="759"/>
      <c r="J3257" s="760"/>
      <c r="K3257" s="761"/>
      <c r="L3257" s="3750">
        <v>2064</v>
      </c>
      <c r="M3257" s="1580"/>
      <c r="N3257" s="2847"/>
      <c r="O3257" s="86"/>
      <c r="P3257" s="1817" t="e">
        <f>INDEX(#REF!,MATCH(F3257,#REF!,0),2)</f>
        <v>#REF!</v>
      </c>
    </row>
    <row r="3258" spans="1:48" ht="11.45" customHeight="1">
      <c r="A3258" s="762" t="s">
        <v>265</v>
      </c>
      <c r="B3258" s="762" t="s">
        <v>1248</v>
      </c>
      <c r="C3258" s="762" t="s">
        <v>505</v>
      </c>
      <c r="D3258" s="1599"/>
      <c r="E3258" s="2245" t="s">
        <v>1942</v>
      </c>
      <c r="F3258" s="763">
        <v>2322</v>
      </c>
      <c r="G3258" s="1567" t="s">
        <v>5161</v>
      </c>
      <c r="H3258" s="752"/>
      <c r="I3258" s="752">
        <v>1848</v>
      </c>
      <c r="J3258" s="753"/>
      <c r="K3258" s="754"/>
      <c r="L3258" s="1650"/>
      <c r="M3258" s="1576">
        <v>2064</v>
      </c>
      <c r="N3258" s="2847"/>
      <c r="O3258" s="86"/>
      <c r="P3258" s="1817" t="e">
        <f>INDEX(#REF!,MATCH(F3258,#REF!,0),2)</f>
        <v>#REF!</v>
      </c>
    </row>
    <row r="3259" spans="1:48" ht="19.149999999999999" customHeight="1">
      <c r="A3259" s="755" t="s">
        <v>265</v>
      </c>
      <c r="B3259" s="755" t="s">
        <v>1248</v>
      </c>
      <c r="C3259" s="755" t="s">
        <v>505</v>
      </c>
      <c r="D3259" s="1600">
        <v>1010</v>
      </c>
      <c r="E3259" s="2247" t="s">
        <v>1942</v>
      </c>
      <c r="F3259" s="756">
        <v>2350</v>
      </c>
      <c r="G3259" s="757" t="s">
        <v>251</v>
      </c>
      <c r="H3259" s="759">
        <v>1600</v>
      </c>
      <c r="I3259" s="759"/>
      <c r="J3259" s="760"/>
      <c r="K3259" s="761"/>
      <c r="L3259" s="1580">
        <v>1600</v>
      </c>
      <c r="M3259" s="1580"/>
      <c r="N3259" s="2847"/>
      <c r="O3259" s="86"/>
      <c r="P3259" s="1817" t="e">
        <f>INDEX(#REF!,MATCH(F3259,#REF!,0),2)</f>
        <v>#REF!</v>
      </c>
      <c r="Q3259" s="43"/>
      <c r="R3259" s="43"/>
      <c r="S3259" s="43"/>
      <c r="T3259" s="43"/>
      <c r="U3259" s="43"/>
      <c r="V3259" s="43"/>
      <c r="W3259" s="43"/>
      <c r="X3259" s="43"/>
      <c r="Y3259" s="43"/>
      <c r="Z3259" s="43"/>
      <c r="AA3259" s="43"/>
      <c r="AB3259" s="43"/>
      <c r="AC3259" s="43"/>
      <c r="AD3259" s="43"/>
      <c r="AE3259" s="43"/>
      <c r="AF3259" s="43"/>
      <c r="AG3259" s="43"/>
      <c r="AH3259" s="43"/>
      <c r="AI3259" s="43"/>
      <c r="AJ3259" s="43"/>
      <c r="AK3259" s="43"/>
      <c r="AL3259" s="43"/>
      <c r="AM3259" s="43"/>
      <c r="AN3259" s="43"/>
      <c r="AO3259" s="43"/>
      <c r="AP3259" s="43"/>
      <c r="AQ3259" s="43"/>
      <c r="AR3259" s="43"/>
      <c r="AS3259" s="43"/>
      <c r="AT3259" s="43"/>
      <c r="AU3259" s="43"/>
      <c r="AV3259" s="43"/>
    </row>
    <row r="3260" spans="1:48" ht="23.25" customHeight="1">
      <c r="A3260" s="762"/>
      <c r="B3260" s="762" t="s">
        <v>1248</v>
      </c>
      <c r="C3260" s="762" t="s">
        <v>505</v>
      </c>
      <c r="D3260" s="1599"/>
      <c r="E3260" s="2245" t="s">
        <v>1942</v>
      </c>
      <c r="F3260" s="763">
        <v>2350</v>
      </c>
      <c r="G3260" s="772" t="s">
        <v>528</v>
      </c>
      <c r="H3260" s="752"/>
      <c r="I3260" s="837">
        <v>1000</v>
      </c>
      <c r="J3260" s="753"/>
      <c r="K3260" s="839"/>
      <c r="L3260" s="1576"/>
      <c r="M3260" s="3757">
        <v>1000</v>
      </c>
      <c r="N3260" s="2847"/>
      <c r="O3260" s="86"/>
      <c r="P3260" s="1817" t="e">
        <f>INDEX(#REF!,MATCH(F3260,#REF!,0),2)</f>
        <v>#REF!</v>
      </c>
      <c r="Q3260" s="43"/>
      <c r="R3260" s="43"/>
      <c r="S3260" s="43"/>
      <c r="T3260" s="43"/>
      <c r="U3260" s="43"/>
      <c r="V3260" s="43"/>
      <c r="W3260" s="43"/>
      <c r="X3260" s="43"/>
      <c r="Y3260" s="43"/>
      <c r="Z3260" s="43"/>
      <c r="AA3260" s="43"/>
      <c r="AB3260" s="43"/>
      <c r="AC3260" s="43"/>
      <c r="AD3260" s="43"/>
      <c r="AE3260" s="43"/>
      <c r="AF3260" s="43"/>
      <c r="AG3260" s="43"/>
      <c r="AH3260" s="43"/>
      <c r="AI3260" s="43"/>
      <c r="AJ3260" s="43"/>
      <c r="AK3260" s="43"/>
      <c r="AL3260" s="43"/>
      <c r="AM3260" s="43"/>
      <c r="AN3260" s="43"/>
      <c r="AO3260" s="43"/>
      <c r="AP3260" s="43"/>
      <c r="AQ3260" s="43"/>
      <c r="AR3260" s="43"/>
      <c r="AS3260" s="43"/>
      <c r="AT3260" s="43"/>
      <c r="AU3260" s="43"/>
      <c r="AV3260" s="43"/>
    </row>
    <row r="3261" spans="1:48" ht="39.75" customHeight="1">
      <c r="A3261" s="762"/>
      <c r="B3261" s="762" t="s">
        <v>1248</v>
      </c>
      <c r="C3261" s="762" t="s">
        <v>505</v>
      </c>
      <c r="D3261" s="1599"/>
      <c r="E3261" s="2245" t="s">
        <v>1942</v>
      </c>
      <c r="F3261" s="763">
        <v>2350</v>
      </c>
      <c r="G3261" s="772" t="s">
        <v>537</v>
      </c>
      <c r="H3261" s="752"/>
      <c r="I3261" s="837">
        <v>400</v>
      </c>
      <c r="J3261" s="753"/>
      <c r="K3261" s="839"/>
      <c r="L3261" s="1576"/>
      <c r="M3261" s="1576">
        <v>400</v>
      </c>
      <c r="N3261" s="2847"/>
      <c r="O3261" s="86"/>
      <c r="P3261" s="1817" t="e">
        <f>INDEX(#REF!,MATCH(F3261,#REF!,0),2)</f>
        <v>#REF!</v>
      </c>
      <c r="Q3261" s="43"/>
      <c r="R3261" s="43"/>
      <c r="S3261" s="43"/>
      <c r="T3261" s="43"/>
      <c r="U3261" s="43"/>
      <c r="V3261" s="43"/>
      <c r="W3261" s="43"/>
      <c r="X3261" s="43"/>
      <c r="Y3261" s="43"/>
      <c r="Z3261" s="43"/>
      <c r="AA3261" s="43"/>
      <c r="AB3261" s="43"/>
      <c r="AC3261" s="43"/>
      <c r="AD3261" s="43"/>
      <c r="AE3261" s="43"/>
      <c r="AF3261" s="43"/>
      <c r="AG3261" s="43"/>
      <c r="AH3261" s="43"/>
      <c r="AI3261" s="43"/>
      <c r="AJ3261" s="43"/>
      <c r="AK3261" s="43"/>
      <c r="AL3261" s="43"/>
      <c r="AM3261" s="43"/>
      <c r="AN3261" s="43"/>
      <c r="AO3261" s="43"/>
      <c r="AP3261" s="43"/>
      <c r="AQ3261" s="43"/>
      <c r="AR3261" s="43"/>
      <c r="AS3261" s="43"/>
      <c r="AT3261" s="43"/>
      <c r="AU3261" s="43"/>
      <c r="AV3261" s="43"/>
    </row>
    <row r="3262" spans="1:48" ht="22.9" customHeight="1">
      <c r="A3262" s="762"/>
      <c r="B3262" s="762" t="s">
        <v>1248</v>
      </c>
      <c r="C3262" s="762" t="s">
        <v>505</v>
      </c>
      <c r="D3262" s="1599"/>
      <c r="E3262" s="2245" t="s">
        <v>1942</v>
      </c>
      <c r="F3262" s="763">
        <v>2350</v>
      </c>
      <c r="G3262" s="772" t="s">
        <v>5162</v>
      </c>
      <c r="H3262" s="764"/>
      <c r="I3262" s="838">
        <v>200</v>
      </c>
      <c r="J3262" s="765"/>
      <c r="K3262" s="840"/>
      <c r="L3262" s="1576"/>
      <c r="M3262" s="3757">
        <v>200</v>
      </c>
      <c r="N3262" s="2847"/>
      <c r="O3262" s="86"/>
      <c r="P3262" s="1817" t="e">
        <f>INDEX(#REF!,MATCH(F3262,#REF!,0),2)</f>
        <v>#REF!</v>
      </c>
      <c r="Q3262" s="43"/>
      <c r="R3262" s="43"/>
      <c r="S3262" s="43"/>
      <c r="T3262" s="43"/>
      <c r="U3262" s="43"/>
      <c r="V3262" s="43"/>
      <c r="W3262" s="43"/>
      <c r="X3262" s="43"/>
      <c r="Y3262" s="43"/>
      <c r="Z3262" s="43"/>
      <c r="AA3262" s="43"/>
      <c r="AB3262" s="43"/>
      <c r="AC3262" s="43"/>
      <c r="AD3262" s="43"/>
      <c r="AE3262" s="43"/>
      <c r="AF3262" s="43"/>
      <c r="AG3262" s="43"/>
      <c r="AH3262" s="43"/>
      <c r="AI3262" s="43"/>
      <c r="AJ3262" s="43"/>
      <c r="AK3262" s="43"/>
      <c r="AL3262" s="43"/>
      <c r="AM3262" s="43"/>
      <c r="AN3262" s="43"/>
      <c r="AO3262" s="43"/>
      <c r="AP3262" s="43"/>
      <c r="AQ3262" s="43"/>
      <c r="AR3262" s="43"/>
      <c r="AS3262" s="43"/>
      <c r="AT3262" s="43"/>
      <c r="AU3262" s="43"/>
      <c r="AV3262" s="43"/>
    </row>
    <row r="3263" spans="1:48" ht="13.9" customHeight="1">
      <c r="A3263" s="755"/>
      <c r="B3263" s="755" t="s">
        <v>1248</v>
      </c>
      <c r="C3263" s="755" t="s">
        <v>505</v>
      </c>
      <c r="D3263" s="1600">
        <v>1010</v>
      </c>
      <c r="E3263" s="2247" t="s">
        <v>1942</v>
      </c>
      <c r="F3263" s="756">
        <v>2390</v>
      </c>
      <c r="G3263" s="757" t="s">
        <v>314</v>
      </c>
      <c r="H3263" s="759">
        <v>0</v>
      </c>
      <c r="I3263" s="759"/>
      <c r="J3263" s="760"/>
      <c r="K3263" s="761"/>
      <c r="L3263" s="1719"/>
      <c r="M3263" s="1578"/>
      <c r="N3263" s="3756" t="s">
        <v>5163</v>
      </c>
      <c r="O3263" s="86"/>
      <c r="P3263" s="1817" t="e">
        <f>INDEX(#REF!,MATCH(F3263,#REF!,0),2)</f>
        <v>#REF!</v>
      </c>
      <c r="Q3263" s="43"/>
      <c r="R3263" s="43"/>
      <c r="S3263" s="43"/>
      <c r="T3263" s="43"/>
      <c r="U3263" s="43"/>
      <c r="V3263" s="43"/>
      <c r="W3263" s="43"/>
      <c r="X3263" s="43"/>
      <c r="Y3263" s="43"/>
      <c r="Z3263" s="43"/>
      <c r="AA3263" s="43"/>
      <c r="AB3263" s="43"/>
      <c r="AC3263" s="43"/>
      <c r="AD3263" s="43"/>
      <c r="AE3263" s="43"/>
      <c r="AF3263" s="43"/>
      <c r="AG3263" s="43"/>
      <c r="AH3263" s="43"/>
      <c r="AI3263" s="43"/>
      <c r="AJ3263" s="43"/>
      <c r="AK3263" s="43"/>
      <c r="AL3263" s="43"/>
      <c r="AM3263" s="43"/>
      <c r="AN3263" s="43"/>
      <c r="AO3263" s="43"/>
      <c r="AP3263" s="43"/>
      <c r="AQ3263" s="43"/>
      <c r="AR3263" s="43"/>
      <c r="AS3263" s="43"/>
      <c r="AT3263" s="43"/>
      <c r="AU3263" s="43"/>
      <c r="AV3263" s="43"/>
    </row>
    <row r="3264" spans="1:48" ht="11.45" customHeight="1">
      <c r="A3264" s="762"/>
      <c r="B3264" s="762" t="s">
        <v>1248</v>
      </c>
      <c r="C3264" s="762" t="s">
        <v>505</v>
      </c>
      <c r="D3264" s="1599"/>
      <c r="E3264" s="2245" t="s">
        <v>1942</v>
      </c>
      <c r="F3264" s="763">
        <v>2390</v>
      </c>
      <c r="G3264" s="772" t="s">
        <v>455</v>
      </c>
      <c r="H3264" s="764"/>
      <c r="I3264" s="764">
        <v>0</v>
      </c>
      <c r="J3264" s="765"/>
      <c r="K3264" s="766"/>
      <c r="L3264" s="1657"/>
      <c r="M3264" s="1575"/>
      <c r="N3264" s="2847"/>
      <c r="O3264" s="86"/>
      <c r="P3264" s="1817" t="e">
        <f>INDEX(#REF!,MATCH(F3264,#REF!,0),2)</f>
        <v>#REF!</v>
      </c>
      <c r="Q3264" s="43"/>
      <c r="R3264" s="43"/>
      <c r="S3264" s="43"/>
      <c r="T3264" s="43"/>
      <c r="U3264" s="43"/>
      <c r="V3264" s="43"/>
      <c r="W3264" s="43"/>
      <c r="X3264" s="43"/>
      <c r="Y3264" s="43"/>
      <c r="Z3264" s="43"/>
      <c r="AA3264" s="43"/>
      <c r="AB3264" s="43"/>
      <c r="AC3264" s="43"/>
      <c r="AD3264" s="43"/>
      <c r="AE3264" s="43"/>
      <c r="AF3264" s="43"/>
      <c r="AG3264" s="43"/>
      <c r="AH3264" s="43"/>
      <c r="AI3264" s="43"/>
      <c r="AJ3264" s="43"/>
      <c r="AK3264" s="43"/>
      <c r="AL3264" s="43"/>
      <c r="AM3264" s="43"/>
      <c r="AN3264" s="43"/>
      <c r="AO3264" s="43"/>
      <c r="AP3264" s="43"/>
      <c r="AQ3264" s="43"/>
      <c r="AR3264" s="43"/>
      <c r="AS3264" s="43"/>
      <c r="AT3264" s="43"/>
      <c r="AU3264" s="43"/>
      <c r="AV3264" s="43"/>
    </row>
    <row r="3265" spans="1:48" ht="20.25" customHeight="1">
      <c r="A3265" s="762"/>
      <c r="B3265" s="762" t="s">
        <v>1248</v>
      </c>
      <c r="C3265" s="762" t="s">
        <v>505</v>
      </c>
      <c r="D3265" s="1599"/>
      <c r="E3265" s="2245" t="s">
        <v>1942</v>
      </c>
      <c r="F3265" s="763">
        <v>2390</v>
      </c>
      <c r="G3265" s="772" t="s">
        <v>1515</v>
      </c>
      <c r="H3265" s="764"/>
      <c r="I3265" s="764">
        <v>0</v>
      </c>
      <c r="J3265" s="765"/>
      <c r="K3265" s="766"/>
      <c r="L3265" s="1657"/>
      <c r="M3265" s="1575"/>
      <c r="N3265" s="2847"/>
      <c r="O3265" s="86"/>
      <c r="P3265" s="1817" t="e">
        <f>INDEX(#REF!,MATCH(F3265,#REF!,0),2)</f>
        <v>#REF!</v>
      </c>
      <c r="Q3265" s="43"/>
      <c r="R3265" s="43"/>
      <c r="S3265" s="43"/>
      <c r="T3265" s="43"/>
      <c r="U3265" s="43"/>
      <c r="V3265" s="43"/>
      <c r="W3265" s="43"/>
      <c r="X3265" s="43"/>
      <c r="Y3265" s="43"/>
      <c r="Z3265" s="43"/>
      <c r="AA3265" s="43"/>
      <c r="AB3265" s="43"/>
      <c r="AC3265" s="43"/>
      <c r="AD3265" s="43"/>
      <c r="AE3265" s="43"/>
      <c r="AF3265" s="43"/>
      <c r="AG3265" s="43"/>
      <c r="AH3265" s="43"/>
      <c r="AI3265" s="43"/>
      <c r="AJ3265" s="43"/>
      <c r="AK3265" s="43"/>
      <c r="AL3265" s="43"/>
      <c r="AM3265" s="43"/>
      <c r="AN3265" s="43"/>
      <c r="AO3265" s="43"/>
      <c r="AP3265" s="43"/>
      <c r="AQ3265" s="43"/>
      <c r="AR3265" s="43"/>
      <c r="AS3265" s="43"/>
      <c r="AT3265" s="43"/>
      <c r="AU3265" s="43"/>
      <c r="AV3265" s="43"/>
    </row>
    <row r="3266" spans="1:48" ht="20.45" customHeight="1">
      <c r="A3266" s="755" t="s">
        <v>265</v>
      </c>
      <c r="B3266" s="775" t="s">
        <v>1249</v>
      </c>
      <c r="C3266" s="755" t="s">
        <v>510</v>
      </c>
      <c r="D3266" s="1600">
        <v>1010</v>
      </c>
      <c r="E3266" s="2247" t="s">
        <v>1942</v>
      </c>
      <c r="F3266" s="756">
        <v>3263</v>
      </c>
      <c r="G3266" s="757" t="s">
        <v>314</v>
      </c>
      <c r="H3266" s="759">
        <v>15000</v>
      </c>
      <c r="I3266" s="759"/>
      <c r="J3266" s="760"/>
      <c r="K3266" s="761"/>
      <c r="L3266" s="3750">
        <v>15000</v>
      </c>
      <c r="M3266" s="1580"/>
      <c r="N3266" s="2847"/>
      <c r="O3266" s="86"/>
      <c r="P3266" s="1817" t="e">
        <f>INDEX(#REF!,MATCH(F3266,#REF!,0),2)</f>
        <v>#REF!</v>
      </c>
      <c r="Q3266" s="43"/>
      <c r="R3266" s="43"/>
      <c r="S3266" s="43"/>
      <c r="T3266" s="43"/>
      <c r="U3266" s="43"/>
      <c r="V3266" s="43"/>
      <c r="W3266" s="43"/>
      <c r="X3266" s="43"/>
      <c r="Y3266" s="43"/>
      <c r="Z3266" s="43"/>
      <c r="AA3266" s="43"/>
      <c r="AB3266" s="43"/>
      <c r="AC3266" s="43"/>
      <c r="AD3266" s="43"/>
      <c r="AE3266" s="43"/>
      <c r="AF3266" s="43"/>
      <c r="AG3266" s="43"/>
      <c r="AH3266" s="43"/>
      <c r="AI3266" s="43"/>
      <c r="AJ3266" s="43"/>
      <c r="AK3266" s="43"/>
      <c r="AL3266" s="43"/>
      <c r="AM3266" s="43"/>
      <c r="AN3266" s="43"/>
      <c r="AO3266" s="43"/>
      <c r="AP3266" s="43"/>
      <c r="AQ3266" s="43"/>
      <c r="AR3266" s="43"/>
      <c r="AS3266" s="43"/>
      <c r="AT3266" s="43"/>
      <c r="AU3266" s="43"/>
      <c r="AV3266" s="43"/>
    </row>
    <row r="3267" spans="1:48" ht="20.45" customHeight="1">
      <c r="A3267" s="762" t="s">
        <v>265</v>
      </c>
      <c r="B3267" s="489" t="s">
        <v>1249</v>
      </c>
      <c r="C3267" s="762" t="s">
        <v>510</v>
      </c>
      <c r="D3267" s="1599"/>
      <c r="E3267" s="2245" t="s">
        <v>1942</v>
      </c>
      <c r="F3267" s="763">
        <v>3263</v>
      </c>
      <c r="G3267" s="1567" t="s">
        <v>5165</v>
      </c>
      <c r="H3267" s="752"/>
      <c r="I3267" s="752">
        <v>15000</v>
      </c>
      <c r="J3267" s="753"/>
      <c r="K3267" s="754"/>
      <c r="L3267" s="1650"/>
      <c r="M3267" s="1576">
        <v>15000</v>
      </c>
      <c r="N3267" s="2847"/>
      <c r="O3267" s="86"/>
      <c r="P3267" s="1817" t="e">
        <f>INDEX(#REF!,MATCH(F3267,#REF!,0),2)</f>
        <v>#REF!</v>
      </c>
      <c r="Q3267" s="11"/>
      <c r="R3267" s="11"/>
      <c r="S3267" s="11"/>
      <c r="T3267" s="11"/>
      <c r="U3267" s="11"/>
      <c r="V3267" s="11"/>
      <c r="W3267" s="4"/>
      <c r="X3267" s="11"/>
      <c r="Y3267" s="11"/>
      <c r="Z3267" s="11"/>
      <c r="AA3267" s="11"/>
      <c r="AB3267" s="11"/>
      <c r="AC3267" s="11"/>
      <c r="AD3267" s="11"/>
      <c r="AE3267" s="11"/>
      <c r="AF3267" s="11"/>
      <c r="AG3267" s="11"/>
      <c r="AH3267" s="11"/>
      <c r="AI3267" s="11"/>
      <c r="AJ3267" s="11"/>
      <c r="AK3267" s="11"/>
      <c r="AL3267" s="11"/>
      <c r="AM3267" s="11"/>
      <c r="AN3267" s="11"/>
      <c r="AO3267" s="11"/>
      <c r="AP3267" s="11"/>
      <c r="AQ3267" s="11"/>
      <c r="AR3267" s="11"/>
      <c r="AS3267" s="11"/>
      <c r="AT3267" s="11"/>
      <c r="AU3267" s="11"/>
      <c r="AV3267" s="11"/>
    </row>
    <row r="3268" spans="1:48" ht="11.45" customHeight="1">
      <c r="A3268" s="755" t="s">
        <v>265</v>
      </c>
      <c r="B3268" s="755" t="s">
        <v>1248</v>
      </c>
      <c r="C3268" s="755" t="s">
        <v>509</v>
      </c>
      <c r="D3268" s="1600">
        <v>1010</v>
      </c>
      <c r="E3268" s="2247" t="s">
        <v>1942</v>
      </c>
      <c r="F3268" s="788">
        <v>5120</v>
      </c>
      <c r="G3268" s="757" t="s">
        <v>899</v>
      </c>
      <c r="H3268" s="759">
        <v>0</v>
      </c>
      <c r="I3268" s="759"/>
      <c r="J3268" s="760"/>
      <c r="K3268" s="761"/>
      <c r="L3268" s="3750">
        <v>0</v>
      </c>
      <c r="M3268" s="1580"/>
      <c r="N3268" s="2847"/>
      <c r="O3268" s="86"/>
      <c r="P3268" s="1817" t="e">
        <f>INDEX(#REF!,MATCH(F3268,#REF!,0),2)</f>
        <v>#REF!</v>
      </c>
      <c r="Q3268" s="43"/>
      <c r="R3268" s="43"/>
      <c r="S3268" s="43"/>
      <c r="T3268" s="43"/>
      <c r="U3268" s="43"/>
      <c r="V3268" s="43"/>
      <c r="W3268" s="43"/>
      <c r="X3268" s="43"/>
      <c r="Y3268" s="43"/>
      <c r="Z3268" s="43"/>
      <c r="AA3268" s="43"/>
      <c r="AB3268" s="43"/>
      <c r="AC3268" s="43"/>
      <c r="AD3268" s="43"/>
      <c r="AE3268" s="43"/>
      <c r="AF3268" s="43"/>
      <c r="AG3268" s="43"/>
      <c r="AH3268" s="43"/>
      <c r="AI3268" s="43"/>
      <c r="AJ3268" s="43"/>
      <c r="AK3268" s="43"/>
      <c r="AL3268" s="43"/>
      <c r="AM3268" s="43"/>
      <c r="AN3268" s="43"/>
      <c r="AO3268" s="43"/>
      <c r="AP3268" s="43"/>
      <c r="AQ3268" s="43"/>
      <c r="AR3268" s="43"/>
      <c r="AS3268" s="43"/>
      <c r="AT3268" s="43"/>
      <c r="AU3268" s="43"/>
      <c r="AV3268" s="43"/>
    </row>
    <row r="3269" spans="1:48" ht="52.15" customHeight="1">
      <c r="A3269" s="762" t="s">
        <v>265</v>
      </c>
      <c r="B3269" s="762" t="s">
        <v>1248</v>
      </c>
      <c r="C3269" s="762" t="s">
        <v>509</v>
      </c>
      <c r="D3269" s="1599"/>
      <c r="E3269" s="2245" t="s">
        <v>1942</v>
      </c>
      <c r="F3269" s="773">
        <v>5120</v>
      </c>
      <c r="G3269" s="772" t="s">
        <v>1516</v>
      </c>
      <c r="H3269" s="752"/>
      <c r="I3269" s="752"/>
      <c r="J3269" s="753"/>
      <c r="K3269" s="754"/>
      <c r="L3269" s="1650"/>
      <c r="M3269" s="1576"/>
      <c r="N3269" s="2847"/>
      <c r="O3269" s="86"/>
      <c r="P3269" s="1817" t="e">
        <f>INDEX(#REF!,MATCH(F3269,#REF!,0),2)</f>
        <v>#REF!</v>
      </c>
      <c r="Q3269" s="43"/>
      <c r="R3269" s="43"/>
      <c r="S3269" s="43"/>
      <c r="T3269" s="43"/>
      <c r="U3269" s="43"/>
      <c r="V3269" s="43"/>
      <c r="W3269" s="43"/>
      <c r="X3269" s="43"/>
      <c r="Y3269" s="43"/>
      <c r="Z3269" s="43"/>
      <c r="AA3269" s="43"/>
      <c r="AB3269" s="43"/>
      <c r="AC3269" s="43"/>
      <c r="AD3269" s="43"/>
      <c r="AE3269" s="43"/>
      <c r="AF3269" s="43"/>
      <c r="AG3269" s="43"/>
      <c r="AH3269" s="43"/>
      <c r="AI3269" s="43"/>
      <c r="AJ3269" s="43"/>
      <c r="AK3269" s="43"/>
      <c r="AL3269" s="43"/>
      <c r="AM3269" s="43"/>
      <c r="AN3269" s="43"/>
      <c r="AO3269" s="43"/>
      <c r="AP3269" s="43"/>
      <c r="AQ3269" s="43"/>
      <c r="AR3269" s="43"/>
      <c r="AS3269" s="43"/>
      <c r="AT3269" s="43"/>
      <c r="AU3269" s="43"/>
      <c r="AV3269" s="43"/>
    </row>
    <row r="3270" spans="1:48" ht="21.6" customHeight="1">
      <c r="A3270" s="755" t="s">
        <v>265</v>
      </c>
      <c r="B3270" s="755" t="s">
        <v>1250</v>
      </c>
      <c r="C3270" s="755" t="s">
        <v>509</v>
      </c>
      <c r="D3270" s="1600">
        <v>1010</v>
      </c>
      <c r="E3270" s="2247" t="s">
        <v>1942</v>
      </c>
      <c r="F3270" s="788">
        <v>5238</v>
      </c>
      <c r="G3270" s="757" t="s">
        <v>257</v>
      </c>
      <c r="H3270" s="759">
        <v>1300</v>
      </c>
      <c r="I3270" s="759"/>
      <c r="J3270" s="760"/>
      <c r="K3270" s="761"/>
      <c r="L3270" s="3750">
        <v>1300</v>
      </c>
      <c r="M3270" s="1580"/>
      <c r="N3270" s="2847"/>
      <c r="O3270" s="86"/>
      <c r="P3270" s="1817" t="e">
        <f>INDEX(#REF!,MATCH(F3270,#REF!,0),2)</f>
        <v>#REF!</v>
      </c>
      <c r="Q3270" s="43"/>
      <c r="R3270" s="43"/>
      <c r="S3270" s="43"/>
      <c r="T3270" s="43"/>
      <c r="U3270" s="43"/>
      <c r="V3270" s="43"/>
      <c r="W3270" s="43"/>
      <c r="X3270" s="43"/>
      <c r="Y3270" s="43"/>
      <c r="Z3270" s="43"/>
      <c r="AA3270" s="43"/>
      <c r="AB3270" s="43"/>
      <c r="AC3270" s="43"/>
      <c r="AD3270" s="43"/>
      <c r="AE3270" s="43"/>
      <c r="AF3270" s="43"/>
      <c r="AG3270" s="43"/>
      <c r="AH3270" s="43"/>
      <c r="AI3270" s="43"/>
      <c r="AJ3270" s="43"/>
      <c r="AK3270" s="43"/>
      <c r="AL3270" s="43"/>
      <c r="AM3270" s="43"/>
      <c r="AN3270" s="43"/>
      <c r="AO3270" s="43"/>
      <c r="AP3270" s="43"/>
      <c r="AQ3270" s="43"/>
      <c r="AR3270" s="43"/>
      <c r="AS3270" s="43"/>
      <c r="AT3270" s="43"/>
      <c r="AU3270" s="43"/>
      <c r="AV3270" s="43"/>
    </row>
    <row r="3271" spans="1:48" ht="19.899999999999999" customHeight="1">
      <c r="A3271" s="762" t="s">
        <v>265</v>
      </c>
      <c r="B3271" s="762" t="s">
        <v>1250</v>
      </c>
      <c r="C3271" s="762" t="s">
        <v>509</v>
      </c>
      <c r="D3271" s="1599"/>
      <c r="E3271" s="2245" t="s">
        <v>1942</v>
      </c>
      <c r="F3271" s="773">
        <v>5238</v>
      </c>
      <c r="G3271" s="1567" t="s">
        <v>2664</v>
      </c>
      <c r="H3271" s="752"/>
      <c r="I3271" s="752">
        <v>1300</v>
      </c>
      <c r="J3271" s="753"/>
      <c r="K3271" s="754"/>
      <c r="L3271" s="1650"/>
      <c r="M3271" s="1576">
        <v>1300</v>
      </c>
      <c r="N3271" s="2847"/>
      <c r="O3271" s="86"/>
      <c r="P3271" s="1817" t="e">
        <f>INDEX(#REF!,MATCH(F3271,#REF!,0),2)</f>
        <v>#REF!</v>
      </c>
      <c r="Q3271" s="11"/>
      <c r="R3271" s="11"/>
      <c r="S3271" s="11"/>
      <c r="T3271" s="11"/>
      <c r="U3271" s="11"/>
      <c r="V3271" s="11"/>
      <c r="W3271" s="4"/>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row>
    <row r="3272" spans="1:48" ht="24.6" customHeight="1">
      <c r="A3272" s="755" t="s">
        <v>265</v>
      </c>
      <c r="B3272" s="755" t="s">
        <v>1250</v>
      </c>
      <c r="C3272" s="755" t="s">
        <v>509</v>
      </c>
      <c r="D3272" s="1600">
        <v>1010</v>
      </c>
      <c r="E3272" s="2247" t="s">
        <v>1942</v>
      </c>
      <c r="F3272" s="788">
        <v>5239</v>
      </c>
      <c r="G3272" s="757" t="s">
        <v>256</v>
      </c>
      <c r="H3272" s="759">
        <v>0</v>
      </c>
      <c r="I3272" s="759"/>
      <c r="J3272" s="760"/>
      <c r="K3272" s="761"/>
      <c r="L3272" s="3750">
        <v>0</v>
      </c>
      <c r="M3272" s="1580"/>
      <c r="N3272" s="2847"/>
      <c r="O3272" s="86"/>
      <c r="P3272" s="1817" t="e">
        <f>INDEX(#REF!,MATCH(F3272,#REF!,0),2)</f>
        <v>#REF!</v>
      </c>
      <c r="Q3272" s="43"/>
      <c r="R3272" s="43"/>
      <c r="S3272" s="43"/>
      <c r="T3272" s="43"/>
      <c r="U3272" s="43"/>
      <c r="V3272" s="43"/>
      <c r="W3272" s="43"/>
      <c r="X3272" s="43"/>
      <c r="Y3272" s="43"/>
      <c r="Z3272" s="43"/>
      <c r="AA3272" s="43"/>
      <c r="AB3272" s="43"/>
      <c r="AC3272" s="43"/>
      <c r="AD3272" s="43"/>
      <c r="AE3272" s="43"/>
      <c r="AF3272" s="43"/>
      <c r="AG3272" s="43"/>
      <c r="AH3272" s="43"/>
      <c r="AI3272" s="43"/>
      <c r="AJ3272" s="43"/>
      <c r="AK3272" s="43"/>
      <c r="AL3272" s="43"/>
      <c r="AM3272" s="43"/>
      <c r="AN3272" s="43"/>
      <c r="AO3272" s="43"/>
      <c r="AP3272" s="43"/>
      <c r="AQ3272" s="43"/>
      <c r="AR3272" s="43"/>
      <c r="AS3272" s="43"/>
      <c r="AT3272" s="43"/>
      <c r="AU3272" s="43"/>
      <c r="AV3272" s="43"/>
    </row>
    <row r="3273" spans="1:48" ht="42" customHeight="1">
      <c r="A3273" s="762"/>
      <c r="B3273" s="762" t="s">
        <v>1250</v>
      </c>
      <c r="C3273" s="762" t="s">
        <v>509</v>
      </c>
      <c r="D3273" s="1599"/>
      <c r="E3273" s="2245" t="s">
        <v>1942</v>
      </c>
      <c r="F3273" s="773">
        <v>5239</v>
      </c>
      <c r="G3273" s="772" t="s">
        <v>5167</v>
      </c>
      <c r="H3273" s="752"/>
      <c r="I3273" s="752"/>
      <c r="J3273" s="753"/>
      <c r="K3273" s="754"/>
      <c r="L3273" s="1650"/>
      <c r="M3273" s="1576">
        <v>0</v>
      </c>
      <c r="N3273" s="2396" t="s">
        <v>5673</v>
      </c>
      <c r="O3273" s="86"/>
      <c r="P3273" s="1817" t="e">
        <f>INDEX(#REF!,MATCH(F3273,#REF!,0),2)</f>
        <v>#REF!</v>
      </c>
      <c r="Q3273" s="11"/>
      <c r="R3273" s="11"/>
      <c r="S3273" s="11"/>
      <c r="T3273" s="11"/>
      <c r="U3273" s="11"/>
      <c r="V3273" s="11"/>
      <c r="W3273" s="4"/>
      <c r="X3273" s="11"/>
      <c r="Y3273" s="11"/>
      <c r="Z3273" s="11"/>
      <c r="AA3273" s="11"/>
      <c r="AB3273" s="11"/>
      <c r="AC3273" s="11"/>
      <c r="AD3273" s="11"/>
      <c r="AE3273" s="11"/>
      <c r="AF3273" s="11"/>
      <c r="AG3273" s="11"/>
      <c r="AH3273" s="11"/>
      <c r="AI3273" s="11"/>
      <c r="AJ3273" s="11"/>
      <c r="AK3273" s="11"/>
      <c r="AL3273" s="11"/>
      <c r="AM3273" s="11"/>
      <c r="AN3273" s="11"/>
      <c r="AO3273" s="11"/>
      <c r="AP3273" s="11"/>
      <c r="AQ3273" s="11"/>
      <c r="AR3273" s="11"/>
      <c r="AS3273" s="11"/>
      <c r="AT3273" s="11"/>
      <c r="AU3273" s="11"/>
      <c r="AV3273" s="11"/>
    </row>
    <row r="3274" spans="1:48" ht="22.9" customHeight="1">
      <c r="A3274" s="755"/>
      <c r="B3274" s="755" t="s">
        <v>531</v>
      </c>
      <c r="C3274" s="755" t="s">
        <v>529</v>
      </c>
      <c r="D3274" s="1600">
        <v>1010</v>
      </c>
      <c r="E3274" s="2247" t="s">
        <v>1942</v>
      </c>
      <c r="F3274" s="788">
        <v>6252</v>
      </c>
      <c r="G3274" s="757" t="s">
        <v>1078</v>
      </c>
      <c r="H3274" s="759">
        <v>25000</v>
      </c>
      <c r="I3274" s="759"/>
      <c r="J3274" s="760">
        <v>12808</v>
      </c>
      <c r="K3274" s="761"/>
      <c r="L3274" s="3750">
        <v>17000</v>
      </c>
      <c r="M3274" s="1580"/>
      <c r="N3274" s="2847"/>
      <c r="O3274" s="86"/>
      <c r="P3274" s="1817" t="e">
        <f>INDEX(#REF!,MATCH(F3274,#REF!,0),2)</f>
        <v>#REF!</v>
      </c>
      <c r="Q3274" s="43"/>
      <c r="R3274" s="43"/>
      <c r="S3274" s="43"/>
      <c r="T3274" s="43"/>
      <c r="U3274" s="43"/>
      <c r="V3274" s="43"/>
      <c r="W3274" s="43"/>
      <c r="X3274" s="43"/>
      <c r="Y3274" s="43"/>
      <c r="Z3274" s="43"/>
      <c r="AA3274" s="43"/>
      <c r="AB3274" s="43"/>
      <c r="AC3274" s="43"/>
      <c r="AD3274" s="43"/>
      <c r="AE3274" s="43"/>
      <c r="AF3274" s="43"/>
      <c r="AG3274" s="43"/>
      <c r="AH3274" s="43"/>
      <c r="AI3274" s="43"/>
      <c r="AJ3274" s="43"/>
      <c r="AK3274" s="43"/>
      <c r="AL3274" s="43"/>
      <c r="AM3274" s="43"/>
      <c r="AN3274" s="43"/>
      <c r="AO3274" s="43"/>
      <c r="AP3274" s="43"/>
      <c r="AQ3274" s="43"/>
      <c r="AR3274" s="43"/>
      <c r="AS3274" s="43"/>
      <c r="AT3274" s="43"/>
      <c r="AU3274" s="43"/>
      <c r="AV3274" s="43"/>
    </row>
    <row r="3275" spans="1:48" ht="51.75" customHeight="1">
      <c r="A3275" s="762"/>
      <c r="B3275" s="762" t="s">
        <v>531</v>
      </c>
      <c r="C3275" s="762" t="s">
        <v>529</v>
      </c>
      <c r="D3275" s="1599"/>
      <c r="E3275" s="2245" t="s">
        <v>1942</v>
      </c>
      <c r="F3275" s="773">
        <v>6252</v>
      </c>
      <c r="G3275" s="1567" t="s">
        <v>5168</v>
      </c>
      <c r="H3275" s="752"/>
      <c r="I3275" s="752">
        <v>25000</v>
      </c>
      <c r="J3275" s="753"/>
      <c r="K3275" s="754"/>
      <c r="L3275" s="1650"/>
      <c r="M3275" s="1576">
        <v>17000</v>
      </c>
      <c r="N3275" s="2847"/>
      <c r="O3275" s="86"/>
      <c r="P3275" s="1817" t="e">
        <f>INDEX(#REF!,MATCH(F3275,#REF!,0),2)</f>
        <v>#REF!</v>
      </c>
      <c r="Q3275" s="43"/>
      <c r="R3275" s="43"/>
      <c r="S3275" s="43"/>
      <c r="T3275" s="43"/>
      <c r="U3275" s="43"/>
      <c r="V3275" s="43"/>
      <c r="W3275" s="43"/>
      <c r="X3275" s="43"/>
      <c r="Y3275" s="43"/>
      <c r="Z3275" s="43"/>
      <c r="AA3275" s="43"/>
      <c r="AB3275" s="43"/>
      <c r="AC3275" s="43"/>
      <c r="AD3275" s="43"/>
      <c r="AE3275" s="43"/>
      <c r="AF3275" s="43"/>
      <c r="AG3275" s="43"/>
      <c r="AH3275" s="43"/>
      <c r="AI3275" s="43"/>
      <c r="AJ3275" s="43"/>
      <c r="AK3275" s="43"/>
      <c r="AL3275" s="43"/>
      <c r="AM3275" s="43"/>
      <c r="AN3275" s="43"/>
      <c r="AO3275" s="43"/>
      <c r="AP3275" s="43"/>
      <c r="AQ3275" s="43"/>
      <c r="AR3275" s="43"/>
      <c r="AS3275" s="43"/>
      <c r="AT3275" s="43"/>
      <c r="AU3275" s="43"/>
      <c r="AV3275" s="43"/>
    </row>
    <row r="3276" spans="1:48" ht="24" customHeight="1">
      <c r="A3276" s="755"/>
      <c r="B3276" s="755" t="s">
        <v>531</v>
      </c>
      <c r="C3276" s="755" t="s">
        <v>529</v>
      </c>
      <c r="D3276" s="1600">
        <v>1010</v>
      </c>
      <c r="E3276" s="2247" t="s">
        <v>1942</v>
      </c>
      <c r="F3276" s="788">
        <v>6253</v>
      </c>
      <c r="G3276" s="757" t="s">
        <v>456</v>
      </c>
      <c r="H3276" s="759">
        <v>200</v>
      </c>
      <c r="I3276" s="759"/>
      <c r="J3276" s="760"/>
      <c r="K3276" s="761"/>
      <c r="L3276" s="3750">
        <v>200</v>
      </c>
      <c r="M3276" s="1580"/>
      <c r="N3276" s="2847"/>
      <c r="O3276" s="86"/>
      <c r="P3276" s="1817" t="e">
        <f>INDEX(#REF!,MATCH(F3276,#REF!,0),2)</f>
        <v>#REF!</v>
      </c>
      <c r="Q3276" s="11"/>
      <c r="R3276" s="11"/>
      <c r="S3276" s="11"/>
      <c r="T3276" s="11"/>
      <c r="U3276" s="11"/>
      <c r="V3276" s="11"/>
      <c r="W3276" s="4"/>
      <c r="X3276" s="11"/>
      <c r="Y3276" s="11"/>
      <c r="Z3276" s="11"/>
      <c r="AA3276" s="11"/>
      <c r="AB3276" s="11"/>
      <c r="AC3276" s="11"/>
      <c r="AD3276" s="11"/>
      <c r="AE3276" s="11"/>
      <c r="AF3276" s="11"/>
      <c r="AG3276" s="11"/>
      <c r="AH3276" s="11"/>
      <c r="AI3276" s="11"/>
      <c r="AJ3276" s="11"/>
      <c r="AK3276" s="11"/>
      <c r="AL3276" s="11"/>
      <c r="AM3276" s="11"/>
      <c r="AN3276" s="11"/>
      <c r="AO3276" s="11"/>
      <c r="AP3276" s="11"/>
      <c r="AQ3276" s="11"/>
      <c r="AR3276" s="11"/>
      <c r="AS3276" s="11"/>
      <c r="AT3276" s="11"/>
      <c r="AU3276" s="11"/>
      <c r="AV3276" s="11"/>
    </row>
    <row r="3277" spans="1:48" ht="78.599999999999994" customHeight="1">
      <c r="A3277" s="762"/>
      <c r="B3277" s="762" t="s">
        <v>531</v>
      </c>
      <c r="C3277" s="762" t="s">
        <v>529</v>
      </c>
      <c r="D3277" s="1599"/>
      <c r="E3277" s="2245" t="s">
        <v>1942</v>
      </c>
      <c r="F3277" s="773">
        <v>6253</v>
      </c>
      <c r="G3277" s="772" t="s">
        <v>657</v>
      </c>
      <c r="H3277" s="752"/>
      <c r="I3277" s="752">
        <v>200</v>
      </c>
      <c r="J3277" s="753"/>
      <c r="K3277" s="754"/>
      <c r="L3277" s="1650"/>
      <c r="M3277" s="1576">
        <v>200</v>
      </c>
      <c r="N3277" s="2847"/>
      <c r="O3277" s="86"/>
      <c r="P3277" s="1817" t="e">
        <f>INDEX(#REF!,MATCH(F3277,#REF!,0),2)</f>
        <v>#REF!</v>
      </c>
      <c r="Q3277" s="43"/>
      <c r="R3277" s="43"/>
      <c r="S3277" s="43"/>
      <c r="T3277" s="43"/>
      <c r="U3277" s="43"/>
      <c r="V3277" s="43"/>
      <c r="W3277" s="43"/>
      <c r="X3277" s="43"/>
      <c r="Y3277" s="43"/>
      <c r="Z3277" s="43"/>
      <c r="AA3277" s="43"/>
      <c r="AB3277" s="43"/>
      <c r="AC3277" s="43"/>
      <c r="AD3277" s="43"/>
      <c r="AE3277" s="43"/>
      <c r="AF3277" s="43"/>
      <c r="AG3277" s="43"/>
      <c r="AH3277" s="43"/>
      <c r="AI3277" s="43"/>
      <c r="AJ3277" s="43"/>
      <c r="AK3277" s="43"/>
      <c r="AL3277" s="43"/>
      <c r="AM3277" s="43"/>
      <c r="AN3277" s="43"/>
      <c r="AO3277" s="43"/>
      <c r="AP3277" s="43"/>
      <c r="AQ3277" s="43"/>
      <c r="AR3277" s="43"/>
      <c r="AS3277" s="43"/>
      <c r="AT3277" s="43"/>
      <c r="AU3277" s="43"/>
      <c r="AV3277" s="43"/>
    </row>
    <row r="3278" spans="1:48" ht="30.6" customHeight="1">
      <c r="A3278" s="755"/>
      <c r="B3278" s="755" t="s">
        <v>531</v>
      </c>
      <c r="C3278" s="755" t="s">
        <v>529</v>
      </c>
      <c r="D3278" s="1600">
        <v>1010</v>
      </c>
      <c r="E3278" s="2247" t="s">
        <v>1942</v>
      </c>
      <c r="F3278" s="788">
        <v>6254</v>
      </c>
      <c r="G3278" s="757" t="s">
        <v>753</v>
      </c>
      <c r="H3278" s="759">
        <v>77000</v>
      </c>
      <c r="I3278" s="759"/>
      <c r="J3278" s="760">
        <v>6018</v>
      </c>
      <c r="K3278" s="761"/>
      <c r="L3278" s="3750">
        <v>30000</v>
      </c>
      <c r="M3278" s="1580"/>
      <c r="N3278" s="2847"/>
      <c r="O3278" s="86"/>
      <c r="P3278" s="1817" t="e">
        <f>INDEX(#REF!,MATCH(F3278,#REF!,0),2)</f>
        <v>#REF!</v>
      </c>
      <c r="Q3278" s="43"/>
      <c r="R3278" s="43"/>
      <c r="S3278" s="43"/>
      <c r="T3278" s="43"/>
      <c r="U3278" s="43"/>
      <c r="V3278" s="43"/>
      <c r="W3278" s="43"/>
      <c r="X3278" s="43"/>
      <c r="Y3278" s="43"/>
      <c r="Z3278" s="43"/>
      <c r="AA3278" s="43"/>
      <c r="AB3278" s="43"/>
      <c r="AC3278" s="43"/>
      <c r="AD3278" s="43"/>
      <c r="AE3278" s="43"/>
      <c r="AF3278" s="43"/>
      <c r="AG3278" s="43"/>
      <c r="AH3278" s="43"/>
      <c r="AI3278" s="43"/>
      <c r="AJ3278" s="43"/>
      <c r="AK3278" s="43"/>
      <c r="AL3278" s="43"/>
      <c r="AM3278" s="43"/>
      <c r="AN3278" s="43"/>
      <c r="AO3278" s="43"/>
      <c r="AP3278" s="43"/>
      <c r="AQ3278" s="43"/>
      <c r="AR3278" s="43"/>
      <c r="AS3278" s="43"/>
      <c r="AT3278" s="43"/>
      <c r="AU3278" s="43"/>
      <c r="AV3278" s="43"/>
    </row>
    <row r="3279" spans="1:48" ht="56.25" customHeight="1">
      <c r="A3279" s="762"/>
      <c r="B3279" s="762" t="s">
        <v>531</v>
      </c>
      <c r="C3279" s="762" t="s">
        <v>529</v>
      </c>
      <c r="D3279" s="1599"/>
      <c r="E3279" s="2245" t="s">
        <v>1942</v>
      </c>
      <c r="F3279" s="773">
        <v>6254</v>
      </c>
      <c r="G3279" s="772" t="s">
        <v>6087</v>
      </c>
      <c r="H3279" s="752"/>
      <c r="I3279" s="752">
        <v>7000</v>
      </c>
      <c r="J3279" s="753"/>
      <c r="K3279" s="754"/>
      <c r="L3279" s="1650"/>
      <c r="M3279" s="1576">
        <v>15000</v>
      </c>
      <c r="N3279" s="2396" t="s">
        <v>5675</v>
      </c>
      <c r="O3279" s="86"/>
      <c r="P3279" s="1817" t="e">
        <f>INDEX(#REF!,MATCH(F3279,#REF!,0),2)</f>
        <v>#REF!</v>
      </c>
      <c r="Q3279" s="43"/>
      <c r="R3279" s="43"/>
      <c r="S3279" s="43"/>
      <c r="T3279" s="43"/>
      <c r="U3279" s="43"/>
      <c r="V3279" s="43"/>
      <c r="W3279" s="43"/>
      <c r="X3279" s="43"/>
      <c r="Y3279" s="43"/>
      <c r="Z3279" s="43"/>
      <c r="AA3279" s="43"/>
      <c r="AB3279" s="43"/>
      <c r="AC3279" s="43"/>
      <c r="AD3279" s="43"/>
      <c r="AE3279" s="43"/>
      <c r="AF3279" s="43"/>
      <c r="AG3279" s="43"/>
      <c r="AH3279" s="43"/>
      <c r="AI3279" s="43"/>
      <c r="AJ3279" s="43"/>
      <c r="AK3279" s="43"/>
      <c r="AL3279" s="43"/>
      <c r="AM3279" s="43"/>
      <c r="AN3279" s="43"/>
      <c r="AO3279" s="43"/>
      <c r="AP3279" s="43"/>
      <c r="AQ3279" s="43"/>
      <c r="AR3279" s="43"/>
      <c r="AS3279" s="43"/>
      <c r="AT3279" s="43"/>
      <c r="AU3279" s="43"/>
      <c r="AV3279" s="43"/>
    </row>
    <row r="3280" spans="1:48" ht="21" customHeight="1">
      <c r="A3280" s="762"/>
      <c r="B3280" s="762" t="s">
        <v>531</v>
      </c>
      <c r="C3280" s="762" t="s">
        <v>529</v>
      </c>
      <c r="D3280" s="1599"/>
      <c r="E3280" s="2245" t="s">
        <v>1942</v>
      </c>
      <c r="F3280" s="773">
        <v>6254</v>
      </c>
      <c r="G3280" s="772" t="s">
        <v>1518</v>
      </c>
      <c r="H3280" s="764"/>
      <c r="I3280" s="764">
        <v>20000</v>
      </c>
      <c r="J3280" s="765"/>
      <c r="K3280" s="766"/>
      <c r="L3280" s="1650"/>
      <c r="M3280" s="1576">
        <v>15000</v>
      </c>
      <c r="N3280" s="2847"/>
      <c r="O3280" s="86"/>
      <c r="P3280" s="1817" t="e">
        <f>INDEX(#REF!,MATCH(F3280,#REF!,0),2)</f>
        <v>#REF!</v>
      </c>
      <c r="Q3280" s="11"/>
      <c r="R3280" s="11"/>
      <c r="S3280" s="11"/>
      <c r="T3280" s="11"/>
      <c r="U3280" s="11"/>
      <c r="V3280" s="11"/>
      <c r="W3280" s="4"/>
      <c r="X3280" s="11"/>
      <c r="Y3280" s="11"/>
      <c r="Z3280" s="11"/>
      <c r="AA3280" s="11"/>
      <c r="AB3280" s="11"/>
      <c r="AC3280" s="11"/>
      <c r="AD3280" s="11"/>
      <c r="AE3280" s="11"/>
      <c r="AF3280" s="11"/>
      <c r="AG3280" s="11"/>
      <c r="AH3280" s="11"/>
      <c r="AI3280" s="11"/>
      <c r="AJ3280" s="11"/>
      <c r="AK3280" s="11"/>
      <c r="AL3280" s="11"/>
      <c r="AM3280" s="11"/>
      <c r="AN3280" s="11"/>
      <c r="AO3280" s="11"/>
      <c r="AP3280" s="11"/>
      <c r="AQ3280" s="11"/>
      <c r="AR3280" s="11"/>
      <c r="AS3280" s="11"/>
      <c r="AT3280" s="11"/>
      <c r="AU3280" s="11"/>
      <c r="AV3280" s="11"/>
    </row>
    <row r="3281" spans="1:48" ht="20.45" customHeight="1">
      <c r="A3281" s="762"/>
      <c r="B3281" s="762" t="s">
        <v>531</v>
      </c>
      <c r="C3281" s="762" t="s">
        <v>529</v>
      </c>
      <c r="D3281" s="1599"/>
      <c r="E3281" s="2245" t="s">
        <v>1942</v>
      </c>
      <c r="F3281" s="1816">
        <v>6254</v>
      </c>
      <c r="G3281" s="786" t="s">
        <v>1885</v>
      </c>
      <c r="H3281" s="851"/>
      <c r="I3281" s="851">
        <v>50000</v>
      </c>
      <c r="J3281" s="765"/>
      <c r="K3281" s="766"/>
      <c r="L3281" s="1657"/>
      <c r="M3281" s="1575"/>
      <c r="N3281" s="2847"/>
      <c r="O3281" s="86"/>
      <c r="P3281" s="1817" t="e">
        <f>INDEX(#REF!,MATCH(F3281,#REF!,0),2)</f>
        <v>#REF!</v>
      </c>
      <c r="Q3281" s="1779"/>
      <c r="R3281" s="1779"/>
      <c r="S3281" s="1779"/>
      <c r="T3281" s="1779"/>
      <c r="U3281" s="1779"/>
      <c r="V3281" s="1779"/>
      <c r="W3281" s="43"/>
      <c r="X3281" s="1779"/>
      <c r="Y3281" s="1779"/>
      <c r="Z3281" s="1779"/>
      <c r="AA3281" s="1779"/>
      <c r="AB3281" s="1779"/>
      <c r="AC3281" s="1779"/>
      <c r="AD3281" s="1779"/>
      <c r="AE3281" s="1779"/>
      <c r="AF3281" s="1779"/>
      <c r="AG3281" s="1779"/>
      <c r="AH3281" s="1779"/>
      <c r="AI3281" s="1779"/>
      <c r="AJ3281" s="1779"/>
      <c r="AK3281" s="1779"/>
      <c r="AL3281" s="1779"/>
      <c r="AM3281" s="1779"/>
      <c r="AN3281" s="1779"/>
      <c r="AO3281" s="1779"/>
      <c r="AP3281" s="1779"/>
      <c r="AQ3281" s="1779"/>
      <c r="AR3281" s="1779"/>
      <c r="AS3281" s="1779"/>
      <c r="AT3281" s="1779"/>
      <c r="AU3281" s="1779"/>
      <c r="AV3281" s="1779"/>
    </row>
    <row r="3282" spans="1:48" ht="20.45" customHeight="1">
      <c r="A3282" s="755"/>
      <c r="B3282" s="755" t="s">
        <v>531</v>
      </c>
      <c r="C3282" s="755" t="s">
        <v>529</v>
      </c>
      <c r="D3282" s="1600">
        <v>1010</v>
      </c>
      <c r="E3282" s="2247" t="s">
        <v>1942</v>
      </c>
      <c r="F3282" s="788">
        <v>6255</v>
      </c>
      <c r="G3282" s="757" t="s">
        <v>457</v>
      </c>
      <c r="H3282" s="759">
        <v>77500</v>
      </c>
      <c r="I3282" s="759"/>
      <c r="J3282" s="760">
        <v>31083</v>
      </c>
      <c r="K3282" s="761"/>
      <c r="L3282" s="3750">
        <v>43078</v>
      </c>
      <c r="M3282" s="1580"/>
      <c r="N3282" s="2847"/>
      <c r="O3282" s="86"/>
      <c r="P3282" s="1817" t="e">
        <f>INDEX(#REF!,MATCH(F3282,#REF!,0),2)</f>
        <v>#REF!</v>
      </c>
      <c r="Q3282" s="1779"/>
      <c r="R3282" s="1779"/>
      <c r="S3282" s="1779"/>
      <c r="T3282" s="1779"/>
      <c r="U3282" s="1779"/>
      <c r="V3282" s="1779"/>
      <c r="W3282" s="43"/>
      <c r="X3282" s="1779"/>
      <c r="Y3282" s="1779"/>
      <c r="Z3282" s="1779"/>
      <c r="AA3282" s="1779"/>
      <c r="AB3282" s="1779"/>
      <c r="AC3282" s="1779"/>
      <c r="AD3282" s="1779"/>
      <c r="AE3282" s="1779"/>
      <c r="AF3282" s="1779"/>
      <c r="AG3282" s="1779"/>
      <c r="AH3282" s="1779"/>
      <c r="AI3282" s="1779"/>
      <c r="AJ3282" s="1779"/>
      <c r="AK3282" s="1779"/>
      <c r="AL3282" s="1779"/>
      <c r="AM3282" s="1779"/>
      <c r="AN3282" s="1779"/>
      <c r="AO3282" s="1779"/>
      <c r="AP3282" s="1779"/>
      <c r="AQ3282" s="1779"/>
      <c r="AR3282" s="1779"/>
      <c r="AS3282" s="1779"/>
      <c r="AT3282" s="1779"/>
      <c r="AU3282" s="1779"/>
      <c r="AV3282" s="1779"/>
    </row>
    <row r="3283" spans="1:48" ht="15.6" customHeight="1">
      <c r="A3283" s="762"/>
      <c r="B3283" s="762" t="s">
        <v>531</v>
      </c>
      <c r="C3283" s="762" t="s">
        <v>529</v>
      </c>
      <c r="D3283" s="1599"/>
      <c r="E3283" s="2245" t="s">
        <v>1942</v>
      </c>
      <c r="F3283" s="773">
        <v>6255</v>
      </c>
      <c r="G3283" s="1567" t="s">
        <v>5169</v>
      </c>
      <c r="H3283" s="752"/>
      <c r="I3283" s="752">
        <v>40500</v>
      </c>
      <c r="J3283" s="753"/>
      <c r="K3283" s="754"/>
      <c r="L3283" s="1650"/>
      <c r="M3283" s="1576">
        <v>8078</v>
      </c>
      <c r="N3283" s="2847"/>
      <c r="O3283" s="86"/>
      <c r="P3283" s="1817" t="e">
        <f>INDEX(#REF!,MATCH(F3283,#REF!,0),2)</f>
        <v>#REF!</v>
      </c>
      <c r="Q3283" s="1779"/>
      <c r="R3283" s="1779"/>
      <c r="S3283" s="1779"/>
      <c r="T3283" s="1779"/>
      <c r="U3283" s="1779"/>
      <c r="V3283" s="1779"/>
      <c r="W3283" s="43"/>
      <c r="X3283" s="1779"/>
      <c r="Y3283" s="1779"/>
      <c r="Z3283" s="1779"/>
      <c r="AA3283" s="1779"/>
      <c r="AB3283" s="1779"/>
      <c r="AC3283" s="1779"/>
      <c r="AD3283" s="1779"/>
      <c r="AE3283" s="1779"/>
      <c r="AF3283" s="1779"/>
      <c r="AG3283" s="1779"/>
      <c r="AH3283" s="1779"/>
      <c r="AI3283" s="1779"/>
      <c r="AJ3283" s="1779"/>
      <c r="AK3283" s="1779"/>
      <c r="AL3283" s="1779"/>
      <c r="AM3283" s="1779"/>
      <c r="AN3283" s="1779"/>
      <c r="AO3283" s="1779"/>
      <c r="AP3283" s="1779"/>
      <c r="AQ3283" s="1779"/>
      <c r="AR3283" s="1779"/>
      <c r="AS3283" s="1779"/>
      <c r="AT3283" s="1779"/>
      <c r="AU3283" s="1779"/>
      <c r="AV3283" s="1779"/>
    </row>
    <row r="3284" spans="1:48" ht="12" customHeight="1">
      <c r="A3284" s="762"/>
      <c r="B3284" s="762" t="s">
        <v>531</v>
      </c>
      <c r="C3284" s="762" t="s">
        <v>529</v>
      </c>
      <c r="D3284" s="1599"/>
      <c r="E3284" s="2245" t="s">
        <v>1942</v>
      </c>
      <c r="F3284" s="773">
        <v>6255</v>
      </c>
      <c r="G3284" s="812" t="s">
        <v>5170</v>
      </c>
      <c r="H3284" s="764"/>
      <c r="I3284" s="764">
        <v>25000</v>
      </c>
      <c r="J3284" s="765"/>
      <c r="K3284" s="766"/>
      <c r="L3284" s="1650"/>
      <c r="M3284" s="1576">
        <v>35000</v>
      </c>
      <c r="N3284" s="2847"/>
      <c r="O3284" s="86"/>
      <c r="P3284" s="1817" t="e">
        <f>INDEX(#REF!,MATCH(F3284,#REF!,0),2)</f>
        <v>#REF!</v>
      </c>
      <c r="Q3284" s="43"/>
      <c r="R3284" s="43"/>
      <c r="S3284" s="43"/>
      <c r="T3284" s="43"/>
      <c r="U3284" s="43"/>
      <c r="V3284" s="43"/>
      <c r="W3284" s="43"/>
      <c r="X3284" s="43"/>
      <c r="Y3284" s="43"/>
      <c r="Z3284" s="43"/>
      <c r="AA3284" s="43"/>
      <c r="AB3284" s="43"/>
      <c r="AC3284" s="43"/>
      <c r="AD3284" s="43"/>
      <c r="AE3284" s="43"/>
      <c r="AF3284" s="43"/>
      <c r="AG3284" s="43"/>
      <c r="AH3284" s="43"/>
      <c r="AI3284" s="43"/>
      <c r="AJ3284" s="43"/>
      <c r="AK3284" s="43"/>
      <c r="AL3284" s="43"/>
      <c r="AM3284" s="43"/>
      <c r="AN3284" s="43"/>
      <c r="AO3284" s="43"/>
      <c r="AP3284" s="43"/>
      <c r="AQ3284" s="43"/>
      <c r="AR3284" s="43"/>
      <c r="AS3284" s="43"/>
      <c r="AT3284" s="43"/>
      <c r="AU3284" s="43"/>
      <c r="AV3284" s="43"/>
    </row>
    <row r="3285" spans="1:48" ht="15.6" customHeight="1">
      <c r="A3285" s="762"/>
      <c r="B3285" s="762" t="s">
        <v>531</v>
      </c>
      <c r="C3285" s="762" t="s">
        <v>529</v>
      </c>
      <c r="D3285" s="1599"/>
      <c r="E3285" s="2245" t="s">
        <v>1942</v>
      </c>
      <c r="F3285" s="1816">
        <v>6255</v>
      </c>
      <c r="G3285" s="786" t="s">
        <v>1885</v>
      </c>
      <c r="H3285" s="851"/>
      <c r="I3285" s="851">
        <v>12000</v>
      </c>
      <c r="J3285" s="765"/>
      <c r="K3285" s="766"/>
      <c r="L3285" s="1650"/>
      <c r="M3285" s="1576"/>
      <c r="N3285" s="2847"/>
      <c r="O3285" s="86"/>
      <c r="P3285" s="1817" t="e">
        <f>INDEX(#REF!,MATCH(F3285,#REF!,0),2)</f>
        <v>#REF!</v>
      </c>
      <c r="Q3285" s="1779"/>
      <c r="R3285" s="1779"/>
      <c r="S3285" s="1779"/>
      <c r="T3285" s="1779"/>
      <c r="U3285" s="1779"/>
      <c r="V3285" s="1779"/>
      <c r="W3285" s="43"/>
      <c r="X3285" s="1779"/>
      <c r="Y3285" s="1779"/>
      <c r="Z3285" s="1779"/>
      <c r="AA3285" s="1779"/>
      <c r="AB3285" s="1779"/>
      <c r="AC3285" s="1779"/>
      <c r="AD3285" s="1779"/>
      <c r="AE3285" s="1779"/>
      <c r="AF3285" s="1779"/>
      <c r="AG3285" s="1779"/>
      <c r="AH3285" s="1779"/>
      <c r="AI3285" s="1779"/>
      <c r="AJ3285" s="1779"/>
      <c r="AK3285" s="1779"/>
      <c r="AL3285" s="1779"/>
      <c r="AM3285" s="1779"/>
      <c r="AN3285" s="1779"/>
      <c r="AO3285" s="1779"/>
      <c r="AP3285" s="1779"/>
      <c r="AQ3285" s="1779"/>
      <c r="AR3285" s="1779"/>
      <c r="AS3285" s="1779"/>
      <c r="AT3285" s="1779"/>
      <c r="AU3285" s="1779"/>
      <c r="AV3285" s="1779"/>
    </row>
    <row r="3286" spans="1:48" ht="20.45" customHeight="1">
      <c r="A3286" s="755"/>
      <c r="B3286" s="755" t="s">
        <v>531</v>
      </c>
      <c r="C3286" s="755" t="s">
        <v>529</v>
      </c>
      <c r="D3286" s="1600">
        <v>1010</v>
      </c>
      <c r="E3286" s="2247" t="s">
        <v>1942</v>
      </c>
      <c r="F3286" s="788">
        <v>6259</v>
      </c>
      <c r="G3286" s="757" t="s">
        <v>754</v>
      </c>
      <c r="H3286" s="759">
        <v>2000</v>
      </c>
      <c r="I3286" s="759"/>
      <c r="J3286" s="760">
        <v>1491</v>
      </c>
      <c r="K3286" s="761"/>
      <c r="L3286" s="3750">
        <v>2000</v>
      </c>
      <c r="M3286" s="1580"/>
      <c r="N3286" s="2847"/>
      <c r="O3286" s="86"/>
      <c r="P3286" s="1817" t="e">
        <f>INDEX(#REF!,MATCH(F3286,#REF!,0),2)</f>
        <v>#REF!</v>
      </c>
      <c r="Q3286" s="11"/>
      <c r="R3286" s="11"/>
      <c r="S3286" s="11"/>
      <c r="T3286" s="11"/>
      <c r="U3286" s="11"/>
      <c r="V3286" s="11"/>
      <c r="W3286" s="4"/>
      <c r="X3286" s="11"/>
      <c r="Y3286" s="11"/>
      <c r="Z3286" s="11"/>
      <c r="AA3286" s="11"/>
      <c r="AB3286" s="11"/>
      <c r="AC3286" s="11"/>
      <c r="AD3286" s="11"/>
      <c r="AE3286" s="11"/>
      <c r="AF3286" s="11"/>
      <c r="AG3286" s="11"/>
      <c r="AH3286" s="11"/>
      <c r="AI3286" s="11"/>
      <c r="AJ3286" s="11"/>
      <c r="AK3286" s="11"/>
      <c r="AL3286" s="11"/>
      <c r="AM3286" s="11"/>
      <c r="AN3286" s="11"/>
      <c r="AO3286" s="11"/>
      <c r="AP3286" s="11"/>
      <c r="AQ3286" s="11"/>
      <c r="AR3286" s="11"/>
      <c r="AS3286" s="11"/>
      <c r="AT3286" s="11"/>
      <c r="AU3286" s="11"/>
      <c r="AV3286" s="11"/>
    </row>
    <row r="3287" spans="1:48" ht="11.45" customHeight="1">
      <c r="A3287" s="762"/>
      <c r="B3287" s="762" t="s">
        <v>531</v>
      </c>
      <c r="C3287" s="762" t="s">
        <v>529</v>
      </c>
      <c r="D3287" s="1599"/>
      <c r="E3287" s="2245" t="s">
        <v>1942</v>
      </c>
      <c r="F3287" s="773">
        <v>6259</v>
      </c>
      <c r="G3287" s="772" t="s">
        <v>1519</v>
      </c>
      <c r="H3287" s="752"/>
      <c r="I3287" s="752">
        <v>2000</v>
      </c>
      <c r="J3287" s="753"/>
      <c r="K3287" s="754"/>
      <c r="L3287" s="1650"/>
      <c r="M3287" s="1576">
        <v>2000</v>
      </c>
      <c r="N3287" s="2847"/>
      <c r="O3287" s="86"/>
      <c r="P3287" s="1817" t="e">
        <f>INDEX(#REF!,MATCH(F3287,#REF!,0),2)</f>
        <v>#REF!</v>
      </c>
      <c r="Q3287" s="1779"/>
      <c r="R3287" s="1779"/>
      <c r="S3287" s="1779"/>
      <c r="T3287" s="1779"/>
      <c r="U3287" s="1779"/>
      <c r="V3287" s="1779"/>
      <c r="W3287" s="43"/>
      <c r="X3287" s="1779"/>
      <c r="Y3287" s="1779"/>
      <c r="Z3287" s="1779"/>
      <c r="AA3287" s="1779"/>
      <c r="AB3287" s="1779"/>
      <c r="AC3287" s="1779"/>
      <c r="AD3287" s="1779"/>
      <c r="AE3287" s="1779"/>
      <c r="AF3287" s="1779"/>
      <c r="AG3287" s="1779"/>
      <c r="AH3287" s="1779"/>
      <c r="AI3287" s="1779"/>
      <c r="AJ3287" s="1779"/>
      <c r="AK3287" s="1779"/>
      <c r="AL3287" s="1779"/>
      <c r="AM3287" s="1779"/>
      <c r="AN3287" s="1779"/>
      <c r="AO3287" s="1779"/>
      <c r="AP3287" s="1779"/>
      <c r="AQ3287" s="1779"/>
      <c r="AR3287" s="1779"/>
      <c r="AS3287" s="1779"/>
      <c r="AT3287" s="1779"/>
      <c r="AU3287" s="1779"/>
      <c r="AV3287" s="1779"/>
    </row>
    <row r="3288" spans="1:48" ht="39" customHeight="1">
      <c r="A3288" s="755"/>
      <c r="B3288" s="755" t="s">
        <v>531</v>
      </c>
      <c r="C3288" s="755" t="s">
        <v>529</v>
      </c>
      <c r="D3288" s="1600">
        <v>1010</v>
      </c>
      <c r="E3288" s="2247" t="s">
        <v>1942</v>
      </c>
      <c r="F3288" s="788">
        <v>6260</v>
      </c>
      <c r="G3288" s="757" t="s">
        <v>5201</v>
      </c>
      <c r="H3288" s="759">
        <v>113000</v>
      </c>
      <c r="I3288" s="759"/>
      <c r="J3288" s="760">
        <v>12638</v>
      </c>
      <c r="K3288" s="761"/>
      <c r="L3288" s="3750">
        <v>20000</v>
      </c>
      <c r="M3288" s="1580"/>
      <c r="N3288" s="2847"/>
      <c r="O3288" s="86"/>
      <c r="P3288" s="1817" t="e">
        <f>INDEX(#REF!,MATCH(F3288,#REF!,0),2)</f>
        <v>#REF!</v>
      </c>
      <c r="Q3288" s="43"/>
      <c r="R3288" s="43"/>
      <c r="S3288" s="43"/>
      <c r="T3288" s="43"/>
      <c r="U3288" s="43"/>
      <c r="V3288" s="43"/>
      <c r="W3288" s="43"/>
      <c r="X3288" s="43"/>
      <c r="Y3288" s="43"/>
      <c r="Z3288" s="43"/>
      <c r="AA3288" s="43"/>
      <c r="AB3288" s="43"/>
      <c r="AC3288" s="43"/>
      <c r="AD3288" s="43"/>
      <c r="AE3288" s="43"/>
      <c r="AF3288" s="43"/>
      <c r="AG3288" s="43"/>
      <c r="AH3288" s="43"/>
      <c r="AI3288" s="43"/>
      <c r="AJ3288" s="43"/>
      <c r="AK3288" s="43"/>
      <c r="AL3288" s="43"/>
      <c r="AM3288" s="43"/>
      <c r="AN3288" s="43"/>
      <c r="AO3288" s="43"/>
      <c r="AP3288" s="43"/>
      <c r="AQ3288" s="43"/>
      <c r="AR3288" s="43"/>
      <c r="AS3288" s="43"/>
      <c r="AT3288" s="43"/>
      <c r="AU3288" s="43"/>
      <c r="AV3288" s="43"/>
    </row>
    <row r="3289" spans="1:48" ht="39.6" customHeight="1">
      <c r="A3289" s="778"/>
      <c r="B3289" s="778" t="s">
        <v>531</v>
      </c>
      <c r="C3289" s="778" t="s">
        <v>529</v>
      </c>
      <c r="D3289" s="1608"/>
      <c r="E3289" s="2267" t="s">
        <v>1942</v>
      </c>
      <c r="F3289" s="841">
        <v>6260</v>
      </c>
      <c r="G3289" s="772" t="s">
        <v>755</v>
      </c>
      <c r="H3289" s="842"/>
      <c r="I3289" s="842">
        <v>20000</v>
      </c>
      <c r="J3289" s="843"/>
      <c r="K3289" s="830"/>
      <c r="L3289" s="3762"/>
      <c r="M3289" s="3761">
        <v>20000</v>
      </c>
      <c r="N3289" s="2847"/>
      <c r="O3289" s="86"/>
      <c r="P3289" s="1817" t="e">
        <f>INDEX(#REF!,MATCH(F3289,#REF!,0),2)</f>
        <v>#REF!</v>
      </c>
      <c r="Q3289" s="1779"/>
      <c r="R3289" s="1779"/>
      <c r="S3289" s="1779"/>
      <c r="T3289" s="1779"/>
      <c r="U3289" s="1779"/>
      <c r="V3289" s="1779"/>
      <c r="W3289" s="43"/>
      <c r="X3289" s="1779"/>
      <c r="Y3289" s="1779"/>
      <c r="Z3289" s="1779"/>
      <c r="AA3289" s="1779"/>
      <c r="AB3289" s="1779"/>
      <c r="AC3289" s="1779"/>
      <c r="AD3289" s="1779"/>
      <c r="AE3289" s="1779"/>
      <c r="AF3289" s="1779"/>
      <c r="AG3289" s="1779"/>
      <c r="AH3289" s="1779"/>
      <c r="AI3289" s="1779"/>
      <c r="AJ3289" s="1779"/>
      <c r="AK3289" s="1779"/>
      <c r="AL3289" s="1779"/>
      <c r="AM3289" s="1779"/>
      <c r="AN3289" s="1779"/>
      <c r="AO3289" s="1779"/>
      <c r="AP3289" s="1779"/>
      <c r="AQ3289" s="1779"/>
      <c r="AR3289" s="1779"/>
      <c r="AS3289" s="1779"/>
      <c r="AT3289" s="1779"/>
      <c r="AU3289" s="1779"/>
      <c r="AV3289" s="1779"/>
    </row>
    <row r="3290" spans="1:48" ht="45" customHeight="1">
      <c r="A3290" s="762"/>
      <c r="B3290" s="778" t="s">
        <v>531</v>
      </c>
      <c r="C3290" s="778" t="s">
        <v>529</v>
      </c>
      <c r="D3290" s="1608"/>
      <c r="E3290" s="2267" t="s">
        <v>1942</v>
      </c>
      <c r="F3290" s="1816">
        <v>6260</v>
      </c>
      <c r="G3290" s="850"/>
      <c r="H3290" s="851"/>
      <c r="I3290" s="851">
        <v>93000</v>
      </c>
      <c r="J3290" s="765"/>
      <c r="K3290" s="766"/>
      <c r="L3290" s="1650"/>
      <c r="M3290" s="1576"/>
      <c r="N3290" s="2847"/>
      <c r="O3290" s="86"/>
      <c r="P3290" s="1817" t="e">
        <f>INDEX(#REF!,MATCH(F3290,#REF!,0),2)</f>
        <v>#REF!</v>
      </c>
      <c r="Q3290" s="11"/>
      <c r="R3290" s="11"/>
      <c r="S3290" s="11"/>
      <c r="T3290" s="11"/>
      <c r="U3290" s="11"/>
      <c r="V3290" s="11"/>
      <c r="W3290" s="4"/>
      <c r="X3290" s="11"/>
      <c r="Y3290" s="11"/>
      <c r="Z3290" s="11"/>
      <c r="AA3290" s="11"/>
      <c r="AB3290" s="11"/>
      <c r="AC3290" s="11"/>
      <c r="AD3290" s="11"/>
      <c r="AE3290" s="11"/>
      <c r="AF3290" s="11"/>
      <c r="AG3290" s="11"/>
      <c r="AH3290" s="11"/>
      <c r="AI3290" s="11"/>
      <c r="AJ3290" s="11"/>
      <c r="AK3290" s="11"/>
      <c r="AL3290" s="11"/>
      <c r="AM3290" s="11"/>
      <c r="AN3290" s="11"/>
      <c r="AO3290" s="11"/>
      <c r="AP3290" s="11"/>
      <c r="AQ3290" s="11"/>
      <c r="AR3290" s="11"/>
      <c r="AS3290" s="11"/>
      <c r="AT3290" s="11"/>
      <c r="AU3290" s="11"/>
      <c r="AV3290" s="11"/>
    </row>
    <row r="3291" spans="1:48" ht="20.45" customHeight="1">
      <c r="A3291" s="755"/>
      <c r="B3291" s="755" t="s">
        <v>531</v>
      </c>
      <c r="C3291" s="755" t="s">
        <v>529</v>
      </c>
      <c r="D3291" s="1600">
        <v>1010</v>
      </c>
      <c r="E3291" s="2247" t="s">
        <v>1942</v>
      </c>
      <c r="F3291" s="788">
        <v>6270</v>
      </c>
      <c r="G3291" s="757" t="s">
        <v>458</v>
      </c>
      <c r="H3291" s="759">
        <v>55000</v>
      </c>
      <c r="I3291" s="759"/>
      <c r="J3291" s="760">
        <v>43000</v>
      </c>
      <c r="K3291" s="761"/>
      <c r="L3291" s="3750">
        <v>60000</v>
      </c>
      <c r="M3291" s="1580"/>
      <c r="N3291" s="2847"/>
      <c r="O3291" s="86"/>
      <c r="P3291" s="1817" t="e">
        <f>INDEX(#REF!,MATCH(F3291,#REF!,0),2)</f>
        <v>#REF!</v>
      </c>
      <c r="Q3291" s="11"/>
      <c r="R3291" s="11"/>
      <c r="S3291" s="11"/>
      <c r="T3291" s="11"/>
      <c r="U3291" s="11"/>
      <c r="V3291" s="11"/>
      <c r="W3291" s="4"/>
      <c r="X3291" s="11"/>
      <c r="Y3291" s="11"/>
      <c r="Z3291" s="11"/>
      <c r="AA3291" s="11"/>
      <c r="AB3291" s="11"/>
      <c r="AC3291" s="11"/>
      <c r="AD3291" s="11"/>
      <c r="AE3291" s="11"/>
      <c r="AF3291" s="11"/>
      <c r="AG3291" s="11"/>
      <c r="AH3291" s="11"/>
      <c r="AI3291" s="11"/>
      <c r="AJ3291" s="11"/>
      <c r="AK3291" s="11"/>
      <c r="AL3291" s="11"/>
      <c r="AM3291" s="11"/>
      <c r="AN3291" s="11"/>
      <c r="AO3291" s="11"/>
      <c r="AP3291" s="11"/>
      <c r="AQ3291" s="11"/>
      <c r="AR3291" s="11"/>
      <c r="AS3291" s="11"/>
      <c r="AT3291" s="11"/>
      <c r="AU3291" s="11"/>
      <c r="AV3291" s="11"/>
    </row>
    <row r="3292" spans="1:48" ht="11.45" customHeight="1">
      <c r="A3292" s="778"/>
      <c r="B3292" s="778" t="s">
        <v>531</v>
      </c>
      <c r="C3292" s="778" t="s">
        <v>529</v>
      </c>
      <c r="D3292" s="1608"/>
      <c r="E3292" s="2267" t="s">
        <v>1942</v>
      </c>
      <c r="F3292" s="841">
        <v>6270</v>
      </c>
      <c r="G3292" s="772" t="s">
        <v>2665</v>
      </c>
      <c r="H3292" s="842"/>
      <c r="I3292" s="842">
        <v>55000</v>
      </c>
      <c r="J3292" s="843"/>
      <c r="K3292" s="830"/>
      <c r="L3292" s="3762"/>
      <c r="M3292" s="3761">
        <v>60000</v>
      </c>
      <c r="N3292" s="2847"/>
      <c r="O3292" s="86"/>
      <c r="P3292" s="1817" t="e">
        <f>INDEX(#REF!,MATCH(F3292,#REF!,0),2)</f>
        <v>#REF!</v>
      </c>
      <c r="Q3292" s="1779"/>
      <c r="R3292" s="1779"/>
      <c r="S3292" s="1779"/>
      <c r="T3292" s="1779"/>
      <c r="U3292" s="1779"/>
      <c r="V3292" s="1779"/>
      <c r="W3292" s="43"/>
      <c r="X3292" s="1779"/>
      <c r="Y3292" s="1779"/>
      <c r="Z3292" s="1779"/>
      <c r="AA3292" s="1779"/>
      <c r="AB3292" s="1779"/>
      <c r="AC3292" s="1779"/>
      <c r="AD3292" s="1779"/>
      <c r="AE3292" s="1779"/>
      <c r="AF3292" s="1779"/>
      <c r="AG3292" s="1779"/>
      <c r="AH3292" s="1779"/>
      <c r="AI3292" s="1779"/>
      <c r="AJ3292" s="1779"/>
      <c r="AK3292" s="1779"/>
      <c r="AL3292" s="1779"/>
      <c r="AM3292" s="1779"/>
      <c r="AN3292" s="1779"/>
      <c r="AO3292" s="1779"/>
      <c r="AP3292" s="1779"/>
      <c r="AQ3292" s="1779"/>
      <c r="AR3292" s="1779"/>
      <c r="AS3292" s="1779"/>
      <c r="AT3292" s="1779"/>
      <c r="AU3292" s="1779"/>
      <c r="AV3292" s="1779"/>
    </row>
    <row r="3293" spans="1:48" ht="24.6" customHeight="1">
      <c r="A3293" s="755"/>
      <c r="B3293" s="755" t="s">
        <v>531</v>
      </c>
      <c r="C3293" s="755" t="s">
        <v>529</v>
      </c>
      <c r="D3293" s="1600">
        <v>1010</v>
      </c>
      <c r="E3293" s="2247" t="s">
        <v>1942</v>
      </c>
      <c r="F3293" s="788">
        <v>6292</v>
      </c>
      <c r="G3293" s="757" t="s">
        <v>1221</v>
      </c>
      <c r="H3293" s="759">
        <v>3500</v>
      </c>
      <c r="I3293" s="759"/>
      <c r="J3293" s="760"/>
      <c r="K3293" s="761"/>
      <c r="L3293" s="3750">
        <v>0</v>
      </c>
      <c r="M3293" s="1580"/>
      <c r="N3293" s="2847" t="s">
        <v>5171</v>
      </c>
      <c r="O3293" s="86"/>
      <c r="P3293" s="1817" t="e">
        <f>INDEX(#REF!,MATCH(F3293,#REF!,0),2)</f>
        <v>#REF!</v>
      </c>
      <c r="Q3293" s="11"/>
      <c r="R3293" s="11"/>
      <c r="S3293" s="11"/>
      <c r="T3293" s="11"/>
      <c r="U3293" s="11"/>
      <c r="V3293" s="11"/>
      <c r="W3293" s="4"/>
      <c r="X3293" s="11"/>
      <c r="Y3293" s="11"/>
      <c r="Z3293" s="11"/>
      <c r="AA3293" s="11"/>
      <c r="AB3293" s="11"/>
      <c r="AC3293" s="11"/>
      <c r="AD3293" s="11"/>
      <c r="AE3293" s="11"/>
      <c r="AF3293" s="11"/>
      <c r="AG3293" s="11"/>
      <c r="AH3293" s="11"/>
      <c r="AI3293" s="11"/>
      <c r="AJ3293" s="11"/>
      <c r="AK3293" s="11"/>
      <c r="AL3293" s="11"/>
      <c r="AM3293" s="11"/>
      <c r="AN3293" s="11"/>
      <c r="AO3293" s="11"/>
      <c r="AP3293" s="11"/>
      <c r="AQ3293" s="11"/>
      <c r="AR3293" s="11"/>
      <c r="AS3293" s="11"/>
      <c r="AT3293" s="11"/>
      <c r="AU3293" s="11"/>
      <c r="AV3293" s="11"/>
    </row>
    <row r="3294" spans="1:48" ht="21.6" customHeight="1">
      <c r="A3294" s="762"/>
      <c r="B3294" s="762" t="s">
        <v>531</v>
      </c>
      <c r="C3294" s="762" t="s">
        <v>529</v>
      </c>
      <c r="D3294" s="1599"/>
      <c r="E3294" s="2245" t="s">
        <v>1942</v>
      </c>
      <c r="F3294" s="1816">
        <v>6292</v>
      </c>
      <c r="G3294" s="850" t="s">
        <v>1780</v>
      </c>
      <c r="H3294" s="851"/>
      <c r="I3294" s="851">
        <v>3500</v>
      </c>
      <c r="J3294" s="765"/>
      <c r="K3294" s="766"/>
      <c r="L3294" s="1650"/>
      <c r="M3294" s="1576">
        <v>0</v>
      </c>
      <c r="N3294" s="3764" t="s">
        <v>5676</v>
      </c>
      <c r="O3294" s="86"/>
      <c r="P3294" s="1817" t="e">
        <f>INDEX(#REF!,MATCH(F3294,#REF!,0),2)</f>
        <v>#REF!</v>
      </c>
      <c r="Q3294" s="1779"/>
      <c r="R3294" s="1779"/>
      <c r="S3294" s="1779"/>
      <c r="T3294" s="1779"/>
      <c r="U3294" s="1779"/>
      <c r="V3294" s="1779"/>
      <c r="W3294" s="43"/>
      <c r="X3294" s="1779"/>
      <c r="Y3294" s="1779"/>
      <c r="Z3294" s="1779"/>
      <c r="AA3294" s="1779"/>
      <c r="AB3294" s="1779"/>
      <c r="AC3294" s="1779"/>
      <c r="AD3294" s="1779"/>
      <c r="AE3294" s="1779"/>
      <c r="AF3294" s="1779"/>
      <c r="AG3294" s="1779"/>
      <c r="AH3294" s="1779"/>
      <c r="AI3294" s="1779"/>
      <c r="AJ3294" s="1779"/>
      <c r="AK3294" s="1779"/>
      <c r="AL3294" s="1779"/>
      <c r="AM3294" s="1779"/>
      <c r="AN3294" s="1779"/>
      <c r="AO3294" s="1779"/>
      <c r="AP3294" s="1779"/>
      <c r="AQ3294" s="1779"/>
      <c r="AR3294" s="1779"/>
      <c r="AS3294" s="1779"/>
      <c r="AT3294" s="1779"/>
      <c r="AU3294" s="1779"/>
      <c r="AV3294" s="1779"/>
    </row>
    <row r="3295" spans="1:48" ht="22.9" customHeight="1">
      <c r="A3295" s="755"/>
      <c r="B3295" s="755" t="s">
        <v>531</v>
      </c>
      <c r="C3295" s="755" t="s">
        <v>529</v>
      </c>
      <c r="D3295" s="1600">
        <v>1010</v>
      </c>
      <c r="E3295" s="2247" t="s">
        <v>1942</v>
      </c>
      <c r="F3295" s="788">
        <v>6299</v>
      </c>
      <c r="G3295" s="757" t="s">
        <v>459</v>
      </c>
      <c r="H3295" s="759">
        <v>75000</v>
      </c>
      <c r="I3295" s="759"/>
      <c r="J3295" s="760">
        <v>18044</v>
      </c>
      <c r="K3295" s="761"/>
      <c r="L3295" s="3750">
        <v>50000</v>
      </c>
      <c r="M3295" s="1580"/>
      <c r="N3295" s="2847"/>
      <c r="O3295" s="86"/>
      <c r="P3295" s="1817" t="e">
        <f>INDEX(#REF!,MATCH(F3295,#REF!,0),2)</f>
        <v>#REF!</v>
      </c>
      <c r="Q3295" s="1779"/>
      <c r="R3295" s="1779"/>
      <c r="S3295" s="1779"/>
      <c r="T3295" s="1779"/>
      <c r="U3295" s="1779"/>
      <c r="V3295" s="1779"/>
      <c r="W3295" s="43"/>
      <c r="X3295" s="1779"/>
      <c r="Y3295" s="1779"/>
      <c r="Z3295" s="1779"/>
      <c r="AA3295" s="1779"/>
      <c r="AB3295" s="1779"/>
      <c r="AC3295" s="1779"/>
      <c r="AD3295" s="1779"/>
      <c r="AE3295" s="1779"/>
      <c r="AF3295" s="1779"/>
      <c r="AG3295" s="1779"/>
      <c r="AH3295" s="1779"/>
      <c r="AI3295" s="1779"/>
      <c r="AJ3295" s="1779"/>
      <c r="AK3295" s="1779"/>
      <c r="AL3295" s="1779"/>
      <c r="AM3295" s="1779"/>
      <c r="AN3295" s="1779"/>
      <c r="AO3295" s="1779"/>
      <c r="AP3295" s="1779"/>
      <c r="AQ3295" s="1779"/>
      <c r="AR3295" s="1779"/>
      <c r="AS3295" s="1779"/>
      <c r="AT3295" s="1779"/>
      <c r="AU3295" s="1779"/>
      <c r="AV3295" s="1779"/>
    </row>
    <row r="3296" spans="1:48" ht="21" customHeight="1">
      <c r="A3296" s="778"/>
      <c r="B3296" s="778" t="s">
        <v>531</v>
      </c>
      <c r="C3296" s="778" t="s">
        <v>529</v>
      </c>
      <c r="D3296" s="1608"/>
      <c r="E3296" s="2267" t="s">
        <v>1942</v>
      </c>
      <c r="F3296" s="773">
        <v>6299</v>
      </c>
      <c r="G3296" s="772" t="s">
        <v>5172</v>
      </c>
      <c r="H3296" s="844"/>
      <c r="I3296" s="844">
        <v>75000</v>
      </c>
      <c r="J3296" s="845"/>
      <c r="K3296" s="804"/>
      <c r="L3296" s="3762"/>
      <c r="M3296" s="3761">
        <v>50000</v>
      </c>
      <c r="N3296" s="2847"/>
      <c r="O3296" s="86"/>
      <c r="P3296" s="1817" t="e">
        <f>INDEX(#REF!,MATCH(F3296,#REF!,0),2)</f>
        <v>#REF!</v>
      </c>
      <c r="Q3296" s="11"/>
      <c r="R3296" s="11"/>
      <c r="S3296" s="11"/>
      <c r="T3296" s="11"/>
      <c r="U3296" s="11"/>
      <c r="V3296" s="11"/>
      <c r="W3296" s="4"/>
      <c r="X3296" s="11"/>
      <c r="Y3296" s="11"/>
      <c r="Z3296" s="11"/>
      <c r="AA3296" s="11"/>
      <c r="AB3296" s="11"/>
      <c r="AC3296" s="11"/>
      <c r="AD3296" s="11"/>
      <c r="AE3296" s="11"/>
      <c r="AF3296" s="11"/>
      <c r="AG3296" s="11"/>
      <c r="AH3296" s="11"/>
      <c r="AI3296" s="11"/>
      <c r="AJ3296" s="11"/>
      <c r="AK3296" s="11"/>
      <c r="AL3296" s="11"/>
      <c r="AM3296" s="11"/>
      <c r="AN3296" s="11"/>
      <c r="AO3296" s="11"/>
      <c r="AP3296" s="11"/>
      <c r="AQ3296" s="11"/>
      <c r="AR3296" s="11"/>
      <c r="AS3296" s="11"/>
      <c r="AT3296" s="11"/>
      <c r="AU3296" s="11"/>
      <c r="AV3296" s="11"/>
    </row>
    <row r="3297" spans="1:48" ht="13.9" customHeight="1">
      <c r="A3297" s="755"/>
      <c r="B3297" s="755" t="s">
        <v>531</v>
      </c>
      <c r="C3297" s="755" t="s">
        <v>529</v>
      </c>
      <c r="D3297" s="1600">
        <v>1010</v>
      </c>
      <c r="E3297" s="2247" t="s">
        <v>1942</v>
      </c>
      <c r="F3297" s="788">
        <v>6321</v>
      </c>
      <c r="G3297" s="757" t="s">
        <v>5173</v>
      </c>
      <c r="H3297" s="759">
        <v>300</v>
      </c>
      <c r="I3297" s="759"/>
      <c r="J3297" s="760">
        <v>195</v>
      </c>
      <c r="K3297" s="761"/>
      <c r="L3297" s="3750">
        <v>500</v>
      </c>
      <c r="M3297" s="1580"/>
      <c r="N3297" s="2847"/>
      <c r="O3297" s="86"/>
      <c r="P3297" s="1817" t="e">
        <f>INDEX(#REF!,MATCH(F3297,#REF!,0),2)</f>
        <v>#REF!</v>
      </c>
      <c r="Q3297" s="1779"/>
      <c r="R3297" s="1779"/>
      <c r="S3297" s="1779"/>
      <c r="T3297" s="1779"/>
      <c r="U3297" s="1779"/>
      <c r="V3297" s="1779"/>
      <c r="W3297" s="43"/>
      <c r="X3297" s="1779"/>
      <c r="Y3297" s="1779"/>
      <c r="Z3297" s="1779"/>
      <c r="AA3297" s="1779"/>
      <c r="AB3297" s="1779"/>
      <c r="AC3297" s="1779"/>
      <c r="AD3297" s="1779"/>
      <c r="AE3297" s="1779"/>
      <c r="AF3297" s="1779"/>
      <c r="AG3297" s="1779"/>
      <c r="AH3297" s="1779"/>
      <c r="AI3297" s="1779"/>
      <c r="AJ3297" s="1779"/>
      <c r="AK3297" s="1779"/>
      <c r="AL3297" s="1779"/>
      <c r="AM3297" s="1779"/>
      <c r="AN3297" s="1779"/>
      <c r="AO3297" s="1779"/>
      <c r="AP3297" s="1779"/>
      <c r="AQ3297" s="1779"/>
      <c r="AR3297" s="1779"/>
      <c r="AS3297" s="1779"/>
      <c r="AT3297" s="1779"/>
      <c r="AU3297" s="1779"/>
      <c r="AV3297" s="1779"/>
    </row>
    <row r="3298" spans="1:48" ht="21.75" customHeight="1">
      <c r="A3298" s="762"/>
      <c r="B3298" s="762" t="s">
        <v>531</v>
      </c>
      <c r="C3298" s="762" t="s">
        <v>529</v>
      </c>
      <c r="D3298" s="1599"/>
      <c r="E3298" s="2245" t="s">
        <v>1942</v>
      </c>
      <c r="F3298" s="773">
        <v>6321</v>
      </c>
      <c r="G3298" s="772"/>
      <c r="H3298" s="752"/>
      <c r="I3298" s="752">
        <v>300</v>
      </c>
      <c r="J3298" s="753"/>
      <c r="K3298" s="754"/>
      <c r="L3298" s="1650"/>
      <c r="M3298" s="1576">
        <v>500</v>
      </c>
      <c r="N3298" s="2847"/>
      <c r="O3298" s="86"/>
      <c r="P3298" s="1817" t="e">
        <f>INDEX(#REF!,MATCH(F3298,#REF!,0),2)</f>
        <v>#REF!</v>
      </c>
      <c r="Q3298" s="11"/>
      <c r="R3298" s="11"/>
      <c r="S3298" s="11"/>
      <c r="T3298" s="11"/>
      <c r="U3298" s="11"/>
      <c r="V3298" s="11"/>
      <c r="W3298" s="4"/>
      <c r="X3298" s="11"/>
      <c r="Y3298" s="11"/>
      <c r="Z3298" s="11"/>
      <c r="AA3298" s="11"/>
      <c r="AB3298" s="11"/>
      <c r="AC3298" s="11"/>
      <c r="AD3298" s="11"/>
      <c r="AE3298" s="11"/>
      <c r="AF3298" s="11"/>
      <c r="AG3298" s="11"/>
      <c r="AH3298" s="11"/>
      <c r="AI3298" s="11"/>
      <c r="AJ3298" s="11"/>
      <c r="AK3298" s="11"/>
      <c r="AL3298" s="11"/>
      <c r="AM3298" s="11"/>
      <c r="AN3298" s="11"/>
      <c r="AO3298" s="11"/>
      <c r="AP3298" s="11"/>
      <c r="AQ3298" s="11"/>
      <c r="AR3298" s="11"/>
      <c r="AS3298" s="11"/>
      <c r="AT3298" s="11"/>
      <c r="AU3298" s="11"/>
      <c r="AV3298" s="11"/>
    </row>
    <row r="3299" spans="1:48" ht="15.6" customHeight="1">
      <c r="A3299" s="755"/>
      <c r="B3299" s="755" t="s">
        <v>531</v>
      </c>
      <c r="C3299" s="755" t="s">
        <v>529</v>
      </c>
      <c r="D3299" s="1600">
        <v>1010</v>
      </c>
      <c r="E3299" s="2247" t="s">
        <v>1942</v>
      </c>
      <c r="F3299" s="788">
        <v>6322</v>
      </c>
      <c r="G3299" s="757" t="s">
        <v>460</v>
      </c>
      <c r="H3299" s="759">
        <v>3000</v>
      </c>
      <c r="I3299" s="759"/>
      <c r="J3299" s="760">
        <v>30700</v>
      </c>
      <c r="K3299" s="761"/>
      <c r="L3299" s="3750">
        <v>3000</v>
      </c>
      <c r="M3299" s="1580"/>
      <c r="N3299" s="2847"/>
      <c r="O3299" s="86"/>
      <c r="P3299" s="1817" t="e">
        <f>INDEX(#REF!,MATCH(F3299,#REF!,0),2)</f>
        <v>#REF!</v>
      </c>
      <c r="Q3299" s="11"/>
      <c r="R3299" s="11"/>
      <c r="S3299" s="11"/>
      <c r="T3299" s="11"/>
      <c r="U3299" s="11"/>
      <c r="V3299" s="11"/>
      <c r="W3299" s="4"/>
      <c r="X3299" s="11"/>
      <c r="Y3299" s="11"/>
      <c r="Z3299" s="11"/>
      <c r="AA3299" s="11"/>
      <c r="AB3299" s="11"/>
      <c r="AC3299" s="11"/>
      <c r="AD3299" s="11"/>
      <c r="AE3299" s="11"/>
      <c r="AF3299" s="11"/>
      <c r="AG3299" s="11"/>
      <c r="AH3299" s="11"/>
      <c r="AI3299" s="11"/>
      <c r="AJ3299" s="11"/>
      <c r="AK3299" s="11"/>
      <c r="AL3299" s="11"/>
      <c r="AM3299" s="11"/>
      <c r="AN3299" s="11"/>
      <c r="AO3299" s="11"/>
      <c r="AP3299" s="11"/>
      <c r="AQ3299" s="11"/>
      <c r="AR3299" s="11"/>
      <c r="AS3299" s="11"/>
      <c r="AT3299" s="11"/>
      <c r="AU3299" s="11"/>
      <c r="AV3299" s="11"/>
    </row>
    <row r="3300" spans="1:48" ht="27" customHeight="1">
      <c r="A3300" s="762"/>
      <c r="B3300" s="762" t="s">
        <v>531</v>
      </c>
      <c r="C3300" s="762" t="s">
        <v>529</v>
      </c>
      <c r="D3300" s="1599"/>
      <c r="E3300" s="2245" t="s">
        <v>1942</v>
      </c>
      <c r="F3300" s="773">
        <v>6322</v>
      </c>
      <c r="G3300" s="772" t="s">
        <v>756</v>
      </c>
      <c r="H3300" s="752"/>
      <c r="I3300" s="752">
        <v>3000</v>
      </c>
      <c r="J3300" s="753"/>
      <c r="K3300" s="754"/>
      <c r="L3300" s="1650"/>
      <c r="M3300" s="1576">
        <v>3000</v>
      </c>
      <c r="N3300" s="2847"/>
      <c r="O3300" s="86"/>
      <c r="P3300" s="1817" t="e">
        <f>INDEX(#REF!,MATCH(F3300,#REF!,0),2)</f>
        <v>#REF!</v>
      </c>
      <c r="Q3300" s="11"/>
      <c r="R3300" s="11"/>
      <c r="S3300" s="11"/>
      <c r="T3300" s="11"/>
      <c r="U3300" s="11"/>
      <c r="V3300" s="11"/>
      <c r="W3300" s="4"/>
      <c r="X3300" s="11"/>
      <c r="Y3300" s="11"/>
      <c r="Z3300" s="11"/>
      <c r="AA3300" s="11"/>
      <c r="AB3300" s="11"/>
      <c r="AC3300" s="11"/>
      <c r="AD3300" s="11"/>
      <c r="AE3300" s="11"/>
      <c r="AF3300" s="11"/>
      <c r="AG3300" s="11"/>
      <c r="AH3300" s="11"/>
      <c r="AI3300" s="11"/>
      <c r="AJ3300" s="11"/>
      <c r="AK3300" s="11"/>
      <c r="AL3300" s="11"/>
      <c r="AM3300" s="11"/>
      <c r="AN3300" s="11"/>
      <c r="AO3300" s="11"/>
      <c r="AP3300" s="11"/>
      <c r="AQ3300" s="11"/>
      <c r="AR3300" s="11"/>
      <c r="AS3300" s="11"/>
      <c r="AT3300" s="11"/>
      <c r="AU3300" s="11"/>
      <c r="AV3300" s="11"/>
    </row>
    <row r="3301" spans="1:48" ht="30.75" customHeight="1">
      <c r="A3301" s="755"/>
      <c r="B3301" s="755" t="s">
        <v>1249</v>
      </c>
      <c r="C3301" s="755" t="s">
        <v>529</v>
      </c>
      <c r="D3301" s="1600">
        <v>1010</v>
      </c>
      <c r="E3301" s="2247" t="s">
        <v>1942</v>
      </c>
      <c r="F3301" s="788">
        <v>6322</v>
      </c>
      <c r="G3301" s="757" t="s">
        <v>460</v>
      </c>
      <c r="H3301" s="759">
        <v>36162</v>
      </c>
      <c r="I3301" s="759"/>
      <c r="J3301" s="760">
        <v>30700</v>
      </c>
      <c r="K3301" s="761"/>
      <c r="L3301" s="3750">
        <v>36162</v>
      </c>
      <c r="M3301" s="1580"/>
      <c r="N3301" s="2847"/>
      <c r="O3301" s="86"/>
      <c r="P3301" s="1817" t="e">
        <f>INDEX(#REF!,MATCH(F3301,#REF!,0),2)</f>
        <v>#REF!</v>
      </c>
      <c r="Q3301" s="11"/>
      <c r="R3301" s="11"/>
      <c r="S3301" s="11"/>
      <c r="T3301" s="11"/>
      <c r="U3301" s="11"/>
      <c r="V3301" s="11"/>
      <c r="W3301" s="4"/>
      <c r="X3301" s="11"/>
      <c r="Y3301" s="11"/>
      <c r="Z3301" s="11"/>
      <c r="AA3301" s="11"/>
      <c r="AB3301" s="11"/>
      <c r="AC3301" s="11"/>
      <c r="AD3301" s="11"/>
      <c r="AE3301" s="11"/>
      <c r="AF3301" s="11"/>
      <c r="AG3301" s="11"/>
      <c r="AH3301" s="11"/>
      <c r="AI3301" s="11"/>
      <c r="AJ3301" s="11"/>
      <c r="AK3301" s="11"/>
      <c r="AL3301" s="11"/>
      <c r="AM3301" s="11"/>
      <c r="AN3301" s="11"/>
      <c r="AO3301" s="11"/>
      <c r="AP3301" s="11"/>
      <c r="AQ3301" s="11"/>
      <c r="AR3301" s="11"/>
      <c r="AS3301" s="11"/>
      <c r="AT3301" s="11"/>
      <c r="AU3301" s="11"/>
      <c r="AV3301" s="11"/>
    </row>
    <row r="3302" spans="1:48" ht="20.45" customHeight="1">
      <c r="A3302" s="762"/>
      <c r="B3302" s="762" t="s">
        <v>1249</v>
      </c>
      <c r="C3302" s="762" t="s">
        <v>529</v>
      </c>
      <c r="D3302" s="1599"/>
      <c r="E3302" s="2245" t="s">
        <v>1942</v>
      </c>
      <c r="F3302" s="773">
        <v>6322</v>
      </c>
      <c r="G3302" s="772" t="s">
        <v>5174</v>
      </c>
      <c r="H3302" s="752"/>
      <c r="I3302" s="764">
        <v>36162</v>
      </c>
      <c r="J3302" s="765"/>
      <c r="K3302" s="766"/>
      <c r="L3302" s="1650"/>
      <c r="M3302" s="1575">
        <v>36162</v>
      </c>
      <c r="N3302" s="2847"/>
      <c r="O3302" s="86"/>
      <c r="P3302" s="1817" t="e">
        <f>INDEX(#REF!,MATCH(F3302,#REF!,0),2)</f>
        <v>#REF!</v>
      </c>
      <c r="Q3302" s="11"/>
      <c r="R3302" s="11"/>
      <c r="S3302" s="11"/>
      <c r="T3302" s="11"/>
      <c r="U3302" s="11"/>
      <c r="V3302" s="11"/>
      <c r="W3302" s="4"/>
      <c r="X3302" s="11"/>
      <c r="Y3302" s="11"/>
      <c r="Z3302" s="11"/>
      <c r="AA3302" s="11"/>
      <c r="AB3302" s="11"/>
      <c r="AC3302" s="11"/>
      <c r="AD3302" s="11"/>
      <c r="AE3302" s="11"/>
      <c r="AF3302" s="11"/>
      <c r="AG3302" s="11"/>
      <c r="AH3302" s="11"/>
      <c r="AI3302" s="11"/>
      <c r="AJ3302" s="11"/>
      <c r="AK3302" s="11"/>
      <c r="AL3302" s="11"/>
      <c r="AM3302" s="11"/>
      <c r="AN3302" s="11"/>
      <c r="AO3302" s="11"/>
      <c r="AP3302" s="11"/>
      <c r="AQ3302" s="11"/>
      <c r="AR3302" s="11"/>
      <c r="AS3302" s="11"/>
      <c r="AT3302" s="11"/>
      <c r="AU3302" s="11"/>
      <c r="AV3302" s="11"/>
    </row>
    <row r="3303" spans="1:48" ht="33.6" customHeight="1">
      <c r="A3303" s="755"/>
      <c r="B3303" s="755" t="s">
        <v>531</v>
      </c>
      <c r="C3303" s="755" t="s">
        <v>529</v>
      </c>
      <c r="D3303" s="1600">
        <v>1010</v>
      </c>
      <c r="E3303" s="2247" t="s">
        <v>1942</v>
      </c>
      <c r="F3303" s="788">
        <v>6323</v>
      </c>
      <c r="G3303" s="757" t="s">
        <v>757</v>
      </c>
      <c r="H3303" s="759">
        <v>1000</v>
      </c>
      <c r="I3303" s="759"/>
      <c r="J3303" s="760"/>
      <c r="K3303" s="761"/>
      <c r="L3303" s="3750">
        <v>1000</v>
      </c>
      <c r="M3303" s="1580"/>
      <c r="N3303" s="2847"/>
      <c r="O3303" s="86"/>
      <c r="P3303" s="1817" t="e">
        <f>INDEX(#REF!,MATCH(F3303,#REF!,0),2)</f>
        <v>#REF!</v>
      </c>
      <c r="Q3303" s="11"/>
      <c r="R3303" s="11"/>
      <c r="S3303" s="11"/>
      <c r="T3303" s="11"/>
      <c r="U3303" s="11"/>
      <c r="V3303" s="11"/>
      <c r="W3303" s="4"/>
      <c r="X3303" s="11"/>
      <c r="Y3303" s="11"/>
      <c r="Z3303" s="11"/>
      <c r="AA3303" s="11"/>
      <c r="AB3303" s="11"/>
      <c r="AC3303" s="11"/>
      <c r="AD3303" s="11"/>
      <c r="AE3303" s="11"/>
      <c r="AF3303" s="11"/>
      <c r="AG3303" s="11"/>
      <c r="AH3303" s="11"/>
      <c r="AI3303" s="11"/>
      <c r="AJ3303" s="11"/>
      <c r="AK3303" s="11"/>
      <c r="AL3303" s="11"/>
      <c r="AM3303" s="11"/>
      <c r="AN3303" s="11"/>
      <c r="AO3303" s="11"/>
      <c r="AP3303" s="11"/>
      <c r="AQ3303" s="11"/>
      <c r="AR3303" s="11"/>
      <c r="AS3303" s="11"/>
      <c r="AT3303" s="11"/>
      <c r="AU3303" s="11"/>
      <c r="AV3303" s="11"/>
    </row>
    <row r="3304" spans="1:48" ht="20.45" customHeight="1">
      <c r="A3304" s="778"/>
      <c r="B3304" s="778" t="s">
        <v>531</v>
      </c>
      <c r="C3304" s="778" t="s">
        <v>529</v>
      </c>
      <c r="D3304" s="1608"/>
      <c r="E3304" s="2267" t="s">
        <v>1942</v>
      </c>
      <c r="F3304" s="841">
        <v>6323</v>
      </c>
      <c r="G3304" s="772" t="s">
        <v>538</v>
      </c>
      <c r="H3304" s="842"/>
      <c r="I3304" s="842">
        <v>1000</v>
      </c>
      <c r="J3304" s="843"/>
      <c r="K3304" s="830"/>
      <c r="L3304" s="3762"/>
      <c r="M3304" s="3761">
        <v>1000</v>
      </c>
      <c r="N3304" s="2847"/>
      <c r="O3304" s="86"/>
      <c r="P3304" s="1817" t="e">
        <f>INDEX(#REF!,MATCH(F3304,#REF!,0),2)</f>
        <v>#REF!</v>
      </c>
      <c r="Q3304" s="11"/>
      <c r="R3304" s="11"/>
      <c r="S3304" s="11"/>
      <c r="T3304" s="11"/>
      <c r="U3304" s="11"/>
      <c r="V3304" s="11"/>
      <c r="W3304" s="4"/>
      <c r="X3304" s="11"/>
      <c r="Y3304" s="11"/>
      <c r="Z3304" s="11"/>
      <c r="AA3304" s="11"/>
      <c r="AB3304" s="11"/>
      <c r="AC3304" s="11"/>
      <c r="AD3304" s="11"/>
      <c r="AE3304" s="11"/>
      <c r="AF3304" s="11"/>
      <c r="AG3304" s="11"/>
      <c r="AH3304" s="11"/>
      <c r="AI3304" s="11"/>
      <c r="AJ3304" s="11"/>
      <c r="AK3304" s="11"/>
      <c r="AL3304" s="11"/>
      <c r="AM3304" s="11"/>
      <c r="AN3304" s="11"/>
      <c r="AO3304" s="11"/>
      <c r="AP3304" s="11"/>
      <c r="AQ3304" s="11"/>
      <c r="AR3304" s="11"/>
      <c r="AS3304" s="11"/>
      <c r="AT3304" s="11"/>
      <c r="AU3304" s="11"/>
      <c r="AV3304" s="11"/>
    </row>
    <row r="3305" spans="1:48" ht="11.45" customHeight="1">
      <c r="A3305" s="755"/>
      <c r="B3305" s="755" t="s">
        <v>531</v>
      </c>
      <c r="C3305" s="755" t="s">
        <v>529</v>
      </c>
      <c r="D3305" s="1600">
        <v>1010</v>
      </c>
      <c r="E3305" s="2247" t="s">
        <v>1942</v>
      </c>
      <c r="F3305" s="788">
        <v>6324</v>
      </c>
      <c r="G3305" s="757" t="s">
        <v>758</v>
      </c>
      <c r="H3305" s="759">
        <v>8000</v>
      </c>
      <c r="I3305" s="759"/>
      <c r="J3305" s="760">
        <v>4487</v>
      </c>
      <c r="K3305" s="761"/>
      <c r="L3305" s="3750">
        <v>8000</v>
      </c>
      <c r="M3305" s="1580"/>
      <c r="N3305" s="2847"/>
      <c r="O3305" s="86"/>
      <c r="P3305" s="1817" t="e">
        <f>INDEX(#REF!,MATCH(F3305,#REF!,0),2)</f>
        <v>#REF!</v>
      </c>
      <c r="Q3305" s="11"/>
      <c r="R3305" s="11"/>
      <c r="S3305" s="11"/>
      <c r="T3305" s="11"/>
      <c r="U3305" s="11"/>
      <c r="V3305" s="11"/>
      <c r="W3305" s="4"/>
      <c r="X3305" s="11"/>
      <c r="Y3305" s="11"/>
      <c r="Z3305" s="11"/>
      <c r="AA3305" s="11"/>
      <c r="AB3305" s="11"/>
      <c r="AC3305" s="11"/>
      <c r="AD3305" s="11"/>
      <c r="AE3305" s="11"/>
      <c r="AF3305" s="11"/>
      <c r="AG3305" s="11"/>
      <c r="AH3305" s="11"/>
      <c r="AI3305" s="11"/>
      <c r="AJ3305" s="11"/>
      <c r="AK3305" s="11"/>
      <c r="AL3305" s="11"/>
      <c r="AM3305" s="11"/>
      <c r="AN3305" s="11"/>
      <c r="AO3305" s="11"/>
      <c r="AP3305" s="11"/>
      <c r="AQ3305" s="11"/>
      <c r="AR3305" s="11"/>
      <c r="AS3305" s="11"/>
      <c r="AT3305" s="11"/>
      <c r="AU3305" s="11"/>
      <c r="AV3305" s="11"/>
    </row>
    <row r="3306" spans="1:48" ht="49.15" customHeight="1">
      <c r="A3306" s="778"/>
      <c r="B3306" s="778" t="s">
        <v>531</v>
      </c>
      <c r="C3306" s="778" t="s">
        <v>529</v>
      </c>
      <c r="D3306" s="1608"/>
      <c r="E3306" s="2267" t="s">
        <v>1942</v>
      </c>
      <c r="F3306" s="841">
        <v>6324</v>
      </c>
      <c r="G3306" s="786" t="s">
        <v>1520</v>
      </c>
      <c r="H3306" s="844"/>
      <c r="I3306" s="844">
        <v>8000</v>
      </c>
      <c r="J3306" s="845"/>
      <c r="K3306" s="804"/>
      <c r="L3306" s="3762"/>
      <c r="M3306" s="3761">
        <v>8000</v>
      </c>
      <c r="N3306" s="2847"/>
      <c r="O3306" s="86"/>
      <c r="P3306" s="1817" t="e">
        <f>INDEX(#REF!,MATCH(F3306,#REF!,0),2)</f>
        <v>#REF!</v>
      </c>
      <c r="Q3306" s="11"/>
      <c r="R3306" s="11"/>
      <c r="S3306" s="11"/>
      <c r="T3306" s="11"/>
      <c r="U3306" s="11"/>
      <c r="V3306" s="11"/>
      <c r="W3306" s="4"/>
      <c r="X3306" s="11"/>
      <c r="Y3306" s="11"/>
      <c r="Z3306" s="11"/>
      <c r="AA3306" s="11"/>
      <c r="AB3306" s="11"/>
      <c r="AC3306" s="11"/>
      <c r="AD3306" s="11"/>
      <c r="AE3306" s="11"/>
      <c r="AF3306" s="11"/>
      <c r="AG3306" s="11"/>
      <c r="AH3306" s="11"/>
      <c r="AI3306" s="11"/>
      <c r="AJ3306" s="11"/>
      <c r="AK3306" s="11"/>
      <c r="AL3306" s="11"/>
      <c r="AM3306" s="11"/>
      <c r="AN3306" s="11"/>
      <c r="AO3306" s="11"/>
      <c r="AP3306" s="11"/>
      <c r="AQ3306" s="11"/>
      <c r="AR3306" s="11"/>
      <c r="AS3306" s="11"/>
      <c r="AT3306" s="11"/>
      <c r="AU3306" s="11"/>
      <c r="AV3306" s="11"/>
    </row>
    <row r="3307" spans="1:48" ht="48.75" customHeight="1">
      <c r="A3307" s="755"/>
      <c r="B3307" s="755" t="s">
        <v>531</v>
      </c>
      <c r="C3307" s="755" t="s">
        <v>529</v>
      </c>
      <c r="D3307" s="1600">
        <v>1010</v>
      </c>
      <c r="E3307" s="2247" t="s">
        <v>1942</v>
      </c>
      <c r="F3307" s="788">
        <v>6329</v>
      </c>
      <c r="G3307" s="757" t="s">
        <v>461</v>
      </c>
      <c r="H3307" s="759">
        <v>5000</v>
      </c>
      <c r="I3307" s="759"/>
      <c r="J3307" s="760">
        <v>369</v>
      </c>
      <c r="K3307" s="761"/>
      <c r="L3307" s="3750">
        <v>18300</v>
      </c>
      <c r="M3307" s="1580"/>
      <c r="N3307" s="2847"/>
      <c r="O3307" s="86"/>
      <c r="P3307" s="1817" t="e">
        <f>INDEX(#REF!,MATCH(F3307,#REF!,0),2)</f>
        <v>#REF!</v>
      </c>
      <c r="Q3307" s="43"/>
      <c r="R3307" s="43"/>
      <c r="S3307" s="43"/>
      <c r="T3307" s="43"/>
      <c r="U3307" s="43"/>
      <c r="V3307" s="43"/>
      <c r="W3307" s="43"/>
      <c r="X3307" s="43"/>
      <c r="Y3307" s="43"/>
      <c r="Z3307" s="43"/>
      <c r="AA3307" s="43"/>
      <c r="AB3307" s="43"/>
      <c r="AC3307" s="43"/>
      <c r="AD3307" s="43"/>
      <c r="AE3307" s="43"/>
      <c r="AF3307" s="43"/>
      <c r="AG3307" s="43"/>
      <c r="AH3307" s="43"/>
      <c r="AI3307" s="43"/>
      <c r="AJ3307" s="43"/>
      <c r="AK3307" s="43"/>
      <c r="AL3307" s="43"/>
      <c r="AM3307" s="43"/>
      <c r="AN3307" s="43"/>
      <c r="AO3307" s="43"/>
      <c r="AP3307" s="43"/>
      <c r="AQ3307" s="43"/>
      <c r="AR3307" s="43"/>
      <c r="AS3307" s="43"/>
      <c r="AT3307" s="43"/>
      <c r="AU3307" s="43"/>
      <c r="AV3307" s="43"/>
    </row>
    <row r="3308" spans="1:48" ht="11.45" customHeight="1">
      <c r="A3308" s="762"/>
      <c r="B3308" s="762" t="s">
        <v>531</v>
      </c>
      <c r="C3308" s="762" t="s">
        <v>529</v>
      </c>
      <c r="D3308" s="1599"/>
      <c r="E3308" s="2245" t="s">
        <v>1942</v>
      </c>
      <c r="F3308" s="773">
        <v>6329</v>
      </c>
      <c r="G3308" s="772" t="s">
        <v>5175</v>
      </c>
      <c r="H3308" s="752"/>
      <c r="I3308" s="752">
        <v>5000</v>
      </c>
      <c r="J3308" s="753"/>
      <c r="K3308" s="754"/>
      <c r="L3308" s="1650"/>
      <c r="M3308" s="1576">
        <v>18300</v>
      </c>
      <c r="N3308" s="2847" t="s">
        <v>5176</v>
      </c>
      <c r="O3308" s="86"/>
      <c r="P3308" s="1817" t="e">
        <f>INDEX(#REF!,MATCH(F3308,#REF!,0),2)</f>
        <v>#REF!</v>
      </c>
      <c r="Q3308" s="11"/>
      <c r="R3308" s="11"/>
      <c r="S3308" s="11"/>
      <c r="T3308" s="11"/>
      <c r="U3308" s="11"/>
      <c r="V3308" s="11"/>
      <c r="W3308" s="4"/>
      <c r="X3308" s="11"/>
      <c r="Y3308" s="11"/>
      <c r="Z3308" s="11"/>
      <c r="AA3308" s="11"/>
      <c r="AB3308" s="11"/>
      <c r="AC3308" s="11"/>
      <c r="AD3308" s="11"/>
      <c r="AE3308" s="11"/>
      <c r="AF3308" s="11"/>
      <c r="AG3308" s="11"/>
      <c r="AH3308" s="11"/>
      <c r="AI3308" s="11"/>
      <c r="AJ3308" s="11"/>
      <c r="AK3308" s="11"/>
      <c r="AL3308" s="11"/>
      <c r="AM3308" s="11"/>
      <c r="AN3308" s="11"/>
      <c r="AO3308" s="11"/>
      <c r="AP3308" s="11"/>
      <c r="AQ3308" s="11"/>
      <c r="AR3308" s="11"/>
      <c r="AS3308" s="11"/>
      <c r="AT3308" s="11"/>
      <c r="AU3308" s="11"/>
      <c r="AV3308" s="11"/>
    </row>
    <row r="3309" spans="1:48" ht="47.25" customHeight="1">
      <c r="A3309" s="755"/>
      <c r="B3309" s="755" t="s">
        <v>531</v>
      </c>
      <c r="C3309" s="755" t="s">
        <v>529</v>
      </c>
      <c r="D3309" s="1600">
        <v>1010</v>
      </c>
      <c r="E3309" s="2247" t="s">
        <v>1942</v>
      </c>
      <c r="F3309" s="788">
        <v>6330</v>
      </c>
      <c r="G3309" s="757" t="s">
        <v>462</v>
      </c>
      <c r="H3309" s="759">
        <v>12970</v>
      </c>
      <c r="I3309" s="759"/>
      <c r="J3309" s="760">
        <v>377</v>
      </c>
      <c r="K3309" s="761"/>
      <c r="L3309" s="3750">
        <v>6000</v>
      </c>
      <c r="M3309" s="1580"/>
      <c r="N3309" s="2847"/>
      <c r="O3309" s="86"/>
      <c r="P3309" s="1817" t="e">
        <f>INDEX(#REF!,MATCH(F3309,#REF!,0),2)</f>
        <v>#REF!</v>
      </c>
      <c r="Q3309" s="11"/>
      <c r="R3309" s="11"/>
      <c r="S3309" s="11"/>
      <c r="T3309" s="11"/>
      <c r="U3309" s="11"/>
      <c r="V3309" s="11"/>
      <c r="W3309" s="4"/>
      <c r="X3309" s="11"/>
      <c r="Y3309" s="11"/>
      <c r="Z3309" s="11"/>
      <c r="AA3309" s="11"/>
      <c r="AB3309" s="11"/>
      <c r="AC3309" s="11"/>
      <c r="AD3309" s="11"/>
      <c r="AE3309" s="11"/>
      <c r="AF3309" s="11"/>
      <c r="AG3309" s="11"/>
      <c r="AH3309" s="11"/>
      <c r="AI3309" s="11"/>
      <c r="AJ3309" s="11"/>
      <c r="AK3309" s="11"/>
      <c r="AL3309" s="11"/>
      <c r="AM3309" s="11"/>
      <c r="AN3309" s="11"/>
      <c r="AO3309" s="11"/>
      <c r="AP3309" s="11"/>
      <c r="AQ3309" s="11"/>
      <c r="AR3309" s="11"/>
      <c r="AS3309" s="11"/>
      <c r="AT3309" s="11"/>
      <c r="AU3309" s="11"/>
      <c r="AV3309" s="11"/>
    </row>
    <row r="3310" spans="1:48" ht="42" customHeight="1">
      <c r="A3310" s="762"/>
      <c r="B3310" s="762" t="s">
        <v>531</v>
      </c>
      <c r="C3310" s="762" t="s">
        <v>529</v>
      </c>
      <c r="D3310" s="1599"/>
      <c r="E3310" s="2245" t="s">
        <v>1942</v>
      </c>
      <c r="F3310" s="773">
        <v>6330</v>
      </c>
      <c r="G3310" s="772" t="s">
        <v>463</v>
      </c>
      <c r="H3310" s="752"/>
      <c r="I3310" s="752">
        <v>2970</v>
      </c>
      <c r="J3310" s="753"/>
      <c r="K3310" s="754"/>
      <c r="L3310" s="1650"/>
      <c r="M3310" s="1576">
        <v>1000</v>
      </c>
      <c r="N3310" s="2847"/>
      <c r="O3310" s="86"/>
      <c r="P3310" s="1817" t="e">
        <f>INDEX(#REF!,MATCH(F3310,#REF!,0),2)</f>
        <v>#REF!</v>
      </c>
      <c r="Q3310" s="11"/>
      <c r="R3310" s="11"/>
      <c r="S3310" s="11"/>
      <c r="T3310" s="11"/>
      <c r="U3310" s="11"/>
      <c r="V3310" s="11"/>
      <c r="W3310" s="4"/>
      <c r="X3310" s="11"/>
      <c r="Y3310" s="11"/>
      <c r="Z3310" s="11"/>
      <c r="AA3310" s="11"/>
      <c r="AB3310" s="11"/>
      <c r="AC3310" s="11"/>
      <c r="AD3310" s="11"/>
      <c r="AE3310" s="11"/>
      <c r="AF3310" s="11"/>
      <c r="AG3310" s="11"/>
      <c r="AH3310" s="11"/>
      <c r="AI3310" s="11"/>
      <c r="AJ3310" s="11"/>
      <c r="AK3310" s="11"/>
      <c r="AL3310" s="11"/>
      <c r="AM3310" s="11"/>
      <c r="AN3310" s="11"/>
      <c r="AO3310" s="11"/>
      <c r="AP3310" s="11"/>
      <c r="AQ3310" s="11"/>
      <c r="AR3310" s="11"/>
      <c r="AS3310" s="11"/>
      <c r="AT3310" s="11"/>
      <c r="AU3310" s="11"/>
      <c r="AV3310" s="11"/>
    </row>
    <row r="3311" spans="1:48" ht="18" customHeight="1">
      <c r="A3311" s="762"/>
      <c r="B3311" s="762" t="s">
        <v>531</v>
      </c>
      <c r="C3311" s="762" t="s">
        <v>529</v>
      </c>
      <c r="D3311" s="1599"/>
      <c r="E3311" s="2245" t="s">
        <v>1942</v>
      </c>
      <c r="F3311" s="773">
        <v>6330</v>
      </c>
      <c r="G3311" s="772" t="s">
        <v>5177</v>
      </c>
      <c r="H3311" s="764"/>
      <c r="I3311" s="764">
        <v>10000</v>
      </c>
      <c r="J3311" s="765"/>
      <c r="K3311" s="766"/>
      <c r="L3311" s="1650"/>
      <c r="M3311" s="1576">
        <v>5000</v>
      </c>
      <c r="N3311" s="2847"/>
      <c r="O3311" s="86"/>
      <c r="P3311" s="1817" t="e">
        <f>INDEX(#REF!,MATCH(F3311,#REF!,0),2)</f>
        <v>#REF!</v>
      </c>
      <c r="Q3311" s="11"/>
      <c r="R3311" s="11"/>
      <c r="S3311" s="11"/>
      <c r="T3311" s="11"/>
      <c r="U3311" s="11"/>
      <c r="V3311" s="11"/>
      <c r="W3311" s="4"/>
      <c r="X3311" s="11"/>
      <c r="Y3311" s="11"/>
      <c r="Z3311" s="11"/>
      <c r="AA3311" s="11"/>
      <c r="AB3311" s="11"/>
      <c r="AC3311" s="11"/>
      <c r="AD3311" s="11"/>
      <c r="AE3311" s="11"/>
      <c r="AF3311" s="11"/>
      <c r="AG3311" s="11"/>
      <c r="AH3311" s="11"/>
      <c r="AI3311" s="11"/>
      <c r="AJ3311" s="11"/>
      <c r="AK3311" s="11"/>
      <c r="AL3311" s="11"/>
      <c r="AM3311" s="11"/>
      <c r="AN3311" s="11"/>
      <c r="AO3311" s="11"/>
      <c r="AP3311" s="11"/>
      <c r="AQ3311" s="11"/>
      <c r="AR3311" s="11"/>
      <c r="AS3311" s="11"/>
      <c r="AT3311" s="11"/>
      <c r="AU3311" s="11"/>
      <c r="AV3311" s="11"/>
    </row>
    <row r="3312" spans="1:48" ht="30.6" customHeight="1">
      <c r="A3312" s="755"/>
      <c r="B3312" s="755" t="s">
        <v>531</v>
      </c>
      <c r="C3312" s="755" t="s">
        <v>529</v>
      </c>
      <c r="D3312" s="1600">
        <v>1010</v>
      </c>
      <c r="E3312" s="2247" t="s">
        <v>1942</v>
      </c>
      <c r="F3312" s="788">
        <v>6360</v>
      </c>
      <c r="G3312" s="757" t="s">
        <v>464</v>
      </c>
      <c r="H3312" s="759">
        <v>173000</v>
      </c>
      <c r="I3312" s="759"/>
      <c r="J3312" s="760">
        <v>89415</v>
      </c>
      <c r="K3312" s="761"/>
      <c r="L3312" s="3750">
        <v>100000</v>
      </c>
      <c r="M3312" s="1580"/>
      <c r="N3312" s="2847"/>
      <c r="O3312" s="86"/>
      <c r="P3312" s="1817" t="e">
        <f>INDEX(#REF!,MATCH(F3312,#REF!,0),2)</f>
        <v>#REF!</v>
      </c>
      <c r="Q3312" s="11"/>
      <c r="R3312" s="11"/>
      <c r="S3312" s="11"/>
      <c r="T3312" s="11"/>
      <c r="U3312" s="11"/>
      <c r="V3312" s="11"/>
      <c r="W3312" s="4"/>
      <c r="X3312" s="11"/>
      <c r="Y3312" s="11"/>
      <c r="Z3312" s="11"/>
      <c r="AA3312" s="11"/>
      <c r="AB3312" s="11"/>
      <c r="AC3312" s="11"/>
      <c r="AD3312" s="11"/>
      <c r="AE3312" s="11"/>
      <c r="AF3312" s="11"/>
      <c r="AG3312" s="11"/>
      <c r="AH3312" s="11"/>
      <c r="AI3312" s="11"/>
      <c r="AJ3312" s="11"/>
      <c r="AK3312" s="11"/>
      <c r="AL3312" s="11"/>
      <c r="AM3312" s="11"/>
      <c r="AN3312" s="11"/>
      <c r="AO3312" s="11"/>
      <c r="AP3312" s="11"/>
      <c r="AQ3312" s="11"/>
      <c r="AR3312" s="11"/>
      <c r="AS3312" s="11"/>
      <c r="AT3312" s="11"/>
      <c r="AU3312" s="11"/>
      <c r="AV3312" s="11"/>
    </row>
    <row r="3313" spans="1:48" ht="16.149999999999999" customHeight="1">
      <c r="A3313" s="762"/>
      <c r="B3313" s="762" t="s">
        <v>531</v>
      </c>
      <c r="C3313" s="762" t="s">
        <v>529</v>
      </c>
      <c r="D3313" s="1599"/>
      <c r="E3313" s="2245" t="s">
        <v>1942</v>
      </c>
      <c r="F3313" s="773">
        <v>6360</v>
      </c>
      <c r="G3313" s="772" t="s">
        <v>5178</v>
      </c>
      <c r="H3313" s="752"/>
      <c r="I3313" s="752">
        <v>100000</v>
      </c>
      <c r="J3313" s="753"/>
      <c r="K3313" s="754"/>
      <c r="L3313" s="1650"/>
      <c r="M3313" s="1576">
        <v>100000</v>
      </c>
      <c r="N3313" s="2847" t="s">
        <v>5179</v>
      </c>
      <c r="O3313" s="86"/>
      <c r="P3313" s="1817" t="e">
        <f>INDEX(#REF!,MATCH(F3313,#REF!,0),2)</f>
        <v>#REF!</v>
      </c>
      <c r="Q3313" s="1779"/>
      <c r="R3313" s="1779"/>
      <c r="S3313" s="1779"/>
      <c r="T3313" s="1779"/>
      <c r="U3313" s="1779"/>
      <c r="V3313" s="1779"/>
      <c r="W3313" s="43"/>
      <c r="X3313" s="1779"/>
      <c r="Y3313" s="1779"/>
      <c r="Z3313" s="1779"/>
      <c r="AA3313" s="1779"/>
      <c r="AB3313" s="1779"/>
      <c r="AC3313" s="1779"/>
      <c r="AD3313" s="1779"/>
      <c r="AE3313" s="1779"/>
      <c r="AF3313" s="1779"/>
      <c r="AG3313" s="1779"/>
      <c r="AH3313" s="1779"/>
      <c r="AI3313" s="1779"/>
      <c r="AJ3313" s="1779"/>
      <c r="AK3313" s="1779"/>
      <c r="AL3313" s="1779"/>
      <c r="AM3313" s="1779"/>
      <c r="AN3313" s="1779"/>
      <c r="AO3313" s="1779"/>
      <c r="AP3313" s="1779"/>
      <c r="AQ3313" s="1779"/>
      <c r="AR3313" s="1779"/>
      <c r="AS3313" s="1779"/>
      <c r="AT3313" s="1779"/>
      <c r="AU3313" s="1779"/>
      <c r="AV3313" s="1779"/>
    </row>
    <row r="3314" spans="1:48" ht="20.45" customHeight="1">
      <c r="A3314" s="762"/>
      <c r="B3314" s="762" t="s">
        <v>531</v>
      </c>
      <c r="C3314" s="762" t="s">
        <v>529</v>
      </c>
      <c r="D3314" s="1599"/>
      <c r="E3314" s="2245" t="s">
        <v>1942</v>
      </c>
      <c r="F3314" s="1816">
        <v>6360</v>
      </c>
      <c r="G3314" s="786" t="s">
        <v>1885</v>
      </c>
      <c r="H3314" s="851"/>
      <c r="I3314" s="851">
        <v>73000</v>
      </c>
      <c r="J3314" s="765"/>
      <c r="K3314" s="766"/>
      <c r="L3314" s="1657"/>
      <c r="M3314" s="1657"/>
      <c r="N3314" s="2847" t="s">
        <v>2396</v>
      </c>
      <c r="O3314" s="86"/>
      <c r="P3314" s="1817" t="e">
        <f>INDEX(#REF!,MATCH(F3314,#REF!,0),2)</f>
        <v>#REF!</v>
      </c>
      <c r="Q3314" s="11"/>
      <c r="R3314" s="11"/>
      <c r="S3314" s="11"/>
      <c r="T3314" s="11"/>
      <c r="U3314" s="11"/>
      <c r="V3314" s="11"/>
      <c r="W3314" s="4"/>
      <c r="X3314" s="11"/>
      <c r="Y3314" s="11"/>
      <c r="Z3314" s="11"/>
      <c r="AA3314" s="11"/>
      <c r="AB3314" s="11"/>
      <c r="AC3314" s="11"/>
      <c r="AD3314" s="11"/>
      <c r="AE3314" s="11"/>
      <c r="AF3314" s="11"/>
      <c r="AG3314" s="11"/>
      <c r="AH3314" s="11"/>
      <c r="AI3314" s="11"/>
      <c r="AJ3314" s="11"/>
      <c r="AK3314" s="11"/>
      <c r="AL3314" s="11"/>
      <c r="AM3314" s="11"/>
      <c r="AN3314" s="11"/>
      <c r="AO3314" s="11"/>
      <c r="AP3314" s="11"/>
      <c r="AQ3314" s="11"/>
      <c r="AR3314" s="11"/>
      <c r="AS3314" s="11"/>
      <c r="AT3314" s="11"/>
      <c r="AU3314" s="11"/>
      <c r="AV3314" s="11"/>
    </row>
    <row r="3315" spans="1:48" ht="48.6" customHeight="1">
      <c r="A3315" s="755"/>
      <c r="B3315" s="755" t="s">
        <v>531</v>
      </c>
      <c r="C3315" s="755" t="s">
        <v>529</v>
      </c>
      <c r="D3315" s="1600">
        <v>1010</v>
      </c>
      <c r="E3315" s="2247" t="s">
        <v>1942</v>
      </c>
      <c r="F3315" s="788">
        <v>6411</v>
      </c>
      <c r="G3315" s="757" t="s">
        <v>759</v>
      </c>
      <c r="H3315" s="759">
        <v>41000</v>
      </c>
      <c r="I3315" s="759"/>
      <c r="J3315" s="760">
        <v>18056</v>
      </c>
      <c r="K3315" s="761"/>
      <c r="L3315" s="3750">
        <v>240000</v>
      </c>
      <c r="M3315" s="1580"/>
      <c r="N3315" s="2847"/>
      <c r="O3315" s="86"/>
      <c r="P3315" s="1817" t="e">
        <f>INDEX(#REF!,MATCH(F3315,#REF!,0),2)</f>
        <v>#REF!</v>
      </c>
      <c r="Q3315" s="11"/>
      <c r="R3315" s="11"/>
      <c r="S3315" s="11"/>
      <c r="T3315" s="11"/>
      <c r="U3315" s="11"/>
      <c r="V3315" s="11"/>
      <c r="W3315" s="4"/>
      <c r="X3315" s="11"/>
      <c r="Y3315" s="11"/>
      <c r="Z3315" s="11"/>
      <c r="AA3315" s="11"/>
      <c r="AB3315" s="11"/>
      <c r="AC3315" s="11"/>
      <c r="AD3315" s="11"/>
      <c r="AE3315" s="11"/>
      <c r="AF3315" s="11"/>
      <c r="AG3315" s="11"/>
      <c r="AH3315" s="11"/>
      <c r="AI3315" s="11"/>
      <c r="AJ3315" s="11"/>
      <c r="AK3315" s="11"/>
      <c r="AL3315" s="11"/>
      <c r="AM3315" s="11"/>
      <c r="AN3315" s="11"/>
      <c r="AO3315" s="11"/>
      <c r="AP3315" s="11"/>
      <c r="AQ3315" s="11"/>
      <c r="AR3315" s="11"/>
      <c r="AS3315" s="11"/>
      <c r="AT3315" s="11"/>
      <c r="AU3315" s="11"/>
      <c r="AV3315" s="11"/>
    </row>
    <row r="3316" spans="1:48" ht="27" customHeight="1">
      <c r="A3316" s="778"/>
      <c r="B3316" s="778" t="s">
        <v>531</v>
      </c>
      <c r="C3316" s="778" t="s">
        <v>529</v>
      </c>
      <c r="D3316" s="1608"/>
      <c r="E3316" s="2267" t="s">
        <v>1942</v>
      </c>
      <c r="F3316" s="773">
        <v>6411</v>
      </c>
      <c r="G3316" s="772" t="s">
        <v>5181</v>
      </c>
      <c r="H3316" s="844"/>
      <c r="I3316" s="844">
        <v>21000</v>
      </c>
      <c r="J3316" s="845"/>
      <c r="K3316" s="804"/>
      <c r="L3316" s="3762"/>
      <c r="M3316" s="3761">
        <v>200000</v>
      </c>
      <c r="N3316" s="2846" t="s">
        <v>6202</v>
      </c>
      <c r="O3316" s="86"/>
      <c r="P3316" s="1817" t="e">
        <f>INDEX(#REF!,MATCH(F3316,#REF!,0),2)</f>
        <v>#REF!</v>
      </c>
      <c r="Q3316" s="1779"/>
      <c r="R3316" s="1779"/>
      <c r="S3316" s="1779"/>
      <c r="T3316" s="1779"/>
      <c r="U3316" s="1779"/>
      <c r="V3316" s="1779"/>
      <c r="W3316" s="43"/>
      <c r="X3316" s="1779"/>
      <c r="Y3316" s="1779"/>
      <c r="Z3316" s="1779"/>
      <c r="AA3316" s="1779"/>
      <c r="AB3316" s="1779"/>
      <c r="AC3316" s="1779"/>
      <c r="AD3316" s="1779"/>
      <c r="AE3316" s="1779"/>
      <c r="AF3316" s="1779"/>
      <c r="AG3316" s="1779"/>
      <c r="AH3316" s="1779"/>
      <c r="AI3316" s="1779"/>
      <c r="AJ3316" s="1779"/>
      <c r="AK3316" s="1779"/>
      <c r="AL3316" s="1779"/>
      <c r="AM3316" s="1779"/>
      <c r="AN3316" s="1779"/>
      <c r="AO3316" s="1779"/>
      <c r="AP3316" s="1779"/>
      <c r="AQ3316" s="1779"/>
      <c r="AR3316" s="1779"/>
      <c r="AS3316" s="1779"/>
      <c r="AT3316" s="1779"/>
      <c r="AU3316" s="1779"/>
      <c r="AV3316" s="1779"/>
    </row>
    <row r="3317" spans="1:48" ht="33" customHeight="1">
      <c r="A3317" s="778"/>
      <c r="B3317" s="778" t="s">
        <v>531</v>
      </c>
      <c r="C3317" s="778" t="s">
        <v>529</v>
      </c>
      <c r="D3317" s="1608"/>
      <c r="E3317" s="2267" t="s">
        <v>1942</v>
      </c>
      <c r="F3317" s="773">
        <v>6411</v>
      </c>
      <c r="G3317" s="772" t="s">
        <v>5180</v>
      </c>
      <c r="H3317" s="844"/>
      <c r="I3317" s="844">
        <v>20000</v>
      </c>
      <c r="J3317" s="845"/>
      <c r="K3317" s="804"/>
      <c r="L3317" s="3762"/>
      <c r="M3317" s="3761">
        <v>40000</v>
      </c>
      <c r="N3317" s="2396" t="s">
        <v>5677</v>
      </c>
      <c r="O3317" s="86"/>
      <c r="P3317" s="1817" t="e">
        <f>INDEX(#REF!,MATCH(F3317,#REF!,0),2)</f>
        <v>#REF!</v>
      </c>
      <c r="Q3317" s="1779"/>
      <c r="R3317" s="1779"/>
      <c r="S3317" s="1779"/>
      <c r="T3317" s="1779"/>
      <c r="U3317" s="1779"/>
      <c r="V3317" s="1779"/>
      <c r="W3317" s="43"/>
      <c r="X3317" s="1779"/>
      <c r="Y3317" s="1779"/>
      <c r="Z3317" s="1779"/>
      <c r="AA3317" s="1779"/>
      <c r="AB3317" s="1779"/>
      <c r="AC3317" s="1779"/>
      <c r="AD3317" s="1779"/>
      <c r="AE3317" s="1779"/>
      <c r="AF3317" s="1779"/>
      <c r="AG3317" s="1779"/>
      <c r="AH3317" s="1779"/>
      <c r="AI3317" s="1779"/>
      <c r="AJ3317" s="1779"/>
      <c r="AK3317" s="1779"/>
      <c r="AL3317" s="1779"/>
      <c r="AM3317" s="1779"/>
      <c r="AN3317" s="1779"/>
      <c r="AO3317" s="1779"/>
      <c r="AP3317" s="1779"/>
      <c r="AQ3317" s="1779"/>
      <c r="AR3317" s="1779"/>
      <c r="AS3317" s="1779"/>
      <c r="AT3317" s="1779"/>
      <c r="AU3317" s="1779"/>
      <c r="AV3317" s="1779"/>
    </row>
    <row r="3318" spans="1:48" ht="32.450000000000003" customHeight="1">
      <c r="A3318" s="755"/>
      <c r="B3318" s="755" t="s">
        <v>531</v>
      </c>
      <c r="C3318" s="755" t="s">
        <v>529</v>
      </c>
      <c r="D3318" s="1600">
        <v>1010</v>
      </c>
      <c r="E3318" s="2247" t="s">
        <v>1942</v>
      </c>
      <c r="F3318" s="756">
        <v>6412</v>
      </c>
      <c r="G3318" s="757" t="s">
        <v>760</v>
      </c>
      <c r="H3318" s="759">
        <v>145000</v>
      </c>
      <c r="I3318" s="759"/>
      <c r="J3318" s="760">
        <v>130000</v>
      </c>
      <c r="K3318" s="761"/>
      <c r="L3318" s="3750">
        <v>223239</v>
      </c>
      <c r="M3318" s="1580"/>
      <c r="N3318" s="2847"/>
      <c r="O3318" s="86"/>
      <c r="P3318" s="1817" t="e">
        <f>INDEX(#REF!,MATCH(F3318,#REF!,0),2)</f>
        <v>#REF!</v>
      </c>
      <c r="Q3318" s="1779"/>
      <c r="R3318" s="1779"/>
      <c r="S3318" s="1779"/>
      <c r="T3318" s="1779"/>
      <c r="U3318" s="1779"/>
      <c r="V3318" s="1779"/>
      <c r="W3318" s="43"/>
      <c r="X3318" s="1779"/>
      <c r="Y3318" s="1779"/>
      <c r="Z3318" s="1779"/>
      <c r="AA3318" s="1779"/>
      <c r="AB3318" s="1779"/>
      <c r="AC3318" s="1779"/>
      <c r="AD3318" s="1779"/>
      <c r="AE3318" s="1779"/>
      <c r="AF3318" s="1779"/>
      <c r="AG3318" s="1779"/>
      <c r="AH3318" s="1779"/>
      <c r="AI3318" s="1779"/>
      <c r="AJ3318" s="1779"/>
      <c r="AK3318" s="1779"/>
      <c r="AL3318" s="1779"/>
      <c r="AM3318" s="1779"/>
      <c r="AN3318" s="1779"/>
      <c r="AO3318" s="1779"/>
      <c r="AP3318" s="1779"/>
      <c r="AQ3318" s="1779"/>
      <c r="AR3318" s="1779"/>
      <c r="AS3318" s="1779"/>
      <c r="AT3318" s="1779"/>
      <c r="AU3318" s="1779"/>
      <c r="AV3318" s="1779"/>
    </row>
    <row r="3319" spans="1:48" ht="25.9" customHeight="1">
      <c r="A3319" s="762"/>
      <c r="B3319" s="762" t="s">
        <v>531</v>
      </c>
      <c r="C3319" s="762" t="s">
        <v>529</v>
      </c>
      <c r="D3319" s="1599"/>
      <c r="E3319" s="2245" t="s">
        <v>1942</v>
      </c>
      <c r="F3319" s="763">
        <v>6412</v>
      </c>
      <c r="G3319" s="772" t="s">
        <v>5182</v>
      </c>
      <c r="H3319" s="752"/>
      <c r="I3319" s="752">
        <v>15000</v>
      </c>
      <c r="J3319" s="753"/>
      <c r="K3319" s="754"/>
      <c r="L3319" s="1650"/>
      <c r="M3319" s="1576">
        <v>15000</v>
      </c>
      <c r="N3319" s="2847"/>
      <c r="O3319" s="86"/>
      <c r="P3319" s="1817" t="e">
        <f>INDEX(#REF!,MATCH(F3319,#REF!,0),2)</f>
        <v>#REF!</v>
      </c>
      <c r="Q3319" s="1779"/>
      <c r="R3319" s="1779"/>
      <c r="S3319" s="1779"/>
      <c r="T3319" s="1779"/>
      <c r="U3319" s="1779"/>
      <c r="V3319" s="1779"/>
      <c r="W3319" s="43"/>
      <c r="X3319" s="1779"/>
      <c r="Y3319" s="1779"/>
      <c r="Z3319" s="1779"/>
      <c r="AA3319" s="1779"/>
      <c r="AB3319" s="1779"/>
      <c r="AC3319" s="1779"/>
      <c r="AD3319" s="1779"/>
      <c r="AE3319" s="1779"/>
      <c r="AF3319" s="1779"/>
      <c r="AG3319" s="1779"/>
      <c r="AH3319" s="1779"/>
      <c r="AI3319" s="1779"/>
      <c r="AJ3319" s="1779"/>
      <c r="AK3319" s="1779"/>
      <c r="AL3319" s="1779"/>
      <c r="AM3319" s="1779"/>
      <c r="AN3319" s="1779"/>
      <c r="AO3319" s="1779"/>
      <c r="AP3319" s="1779"/>
      <c r="AQ3319" s="1779"/>
      <c r="AR3319" s="1779"/>
      <c r="AS3319" s="1779"/>
      <c r="AT3319" s="1779"/>
      <c r="AU3319" s="1779"/>
      <c r="AV3319" s="1779"/>
    </row>
    <row r="3320" spans="1:48" ht="20.45" customHeight="1">
      <c r="A3320" s="762"/>
      <c r="B3320" s="762" t="s">
        <v>531</v>
      </c>
      <c r="C3320" s="762" t="s">
        <v>529</v>
      </c>
      <c r="D3320" s="1599"/>
      <c r="E3320" s="2245" t="s">
        <v>1942</v>
      </c>
      <c r="F3320" s="763">
        <v>6412</v>
      </c>
      <c r="G3320" s="772" t="s">
        <v>1521</v>
      </c>
      <c r="H3320" s="764"/>
      <c r="I3320" s="764">
        <v>130000</v>
      </c>
      <c r="J3320" s="765"/>
      <c r="K3320" s="766"/>
      <c r="L3320" s="1650"/>
      <c r="M3320" s="1576">
        <v>208239</v>
      </c>
      <c r="N3320" s="2847" t="s">
        <v>5203</v>
      </c>
      <c r="O3320" s="86"/>
      <c r="P3320" s="1817" t="e">
        <f>INDEX(#REF!,MATCH(F3320,#REF!,0),2)</f>
        <v>#REF!</v>
      </c>
      <c r="Q3320" s="1779"/>
      <c r="R3320" s="1779"/>
      <c r="S3320" s="1779"/>
      <c r="T3320" s="1779"/>
      <c r="U3320" s="1779"/>
      <c r="V3320" s="1779"/>
      <c r="W3320" s="43"/>
      <c r="X3320" s="1779"/>
      <c r="Y3320" s="1779"/>
      <c r="Z3320" s="1779"/>
      <c r="AA3320" s="1779"/>
      <c r="AB3320" s="1779"/>
      <c r="AC3320" s="1779"/>
      <c r="AD3320" s="1779"/>
      <c r="AE3320" s="1779"/>
      <c r="AF3320" s="1779"/>
      <c r="AG3320" s="1779"/>
      <c r="AH3320" s="1779"/>
      <c r="AI3320" s="1779"/>
      <c r="AJ3320" s="1779"/>
      <c r="AK3320" s="1779"/>
      <c r="AL3320" s="1779"/>
      <c r="AM3320" s="1779"/>
      <c r="AN3320" s="1779"/>
      <c r="AO3320" s="1779"/>
      <c r="AP3320" s="1779"/>
      <c r="AQ3320" s="1779"/>
      <c r="AR3320" s="1779"/>
      <c r="AS3320" s="1779"/>
      <c r="AT3320" s="1779"/>
      <c r="AU3320" s="1779"/>
      <c r="AV3320" s="1779"/>
    </row>
    <row r="3321" spans="1:48" ht="24" customHeight="1">
      <c r="A3321" s="775"/>
      <c r="B3321" s="755" t="s">
        <v>531</v>
      </c>
      <c r="C3321" s="755" t="s">
        <v>529</v>
      </c>
      <c r="D3321" s="1600">
        <v>1010</v>
      </c>
      <c r="E3321" s="2247" t="s">
        <v>1942</v>
      </c>
      <c r="F3321" s="756">
        <v>6419</v>
      </c>
      <c r="G3321" s="757" t="s">
        <v>761</v>
      </c>
      <c r="H3321" s="759">
        <v>54320</v>
      </c>
      <c r="I3321" s="759"/>
      <c r="J3321" s="760">
        <v>48651</v>
      </c>
      <c r="K3321" s="761"/>
      <c r="L3321" s="3750">
        <v>70742</v>
      </c>
      <c r="M3321" s="1578"/>
      <c r="N3321" s="4060"/>
      <c r="O3321" s="86"/>
      <c r="P3321" s="1817" t="e">
        <f>INDEX(#REF!,MATCH(F3321,#REF!,0),2)</f>
        <v>#REF!</v>
      </c>
      <c r="Q3321" s="11"/>
      <c r="R3321" s="11"/>
      <c r="S3321" s="11"/>
      <c r="T3321" s="11"/>
      <c r="U3321" s="11"/>
      <c r="V3321" s="11"/>
      <c r="W3321" s="4"/>
      <c r="X3321" s="11"/>
      <c r="Y3321" s="11"/>
      <c r="Z3321" s="11"/>
      <c r="AA3321" s="11"/>
      <c r="AB3321" s="11"/>
      <c r="AC3321" s="11"/>
      <c r="AD3321" s="11"/>
      <c r="AE3321" s="11"/>
      <c r="AF3321" s="11"/>
      <c r="AG3321" s="11"/>
      <c r="AH3321" s="11"/>
      <c r="AI3321" s="11"/>
      <c r="AJ3321" s="11"/>
      <c r="AK3321" s="11"/>
      <c r="AL3321" s="11"/>
      <c r="AM3321" s="11"/>
      <c r="AN3321" s="11"/>
      <c r="AO3321" s="11"/>
      <c r="AP3321" s="11"/>
      <c r="AQ3321" s="11"/>
      <c r="AR3321" s="11"/>
      <c r="AS3321" s="11"/>
      <c r="AT3321" s="11"/>
      <c r="AU3321" s="11"/>
      <c r="AV3321" s="11"/>
    </row>
    <row r="3322" spans="1:48" ht="20.45" customHeight="1">
      <c r="A3322" s="762"/>
      <c r="B3322" s="762" t="s">
        <v>531</v>
      </c>
      <c r="C3322" s="762" t="s">
        <v>529</v>
      </c>
      <c r="D3322" s="1599"/>
      <c r="E3322" s="2245" t="s">
        <v>1942</v>
      </c>
      <c r="F3322" s="763">
        <v>6419</v>
      </c>
      <c r="G3322" s="779" t="s">
        <v>5183</v>
      </c>
      <c r="H3322" s="752"/>
      <c r="I3322" s="752">
        <v>5000</v>
      </c>
      <c r="J3322" s="753"/>
      <c r="K3322" s="754"/>
      <c r="L3322" s="1657"/>
      <c r="M3322" s="1576"/>
      <c r="N3322" s="2396"/>
      <c r="O3322" s="86"/>
      <c r="P3322" s="1817" t="e">
        <f>INDEX(#REF!,MATCH(F3322,#REF!,0),2)</f>
        <v>#REF!</v>
      </c>
      <c r="Q3322" s="1779"/>
      <c r="R3322" s="1779"/>
      <c r="S3322" s="1779"/>
      <c r="T3322" s="1779"/>
      <c r="U3322" s="1779"/>
      <c r="V3322" s="1779"/>
      <c r="W3322" s="43"/>
      <c r="X3322" s="1779"/>
      <c r="Y3322" s="1779"/>
      <c r="Z3322" s="1779"/>
      <c r="AA3322" s="1779"/>
      <c r="AB3322" s="1779"/>
      <c r="AC3322" s="1779"/>
      <c r="AD3322" s="1779"/>
      <c r="AE3322" s="1779"/>
      <c r="AF3322" s="1779"/>
      <c r="AG3322" s="1779"/>
      <c r="AH3322" s="1779"/>
      <c r="AI3322" s="1779"/>
      <c r="AJ3322" s="1779"/>
      <c r="AK3322" s="1779"/>
      <c r="AL3322" s="1779"/>
      <c r="AM3322" s="1779"/>
      <c r="AN3322" s="1779"/>
      <c r="AO3322" s="1779"/>
      <c r="AP3322" s="1779"/>
      <c r="AQ3322" s="1779"/>
      <c r="AR3322" s="1779"/>
      <c r="AS3322" s="1779"/>
      <c r="AT3322" s="1779"/>
      <c r="AU3322" s="1779"/>
      <c r="AV3322" s="1779"/>
    </row>
    <row r="3323" spans="1:48" ht="20.45" customHeight="1">
      <c r="A3323" s="762"/>
      <c r="B3323" s="762" t="s">
        <v>531</v>
      </c>
      <c r="C3323" s="762" t="s">
        <v>529</v>
      </c>
      <c r="D3323" s="1599"/>
      <c r="E3323" s="2245" t="s">
        <v>1942</v>
      </c>
      <c r="F3323" s="763">
        <v>6419</v>
      </c>
      <c r="G3323" s="779" t="s">
        <v>5184</v>
      </c>
      <c r="H3323" s="752"/>
      <c r="I3323" s="752">
        <v>3820</v>
      </c>
      <c r="J3323" s="753"/>
      <c r="K3323" s="754"/>
      <c r="L3323" s="1657"/>
      <c r="M3323" s="1576">
        <v>15022</v>
      </c>
      <c r="N3323" s="2396" t="s">
        <v>5678</v>
      </c>
      <c r="O3323" s="86"/>
      <c r="P3323" s="1817" t="e">
        <f>INDEX(#REF!,MATCH(F3323,#REF!,0),2)</f>
        <v>#REF!</v>
      </c>
      <c r="Q3323" s="1779"/>
      <c r="R3323" s="1779"/>
      <c r="S3323" s="1779"/>
      <c r="T3323" s="1779"/>
      <c r="U3323" s="1779"/>
      <c r="V3323" s="1779"/>
      <c r="W3323" s="43"/>
      <c r="X3323" s="1779"/>
      <c r="Y3323" s="1779"/>
      <c r="Z3323" s="1779"/>
      <c r="AA3323" s="1779"/>
      <c r="AB3323" s="1779"/>
      <c r="AC3323" s="1779"/>
      <c r="AD3323" s="1779"/>
      <c r="AE3323" s="1779"/>
      <c r="AF3323" s="1779"/>
      <c r="AG3323" s="1779"/>
      <c r="AH3323" s="1779"/>
      <c r="AI3323" s="1779"/>
      <c r="AJ3323" s="1779"/>
      <c r="AK3323" s="1779"/>
      <c r="AL3323" s="1779"/>
      <c r="AM3323" s="1779"/>
      <c r="AN3323" s="1779"/>
      <c r="AO3323" s="1779"/>
      <c r="AP3323" s="1779"/>
      <c r="AQ3323" s="1779"/>
      <c r="AR3323" s="1779"/>
      <c r="AS3323" s="1779"/>
      <c r="AT3323" s="1779"/>
      <c r="AU3323" s="1779"/>
      <c r="AV3323" s="1779"/>
    </row>
    <row r="3324" spans="1:48" ht="11.45" customHeight="1">
      <c r="A3324" s="762"/>
      <c r="B3324" s="762" t="s">
        <v>531</v>
      </c>
      <c r="C3324" s="762" t="s">
        <v>529</v>
      </c>
      <c r="D3324" s="1599"/>
      <c r="E3324" s="2245" t="s">
        <v>1942</v>
      </c>
      <c r="F3324" s="763">
        <v>6419</v>
      </c>
      <c r="G3324" s="772" t="s">
        <v>5185</v>
      </c>
      <c r="H3324" s="752"/>
      <c r="I3324" s="752">
        <v>3500</v>
      </c>
      <c r="J3324" s="753"/>
      <c r="K3324" s="754"/>
      <c r="L3324" s="1657"/>
      <c r="M3324" s="1576">
        <v>3720</v>
      </c>
      <c r="N3324" s="2847"/>
      <c r="O3324" s="86"/>
      <c r="P3324" s="1817" t="e">
        <f>INDEX(#REF!,MATCH(F3324,#REF!,0),2)</f>
        <v>#REF!</v>
      </c>
      <c r="Q3324" s="1779"/>
      <c r="R3324" s="1779"/>
      <c r="S3324" s="1779"/>
      <c r="T3324" s="1779"/>
      <c r="U3324" s="1779"/>
      <c r="V3324" s="1779"/>
      <c r="W3324" s="43"/>
      <c r="X3324" s="1779"/>
      <c r="Y3324" s="1779"/>
      <c r="Z3324" s="1779"/>
      <c r="AA3324" s="1779"/>
      <c r="AB3324" s="1779"/>
      <c r="AC3324" s="1779"/>
      <c r="AD3324" s="1779"/>
      <c r="AE3324" s="1779"/>
      <c r="AF3324" s="1779"/>
      <c r="AG3324" s="1779"/>
      <c r="AH3324" s="1779"/>
      <c r="AI3324" s="1779"/>
      <c r="AJ3324" s="1779"/>
      <c r="AK3324" s="1779"/>
      <c r="AL3324" s="1779"/>
      <c r="AM3324" s="1779"/>
      <c r="AN3324" s="1779"/>
      <c r="AO3324" s="1779"/>
      <c r="AP3324" s="1779"/>
      <c r="AQ3324" s="1779"/>
      <c r="AR3324" s="1779"/>
      <c r="AS3324" s="1779"/>
      <c r="AT3324" s="1779"/>
      <c r="AU3324" s="1779"/>
      <c r="AV3324" s="1779"/>
    </row>
    <row r="3325" spans="1:48" ht="14.45" customHeight="1">
      <c r="A3325" s="762"/>
      <c r="B3325" s="762" t="s">
        <v>531</v>
      </c>
      <c r="C3325" s="762" t="s">
        <v>529</v>
      </c>
      <c r="D3325" s="1599"/>
      <c r="E3325" s="2245" t="s">
        <v>1942</v>
      </c>
      <c r="F3325" s="763">
        <v>6419</v>
      </c>
      <c r="G3325" s="1567" t="s">
        <v>5186</v>
      </c>
      <c r="H3325" s="752"/>
      <c r="I3325" s="752">
        <v>22000</v>
      </c>
      <c r="J3325" s="753"/>
      <c r="K3325" s="754"/>
      <c r="L3325" s="1657"/>
      <c r="M3325" s="1576">
        <v>32000</v>
      </c>
      <c r="N3325" s="2396" t="s">
        <v>5679</v>
      </c>
      <c r="O3325" s="86"/>
      <c r="P3325" s="1817" t="e">
        <f>INDEX(#REF!,MATCH(F3325,#REF!,0),2)</f>
        <v>#REF!</v>
      </c>
      <c r="Q3325" s="1779"/>
      <c r="R3325" s="1779"/>
      <c r="S3325" s="1779"/>
      <c r="T3325" s="1779"/>
      <c r="U3325" s="1779"/>
      <c r="V3325" s="1779"/>
      <c r="W3325" s="43"/>
      <c r="X3325" s="1779"/>
      <c r="Y3325" s="1779"/>
      <c r="Z3325" s="1779"/>
      <c r="AA3325" s="1779"/>
      <c r="AB3325" s="1779"/>
      <c r="AC3325" s="1779"/>
      <c r="AD3325" s="1779"/>
      <c r="AE3325" s="1779"/>
      <c r="AF3325" s="1779"/>
      <c r="AG3325" s="1779"/>
      <c r="AH3325" s="1779"/>
      <c r="AI3325" s="1779"/>
      <c r="AJ3325" s="1779"/>
      <c r="AK3325" s="1779"/>
      <c r="AL3325" s="1779"/>
      <c r="AM3325" s="1779"/>
      <c r="AN3325" s="1779"/>
      <c r="AO3325" s="1779"/>
      <c r="AP3325" s="1779"/>
      <c r="AQ3325" s="1779"/>
      <c r="AR3325" s="1779"/>
      <c r="AS3325" s="1779"/>
      <c r="AT3325" s="1779"/>
      <c r="AU3325" s="1779"/>
      <c r="AV3325" s="1779"/>
    </row>
    <row r="3326" spans="1:48" ht="13.15" customHeight="1">
      <c r="A3326" s="762"/>
      <c r="B3326" s="762" t="s">
        <v>531</v>
      </c>
      <c r="C3326" s="762" t="s">
        <v>529</v>
      </c>
      <c r="D3326" s="1599"/>
      <c r="E3326" s="2245" t="s">
        <v>1942</v>
      </c>
      <c r="F3326" s="763">
        <v>6419</v>
      </c>
      <c r="G3326" s="1567" t="s">
        <v>2397</v>
      </c>
      <c r="H3326" s="752"/>
      <c r="I3326" s="752">
        <v>20000</v>
      </c>
      <c r="J3326" s="753"/>
      <c r="K3326" s="754"/>
      <c r="L3326" s="1657"/>
      <c r="M3326" s="1576">
        <v>20000</v>
      </c>
      <c r="N3326" s="2847"/>
      <c r="O3326" s="86"/>
      <c r="P3326" s="1817" t="e">
        <f>INDEX(#REF!,MATCH(F3326,#REF!,0),2)</f>
        <v>#REF!</v>
      </c>
      <c r="Q3326" s="1779"/>
      <c r="R3326" s="1779"/>
      <c r="S3326" s="1779"/>
      <c r="T3326" s="1779"/>
      <c r="U3326" s="1779"/>
      <c r="V3326" s="1779"/>
      <c r="W3326" s="43"/>
      <c r="X3326" s="1779"/>
      <c r="Y3326" s="1779"/>
      <c r="Z3326" s="1779"/>
      <c r="AA3326" s="1779"/>
      <c r="AB3326" s="1779"/>
      <c r="AC3326" s="1779"/>
      <c r="AD3326" s="1779"/>
      <c r="AE3326" s="1779"/>
      <c r="AF3326" s="1779"/>
      <c r="AG3326" s="1779"/>
      <c r="AH3326" s="1779"/>
      <c r="AI3326" s="1779"/>
      <c r="AJ3326" s="1779"/>
      <c r="AK3326" s="1779"/>
      <c r="AL3326" s="1779"/>
      <c r="AM3326" s="1779"/>
      <c r="AN3326" s="1779"/>
      <c r="AO3326" s="1779"/>
      <c r="AP3326" s="1779"/>
      <c r="AQ3326" s="1779"/>
      <c r="AR3326" s="1779"/>
      <c r="AS3326" s="1779"/>
      <c r="AT3326" s="1779"/>
      <c r="AU3326" s="1779"/>
      <c r="AV3326" s="1779"/>
    </row>
    <row r="3327" spans="1:48" ht="11.45" customHeight="1">
      <c r="A3327" s="755"/>
      <c r="B3327" s="755" t="s">
        <v>531</v>
      </c>
      <c r="C3327" s="755" t="s">
        <v>507</v>
      </c>
      <c r="D3327" s="1600">
        <v>1010</v>
      </c>
      <c r="E3327" s="2247" t="s">
        <v>1942</v>
      </c>
      <c r="F3327" s="756">
        <v>6421</v>
      </c>
      <c r="G3327" s="757" t="s">
        <v>465</v>
      </c>
      <c r="H3327" s="759">
        <v>5100</v>
      </c>
      <c r="I3327" s="759"/>
      <c r="J3327" s="760">
        <v>4664</v>
      </c>
      <c r="K3327" s="761"/>
      <c r="L3327" s="3750">
        <v>4100</v>
      </c>
      <c r="M3327" s="1580"/>
      <c r="N3327" s="2847"/>
      <c r="O3327" s="86"/>
      <c r="P3327" s="1817" t="e">
        <f>INDEX(#REF!,MATCH(F3327,#REF!,0),2)</f>
        <v>#REF!</v>
      </c>
      <c r="Q3327" s="1779"/>
      <c r="R3327" s="1779"/>
      <c r="S3327" s="1779"/>
      <c r="T3327" s="1779"/>
      <c r="U3327" s="1779"/>
      <c r="V3327" s="1779"/>
      <c r="W3327" s="43"/>
      <c r="X3327" s="1779"/>
      <c r="Y3327" s="1779"/>
      <c r="Z3327" s="1779"/>
      <c r="AA3327" s="1779"/>
      <c r="AB3327" s="1779"/>
      <c r="AC3327" s="1779"/>
      <c r="AD3327" s="1779"/>
      <c r="AE3327" s="1779"/>
      <c r="AF3327" s="1779"/>
      <c r="AG3327" s="1779"/>
      <c r="AH3327" s="1779"/>
      <c r="AI3327" s="1779"/>
      <c r="AJ3327" s="1779"/>
      <c r="AK3327" s="1779"/>
      <c r="AL3327" s="1779"/>
      <c r="AM3327" s="1779"/>
      <c r="AN3327" s="1779"/>
      <c r="AO3327" s="1779"/>
      <c r="AP3327" s="1779"/>
      <c r="AQ3327" s="1779"/>
      <c r="AR3327" s="1779"/>
      <c r="AS3327" s="1779"/>
      <c r="AT3327" s="1779"/>
      <c r="AU3327" s="1779"/>
      <c r="AV3327" s="1779"/>
    </row>
    <row r="3328" spans="1:48" ht="23.45" customHeight="1">
      <c r="A3328" s="762"/>
      <c r="B3328" s="762" t="s">
        <v>531</v>
      </c>
      <c r="C3328" s="762" t="s">
        <v>507</v>
      </c>
      <c r="D3328" s="1599"/>
      <c r="E3328" s="2245" t="s">
        <v>1942</v>
      </c>
      <c r="F3328" s="763">
        <v>6421</v>
      </c>
      <c r="G3328" s="772" t="s">
        <v>5187</v>
      </c>
      <c r="H3328" s="752"/>
      <c r="I3328" s="752">
        <v>1600</v>
      </c>
      <c r="J3328" s="753"/>
      <c r="K3328" s="754"/>
      <c r="L3328" s="1650"/>
      <c r="M3328" s="1576">
        <v>1600</v>
      </c>
      <c r="N3328" s="2847"/>
      <c r="O3328" s="86"/>
      <c r="P3328" s="1817" t="e">
        <f>INDEX(#REF!,MATCH(F3328,#REF!,0),2)</f>
        <v>#REF!</v>
      </c>
      <c r="Q3328" s="1779"/>
      <c r="R3328" s="1779"/>
      <c r="S3328" s="1779"/>
      <c r="T3328" s="1779"/>
      <c r="U3328" s="1779"/>
      <c r="V3328" s="1779"/>
      <c r="W3328" s="43"/>
      <c r="X3328" s="1779"/>
      <c r="Y3328" s="1779"/>
      <c r="Z3328" s="1779"/>
      <c r="AA3328" s="1779"/>
      <c r="AB3328" s="1779"/>
      <c r="AC3328" s="1779"/>
      <c r="AD3328" s="1779"/>
      <c r="AE3328" s="1779"/>
      <c r="AF3328" s="1779"/>
      <c r="AG3328" s="1779"/>
      <c r="AH3328" s="1779"/>
      <c r="AI3328" s="1779"/>
      <c r="AJ3328" s="1779"/>
      <c r="AK3328" s="1779"/>
      <c r="AL3328" s="1779"/>
      <c r="AM3328" s="1779"/>
      <c r="AN3328" s="1779"/>
      <c r="AO3328" s="1779"/>
      <c r="AP3328" s="1779"/>
      <c r="AQ3328" s="1779"/>
      <c r="AR3328" s="1779"/>
      <c r="AS3328" s="1779"/>
      <c r="AT3328" s="1779"/>
      <c r="AU3328" s="1779"/>
      <c r="AV3328" s="1779"/>
    </row>
    <row r="3329" spans="1:48" ht="45" customHeight="1">
      <c r="A3329" s="762"/>
      <c r="B3329" s="762" t="s">
        <v>531</v>
      </c>
      <c r="C3329" s="762" t="s">
        <v>507</v>
      </c>
      <c r="D3329" s="1599"/>
      <c r="E3329" s="2245" t="s">
        <v>1942</v>
      </c>
      <c r="F3329" s="763">
        <v>6421</v>
      </c>
      <c r="G3329" s="772" t="s">
        <v>1522</v>
      </c>
      <c r="H3329" s="752"/>
      <c r="I3329" s="752">
        <v>1000</v>
      </c>
      <c r="J3329" s="753"/>
      <c r="K3329" s="754"/>
      <c r="L3329" s="1650"/>
      <c r="M3329" s="1576">
        <v>1000</v>
      </c>
      <c r="N3329" s="2847"/>
      <c r="O3329" s="86"/>
      <c r="P3329" s="1817" t="e">
        <f>INDEX(#REF!,MATCH(F3329,#REF!,0),2)</f>
        <v>#REF!</v>
      </c>
      <c r="Q3329" s="1779"/>
      <c r="R3329" s="1779"/>
      <c r="S3329" s="1779"/>
      <c r="T3329" s="1779"/>
      <c r="U3329" s="1779"/>
      <c r="V3329" s="1779"/>
      <c r="W3329" s="43"/>
      <c r="X3329" s="1779"/>
      <c r="Y3329" s="1779"/>
      <c r="Z3329" s="1779"/>
      <c r="AA3329" s="1779"/>
      <c r="AB3329" s="1779"/>
      <c r="AC3329" s="1779"/>
      <c r="AD3329" s="1779"/>
      <c r="AE3329" s="1779"/>
      <c r="AF3329" s="1779"/>
      <c r="AG3329" s="1779"/>
      <c r="AH3329" s="1779"/>
      <c r="AI3329" s="1779"/>
      <c r="AJ3329" s="1779"/>
      <c r="AK3329" s="1779"/>
      <c r="AL3329" s="1779"/>
      <c r="AM3329" s="1779"/>
      <c r="AN3329" s="1779"/>
      <c r="AO3329" s="1779"/>
      <c r="AP3329" s="1779"/>
      <c r="AQ3329" s="1779"/>
      <c r="AR3329" s="1779"/>
      <c r="AS3329" s="1779"/>
      <c r="AT3329" s="1779"/>
      <c r="AU3329" s="1779"/>
      <c r="AV3329" s="1779"/>
    </row>
    <row r="3330" spans="1:48" ht="20.45" customHeight="1">
      <c r="A3330" s="762"/>
      <c r="B3330" s="762" t="s">
        <v>531</v>
      </c>
      <c r="C3330" s="762" t="s">
        <v>507</v>
      </c>
      <c r="D3330" s="1599"/>
      <c r="E3330" s="2245" t="s">
        <v>1942</v>
      </c>
      <c r="F3330" s="763">
        <v>6421</v>
      </c>
      <c r="G3330" s="772" t="s">
        <v>979</v>
      </c>
      <c r="H3330" s="752"/>
      <c r="I3330" s="752">
        <v>1500</v>
      </c>
      <c r="J3330" s="753"/>
      <c r="K3330" s="754"/>
      <c r="L3330" s="1650"/>
      <c r="M3330" s="1576">
        <v>1500</v>
      </c>
      <c r="N3330" s="2847"/>
      <c r="O3330" s="86"/>
      <c r="P3330" s="1817" t="e">
        <f>INDEX(#REF!,MATCH(F3330,#REF!,0),2)</f>
        <v>#REF!</v>
      </c>
      <c r="Q3330" s="1779"/>
      <c r="R3330" s="1779"/>
      <c r="S3330" s="1779"/>
      <c r="T3330" s="1779"/>
      <c r="U3330" s="1779"/>
      <c r="V3330" s="1779"/>
      <c r="W3330" s="43"/>
      <c r="X3330" s="1779"/>
      <c r="Y3330" s="1779"/>
      <c r="Z3330" s="1779"/>
      <c r="AA3330" s="1779"/>
      <c r="AB3330" s="1779"/>
      <c r="AC3330" s="1779"/>
      <c r="AD3330" s="1779"/>
      <c r="AE3330" s="1779"/>
      <c r="AF3330" s="1779"/>
      <c r="AG3330" s="1779"/>
      <c r="AH3330" s="1779"/>
      <c r="AI3330" s="1779"/>
      <c r="AJ3330" s="1779"/>
      <c r="AK3330" s="1779"/>
      <c r="AL3330" s="1779"/>
      <c r="AM3330" s="1779"/>
      <c r="AN3330" s="1779"/>
      <c r="AO3330" s="1779"/>
      <c r="AP3330" s="1779"/>
      <c r="AQ3330" s="1779"/>
      <c r="AR3330" s="1779"/>
      <c r="AS3330" s="1779"/>
      <c r="AT3330" s="1779"/>
      <c r="AU3330" s="1779"/>
      <c r="AV3330" s="1779"/>
    </row>
    <row r="3331" spans="1:48" ht="39" customHeight="1">
      <c r="A3331" s="762"/>
      <c r="B3331" s="762" t="s">
        <v>531</v>
      </c>
      <c r="C3331" s="762" t="s">
        <v>507</v>
      </c>
      <c r="D3331" s="1599"/>
      <c r="E3331" s="2245" t="s">
        <v>1942</v>
      </c>
      <c r="F3331" s="763">
        <v>6421</v>
      </c>
      <c r="G3331" s="817" t="s">
        <v>1523</v>
      </c>
      <c r="H3331" s="764"/>
      <c r="I3331" s="764">
        <v>1000</v>
      </c>
      <c r="J3331" s="765"/>
      <c r="K3331" s="766"/>
      <c r="L3331" s="1650"/>
      <c r="M3331" s="1576"/>
      <c r="N3331" s="2847"/>
      <c r="O3331" s="86"/>
      <c r="P3331" s="1817" t="e">
        <f>INDEX(#REF!,MATCH(F3331,#REF!,0),2)</f>
        <v>#REF!</v>
      </c>
      <c r="Q3331" s="1779"/>
      <c r="R3331" s="1779"/>
      <c r="S3331" s="1779"/>
      <c r="T3331" s="1779"/>
      <c r="U3331" s="1779"/>
      <c r="V3331" s="1779"/>
      <c r="W3331" s="43"/>
      <c r="X3331" s="1779"/>
      <c r="Y3331" s="1779"/>
      <c r="Z3331" s="1779"/>
      <c r="AA3331" s="1779"/>
      <c r="AB3331" s="1779"/>
      <c r="AC3331" s="1779"/>
      <c r="AD3331" s="1779"/>
      <c r="AE3331" s="1779"/>
      <c r="AF3331" s="1779"/>
      <c r="AG3331" s="1779"/>
      <c r="AH3331" s="1779"/>
      <c r="AI3331" s="1779"/>
      <c r="AJ3331" s="1779"/>
      <c r="AK3331" s="1779"/>
      <c r="AL3331" s="1779"/>
      <c r="AM3331" s="1779"/>
      <c r="AN3331" s="1779"/>
      <c r="AO3331" s="1779"/>
      <c r="AP3331" s="1779"/>
      <c r="AQ3331" s="1779"/>
      <c r="AR3331" s="1779"/>
      <c r="AS3331" s="1779"/>
      <c r="AT3331" s="1779"/>
      <c r="AU3331" s="1779"/>
      <c r="AV3331" s="1779"/>
    </row>
    <row r="3332" spans="1:48" ht="31.15" customHeight="1">
      <c r="A3332" s="755"/>
      <c r="B3332" s="775" t="s">
        <v>531</v>
      </c>
      <c r="C3332" s="755" t="s">
        <v>570</v>
      </c>
      <c r="D3332" s="1600">
        <v>1010</v>
      </c>
      <c r="E3332" s="2247" t="s">
        <v>1942</v>
      </c>
      <c r="F3332" s="756">
        <v>6421</v>
      </c>
      <c r="G3332" s="757" t="s">
        <v>465</v>
      </c>
      <c r="H3332" s="759">
        <v>36538</v>
      </c>
      <c r="I3332" s="759"/>
      <c r="J3332" s="760"/>
      <c r="K3332" s="761"/>
      <c r="L3332" s="3750">
        <v>30000</v>
      </c>
      <c r="M3332" s="1580"/>
      <c r="N3332" s="2847"/>
      <c r="O3332" s="86"/>
      <c r="P3332" s="1817" t="e">
        <f>INDEX(#REF!,MATCH(F3332,#REF!,0),2)</f>
        <v>#REF!</v>
      </c>
      <c r="Q3332" s="1779"/>
      <c r="R3332" s="1779"/>
      <c r="S3332" s="1779"/>
      <c r="T3332" s="1779"/>
      <c r="U3332" s="1779"/>
      <c r="V3332" s="1779"/>
      <c r="W3332" s="43"/>
      <c r="X3332" s="1779"/>
      <c r="Y3332" s="1779"/>
      <c r="Z3332" s="1779"/>
      <c r="AA3332" s="1779"/>
      <c r="AB3332" s="1779"/>
      <c r="AC3332" s="1779"/>
      <c r="AD3332" s="1779"/>
      <c r="AE3332" s="1779"/>
      <c r="AF3332" s="1779"/>
      <c r="AG3332" s="1779"/>
      <c r="AH3332" s="1779"/>
      <c r="AI3332" s="1779"/>
      <c r="AJ3332" s="1779"/>
      <c r="AK3332" s="1779"/>
      <c r="AL3332" s="1779"/>
      <c r="AM3332" s="1779"/>
      <c r="AN3332" s="1779"/>
      <c r="AO3332" s="1779"/>
      <c r="AP3332" s="1779"/>
      <c r="AQ3332" s="1779"/>
      <c r="AR3332" s="1779"/>
      <c r="AS3332" s="1779"/>
      <c r="AT3332" s="1779"/>
      <c r="AU3332" s="1779"/>
      <c r="AV3332" s="1779"/>
    </row>
    <row r="3333" spans="1:48" ht="15" customHeight="1">
      <c r="A3333" s="762"/>
      <c r="B3333" s="489" t="s">
        <v>531</v>
      </c>
      <c r="C3333" s="762" t="s">
        <v>570</v>
      </c>
      <c r="D3333" s="1599"/>
      <c r="E3333" s="2245" t="s">
        <v>1942</v>
      </c>
      <c r="F3333" s="763">
        <v>6421</v>
      </c>
      <c r="G3333" s="772" t="s">
        <v>5188</v>
      </c>
      <c r="H3333" s="752"/>
      <c r="I3333" s="752">
        <v>36538</v>
      </c>
      <c r="J3333" s="753"/>
      <c r="K3333" s="754"/>
      <c r="L3333" s="1650"/>
      <c r="M3333" s="1576">
        <v>30000</v>
      </c>
      <c r="N3333" s="2847"/>
      <c r="O3333" s="86"/>
      <c r="P3333" s="1817" t="e">
        <f>INDEX(#REF!,MATCH(F3333,#REF!,0),2)</f>
        <v>#REF!</v>
      </c>
      <c r="Q3333" s="43"/>
      <c r="R3333" s="43"/>
      <c r="S3333" s="43"/>
      <c r="T3333" s="43"/>
      <c r="U3333" s="43"/>
      <c r="V3333" s="43"/>
      <c r="W3333" s="43"/>
      <c r="X3333" s="43"/>
      <c r="Y3333" s="43"/>
      <c r="Z3333" s="43"/>
      <c r="AA3333" s="43"/>
      <c r="AB3333" s="43"/>
      <c r="AC3333" s="43"/>
      <c r="AD3333" s="43"/>
      <c r="AE3333" s="43"/>
      <c r="AF3333" s="43"/>
      <c r="AG3333" s="43"/>
      <c r="AH3333" s="43"/>
      <c r="AI3333" s="43"/>
      <c r="AJ3333" s="43"/>
      <c r="AK3333" s="43"/>
      <c r="AL3333" s="43"/>
      <c r="AM3333" s="43"/>
      <c r="AN3333" s="43"/>
      <c r="AO3333" s="43"/>
      <c r="AP3333" s="43"/>
      <c r="AQ3333" s="43"/>
      <c r="AR3333" s="43"/>
      <c r="AS3333" s="43"/>
      <c r="AT3333" s="43"/>
      <c r="AU3333" s="43"/>
      <c r="AV3333" s="43"/>
    </row>
    <row r="3334" spans="1:48" ht="15" customHeight="1">
      <c r="A3334" s="755"/>
      <c r="B3334" s="755" t="s">
        <v>531</v>
      </c>
      <c r="C3334" s="755" t="s">
        <v>529</v>
      </c>
      <c r="D3334" s="1600">
        <v>1010</v>
      </c>
      <c r="E3334" s="2247" t="s">
        <v>1942</v>
      </c>
      <c r="F3334" s="756">
        <v>6423</v>
      </c>
      <c r="G3334" s="757" t="s">
        <v>466</v>
      </c>
      <c r="H3334" s="759">
        <v>118250</v>
      </c>
      <c r="I3334" s="790"/>
      <c r="J3334" s="760">
        <v>321150</v>
      </c>
      <c r="K3334" s="761"/>
      <c r="L3334" s="3750">
        <v>246014</v>
      </c>
      <c r="M3334" s="1578"/>
      <c r="N3334" s="2847"/>
      <c r="O3334" s="86"/>
      <c r="P3334" s="1817" t="e">
        <f>INDEX(#REF!,MATCH(F3334,#REF!,0),2)</f>
        <v>#REF!</v>
      </c>
      <c r="Q3334" s="43"/>
      <c r="R3334" s="43"/>
      <c r="S3334" s="43"/>
      <c r="T3334" s="43"/>
      <c r="U3334" s="43"/>
      <c r="V3334" s="43"/>
      <c r="W3334" s="43"/>
      <c r="X3334" s="43"/>
      <c r="Y3334" s="43"/>
      <c r="Z3334" s="43"/>
      <c r="AA3334" s="43"/>
      <c r="AB3334" s="43"/>
      <c r="AC3334" s="43"/>
      <c r="AD3334" s="43"/>
      <c r="AE3334" s="43"/>
      <c r="AF3334" s="43"/>
      <c r="AG3334" s="43"/>
      <c r="AH3334" s="43"/>
      <c r="AI3334" s="43"/>
      <c r="AJ3334" s="43"/>
      <c r="AK3334" s="43"/>
      <c r="AL3334" s="43"/>
      <c r="AM3334" s="43"/>
      <c r="AN3334" s="43"/>
      <c r="AO3334" s="43"/>
      <c r="AP3334" s="43"/>
      <c r="AQ3334" s="43"/>
      <c r="AR3334" s="43"/>
      <c r="AS3334" s="43"/>
      <c r="AT3334" s="43"/>
      <c r="AU3334" s="43"/>
      <c r="AV3334" s="43"/>
    </row>
    <row r="3335" spans="1:48" ht="36.75" customHeight="1">
      <c r="A3335" s="762"/>
      <c r="B3335" s="762" t="s">
        <v>531</v>
      </c>
      <c r="C3335" s="762" t="s">
        <v>529</v>
      </c>
      <c r="D3335" s="1599"/>
      <c r="E3335" s="2245" t="s">
        <v>1942</v>
      </c>
      <c r="F3335" s="763">
        <v>6423</v>
      </c>
      <c r="G3335" s="772" t="s">
        <v>1781</v>
      </c>
      <c r="H3335" s="784"/>
      <c r="I3335" s="752">
        <v>4000</v>
      </c>
      <c r="J3335" s="753"/>
      <c r="K3335" s="754"/>
      <c r="L3335" s="1657"/>
      <c r="M3335" s="1576">
        <v>2000</v>
      </c>
      <c r="N3335" s="2847"/>
      <c r="O3335" s="86"/>
      <c r="P3335" s="1817" t="e">
        <f>INDEX(#REF!,MATCH(F3335,#REF!,0),2)</f>
        <v>#REF!</v>
      </c>
      <c r="Q3335" s="43"/>
      <c r="R3335" s="43"/>
      <c r="S3335" s="43"/>
      <c r="T3335" s="43"/>
      <c r="U3335" s="43"/>
      <c r="V3335" s="43"/>
      <c r="W3335" s="43"/>
      <c r="X3335" s="43"/>
      <c r="Y3335" s="43"/>
      <c r="Z3335" s="43"/>
      <c r="AA3335" s="43"/>
      <c r="AB3335" s="43"/>
      <c r="AC3335" s="43"/>
      <c r="AD3335" s="43"/>
      <c r="AE3335" s="43"/>
      <c r="AF3335" s="43"/>
      <c r="AG3335" s="43"/>
      <c r="AH3335" s="43"/>
      <c r="AI3335" s="43"/>
      <c r="AJ3335" s="43"/>
      <c r="AK3335" s="43"/>
      <c r="AL3335" s="43"/>
      <c r="AM3335" s="43"/>
      <c r="AN3335" s="43"/>
      <c r="AO3335" s="43"/>
      <c r="AP3335" s="43"/>
      <c r="AQ3335" s="43"/>
      <c r="AR3335" s="43"/>
      <c r="AS3335" s="43"/>
      <c r="AT3335" s="43"/>
      <c r="AU3335" s="43"/>
      <c r="AV3335" s="43"/>
    </row>
    <row r="3336" spans="1:48" ht="22.9" customHeight="1">
      <c r="A3336" s="762"/>
      <c r="B3336" s="762" t="s">
        <v>531</v>
      </c>
      <c r="C3336" s="762" t="s">
        <v>529</v>
      </c>
      <c r="D3336" s="1599"/>
      <c r="E3336" s="2245" t="s">
        <v>1942</v>
      </c>
      <c r="F3336" s="763">
        <v>6423</v>
      </c>
      <c r="G3336" s="772" t="s">
        <v>5189</v>
      </c>
      <c r="H3336" s="784"/>
      <c r="I3336" s="752">
        <v>10000</v>
      </c>
      <c r="J3336" s="753"/>
      <c r="K3336" s="754"/>
      <c r="L3336" s="1657"/>
      <c r="M3336" s="1576">
        <v>18000</v>
      </c>
      <c r="N3336" s="2396" t="s">
        <v>5680</v>
      </c>
      <c r="O3336" s="86"/>
      <c r="P3336" s="1817" t="e">
        <f>INDEX(#REF!,MATCH(F3336,#REF!,0),2)</f>
        <v>#REF!</v>
      </c>
      <c r="Q3336" s="43"/>
      <c r="R3336" s="43"/>
      <c r="S3336" s="43"/>
      <c r="T3336" s="43"/>
      <c r="U3336" s="43"/>
      <c r="V3336" s="43"/>
      <c r="W3336" s="43"/>
      <c r="X3336" s="43"/>
      <c r="Y3336" s="43"/>
      <c r="Z3336" s="43"/>
      <c r="AA3336" s="43"/>
      <c r="AB3336" s="43"/>
      <c r="AC3336" s="43"/>
      <c r="AD3336" s="43"/>
      <c r="AE3336" s="43"/>
      <c r="AF3336" s="43"/>
      <c r="AG3336" s="43"/>
      <c r="AH3336" s="43"/>
      <c r="AI3336" s="43"/>
      <c r="AJ3336" s="43"/>
      <c r="AK3336" s="43"/>
      <c r="AL3336" s="43"/>
      <c r="AM3336" s="43"/>
      <c r="AN3336" s="43"/>
      <c r="AO3336" s="43"/>
      <c r="AP3336" s="43"/>
      <c r="AQ3336" s="43"/>
      <c r="AR3336" s="43"/>
      <c r="AS3336" s="43"/>
      <c r="AT3336" s="43"/>
      <c r="AU3336" s="43"/>
      <c r="AV3336" s="43"/>
    </row>
    <row r="3337" spans="1:48" ht="18" customHeight="1">
      <c r="A3337" s="762"/>
      <c r="B3337" s="762" t="s">
        <v>531</v>
      </c>
      <c r="C3337" s="762" t="s">
        <v>529</v>
      </c>
      <c r="D3337" s="1599"/>
      <c r="E3337" s="2245" t="s">
        <v>1942</v>
      </c>
      <c r="F3337" s="763">
        <v>6423</v>
      </c>
      <c r="G3337" s="1567" t="s">
        <v>5190</v>
      </c>
      <c r="H3337" s="784"/>
      <c r="I3337" s="752">
        <v>30000</v>
      </c>
      <c r="J3337" s="753"/>
      <c r="K3337" s="754"/>
      <c r="L3337" s="1657"/>
      <c r="M3337" s="1576">
        <v>34000</v>
      </c>
      <c r="N3337" s="2847"/>
      <c r="O3337" s="86"/>
      <c r="P3337" s="1817" t="e">
        <f>INDEX(#REF!,MATCH(F3337,#REF!,0),2)</f>
        <v>#REF!</v>
      </c>
      <c r="Q3337" s="43"/>
      <c r="R3337" s="43"/>
      <c r="S3337" s="43"/>
      <c r="T3337" s="43"/>
      <c r="U3337" s="43"/>
      <c r="V3337" s="43"/>
      <c r="W3337" s="43"/>
      <c r="X3337" s="43"/>
      <c r="Y3337" s="43"/>
      <c r="Z3337" s="43"/>
      <c r="AA3337" s="43"/>
      <c r="AB3337" s="43"/>
      <c r="AC3337" s="43"/>
      <c r="AD3337" s="43"/>
      <c r="AE3337" s="43"/>
      <c r="AF3337" s="43"/>
      <c r="AG3337" s="43"/>
      <c r="AH3337" s="43"/>
      <c r="AI3337" s="43"/>
      <c r="AJ3337" s="43"/>
      <c r="AK3337" s="43"/>
      <c r="AL3337" s="43"/>
      <c r="AM3337" s="43"/>
      <c r="AN3337" s="43"/>
      <c r="AO3337" s="43"/>
      <c r="AP3337" s="43"/>
      <c r="AQ3337" s="43"/>
      <c r="AR3337" s="43"/>
      <c r="AS3337" s="43"/>
      <c r="AT3337" s="43"/>
      <c r="AU3337" s="43"/>
      <c r="AV3337" s="43"/>
    </row>
    <row r="3338" spans="1:48" ht="28.5" customHeight="1">
      <c r="A3338" s="762"/>
      <c r="B3338" s="762" t="s">
        <v>531</v>
      </c>
      <c r="C3338" s="762" t="s">
        <v>529</v>
      </c>
      <c r="D3338" s="1599"/>
      <c r="E3338" s="2245" t="s">
        <v>1942</v>
      </c>
      <c r="F3338" s="763">
        <v>6423</v>
      </c>
      <c r="G3338" s="1567" t="s">
        <v>5191</v>
      </c>
      <c r="H3338" s="784"/>
      <c r="I3338" s="752">
        <v>4850</v>
      </c>
      <c r="J3338" s="753"/>
      <c r="K3338" s="754"/>
      <c r="L3338" s="1657"/>
      <c r="M3338" s="1576">
        <v>11000</v>
      </c>
      <c r="N3338" s="2847"/>
      <c r="O3338" s="86"/>
      <c r="P3338" s="1817" t="e">
        <f>INDEX(#REF!,MATCH(F3338,#REF!,0),2)</f>
        <v>#REF!</v>
      </c>
      <c r="Q3338" s="1779"/>
      <c r="R3338" s="1779"/>
      <c r="S3338" s="1779"/>
      <c r="T3338" s="1779"/>
      <c r="U3338" s="1779"/>
      <c r="V3338" s="1779"/>
      <c r="W3338" s="43"/>
      <c r="X3338" s="1779"/>
      <c r="Y3338" s="1779"/>
      <c r="Z3338" s="1779"/>
      <c r="AA3338" s="1779"/>
      <c r="AB3338" s="1779"/>
      <c r="AC3338" s="1779"/>
      <c r="AD3338" s="1779"/>
      <c r="AE3338" s="1779"/>
      <c r="AF3338" s="1779"/>
      <c r="AG3338" s="1779"/>
      <c r="AH3338" s="1779"/>
      <c r="AI3338" s="1779"/>
      <c r="AJ3338" s="1779"/>
      <c r="AK3338" s="1779"/>
      <c r="AL3338" s="1779"/>
      <c r="AM3338" s="1779"/>
      <c r="AN3338" s="1779"/>
      <c r="AO3338" s="1779"/>
      <c r="AP3338" s="1779"/>
      <c r="AQ3338" s="1779"/>
      <c r="AR3338" s="1779"/>
      <c r="AS3338" s="1779"/>
      <c r="AT3338" s="1779"/>
      <c r="AU3338" s="1779"/>
      <c r="AV3338" s="1779"/>
    </row>
    <row r="3339" spans="1:48" ht="31.15" customHeight="1">
      <c r="A3339" s="762"/>
      <c r="B3339" s="762" t="s">
        <v>531</v>
      </c>
      <c r="C3339" s="762" t="s">
        <v>529</v>
      </c>
      <c r="D3339" s="1599"/>
      <c r="E3339" s="2245" t="s">
        <v>1942</v>
      </c>
      <c r="F3339" s="763">
        <v>6423</v>
      </c>
      <c r="G3339" s="1567" t="s">
        <v>5192</v>
      </c>
      <c r="H3339" s="847"/>
      <c r="I3339" s="842">
        <v>12000</v>
      </c>
      <c r="J3339" s="753"/>
      <c r="K3339" s="754"/>
      <c r="L3339" s="1720"/>
      <c r="M3339" s="1576">
        <v>14374</v>
      </c>
      <c r="N3339" s="2847"/>
      <c r="O3339" s="86"/>
      <c r="P3339" s="1817" t="e">
        <f>INDEX(#REF!,MATCH(F3339,#REF!,0),2)</f>
        <v>#REF!</v>
      </c>
      <c r="Q3339" s="1779"/>
      <c r="R3339" s="1779"/>
      <c r="S3339" s="1779"/>
      <c r="T3339" s="1779"/>
      <c r="U3339" s="1779"/>
      <c r="V3339" s="1779"/>
      <c r="W3339" s="43"/>
      <c r="X3339" s="1779"/>
      <c r="Y3339" s="1779"/>
      <c r="Z3339" s="1779"/>
      <c r="AA3339" s="1779"/>
      <c r="AB3339" s="1779"/>
      <c r="AC3339" s="1779"/>
      <c r="AD3339" s="1779"/>
      <c r="AE3339" s="1779"/>
      <c r="AF3339" s="1779"/>
      <c r="AG3339" s="1779"/>
      <c r="AH3339" s="1779"/>
      <c r="AI3339" s="1779"/>
      <c r="AJ3339" s="1779"/>
      <c r="AK3339" s="1779"/>
      <c r="AL3339" s="1779"/>
      <c r="AM3339" s="1779"/>
      <c r="AN3339" s="1779"/>
      <c r="AO3339" s="1779"/>
      <c r="AP3339" s="1779"/>
      <c r="AQ3339" s="1779"/>
      <c r="AR3339" s="1779"/>
      <c r="AS3339" s="1779"/>
      <c r="AT3339" s="1779"/>
      <c r="AU3339" s="1779"/>
      <c r="AV3339" s="1779"/>
    </row>
    <row r="3340" spans="1:48" ht="14.45" customHeight="1">
      <c r="A3340" s="762"/>
      <c r="B3340" s="762" t="s">
        <v>531</v>
      </c>
      <c r="C3340" s="762" t="s">
        <v>529</v>
      </c>
      <c r="D3340" s="1599"/>
      <c r="E3340" s="2245" t="s">
        <v>1942</v>
      </c>
      <c r="F3340" s="763">
        <v>6423</v>
      </c>
      <c r="G3340" s="772" t="s">
        <v>762</v>
      </c>
      <c r="H3340" s="847"/>
      <c r="I3340" s="842">
        <v>1000</v>
      </c>
      <c r="J3340" s="753"/>
      <c r="K3340" s="754"/>
      <c r="L3340" s="1720"/>
      <c r="M3340" s="3761">
        <v>1000</v>
      </c>
      <c r="N3340" s="2847"/>
      <c r="O3340" s="86"/>
      <c r="P3340" s="1817" t="e">
        <f>INDEX(#REF!,MATCH(F3340,#REF!,0),2)</f>
        <v>#REF!</v>
      </c>
      <c r="Q3340" s="1779"/>
      <c r="R3340" s="1779"/>
      <c r="S3340" s="1779"/>
      <c r="T3340" s="1779"/>
      <c r="U3340" s="1779"/>
      <c r="V3340" s="1779"/>
      <c r="W3340" s="43"/>
      <c r="X3340" s="1779"/>
      <c r="Y3340" s="1779"/>
      <c r="Z3340" s="1779"/>
      <c r="AA3340" s="1779"/>
      <c r="AB3340" s="1779"/>
      <c r="AC3340" s="1779"/>
      <c r="AD3340" s="1779"/>
      <c r="AE3340" s="1779"/>
      <c r="AF3340" s="1779"/>
      <c r="AG3340" s="1779"/>
      <c r="AH3340" s="1779"/>
      <c r="AI3340" s="1779"/>
      <c r="AJ3340" s="1779"/>
      <c r="AK3340" s="1779"/>
      <c r="AL3340" s="1779"/>
      <c r="AM3340" s="1779"/>
      <c r="AN3340" s="1779"/>
      <c r="AO3340" s="1779"/>
      <c r="AP3340" s="1779"/>
      <c r="AQ3340" s="1779"/>
      <c r="AR3340" s="1779"/>
      <c r="AS3340" s="1779"/>
      <c r="AT3340" s="1779"/>
      <c r="AU3340" s="1779"/>
      <c r="AV3340" s="1779"/>
    </row>
    <row r="3341" spans="1:48" ht="34.5" customHeight="1">
      <c r="A3341" s="762"/>
      <c r="B3341" s="762" t="s">
        <v>531</v>
      </c>
      <c r="C3341" s="762" t="s">
        <v>529</v>
      </c>
      <c r="D3341" s="1599"/>
      <c r="E3341" s="2245" t="s">
        <v>1942</v>
      </c>
      <c r="F3341" s="763">
        <v>6423</v>
      </c>
      <c r="G3341" s="772" t="s">
        <v>1524</v>
      </c>
      <c r="H3341" s="847"/>
      <c r="I3341" s="842">
        <v>2400</v>
      </c>
      <c r="J3341" s="753"/>
      <c r="K3341" s="754"/>
      <c r="L3341" s="1720"/>
      <c r="M3341" s="3761">
        <v>2400</v>
      </c>
      <c r="N3341" s="2847"/>
      <c r="O3341" s="86"/>
      <c r="P3341" s="1817" t="e">
        <f>INDEX(#REF!,MATCH(F3341,#REF!,0),2)</f>
        <v>#REF!</v>
      </c>
      <c r="Q3341" s="1779"/>
      <c r="R3341" s="1779"/>
      <c r="S3341" s="1779"/>
      <c r="T3341" s="1779"/>
      <c r="U3341" s="1779"/>
      <c r="V3341" s="1779"/>
      <c r="W3341" s="43"/>
      <c r="X3341" s="1779"/>
      <c r="Y3341" s="1779"/>
      <c r="Z3341" s="1779"/>
      <c r="AA3341" s="1779"/>
      <c r="AB3341" s="1779"/>
      <c r="AC3341" s="1779"/>
      <c r="AD3341" s="1779"/>
      <c r="AE3341" s="1779"/>
      <c r="AF3341" s="1779"/>
      <c r="AG3341" s="1779"/>
      <c r="AH3341" s="1779"/>
      <c r="AI3341" s="1779"/>
      <c r="AJ3341" s="1779"/>
      <c r="AK3341" s="1779"/>
      <c r="AL3341" s="1779"/>
      <c r="AM3341" s="1779"/>
      <c r="AN3341" s="1779"/>
      <c r="AO3341" s="1779"/>
      <c r="AP3341" s="1779"/>
      <c r="AQ3341" s="1779"/>
      <c r="AR3341" s="1779"/>
      <c r="AS3341" s="1779"/>
      <c r="AT3341" s="1779"/>
      <c r="AU3341" s="1779"/>
      <c r="AV3341" s="1779"/>
    </row>
    <row r="3342" spans="1:48" ht="19.899999999999999" customHeight="1">
      <c r="A3342" s="762"/>
      <c r="B3342" s="762" t="s">
        <v>531</v>
      </c>
      <c r="C3342" s="762" t="s">
        <v>529</v>
      </c>
      <c r="D3342" s="1599"/>
      <c r="E3342" s="2245" t="s">
        <v>1942</v>
      </c>
      <c r="F3342" s="763">
        <v>6423</v>
      </c>
      <c r="G3342" s="772" t="s">
        <v>5193</v>
      </c>
      <c r="H3342" s="847"/>
      <c r="I3342" s="842">
        <v>25000</v>
      </c>
      <c r="J3342" s="753"/>
      <c r="K3342" s="754"/>
      <c r="L3342" s="1720"/>
      <c r="M3342" s="3761">
        <v>128400</v>
      </c>
      <c r="N3342" s="3764" t="s">
        <v>5202</v>
      </c>
      <c r="O3342" s="86"/>
      <c r="P3342" s="1817" t="e">
        <f>INDEX(#REF!,MATCH(F3342,#REF!,0),2)</f>
        <v>#REF!</v>
      </c>
      <c r="Q3342" s="11"/>
      <c r="R3342" s="11"/>
      <c r="S3342" s="11"/>
      <c r="T3342" s="11"/>
      <c r="U3342" s="11"/>
      <c r="V3342" s="11"/>
      <c r="W3342" s="4"/>
      <c r="X3342" s="11"/>
      <c r="Y3342" s="11"/>
      <c r="Z3342" s="11"/>
      <c r="AA3342" s="11"/>
      <c r="AB3342" s="11"/>
      <c r="AC3342" s="11"/>
      <c r="AD3342" s="11"/>
      <c r="AE3342" s="11"/>
      <c r="AF3342" s="11"/>
      <c r="AG3342" s="11"/>
      <c r="AH3342" s="11"/>
      <c r="AI3342" s="11"/>
      <c r="AJ3342" s="11"/>
      <c r="AK3342" s="11"/>
      <c r="AL3342" s="11"/>
      <c r="AM3342" s="11"/>
      <c r="AN3342" s="11"/>
      <c r="AO3342" s="11"/>
      <c r="AP3342" s="11"/>
      <c r="AQ3342" s="11"/>
      <c r="AR3342" s="11"/>
      <c r="AS3342" s="11"/>
      <c r="AT3342" s="11"/>
      <c r="AU3342" s="11"/>
      <c r="AV3342" s="11"/>
    </row>
    <row r="3343" spans="1:48" ht="24.6" customHeight="1">
      <c r="A3343" s="762"/>
      <c r="B3343" s="762" t="s">
        <v>531</v>
      </c>
      <c r="C3343" s="762" t="s">
        <v>529</v>
      </c>
      <c r="D3343" s="1599"/>
      <c r="E3343" s="2245" t="s">
        <v>1942</v>
      </c>
      <c r="F3343" s="763">
        <v>6423</v>
      </c>
      <c r="G3343" s="772" t="s">
        <v>763</v>
      </c>
      <c r="H3343" s="847"/>
      <c r="I3343" s="842">
        <v>6000</v>
      </c>
      <c r="J3343" s="753"/>
      <c r="K3343" s="754"/>
      <c r="L3343" s="1720"/>
      <c r="M3343" s="3761">
        <v>6000</v>
      </c>
      <c r="N3343" s="3756"/>
      <c r="O3343" s="86"/>
      <c r="P3343" s="1817" t="e">
        <f>INDEX(#REF!,MATCH(F3343,#REF!,0),2)</f>
        <v>#REF!</v>
      </c>
      <c r="Q3343" s="11"/>
      <c r="R3343" s="11"/>
      <c r="S3343" s="11"/>
      <c r="T3343" s="11"/>
      <c r="U3343" s="11"/>
      <c r="V3343" s="11"/>
      <c r="W3343" s="4"/>
      <c r="X3343" s="11"/>
      <c r="Y3343" s="11"/>
      <c r="Z3343" s="11"/>
      <c r="AA3343" s="11"/>
      <c r="AB3343" s="11"/>
      <c r="AC3343" s="11"/>
      <c r="AD3343" s="11"/>
      <c r="AE3343" s="11"/>
      <c r="AF3343" s="11"/>
      <c r="AG3343" s="11"/>
      <c r="AH3343" s="11"/>
      <c r="AI3343" s="11"/>
      <c r="AJ3343" s="11"/>
      <c r="AK3343" s="11"/>
      <c r="AL3343" s="11"/>
      <c r="AM3343" s="11"/>
      <c r="AN3343" s="11"/>
      <c r="AO3343" s="11"/>
      <c r="AP3343" s="11"/>
      <c r="AQ3343" s="11"/>
      <c r="AR3343" s="11"/>
      <c r="AS3343" s="11"/>
      <c r="AT3343" s="11"/>
      <c r="AU3343" s="11"/>
      <c r="AV3343" s="11"/>
    </row>
    <row r="3344" spans="1:48" ht="24.6" customHeight="1">
      <c r="A3344" s="762"/>
      <c r="B3344" s="762" t="s">
        <v>531</v>
      </c>
      <c r="C3344" s="762" t="s">
        <v>529</v>
      </c>
      <c r="D3344" s="1599"/>
      <c r="E3344" s="2245" t="s">
        <v>1942</v>
      </c>
      <c r="F3344" s="763">
        <v>6423</v>
      </c>
      <c r="G3344" s="772" t="s">
        <v>5196</v>
      </c>
      <c r="H3344" s="847"/>
      <c r="I3344" s="842">
        <v>3000</v>
      </c>
      <c r="J3344" s="753"/>
      <c r="K3344" s="754"/>
      <c r="L3344" s="1720"/>
      <c r="M3344" s="3761">
        <v>6000</v>
      </c>
      <c r="N3344" s="2396" t="s">
        <v>5681</v>
      </c>
      <c r="O3344" s="86"/>
      <c r="P3344" s="1817" t="e">
        <f>INDEX(#REF!,MATCH(F3344,#REF!,0),2)</f>
        <v>#REF!</v>
      </c>
      <c r="Q3344" s="11"/>
      <c r="R3344" s="11"/>
      <c r="S3344" s="11"/>
      <c r="T3344" s="11"/>
      <c r="U3344" s="11"/>
      <c r="V3344" s="11"/>
      <c r="W3344" s="4"/>
      <c r="X3344" s="11"/>
      <c r="Y3344" s="11"/>
      <c r="Z3344" s="11"/>
      <c r="AA3344" s="11"/>
      <c r="AB3344" s="11"/>
      <c r="AC3344" s="11"/>
      <c r="AD3344" s="11"/>
      <c r="AE3344" s="11"/>
      <c r="AF3344" s="11"/>
      <c r="AG3344" s="11"/>
      <c r="AH3344" s="11"/>
      <c r="AI3344" s="11"/>
      <c r="AJ3344" s="11"/>
      <c r="AK3344" s="11"/>
      <c r="AL3344" s="11"/>
      <c r="AM3344" s="11"/>
      <c r="AN3344" s="11"/>
      <c r="AO3344" s="11"/>
      <c r="AP3344" s="11"/>
      <c r="AQ3344" s="11"/>
      <c r="AR3344" s="11"/>
      <c r="AS3344" s="11"/>
      <c r="AT3344" s="11"/>
      <c r="AU3344" s="11"/>
      <c r="AV3344" s="11"/>
    </row>
    <row r="3345" spans="1:48" ht="27.6" customHeight="1">
      <c r="A3345" s="848"/>
      <c r="B3345" s="762" t="s">
        <v>531</v>
      </c>
      <c r="C3345" s="762" t="s">
        <v>529</v>
      </c>
      <c r="D3345" s="1599"/>
      <c r="E3345" s="2245" t="s">
        <v>1942</v>
      </c>
      <c r="F3345" s="763">
        <v>6423</v>
      </c>
      <c r="G3345" s="772" t="s">
        <v>800</v>
      </c>
      <c r="H3345" s="849"/>
      <c r="I3345" s="844">
        <v>7000</v>
      </c>
      <c r="J3345" s="765"/>
      <c r="K3345" s="766"/>
      <c r="L3345" s="1720"/>
      <c r="M3345" s="3761">
        <v>6600</v>
      </c>
      <c r="N3345" s="2847"/>
      <c r="O3345" s="86"/>
      <c r="P3345" s="1817" t="e">
        <f>INDEX(#REF!,MATCH(F3345,#REF!,0),2)</f>
        <v>#REF!</v>
      </c>
      <c r="Q3345" s="43"/>
      <c r="R3345" s="43"/>
      <c r="S3345" s="43"/>
      <c r="T3345" s="43"/>
      <c r="U3345" s="43"/>
      <c r="V3345" s="43"/>
      <c r="W3345" s="43"/>
      <c r="X3345" s="43"/>
      <c r="Y3345" s="43"/>
      <c r="Z3345" s="43"/>
      <c r="AA3345" s="43"/>
      <c r="AB3345" s="43"/>
      <c r="AC3345" s="43"/>
      <c r="AD3345" s="43"/>
      <c r="AE3345" s="43"/>
      <c r="AF3345" s="43"/>
      <c r="AG3345" s="43"/>
      <c r="AH3345" s="43"/>
      <c r="AI3345" s="43"/>
      <c r="AJ3345" s="43"/>
      <c r="AK3345" s="43"/>
      <c r="AL3345" s="43"/>
      <c r="AM3345" s="43"/>
      <c r="AN3345" s="43"/>
      <c r="AO3345" s="43"/>
      <c r="AP3345" s="43"/>
      <c r="AQ3345" s="43"/>
      <c r="AR3345" s="43"/>
      <c r="AS3345" s="43"/>
      <c r="AT3345" s="43"/>
      <c r="AU3345" s="43"/>
      <c r="AV3345" s="43"/>
    </row>
    <row r="3346" spans="1:48" ht="27.6" customHeight="1">
      <c r="A3346" s="762"/>
      <c r="B3346" s="762" t="s">
        <v>531</v>
      </c>
      <c r="C3346" s="762" t="s">
        <v>529</v>
      </c>
      <c r="D3346" s="1599"/>
      <c r="E3346" s="2245" t="s">
        <v>1942</v>
      </c>
      <c r="F3346" s="763">
        <v>6423</v>
      </c>
      <c r="G3346" s="1567" t="s">
        <v>5197</v>
      </c>
      <c r="H3346" s="792"/>
      <c r="I3346" s="764">
        <v>4000</v>
      </c>
      <c r="J3346" s="765"/>
      <c r="K3346" s="766"/>
      <c r="L3346" s="1657"/>
      <c r="M3346" s="1576">
        <v>3240</v>
      </c>
      <c r="N3346" s="2847"/>
      <c r="O3346" s="86"/>
      <c r="P3346" s="1817" t="e">
        <f>INDEX(#REF!,MATCH(F3346,#REF!,0),2)</f>
        <v>#REF!</v>
      </c>
      <c r="Q3346" s="43"/>
      <c r="R3346" s="43"/>
      <c r="S3346" s="43"/>
      <c r="T3346" s="43"/>
      <c r="U3346" s="43"/>
      <c r="V3346" s="43"/>
      <c r="W3346" s="43"/>
      <c r="X3346" s="43"/>
      <c r="Y3346" s="43"/>
      <c r="Z3346" s="43"/>
      <c r="AA3346" s="43"/>
      <c r="AB3346" s="43"/>
      <c r="AC3346" s="43"/>
      <c r="AD3346" s="43"/>
      <c r="AE3346" s="43"/>
      <c r="AF3346" s="43"/>
      <c r="AG3346" s="43"/>
      <c r="AH3346" s="43"/>
      <c r="AI3346" s="43"/>
      <c r="AJ3346" s="43"/>
      <c r="AK3346" s="43"/>
      <c r="AL3346" s="43"/>
      <c r="AM3346" s="43"/>
      <c r="AN3346" s="43"/>
      <c r="AO3346" s="43"/>
      <c r="AP3346" s="43"/>
      <c r="AQ3346" s="43"/>
      <c r="AR3346" s="43"/>
      <c r="AS3346" s="43"/>
      <c r="AT3346" s="43"/>
      <c r="AU3346" s="43"/>
      <c r="AV3346" s="43"/>
    </row>
    <row r="3347" spans="1:48" ht="27.6" customHeight="1">
      <c r="A3347" s="762"/>
      <c r="B3347" s="762" t="s">
        <v>531</v>
      </c>
      <c r="C3347" s="762" t="s">
        <v>529</v>
      </c>
      <c r="D3347" s="1599"/>
      <c r="E3347" s="2245" t="s">
        <v>1942</v>
      </c>
      <c r="F3347" s="763">
        <v>6423</v>
      </c>
      <c r="G3347" s="772" t="s">
        <v>5198</v>
      </c>
      <c r="H3347" s="844"/>
      <c r="I3347" s="844">
        <v>13000</v>
      </c>
      <c r="J3347" s="765"/>
      <c r="K3347" s="766"/>
      <c r="L3347" s="1720"/>
      <c r="M3347" s="3761">
        <v>13000</v>
      </c>
      <c r="N3347" s="2847"/>
      <c r="O3347" s="86"/>
      <c r="P3347" s="1817" t="e">
        <f>INDEX(#REF!,MATCH(F3347,#REF!,0),2)</f>
        <v>#REF!</v>
      </c>
      <c r="Q3347" s="43"/>
      <c r="R3347" s="43"/>
      <c r="S3347" s="43"/>
      <c r="T3347" s="43"/>
      <c r="U3347" s="43"/>
      <c r="V3347" s="43"/>
      <c r="W3347" s="43"/>
      <c r="X3347" s="43"/>
      <c r="Y3347" s="43"/>
      <c r="Z3347" s="43"/>
      <c r="AA3347" s="43"/>
      <c r="AB3347" s="43"/>
      <c r="AC3347" s="43"/>
      <c r="AD3347" s="43"/>
      <c r="AE3347" s="43"/>
      <c r="AF3347" s="43"/>
      <c r="AG3347" s="43"/>
      <c r="AH3347" s="43"/>
      <c r="AI3347" s="43"/>
      <c r="AJ3347" s="43"/>
      <c r="AK3347" s="43"/>
      <c r="AL3347" s="43"/>
      <c r="AM3347" s="43"/>
      <c r="AN3347" s="43"/>
      <c r="AO3347" s="43"/>
      <c r="AP3347" s="43"/>
      <c r="AQ3347" s="43"/>
      <c r="AR3347" s="43"/>
      <c r="AS3347" s="43"/>
      <c r="AT3347" s="43"/>
      <c r="AU3347" s="43"/>
      <c r="AV3347" s="43"/>
    </row>
    <row r="3348" spans="1:48" ht="27.6" customHeight="1">
      <c r="A3348" s="1268"/>
      <c r="B3348" s="762" t="s">
        <v>531</v>
      </c>
      <c r="C3348" s="762" t="s">
        <v>529</v>
      </c>
      <c r="D3348" s="1599"/>
      <c r="E3348" s="2245" t="s">
        <v>1942</v>
      </c>
      <c r="F3348" s="763">
        <v>6423</v>
      </c>
      <c r="G3348" s="1273" t="s">
        <v>3081</v>
      </c>
      <c r="H3348" s="1357"/>
      <c r="I3348" s="1357">
        <v>-2000</v>
      </c>
      <c r="J3348" s="1250"/>
      <c r="K3348" s="1251"/>
      <c r="L3348" s="1721"/>
      <c r="M3348" s="1721"/>
      <c r="N3348" s="2847"/>
      <c r="O3348" s="86"/>
      <c r="P3348" s="1817" t="e">
        <f>INDEX(#REF!,MATCH(F3348,#REF!,0),2)</f>
        <v>#REF!</v>
      </c>
      <c r="Q3348" s="43"/>
      <c r="R3348" s="43"/>
      <c r="S3348" s="43"/>
      <c r="T3348" s="43"/>
      <c r="U3348" s="43"/>
      <c r="V3348" s="43"/>
      <c r="W3348" s="43"/>
      <c r="X3348" s="43"/>
      <c r="Y3348" s="43"/>
      <c r="Z3348" s="43"/>
      <c r="AA3348" s="43"/>
      <c r="AB3348" s="43"/>
      <c r="AC3348" s="43"/>
      <c r="AD3348" s="43"/>
      <c r="AE3348" s="43"/>
      <c r="AF3348" s="43"/>
      <c r="AG3348" s="43"/>
      <c r="AH3348" s="43"/>
      <c r="AI3348" s="43"/>
      <c r="AJ3348" s="43"/>
      <c r="AK3348" s="43"/>
      <c r="AL3348" s="43"/>
      <c r="AM3348" s="43"/>
      <c r="AN3348" s="43"/>
      <c r="AO3348" s="43"/>
      <c r="AP3348" s="43"/>
      <c r="AQ3348" s="43"/>
      <c r="AR3348" s="43"/>
      <c r="AS3348" s="43"/>
      <c r="AT3348" s="43"/>
      <c r="AU3348" s="43"/>
      <c r="AV3348" s="43"/>
    </row>
    <row r="3349" spans="1:48" ht="11.45" customHeight="1">
      <c r="A3349" s="1882"/>
      <c r="B3349" s="762" t="s">
        <v>531</v>
      </c>
      <c r="C3349" s="762" t="s">
        <v>529</v>
      </c>
      <c r="D3349" s="1599"/>
      <c r="E3349" s="2245" t="s">
        <v>1942</v>
      </c>
      <c r="F3349" s="763">
        <v>6423</v>
      </c>
      <c r="G3349" s="1884" t="s">
        <v>3224</v>
      </c>
      <c r="H3349" s="2364"/>
      <c r="I3349" s="2364">
        <v>-2000</v>
      </c>
      <c r="J3349" s="2358"/>
      <c r="K3349" s="2359"/>
      <c r="L3349" s="2365"/>
      <c r="M3349" s="2365"/>
      <c r="N3349" s="2847"/>
      <c r="O3349" s="86"/>
      <c r="P3349" s="1817" t="e">
        <f>INDEX(#REF!,MATCH(F3349,#REF!,0),2)</f>
        <v>#REF!</v>
      </c>
      <c r="Q3349" s="1779"/>
      <c r="R3349" s="1779"/>
      <c r="S3349" s="1779"/>
      <c r="T3349" s="1779"/>
      <c r="U3349" s="1779"/>
      <c r="V3349" s="1779"/>
      <c r="W3349" s="43"/>
      <c r="X3349" s="1779"/>
      <c r="Y3349" s="1779"/>
      <c r="Z3349" s="1779"/>
      <c r="AA3349" s="1779"/>
      <c r="AB3349" s="1779"/>
      <c r="AC3349" s="1779"/>
      <c r="AD3349" s="1779"/>
      <c r="AE3349" s="1779"/>
      <c r="AF3349" s="1779"/>
      <c r="AG3349" s="1779"/>
      <c r="AH3349" s="1779"/>
      <c r="AI3349" s="1779"/>
      <c r="AJ3349" s="1779"/>
      <c r="AK3349" s="1779"/>
      <c r="AL3349" s="1779"/>
      <c r="AM3349" s="1779"/>
      <c r="AN3349" s="1779"/>
      <c r="AO3349" s="1779"/>
      <c r="AP3349" s="1779"/>
      <c r="AQ3349" s="1779"/>
      <c r="AR3349" s="1779"/>
      <c r="AS3349" s="1779"/>
      <c r="AT3349" s="1779"/>
      <c r="AU3349" s="1779"/>
      <c r="AV3349" s="1779"/>
    </row>
    <row r="3350" spans="1:48" ht="27.6" customHeight="1">
      <c r="A3350" s="755"/>
      <c r="B3350" s="755" t="s">
        <v>1249</v>
      </c>
      <c r="C3350" s="755" t="s">
        <v>529</v>
      </c>
      <c r="D3350" s="1600">
        <v>1010</v>
      </c>
      <c r="E3350" s="2247" t="s">
        <v>1942</v>
      </c>
      <c r="F3350" s="756">
        <v>6423</v>
      </c>
      <c r="G3350" s="757" t="s">
        <v>466</v>
      </c>
      <c r="H3350" s="759">
        <v>304150</v>
      </c>
      <c r="I3350" s="790"/>
      <c r="J3350" s="760"/>
      <c r="K3350" s="761"/>
      <c r="L3350" s="3750">
        <v>426860</v>
      </c>
      <c r="M3350" s="1578"/>
      <c r="N3350" s="2847"/>
      <c r="O3350" s="86"/>
      <c r="P3350" s="1817" t="e">
        <f>INDEX(#REF!,MATCH(F3350,#REF!,0),2)</f>
        <v>#REF!</v>
      </c>
      <c r="Q3350" s="43"/>
      <c r="R3350" s="43"/>
      <c r="S3350" s="43"/>
      <c r="T3350" s="43"/>
      <c r="U3350" s="43"/>
      <c r="V3350" s="43"/>
      <c r="W3350" s="43"/>
      <c r="X3350" s="43"/>
      <c r="Y3350" s="43"/>
      <c r="Z3350" s="43"/>
      <c r="AA3350" s="43"/>
      <c r="AB3350" s="43"/>
      <c r="AC3350" s="43"/>
      <c r="AD3350" s="43"/>
      <c r="AE3350" s="43"/>
      <c r="AF3350" s="43"/>
      <c r="AG3350" s="43"/>
      <c r="AH3350" s="43"/>
      <c r="AI3350" s="43"/>
      <c r="AJ3350" s="43"/>
      <c r="AK3350" s="43"/>
      <c r="AL3350" s="43"/>
      <c r="AM3350" s="43"/>
      <c r="AN3350" s="43"/>
      <c r="AO3350" s="43"/>
      <c r="AP3350" s="43"/>
      <c r="AQ3350" s="43"/>
      <c r="AR3350" s="43"/>
      <c r="AS3350" s="43"/>
      <c r="AT3350" s="43"/>
      <c r="AU3350" s="43"/>
      <c r="AV3350" s="43"/>
    </row>
    <row r="3351" spans="1:48" ht="22.5">
      <c r="A3351" s="412"/>
      <c r="B3351" s="762" t="s">
        <v>1249</v>
      </c>
      <c r="C3351" s="762" t="s">
        <v>529</v>
      </c>
      <c r="D3351" s="1599"/>
      <c r="E3351" s="2245" t="s">
        <v>1942</v>
      </c>
      <c r="F3351" s="763">
        <v>6423</v>
      </c>
      <c r="G3351" s="410" t="s">
        <v>3079</v>
      </c>
      <c r="H3351" s="537"/>
      <c r="I3351" s="692">
        <v>98000</v>
      </c>
      <c r="J3351" s="537"/>
      <c r="K3351" s="627"/>
      <c r="L3351" s="1648"/>
      <c r="M3351" s="3763">
        <v>160200</v>
      </c>
      <c r="N3351" s="2396" t="s">
        <v>5682</v>
      </c>
      <c r="O3351" s="86"/>
      <c r="P3351" s="1817" t="e">
        <f>INDEX(#REF!,MATCH(F3351,#REF!,0),2)</f>
        <v>#REF!</v>
      </c>
    </row>
    <row r="3352" spans="1:48" ht="22.5">
      <c r="A3352" s="992"/>
      <c r="B3352" s="762" t="s">
        <v>1249</v>
      </c>
      <c r="C3352" s="762" t="s">
        <v>529</v>
      </c>
      <c r="D3352" s="1599"/>
      <c r="E3352" s="2245" t="s">
        <v>1942</v>
      </c>
      <c r="F3352" s="763">
        <v>6423</v>
      </c>
      <c r="G3352" s="996" t="s">
        <v>3080</v>
      </c>
      <c r="H3352" s="1155"/>
      <c r="I3352" s="1156">
        <v>68000</v>
      </c>
      <c r="J3352" s="1155"/>
      <c r="K3352" s="1157"/>
      <c r="L3352" s="1648"/>
      <c r="M3352" s="3763"/>
      <c r="N3352" s="2847"/>
      <c r="O3352" s="86"/>
      <c r="P3352" s="1817" t="e">
        <f>INDEX(#REF!,MATCH(F3352,#REF!,0),2)</f>
        <v>#REF!</v>
      </c>
    </row>
    <row r="3353" spans="1:48" ht="22.5">
      <c r="A3353" s="762"/>
      <c r="B3353" s="762" t="s">
        <v>1249</v>
      </c>
      <c r="C3353" s="762" t="s">
        <v>529</v>
      </c>
      <c r="D3353" s="1599"/>
      <c r="E3353" s="2245" t="s">
        <v>1942</v>
      </c>
      <c r="F3353" s="763">
        <v>6423</v>
      </c>
      <c r="G3353" s="772" t="s">
        <v>5199</v>
      </c>
      <c r="H3353" s="1155"/>
      <c r="I3353" s="1156">
        <v>50000</v>
      </c>
      <c r="J3353" s="1155"/>
      <c r="K3353" s="1157"/>
      <c r="L3353" s="1648"/>
      <c r="M3353" s="3763">
        <v>50000</v>
      </c>
      <c r="N3353" s="2847"/>
      <c r="O3353" s="86"/>
      <c r="P3353" s="1817" t="e">
        <f>INDEX(#REF!,MATCH(F3353,#REF!,0),2)</f>
        <v>#REF!</v>
      </c>
    </row>
    <row r="3354" spans="1:48" ht="22.5">
      <c r="A3354" s="762"/>
      <c r="B3354" s="762" t="s">
        <v>1249</v>
      </c>
      <c r="C3354" s="762" t="s">
        <v>529</v>
      </c>
      <c r="D3354" s="1599"/>
      <c r="E3354" s="2245" t="s">
        <v>1942</v>
      </c>
      <c r="F3354" s="763">
        <v>6423</v>
      </c>
      <c r="G3354" s="772" t="s">
        <v>5194</v>
      </c>
      <c r="H3354" s="847"/>
      <c r="I3354" s="842">
        <v>7250</v>
      </c>
      <c r="J3354" s="753"/>
      <c r="K3354" s="754"/>
      <c r="L3354" s="1720"/>
      <c r="M3354" s="3761">
        <v>10000</v>
      </c>
      <c r="N3354" s="2847"/>
      <c r="O3354" s="86"/>
      <c r="P3354" s="1817" t="e">
        <f>INDEX(#REF!,MATCH(F3354,#REF!,0),2)</f>
        <v>#REF!</v>
      </c>
    </row>
    <row r="3355" spans="1:48" ht="22.5">
      <c r="A3355" s="762"/>
      <c r="B3355" s="762" t="s">
        <v>1249</v>
      </c>
      <c r="C3355" s="762" t="s">
        <v>529</v>
      </c>
      <c r="D3355" s="1599"/>
      <c r="E3355" s="2245" t="s">
        <v>1942</v>
      </c>
      <c r="F3355" s="763">
        <v>6423</v>
      </c>
      <c r="G3355" s="1567" t="s">
        <v>5195</v>
      </c>
      <c r="H3355" s="847"/>
      <c r="I3355" s="842">
        <v>900</v>
      </c>
      <c r="J3355" s="753"/>
      <c r="K3355" s="754"/>
      <c r="L3355" s="1720"/>
      <c r="M3355" s="3761">
        <v>1200</v>
      </c>
      <c r="N3355" s="2847"/>
      <c r="O3355" s="86"/>
      <c r="P3355" s="1817" t="e">
        <f>INDEX(#REF!,MATCH(F3355,#REF!,0),2)</f>
        <v>#REF!</v>
      </c>
    </row>
    <row r="3356" spans="1:48" ht="22.5">
      <c r="A3356" s="762"/>
      <c r="B3356" s="762" t="s">
        <v>1249</v>
      </c>
      <c r="C3356" s="762" t="s">
        <v>529</v>
      </c>
      <c r="D3356" s="1599"/>
      <c r="E3356" s="2245" t="s">
        <v>1942</v>
      </c>
      <c r="F3356" s="763">
        <v>6423</v>
      </c>
      <c r="G3356" s="772" t="s">
        <v>5200</v>
      </c>
      <c r="H3356" s="1155"/>
      <c r="I3356" s="1156">
        <v>80000</v>
      </c>
      <c r="J3356" s="1155"/>
      <c r="K3356" s="1157"/>
      <c r="L3356" s="1648"/>
      <c r="M3356" s="3763">
        <v>205460</v>
      </c>
      <c r="N3356" s="4061" t="s">
        <v>5683</v>
      </c>
      <c r="O3356" s="86"/>
      <c r="P3356" s="1817" t="e">
        <f>INDEX(#REF!,MATCH(F3356,#REF!,0),2)</f>
        <v>#REF!</v>
      </c>
    </row>
    <row r="3357" spans="1:48">
      <c r="A3357" s="755"/>
      <c r="B3357" s="755" t="s">
        <v>1249</v>
      </c>
      <c r="C3357" s="755" t="s">
        <v>529</v>
      </c>
      <c r="D3357" s="1600">
        <v>1010</v>
      </c>
      <c r="E3357" s="2247" t="s">
        <v>1942</v>
      </c>
      <c r="F3357" s="756">
        <v>6423</v>
      </c>
      <c r="G3357" s="757" t="s">
        <v>466</v>
      </c>
      <c r="H3357" s="759"/>
      <c r="I3357" s="790"/>
      <c r="J3357" s="760"/>
      <c r="K3357" s="761"/>
      <c r="L3357" s="1719">
        <v>0</v>
      </c>
      <c r="M3357" s="1578"/>
      <c r="N3357" s="2847"/>
      <c r="O3357" s="86"/>
      <c r="P3357" s="1817" t="e">
        <f>INDEX(#REF!,MATCH(F3357,#REF!,0),2)</f>
        <v>#REF!</v>
      </c>
    </row>
    <row r="3358" spans="1:48">
      <c r="A3358" s="762"/>
      <c r="B3358" s="762" t="s">
        <v>1249</v>
      </c>
      <c r="C3358" s="762" t="s">
        <v>529</v>
      </c>
      <c r="D3358" s="1599"/>
      <c r="E3358" s="2245" t="s">
        <v>1942</v>
      </c>
      <c r="F3358" s="763">
        <v>6423</v>
      </c>
      <c r="G3358" s="772"/>
      <c r="H3358" s="1155"/>
      <c r="I3358" s="1156"/>
      <c r="J3358" s="1155"/>
      <c r="K3358" s="1157"/>
      <c r="L3358" s="1648"/>
      <c r="M3358" s="2473"/>
      <c r="N3358" s="2847"/>
      <c r="O3358" s="86"/>
      <c r="P3358" s="1817" t="e">
        <f>INDEX(#REF!,MATCH(F3358,#REF!,0),2)</f>
        <v>#REF!</v>
      </c>
    </row>
    <row r="3359" spans="1:48">
      <c r="A3359" s="755"/>
      <c r="B3359" s="755" t="s">
        <v>1248</v>
      </c>
      <c r="C3359" s="755" t="s">
        <v>505</v>
      </c>
      <c r="D3359" s="1600">
        <v>1015</v>
      </c>
      <c r="E3359" s="2247" t="s">
        <v>1946</v>
      </c>
      <c r="F3359" s="756">
        <v>2210</v>
      </c>
      <c r="G3359" s="757" t="s">
        <v>1206</v>
      </c>
      <c r="H3359" s="759">
        <v>300</v>
      </c>
      <c r="I3359" s="759"/>
      <c r="J3359" s="760"/>
      <c r="K3359" s="761"/>
      <c r="L3359" s="759">
        <v>420</v>
      </c>
      <c r="M3359" s="759"/>
      <c r="N3359" s="2847"/>
      <c r="O3359" s="86"/>
      <c r="P3359" s="1817" t="e">
        <f>INDEX(#REF!,MATCH(F3359,#REF!,0),2)</f>
        <v>#REF!</v>
      </c>
    </row>
    <row r="3360" spans="1:48">
      <c r="A3360" s="762"/>
      <c r="B3360" s="762" t="s">
        <v>1248</v>
      </c>
      <c r="C3360" s="762" t="s">
        <v>505</v>
      </c>
      <c r="D3360" s="1599"/>
      <c r="E3360" s="2245" t="s">
        <v>1946</v>
      </c>
      <c r="F3360" s="763">
        <v>2210</v>
      </c>
      <c r="G3360" s="786"/>
      <c r="H3360" s="752"/>
      <c r="I3360" s="752">
        <v>300</v>
      </c>
      <c r="J3360" s="753"/>
      <c r="K3360" s="754"/>
      <c r="L3360" s="752"/>
      <c r="M3360" s="752">
        <v>420</v>
      </c>
      <c r="N3360" s="2847"/>
      <c r="O3360" s="86"/>
      <c r="P3360" s="1817" t="e">
        <f>INDEX(#REF!,MATCH(F3360,#REF!,0),2)</f>
        <v>#REF!</v>
      </c>
    </row>
    <row r="3361" spans="1:48">
      <c r="A3361" s="755"/>
      <c r="B3361" s="755" t="s">
        <v>1248</v>
      </c>
      <c r="C3361" s="755" t="s">
        <v>505</v>
      </c>
      <c r="D3361" s="1600">
        <v>1015</v>
      </c>
      <c r="E3361" s="2247" t="s">
        <v>1946</v>
      </c>
      <c r="F3361" s="756">
        <v>2221</v>
      </c>
      <c r="G3361" s="757" t="s">
        <v>958</v>
      </c>
      <c r="H3361" s="759">
        <v>1150</v>
      </c>
      <c r="I3361" s="759"/>
      <c r="J3361" s="760"/>
      <c r="K3361" s="761"/>
      <c r="L3361" s="759">
        <v>2000</v>
      </c>
      <c r="M3361" s="759"/>
      <c r="N3361" s="2847"/>
      <c r="O3361" s="86"/>
      <c r="P3361" s="1817" t="e">
        <f>INDEX(#REF!,MATCH(F3361,#REF!,0),2)</f>
        <v>#REF!</v>
      </c>
    </row>
    <row r="3362" spans="1:48">
      <c r="A3362" s="762"/>
      <c r="B3362" s="762" t="s">
        <v>1248</v>
      </c>
      <c r="C3362" s="762" t="s">
        <v>505</v>
      </c>
      <c r="D3362" s="1599"/>
      <c r="E3362" s="2245" t="s">
        <v>1946</v>
      </c>
      <c r="F3362" s="763">
        <v>2221</v>
      </c>
      <c r="G3362" s="772"/>
      <c r="H3362" s="752"/>
      <c r="I3362" s="752">
        <v>1150</v>
      </c>
      <c r="J3362" s="753"/>
      <c r="K3362" s="754"/>
      <c r="L3362" s="752"/>
      <c r="M3362" s="752">
        <v>2000</v>
      </c>
      <c r="N3362" s="2847"/>
      <c r="O3362" s="86"/>
      <c r="P3362" s="1817" t="e">
        <f>INDEX(#REF!,MATCH(F3362,#REF!,0),2)</f>
        <v>#REF!</v>
      </c>
    </row>
    <row r="3363" spans="1:48">
      <c r="A3363" s="755"/>
      <c r="B3363" s="755" t="s">
        <v>1248</v>
      </c>
      <c r="C3363" s="755" t="s">
        <v>505</v>
      </c>
      <c r="D3363" s="1600">
        <v>1015</v>
      </c>
      <c r="E3363" s="2247" t="s">
        <v>1946</v>
      </c>
      <c r="F3363" s="756">
        <v>2222</v>
      </c>
      <c r="G3363" s="757" t="s">
        <v>272</v>
      </c>
      <c r="H3363" s="759">
        <v>200</v>
      </c>
      <c r="I3363" s="759"/>
      <c r="J3363" s="760"/>
      <c r="K3363" s="761"/>
      <c r="L3363" s="759">
        <v>100</v>
      </c>
      <c r="M3363" s="759"/>
      <c r="N3363" s="2847"/>
      <c r="O3363" s="86"/>
      <c r="P3363" s="1817" t="e">
        <f>INDEX(#REF!,MATCH(F3363,#REF!,0),2)</f>
        <v>#REF!</v>
      </c>
    </row>
    <row r="3364" spans="1:48">
      <c r="A3364" s="762"/>
      <c r="B3364" s="762" t="s">
        <v>1248</v>
      </c>
      <c r="C3364" s="762" t="s">
        <v>505</v>
      </c>
      <c r="D3364" s="1599"/>
      <c r="E3364" s="2245" t="s">
        <v>1946</v>
      </c>
      <c r="F3364" s="763">
        <v>2222</v>
      </c>
      <c r="G3364" s="786"/>
      <c r="H3364" s="752"/>
      <c r="I3364" s="752">
        <v>200</v>
      </c>
      <c r="J3364" s="753"/>
      <c r="K3364" s="754"/>
      <c r="L3364" s="752"/>
      <c r="M3364" s="752">
        <v>100</v>
      </c>
      <c r="N3364" s="2847"/>
      <c r="O3364" s="86"/>
      <c r="P3364" s="1817" t="e">
        <f>INDEX(#REF!,MATCH(F3364,#REF!,0),2)</f>
        <v>#REF!</v>
      </c>
    </row>
    <row r="3365" spans="1:48">
      <c r="A3365" s="755"/>
      <c r="B3365" s="755" t="s">
        <v>1248</v>
      </c>
      <c r="C3365" s="755" t="s">
        <v>505</v>
      </c>
      <c r="D3365" s="1600">
        <v>1015</v>
      </c>
      <c r="E3365" s="2247" t="s">
        <v>1946</v>
      </c>
      <c r="F3365" s="756">
        <v>2223</v>
      </c>
      <c r="G3365" s="757" t="s">
        <v>273</v>
      </c>
      <c r="H3365" s="759">
        <v>1500</v>
      </c>
      <c r="I3365" s="759"/>
      <c r="J3365" s="760"/>
      <c r="K3365" s="761"/>
      <c r="L3365" s="759">
        <v>1000</v>
      </c>
      <c r="M3365" s="759"/>
      <c r="N3365" s="2847"/>
      <c r="O3365" s="86"/>
      <c r="P3365" s="1817" t="e">
        <f>INDEX(#REF!,MATCH(F3365,#REF!,0),2)</f>
        <v>#REF!</v>
      </c>
    </row>
    <row r="3366" spans="1:48">
      <c r="A3366" s="762"/>
      <c r="B3366" s="762" t="s">
        <v>1248</v>
      </c>
      <c r="C3366" s="762" t="s">
        <v>505</v>
      </c>
      <c r="D3366" s="1599"/>
      <c r="E3366" s="2245" t="s">
        <v>1946</v>
      </c>
      <c r="F3366" s="763">
        <v>2223</v>
      </c>
      <c r="G3366" s="786"/>
      <c r="H3366" s="752"/>
      <c r="I3366" s="752">
        <v>1500</v>
      </c>
      <c r="J3366" s="753"/>
      <c r="K3366" s="754"/>
      <c r="L3366" s="752"/>
      <c r="M3366" s="752">
        <v>1000</v>
      </c>
      <c r="N3366" s="2847"/>
      <c r="O3366" s="86"/>
      <c r="P3366" s="1817" t="e">
        <f>INDEX(#REF!,MATCH(F3366,#REF!,0),2)</f>
        <v>#REF!</v>
      </c>
    </row>
    <row r="3367" spans="1:48" ht="33.75">
      <c r="A3367" s="755"/>
      <c r="B3367" s="755" t="s">
        <v>1248</v>
      </c>
      <c r="C3367" s="755" t="s">
        <v>505</v>
      </c>
      <c r="D3367" s="1600">
        <v>1015</v>
      </c>
      <c r="E3367" s="2247" t="s">
        <v>1946</v>
      </c>
      <c r="F3367" s="756">
        <v>2239</v>
      </c>
      <c r="G3367" s="757" t="s">
        <v>237</v>
      </c>
      <c r="H3367" s="759">
        <v>400</v>
      </c>
      <c r="I3367" s="759"/>
      <c r="J3367" s="760"/>
      <c r="K3367" s="761"/>
      <c r="L3367" s="759">
        <v>200</v>
      </c>
      <c r="M3367" s="759"/>
      <c r="N3367" s="2847"/>
      <c r="O3367" s="86"/>
      <c r="P3367" s="1817" t="e">
        <f>INDEX(#REF!,MATCH(F3367,#REF!,0),2)</f>
        <v>#REF!</v>
      </c>
    </row>
    <row r="3368" spans="1:48">
      <c r="A3368" s="762"/>
      <c r="B3368" s="762" t="s">
        <v>1248</v>
      </c>
      <c r="C3368" s="762" t="s">
        <v>505</v>
      </c>
      <c r="D3368" s="1599"/>
      <c r="E3368" s="2245" t="s">
        <v>1946</v>
      </c>
      <c r="F3368" s="763">
        <v>2239</v>
      </c>
      <c r="G3368" s="772"/>
      <c r="H3368" s="752"/>
      <c r="I3368" s="752">
        <v>400</v>
      </c>
      <c r="J3368" s="753"/>
      <c r="K3368" s="754"/>
      <c r="L3368" s="752"/>
      <c r="M3368" s="752">
        <v>200</v>
      </c>
      <c r="N3368" s="2847"/>
      <c r="O3368" s="86"/>
      <c r="P3368" s="1817" t="e">
        <f>INDEX(#REF!,MATCH(F3368,#REF!,0),2)</f>
        <v>#REF!</v>
      </c>
    </row>
    <row r="3369" spans="1:48">
      <c r="A3369" s="755"/>
      <c r="B3369" s="755" t="s">
        <v>1248</v>
      </c>
      <c r="C3369" s="755" t="s">
        <v>505</v>
      </c>
      <c r="D3369" s="1600">
        <v>1015</v>
      </c>
      <c r="E3369" s="2247" t="s">
        <v>1946</v>
      </c>
      <c r="F3369" s="756">
        <v>2244</v>
      </c>
      <c r="G3369" s="757" t="s">
        <v>518</v>
      </c>
      <c r="H3369" s="759">
        <v>200</v>
      </c>
      <c r="I3369" s="759"/>
      <c r="J3369" s="760"/>
      <c r="K3369" s="761"/>
      <c r="L3369" s="759">
        <v>200</v>
      </c>
      <c r="M3369" s="759"/>
      <c r="N3369" s="2847"/>
      <c r="O3369" s="86"/>
      <c r="P3369" s="1817" t="e">
        <f>INDEX(#REF!,MATCH(F3369,#REF!,0),2)</f>
        <v>#REF!</v>
      </c>
    </row>
    <row r="3370" spans="1:48">
      <c r="A3370" s="762"/>
      <c r="B3370" s="762" t="s">
        <v>1248</v>
      </c>
      <c r="C3370" s="762" t="s">
        <v>505</v>
      </c>
      <c r="D3370" s="1599"/>
      <c r="E3370" s="2245" t="s">
        <v>1946</v>
      </c>
      <c r="F3370" s="763">
        <v>2244</v>
      </c>
      <c r="G3370" s="772"/>
      <c r="H3370" s="752"/>
      <c r="I3370" s="752">
        <v>200</v>
      </c>
      <c r="J3370" s="753"/>
      <c r="K3370" s="754"/>
      <c r="L3370" s="752"/>
      <c r="M3370" s="752">
        <v>200</v>
      </c>
      <c r="N3370" s="2847"/>
      <c r="O3370" s="86"/>
      <c r="P3370" s="1817" t="e">
        <f>INDEX(#REF!,MATCH(F3370,#REF!,0),2)</f>
        <v>#REF!</v>
      </c>
    </row>
    <row r="3371" spans="1:48">
      <c r="A3371" s="755"/>
      <c r="B3371" s="755" t="s">
        <v>1248</v>
      </c>
      <c r="C3371" s="755" t="s">
        <v>505</v>
      </c>
      <c r="D3371" s="1600">
        <v>1015</v>
      </c>
      <c r="E3371" s="2247" t="s">
        <v>1946</v>
      </c>
      <c r="F3371" s="756">
        <v>2311</v>
      </c>
      <c r="G3371" s="757" t="s">
        <v>426</v>
      </c>
      <c r="H3371" s="759">
        <v>50</v>
      </c>
      <c r="I3371" s="759"/>
      <c r="J3371" s="760"/>
      <c r="K3371" s="761"/>
      <c r="L3371" s="759">
        <v>100</v>
      </c>
      <c r="M3371" s="759"/>
      <c r="N3371" s="2847"/>
      <c r="O3371" s="86"/>
      <c r="P3371" s="1817" t="e">
        <f>INDEX(#REF!,MATCH(F3371,#REF!,0),2)</f>
        <v>#REF!</v>
      </c>
    </row>
    <row r="3372" spans="1:48">
      <c r="A3372" s="762"/>
      <c r="B3372" s="762" t="s">
        <v>1248</v>
      </c>
      <c r="C3372" s="762" t="s">
        <v>505</v>
      </c>
      <c r="D3372" s="1599"/>
      <c r="E3372" s="2245" t="s">
        <v>1946</v>
      </c>
      <c r="F3372" s="763">
        <v>2311</v>
      </c>
      <c r="G3372" s="772"/>
      <c r="H3372" s="752"/>
      <c r="I3372" s="752">
        <v>50</v>
      </c>
      <c r="J3372" s="753"/>
      <c r="K3372" s="754"/>
      <c r="L3372" s="752"/>
      <c r="M3372" s="752">
        <v>100</v>
      </c>
      <c r="N3372" s="2847"/>
      <c r="O3372" s="86"/>
      <c r="P3372" s="1817" t="e">
        <f>INDEX(#REF!,MATCH(F3372,#REF!,0),2)</f>
        <v>#REF!</v>
      </c>
    </row>
    <row r="3373" spans="1:48" ht="11.45" customHeight="1">
      <c r="A3373" s="755"/>
      <c r="B3373" s="755" t="s">
        <v>1248</v>
      </c>
      <c r="C3373" s="755" t="s">
        <v>505</v>
      </c>
      <c r="D3373" s="1600">
        <v>1015</v>
      </c>
      <c r="E3373" s="2247" t="s">
        <v>1946</v>
      </c>
      <c r="F3373" s="756">
        <v>2312</v>
      </c>
      <c r="G3373" s="757" t="s">
        <v>363</v>
      </c>
      <c r="H3373" s="759">
        <v>400</v>
      </c>
      <c r="I3373" s="759"/>
      <c r="J3373" s="760"/>
      <c r="K3373" s="761"/>
      <c r="L3373" s="759">
        <v>400</v>
      </c>
      <c r="M3373" s="759"/>
      <c r="N3373" s="2847"/>
      <c r="O3373" s="86"/>
      <c r="P3373" s="1817" t="e">
        <f>INDEX(#REF!,MATCH(F3373,#REF!,0),2)</f>
        <v>#REF!</v>
      </c>
      <c r="Q3373" s="11"/>
      <c r="R3373" s="11"/>
      <c r="S3373" s="11"/>
      <c r="T3373" s="11"/>
      <c r="U3373" s="11"/>
      <c r="V3373" s="11"/>
      <c r="W3373" s="4"/>
      <c r="X3373" s="11"/>
      <c r="Y3373" s="11"/>
      <c r="Z3373" s="11"/>
      <c r="AA3373" s="11"/>
      <c r="AB3373" s="11"/>
      <c r="AC3373" s="11"/>
      <c r="AD3373" s="11"/>
      <c r="AE3373" s="11"/>
      <c r="AF3373" s="11"/>
      <c r="AG3373" s="11"/>
      <c r="AH3373" s="11"/>
      <c r="AI3373" s="11"/>
      <c r="AJ3373" s="11"/>
      <c r="AK3373" s="11"/>
      <c r="AL3373" s="11"/>
      <c r="AM3373" s="11"/>
      <c r="AN3373" s="11"/>
      <c r="AO3373" s="11"/>
      <c r="AP3373" s="11"/>
      <c r="AQ3373" s="11"/>
      <c r="AR3373" s="11"/>
      <c r="AS3373" s="11"/>
      <c r="AT3373" s="11"/>
      <c r="AU3373" s="11"/>
      <c r="AV3373" s="11"/>
    </row>
    <row r="3374" spans="1:48" ht="43.15" customHeight="1">
      <c r="A3374" s="762"/>
      <c r="B3374" s="762" t="s">
        <v>1248</v>
      </c>
      <c r="C3374" s="762" t="s">
        <v>505</v>
      </c>
      <c r="D3374" s="1599"/>
      <c r="E3374" s="2245" t="s">
        <v>1946</v>
      </c>
      <c r="F3374" s="763">
        <v>2312</v>
      </c>
      <c r="G3374" s="772"/>
      <c r="H3374" s="752"/>
      <c r="I3374" s="752">
        <v>400</v>
      </c>
      <c r="J3374" s="753"/>
      <c r="K3374" s="754"/>
      <c r="L3374" s="752"/>
      <c r="M3374" s="752">
        <v>400</v>
      </c>
      <c r="N3374" s="2847"/>
      <c r="O3374" s="86"/>
      <c r="P3374" s="1817" t="e">
        <f>INDEX(#REF!,MATCH(F3374,#REF!,0),2)</f>
        <v>#REF!</v>
      </c>
      <c r="Q3374" s="43"/>
      <c r="R3374" s="43"/>
      <c r="S3374" s="43"/>
      <c r="T3374" s="43"/>
      <c r="U3374" s="43"/>
      <c r="V3374" s="43"/>
      <c r="W3374" s="43"/>
      <c r="X3374" s="43"/>
      <c r="Y3374" s="43"/>
      <c r="Z3374" s="43"/>
      <c r="AA3374" s="43"/>
      <c r="AB3374" s="43"/>
      <c r="AC3374" s="43"/>
      <c r="AD3374" s="43"/>
      <c r="AE3374" s="43"/>
      <c r="AF3374" s="43"/>
      <c r="AG3374" s="43"/>
    </row>
    <row r="3375" spans="1:48" ht="25.5" customHeight="1">
      <c r="A3375" s="755"/>
      <c r="B3375" s="755" t="s">
        <v>1248</v>
      </c>
      <c r="C3375" s="755" t="s">
        <v>505</v>
      </c>
      <c r="D3375" s="1600">
        <v>1015</v>
      </c>
      <c r="E3375" s="2247" t="s">
        <v>1946</v>
      </c>
      <c r="F3375" s="756">
        <v>2350</v>
      </c>
      <c r="G3375" s="757" t="s">
        <v>251</v>
      </c>
      <c r="H3375" s="759">
        <v>200</v>
      </c>
      <c r="I3375" s="759"/>
      <c r="J3375" s="760"/>
      <c r="K3375" s="761"/>
      <c r="L3375" s="759">
        <v>200</v>
      </c>
      <c r="M3375" s="759"/>
      <c r="N3375" s="2847"/>
      <c r="O3375" s="86"/>
      <c r="P3375" s="1817" t="e">
        <f>INDEX(#REF!,MATCH(F3375,#REF!,0),2)</f>
        <v>#REF!</v>
      </c>
      <c r="Q3375" s="43"/>
      <c r="R3375" s="43"/>
      <c r="S3375" s="43"/>
      <c r="T3375" s="43"/>
      <c r="U3375" s="43"/>
      <c r="V3375" s="43"/>
      <c r="W3375" s="43"/>
      <c r="X3375" s="43"/>
      <c r="Y3375" s="43"/>
      <c r="Z3375" s="43"/>
      <c r="AA3375" s="43"/>
      <c r="AB3375" s="43"/>
      <c r="AC3375" s="43"/>
      <c r="AD3375" s="43"/>
      <c r="AE3375" s="43"/>
      <c r="AF3375" s="43"/>
      <c r="AG3375" s="43"/>
    </row>
    <row r="3376" spans="1:48" ht="25.5" customHeight="1">
      <c r="A3376" s="762"/>
      <c r="B3376" s="762" t="s">
        <v>1248</v>
      </c>
      <c r="C3376" s="762" t="s">
        <v>505</v>
      </c>
      <c r="D3376" s="1599"/>
      <c r="E3376" s="2245" t="s">
        <v>1946</v>
      </c>
      <c r="F3376" s="763">
        <v>2350</v>
      </c>
      <c r="G3376" s="772"/>
      <c r="H3376" s="752"/>
      <c r="I3376" s="752">
        <v>200</v>
      </c>
      <c r="J3376" s="753"/>
      <c r="K3376" s="754"/>
      <c r="L3376" s="752"/>
      <c r="M3376" s="752">
        <v>200</v>
      </c>
      <c r="N3376" s="2847"/>
      <c r="O3376" s="86"/>
      <c r="P3376" s="1817" t="e">
        <f>INDEX(#REF!,MATCH(F3376,#REF!,0),2)</f>
        <v>#REF!</v>
      </c>
      <c r="Q3376" s="43"/>
      <c r="R3376" s="43"/>
      <c r="S3376" s="43"/>
      <c r="T3376" s="43"/>
      <c r="U3376" s="43"/>
      <c r="V3376" s="43"/>
      <c r="W3376" s="43"/>
      <c r="X3376" s="43"/>
      <c r="Y3376" s="43"/>
      <c r="Z3376" s="43"/>
      <c r="AA3376" s="43"/>
      <c r="AB3376" s="43"/>
      <c r="AC3376" s="43"/>
      <c r="AD3376" s="43"/>
      <c r="AE3376" s="43"/>
      <c r="AF3376" s="43"/>
      <c r="AG3376" s="43"/>
    </row>
    <row r="3377" spans="1:48" ht="11.45" customHeight="1">
      <c r="A3377" s="755"/>
      <c r="B3377" s="755" t="s">
        <v>1248</v>
      </c>
      <c r="C3377" s="755" t="s">
        <v>505</v>
      </c>
      <c r="D3377" s="1600">
        <v>1015</v>
      </c>
      <c r="E3377" s="2247" t="s">
        <v>1946</v>
      </c>
      <c r="F3377" s="756">
        <v>5238</v>
      </c>
      <c r="G3377" s="757" t="s">
        <v>257</v>
      </c>
      <c r="H3377" s="759">
        <v>1200</v>
      </c>
      <c r="I3377" s="759"/>
      <c r="J3377" s="760"/>
      <c r="K3377" s="761"/>
      <c r="L3377" s="759">
        <v>1400</v>
      </c>
      <c r="M3377" s="759"/>
      <c r="N3377" s="2847"/>
      <c r="O3377" s="86"/>
      <c r="P3377" s="1817" t="e">
        <f>INDEX(#REF!,MATCH(F3377,#REF!,0),2)</f>
        <v>#REF!</v>
      </c>
      <c r="Q3377" s="11"/>
      <c r="R3377" s="11"/>
      <c r="S3377" s="11"/>
      <c r="T3377" s="11"/>
      <c r="U3377" s="11"/>
      <c r="V3377" s="11"/>
      <c r="W3377" s="4"/>
      <c r="X3377" s="11"/>
      <c r="Y3377" s="11"/>
      <c r="Z3377" s="11"/>
      <c r="AA3377" s="11"/>
      <c r="AB3377" s="11"/>
      <c r="AC3377" s="11"/>
      <c r="AD3377" s="11"/>
      <c r="AE3377" s="11"/>
      <c r="AF3377" s="11"/>
      <c r="AG3377" s="11"/>
      <c r="AH3377" s="11"/>
      <c r="AI3377" s="11"/>
      <c r="AJ3377" s="11"/>
      <c r="AK3377" s="11"/>
      <c r="AL3377" s="11"/>
      <c r="AM3377" s="11"/>
      <c r="AN3377" s="11"/>
      <c r="AO3377" s="11"/>
      <c r="AP3377" s="11"/>
      <c r="AQ3377" s="11"/>
      <c r="AR3377" s="11"/>
      <c r="AS3377" s="11"/>
      <c r="AT3377" s="11"/>
      <c r="AU3377" s="11"/>
      <c r="AV3377" s="11"/>
    </row>
    <row r="3378" spans="1:48" ht="26.25" customHeight="1">
      <c r="A3378" s="762"/>
      <c r="B3378" s="762" t="s">
        <v>1248</v>
      </c>
      <c r="C3378" s="762" t="s">
        <v>505</v>
      </c>
      <c r="D3378" s="1599"/>
      <c r="E3378" s="2245" t="s">
        <v>1946</v>
      </c>
      <c r="F3378" s="763">
        <v>5238</v>
      </c>
      <c r="G3378" s="772"/>
      <c r="H3378" s="752"/>
      <c r="I3378" s="752">
        <v>1200</v>
      </c>
      <c r="J3378" s="753"/>
      <c r="K3378" s="754"/>
      <c r="L3378" s="752"/>
      <c r="M3378" s="752">
        <v>1400</v>
      </c>
      <c r="N3378" s="2847"/>
      <c r="O3378" s="86"/>
      <c r="P3378" s="1817" t="e">
        <f>INDEX(#REF!,MATCH(F3378,#REF!,0),2)</f>
        <v>#REF!</v>
      </c>
      <c r="Q3378" s="43"/>
      <c r="R3378" s="43"/>
      <c r="S3378" s="43"/>
      <c r="T3378" s="43"/>
      <c r="U3378" s="43"/>
      <c r="V3378" s="43"/>
      <c r="W3378" s="43"/>
      <c r="X3378" s="43"/>
      <c r="Y3378" s="43"/>
      <c r="Z3378" s="43"/>
      <c r="AA3378" s="43"/>
      <c r="AB3378" s="43"/>
      <c r="AC3378" s="43"/>
      <c r="AD3378" s="43"/>
      <c r="AE3378" s="43"/>
      <c r="AF3378" s="43"/>
      <c r="AG3378" s="43"/>
    </row>
    <row r="3379" spans="1:48" ht="24" customHeight="1">
      <c r="A3379" s="755"/>
      <c r="B3379" s="755" t="s">
        <v>1248</v>
      </c>
      <c r="C3379" s="755" t="s">
        <v>505</v>
      </c>
      <c r="D3379" s="1600">
        <v>1015</v>
      </c>
      <c r="E3379" s="2247" t="s">
        <v>1946</v>
      </c>
      <c r="F3379" s="756">
        <v>5239</v>
      </c>
      <c r="G3379" s="757" t="s">
        <v>1214</v>
      </c>
      <c r="H3379" s="759">
        <v>200</v>
      </c>
      <c r="I3379" s="759"/>
      <c r="J3379" s="760"/>
      <c r="K3379" s="761"/>
      <c r="L3379" s="759">
        <v>200</v>
      </c>
      <c r="M3379" s="759"/>
      <c r="N3379" s="2847"/>
      <c r="O3379" s="86"/>
      <c r="P3379" s="1817" t="e">
        <f>INDEX(#REF!,MATCH(F3379,#REF!,0),2)</f>
        <v>#REF!</v>
      </c>
      <c r="Q3379" s="43"/>
      <c r="R3379" s="43"/>
      <c r="S3379" s="43"/>
      <c r="T3379" s="43"/>
      <c r="U3379" s="43"/>
      <c r="V3379" s="43"/>
      <c r="W3379" s="43"/>
      <c r="X3379" s="43"/>
      <c r="Y3379" s="43"/>
      <c r="Z3379" s="43"/>
      <c r="AA3379" s="43"/>
      <c r="AB3379" s="43"/>
      <c r="AC3379" s="43"/>
      <c r="AD3379" s="43"/>
      <c r="AE3379" s="43"/>
      <c r="AF3379" s="43"/>
      <c r="AG3379" s="43"/>
    </row>
    <row r="3380" spans="1:48" ht="11.45" customHeight="1">
      <c r="A3380" s="762"/>
      <c r="B3380" s="762" t="s">
        <v>1248</v>
      </c>
      <c r="C3380" s="762" t="s">
        <v>505</v>
      </c>
      <c r="D3380" s="1599"/>
      <c r="E3380" s="2245" t="s">
        <v>1946</v>
      </c>
      <c r="F3380" s="763">
        <v>5239</v>
      </c>
      <c r="G3380" s="772"/>
      <c r="H3380" s="752"/>
      <c r="I3380" s="752">
        <v>200</v>
      </c>
      <c r="J3380" s="753"/>
      <c r="K3380" s="754"/>
      <c r="L3380" s="752"/>
      <c r="M3380" s="752">
        <v>200</v>
      </c>
      <c r="N3380" s="2847"/>
      <c r="O3380" s="86"/>
      <c r="P3380" s="1817" t="e">
        <f>INDEX(#REF!,MATCH(F3380,#REF!,0),2)</f>
        <v>#REF!</v>
      </c>
      <c r="Q3380" s="11"/>
      <c r="R3380" s="11"/>
      <c r="S3380" s="11"/>
      <c r="T3380" s="11"/>
      <c r="U3380" s="11"/>
      <c r="V3380" s="11"/>
      <c r="W3380" s="4"/>
      <c r="X3380" s="11"/>
      <c r="Y3380" s="11"/>
      <c r="Z3380" s="11"/>
      <c r="AA3380" s="11"/>
      <c r="AB3380" s="11"/>
      <c r="AC3380" s="11"/>
      <c r="AD3380" s="11"/>
      <c r="AE3380" s="11"/>
      <c r="AF3380" s="11"/>
      <c r="AG3380" s="11"/>
      <c r="AH3380" s="11"/>
      <c r="AI3380" s="11"/>
      <c r="AJ3380" s="11"/>
      <c r="AK3380" s="11"/>
      <c r="AL3380" s="11"/>
      <c r="AM3380" s="11"/>
      <c r="AN3380" s="11"/>
      <c r="AO3380" s="11"/>
      <c r="AP3380" s="11"/>
      <c r="AQ3380" s="11"/>
      <c r="AR3380" s="11"/>
      <c r="AS3380" s="11"/>
      <c r="AT3380" s="11"/>
      <c r="AU3380" s="11"/>
      <c r="AV3380" s="11"/>
    </row>
    <row r="3381" spans="1:48" ht="43.15" customHeight="1">
      <c r="A3381" s="755"/>
      <c r="B3381" s="755" t="s">
        <v>663</v>
      </c>
      <c r="C3381" s="755" t="s">
        <v>652</v>
      </c>
      <c r="D3381" s="1600" t="s">
        <v>1764</v>
      </c>
      <c r="E3381" s="2295" t="s">
        <v>1944</v>
      </c>
      <c r="F3381" s="756">
        <v>1119</v>
      </c>
      <c r="G3381" s="757" t="s">
        <v>224</v>
      </c>
      <c r="H3381" s="759">
        <v>54963.527999999998</v>
      </c>
      <c r="I3381" s="759"/>
      <c r="J3381" s="760"/>
      <c r="K3381" s="1724"/>
      <c r="L3381" s="1578">
        <v>0</v>
      </c>
      <c r="M3381" s="1578"/>
      <c r="N3381" s="2847"/>
      <c r="O3381" s="86"/>
      <c r="P3381" s="1817" t="e">
        <f>INDEX(#REF!,MATCH(F3381,#REF!,0),2)</f>
        <v>#REF!</v>
      </c>
      <c r="Q3381" s="43"/>
      <c r="R3381" s="43"/>
      <c r="S3381" s="43"/>
      <c r="T3381" s="43"/>
      <c r="U3381" s="43"/>
      <c r="V3381" s="43"/>
      <c r="W3381" s="43"/>
      <c r="X3381" s="43"/>
      <c r="Y3381" s="43"/>
      <c r="Z3381" s="43"/>
      <c r="AA3381" s="43"/>
      <c r="AB3381" s="43"/>
      <c r="AC3381" s="43"/>
      <c r="AD3381" s="43"/>
      <c r="AE3381" s="43"/>
      <c r="AF3381" s="43"/>
      <c r="AG3381" s="43"/>
    </row>
    <row r="3382" spans="1:48" ht="20.45" customHeight="1">
      <c r="A3382" s="762"/>
      <c r="B3382" s="762" t="s">
        <v>663</v>
      </c>
      <c r="C3382" s="762" t="s">
        <v>652</v>
      </c>
      <c r="D3382" s="1599"/>
      <c r="E3382" s="2296" t="s">
        <v>1944</v>
      </c>
      <c r="F3382" s="763">
        <v>1119</v>
      </c>
      <c r="G3382" s="786" t="s">
        <v>2666</v>
      </c>
      <c r="H3382" s="764"/>
      <c r="I3382" s="764">
        <v>48963.527999999998</v>
      </c>
      <c r="J3382" s="765"/>
      <c r="K3382" s="1652"/>
      <c r="L3382" s="1575"/>
      <c r="M3382" s="1575"/>
      <c r="N3382" s="2847"/>
      <c r="O3382" s="86"/>
      <c r="P3382" s="1817" t="e">
        <f>INDEX(#REF!,MATCH(F3382,#REF!,0),2)</f>
        <v>#REF!</v>
      </c>
      <c r="Q3382" s="1779"/>
      <c r="R3382" s="1779"/>
      <c r="S3382" s="1779"/>
      <c r="T3382" s="1779"/>
      <c r="U3382" s="1779"/>
      <c r="V3382" s="1779"/>
      <c r="W3382" s="43"/>
      <c r="X3382" s="1779"/>
      <c r="Y3382" s="1779"/>
      <c r="Z3382" s="1779"/>
      <c r="AA3382" s="1779"/>
      <c r="AB3382" s="1779"/>
      <c r="AC3382" s="1779"/>
      <c r="AD3382" s="1779"/>
      <c r="AE3382" s="1779"/>
      <c r="AF3382" s="1779"/>
      <c r="AG3382" s="1779"/>
      <c r="AH3382" s="1779"/>
      <c r="AI3382" s="1779"/>
      <c r="AJ3382" s="1779"/>
      <c r="AK3382" s="1779"/>
      <c r="AL3382" s="1779"/>
      <c r="AM3382" s="1779"/>
      <c r="AN3382" s="1779"/>
      <c r="AO3382" s="1779"/>
      <c r="AP3382" s="1779"/>
      <c r="AQ3382" s="1779"/>
      <c r="AR3382" s="1779"/>
      <c r="AS3382" s="1779"/>
      <c r="AT3382" s="1779"/>
      <c r="AU3382" s="1779"/>
      <c r="AV3382" s="1779"/>
    </row>
    <row r="3383" spans="1:48" ht="30.6" customHeight="1">
      <c r="A3383" s="1882"/>
      <c r="B3383" s="762" t="s">
        <v>663</v>
      </c>
      <c r="C3383" s="762" t="s">
        <v>652</v>
      </c>
      <c r="D3383" s="1599"/>
      <c r="E3383" s="2296" t="s">
        <v>1944</v>
      </c>
      <c r="F3383" s="763">
        <v>1119</v>
      </c>
      <c r="G3383" s="1911" t="s">
        <v>3318</v>
      </c>
      <c r="H3383" s="1650"/>
      <c r="I3383" s="1650">
        <v>-4000</v>
      </c>
      <c r="J3383" s="1651"/>
      <c r="K3383" s="1652"/>
      <c r="L3383" s="1968"/>
      <c r="M3383" s="1968"/>
      <c r="N3383" s="2847"/>
      <c r="O3383" s="86"/>
      <c r="P3383" s="1817" t="e">
        <f>INDEX(#REF!,MATCH(F3383,#REF!,0),2)</f>
        <v>#REF!</v>
      </c>
    </row>
    <row r="3384" spans="1:48" ht="20.45" customHeight="1">
      <c r="A3384" s="1882"/>
      <c r="B3384" s="762" t="s">
        <v>663</v>
      </c>
      <c r="C3384" s="762" t="s">
        <v>652</v>
      </c>
      <c r="D3384" s="1599"/>
      <c r="E3384" s="2296" t="s">
        <v>1944</v>
      </c>
      <c r="F3384" s="763">
        <v>1119</v>
      </c>
      <c r="G3384" s="1911" t="s">
        <v>3317</v>
      </c>
      <c r="H3384" s="1650"/>
      <c r="I3384" s="1650">
        <v>10000</v>
      </c>
      <c r="J3384" s="1651"/>
      <c r="K3384" s="1652"/>
      <c r="L3384" s="1968"/>
      <c r="M3384" s="1968"/>
      <c r="N3384" s="2847"/>
      <c r="O3384" s="86"/>
      <c r="P3384" s="1817" t="e">
        <f>INDEX(#REF!,MATCH(F3384,#REF!,0),2)</f>
        <v>#REF!</v>
      </c>
      <c r="Q3384" s="1779"/>
      <c r="R3384" s="1779"/>
      <c r="S3384" s="1779"/>
      <c r="T3384" s="1779"/>
      <c r="U3384" s="1779"/>
      <c r="V3384" s="1779"/>
      <c r="W3384" s="43"/>
      <c r="X3384" s="1779"/>
      <c r="Y3384" s="1779"/>
      <c r="Z3384" s="1779"/>
      <c r="AA3384" s="1779"/>
      <c r="AB3384" s="1779"/>
      <c r="AC3384" s="1779"/>
      <c r="AD3384" s="1779"/>
      <c r="AE3384" s="1779"/>
      <c r="AF3384" s="1779"/>
      <c r="AG3384" s="1779"/>
      <c r="AH3384" s="1779"/>
      <c r="AI3384" s="1779"/>
      <c r="AJ3384" s="1779"/>
      <c r="AK3384" s="1779"/>
      <c r="AL3384" s="1779"/>
      <c r="AM3384" s="1779"/>
      <c r="AN3384" s="1779"/>
      <c r="AO3384" s="1779"/>
      <c r="AP3384" s="1779"/>
      <c r="AQ3384" s="1779"/>
      <c r="AR3384" s="1779"/>
      <c r="AS3384" s="1779"/>
      <c r="AT3384" s="1779"/>
      <c r="AU3384" s="1779"/>
      <c r="AV3384" s="1779"/>
    </row>
    <row r="3385" spans="1:48" ht="12.75" customHeight="1">
      <c r="A3385" s="755"/>
      <c r="B3385" s="755" t="s">
        <v>663</v>
      </c>
      <c r="C3385" s="755" t="s">
        <v>652</v>
      </c>
      <c r="D3385" s="1600" t="s">
        <v>1764</v>
      </c>
      <c r="E3385" s="2295" t="s">
        <v>1944</v>
      </c>
      <c r="F3385" s="756">
        <v>1147</v>
      </c>
      <c r="G3385" s="757" t="s">
        <v>653</v>
      </c>
      <c r="H3385" s="759">
        <v>6000</v>
      </c>
      <c r="I3385" s="759"/>
      <c r="J3385" s="760"/>
      <c r="K3385" s="1724"/>
      <c r="L3385" s="1578">
        <v>0</v>
      </c>
      <c r="M3385" s="1578"/>
      <c r="N3385" s="2847"/>
      <c r="O3385" s="86"/>
      <c r="P3385" s="1817" t="e">
        <f>INDEX(#REF!,MATCH(F3385,#REF!,0),2)</f>
        <v>#REF!</v>
      </c>
    </row>
    <row r="3386" spans="1:48" ht="12.75" customHeight="1">
      <c r="A3386" s="762"/>
      <c r="B3386" s="762" t="s">
        <v>663</v>
      </c>
      <c r="C3386" s="762" t="s">
        <v>652</v>
      </c>
      <c r="D3386" s="1599"/>
      <c r="E3386" s="2296" t="s">
        <v>1944</v>
      </c>
      <c r="F3386" s="763">
        <v>1147</v>
      </c>
      <c r="G3386" s="1911" t="s">
        <v>3317</v>
      </c>
      <c r="H3386" s="764"/>
      <c r="I3386" s="764">
        <v>4000</v>
      </c>
      <c r="J3386" s="765"/>
      <c r="K3386" s="1652"/>
      <c r="L3386" s="1575"/>
      <c r="M3386" s="1575"/>
      <c r="N3386" s="2847"/>
      <c r="O3386" s="86"/>
      <c r="P3386" s="1817" t="e">
        <f>INDEX(#REF!,MATCH(F3386,#REF!,0),2)</f>
        <v>#REF!</v>
      </c>
    </row>
    <row r="3387" spans="1:48" ht="20.45" customHeight="1">
      <c r="A3387" s="1882"/>
      <c r="B3387" s="762" t="s">
        <v>663</v>
      </c>
      <c r="C3387" s="762" t="s">
        <v>652</v>
      </c>
      <c r="D3387" s="1599"/>
      <c r="E3387" s="2296" t="s">
        <v>1944</v>
      </c>
      <c r="F3387" s="763">
        <v>1147</v>
      </c>
      <c r="G3387" s="1911" t="s">
        <v>3319</v>
      </c>
      <c r="H3387" s="1650"/>
      <c r="I3387" s="1650">
        <v>2000</v>
      </c>
      <c r="J3387" s="1651"/>
      <c r="K3387" s="1652"/>
      <c r="L3387" s="1968"/>
      <c r="M3387" s="1968"/>
      <c r="N3387" s="2847"/>
      <c r="O3387" s="86"/>
      <c r="P3387" s="1817" t="e">
        <f>INDEX(#REF!,MATCH(F3387,#REF!,0),2)</f>
        <v>#REF!</v>
      </c>
      <c r="Q3387" s="1779"/>
      <c r="R3387" s="1779"/>
      <c r="S3387" s="1779"/>
      <c r="T3387" s="1779"/>
      <c r="U3387" s="1779"/>
      <c r="V3387" s="1779"/>
      <c r="W3387" s="43"/>
      <c r="X3387" s="1779"/>
      <c r="Y3387" s="1779"/>
      <c r="Z3387" s="1779"/>
      <c r="AA3387" s="1779"/>
      <c r="AB3387" s="1779"/>
      <c r="AC3387" s="1779"/>
      <c r="AD3387" s="1779"/>
      <c r="AE3387" s="1779"/>
      <c r="AF3387" s="1779"/>
      <c r="AG3387" s="1779"/>
      <c r="AH3387" s="1779"/>
      <c r="AI3387" s="1779"/>
      <c r="AJ3387" s="1779"/>
      <c r="AK3387" s="1779"/>
      <c r="AL3387" s="1779"/>
      <c r="AM3387" s="1779"/>
      <c r="AN3387" s="1779"/>
      <c r="AO3387" s="1779"/>
      <c r="AP3387" s="1779"/>
      <c r="AQ3387" s="1779"/>
      <c r="AR3387" s="1779"/>
      <c r="AS3387" s="1779"/>
      <c r="AT3387" s="1779"/>
      <c r="AU3387" s="1779"/>
      <c r="AV3387" s="1779"/>
    </row>
    <row r="3388" spans="1:48" ht="13.5" customHeight="1">
      <c r="A3388" s="755"/>
      <c r="B3388" s="755" t="s">
        <v>663</v>
      </c>
      <c r="C3388" s="755" t="s">
        <v>652</v>
      </c>
      <c r="D3388" s="1600" t="s">
        <v>1764</v>
      </c>
      <c r="E3388" s="2295" t="s">
        <v>1944</v>
      </c>
      <c r="F3388" s="756">
        <v>1210</v>
      </c>
      <c r="G3388" s="757" t="s">
        <v>228</v>
      </c>
      <c r="H3388" s="759">
        <v>15116.472</v>
      </c>
      <c r="I3388" s="759"/>
      <c r="J3388" s="760"/>
      <c r="K3388" s="1724"/>
      <c r="L3388" s="1578">
        <v>0</v>
      </c>
      <c r="M3388" s="1578"/>
      <c r="N3388" s="2847"/>
      <c r="O3388" s="86"/>
      <c r="P3388" s="1817" t="e">
        <f>INDEX(#REF!,MATCH(F3388,#REF!,0),2)</f>
        <v>#REF!</v>
      </c>
    </row>
    <row r="3389" spans="1:48" ht="13.5" customHeight="1">
      <c r="A3389" s="762"/>
      <c r="B3389" s="762" t="s">
        <v>663</v>
      </c>
      <c r="C3389" s="762" t="s">
        <v>652</v>
      </c>
      <c r="D3389" s="1599"/>
      <c r="E3389" s="2296" t="s">
        <v>1944</v>
      </c>
      <c r="F3389" s="763">
        <v>1210</v>
      </c>
      <c r="G3389" s="786" t="s">
        <v>663</v>
      </c>
      <c r="H3389" s="764"/>
      <c r="I3389" s="764">
        <v>15116.472</v>
      </c>
      <c r="J3389" s="765"/>
      <c r="K3389" s="1652"/>
      <c r="L3389" s="1575"/>
      <c r="M3389" s="1575"/>
      <c r="N3389" s="2847"/>
      <c r="O3389" s="86"/>
      <c r="P3389" s="1817" t="e">
        <f>INDEX(#REF!,MATCH(F3389,#REF!,0),2)</f>
        <v>#REF!</v>
      </c>
    </row>
    <row r="3390" spans="1:48" ht="20.45" customHeight="1">
      <c r="A3390" s="755" t="s">
        <v>782</v>
      </c>
      <c r="B3390" s="755" t="s">
        <v>1517</v>
      </c>
      <c r="C3390" s="755" t="s">
        <v>998</v>
      </c>
      <c r="D3390" s="1600" t="s">
        <v>1764</v>
      </c>
      <c r="E3390" s="2296" t="s">
        <v>1944</v>
      </c>
      <c r="F3390" s="756">
        <v>6299</v>
      </c>
      <c r="G3390" s="757" t="s">
        <v>761</v>
      </c>
      <c r="H3390" s="759">
        <v>0</v>
      </c>
      <c r="I3390" s="759"/>
      <c r="J3390" s="760"/>
      <c r="K3390" s="1725"/>
      <c r="L3390" s="1578">
        <v>0</v>
      </c>
      <c r="M3390" s="1578"/>
      <c r="N3390" s="2847"/>
      <c r="O3390" s="86"/>
      <c r="P3390" s="1817" t="e">
        <f>INDEX(#REF!,MATCH(F3390,#REF!,0),2)</f>
        <v>#REF!</v>
      </c>
      <c r="Q3390" s="1779"/>
      <c r="R3390" s="1779"/>
      <c r="S3390" s="1779"/>
      <c r="T3390" s="1779"/>
      <c r="U3390" s="1779"/>
      <c r="V3390" s="1779"/>
      <c r="W3390" s="43"/>
      <c r="X3390" s="1779"/>
      <c r="Y3390" s="1779"/>
      <c r="Z3390" s="1779"/>
      <c r="AA3390" s="1779"/>
      <c r="AB3390" s="1779"/>
      <c r="AC3390" s="1779"/>
      <c r="AD3390" s="1779"/>
      <c r="AE3390" s="1779"/>
      <c r="AF3390" s="1779"/>
      <c r="AG3390" s="1779"/>
      <c r="AH3390" s="1779"/>
      <c r="AI3390" s="1779"/>
      <c r="AJ3390" s="1779"/>
      <c r="AK3390" s="1779"/>
      <c r="AL3390" s="1779"/>
      <c r="AM3390" s="1779"/>
      <c r="AN3390" s="1779"/>
      <c r="AO3390" s="1779"/>
      <c r="AP3390" s="1779"/>
      <c r="AQ3390" s="1779"/>
      <c r="AR3390" s="1779"/>
      <c r="AS3390" s="1779"/>
      <c r="AT3390" s="1779"/>
      <c r="AU3390" s="1779"/>
      <c r="AV3390" s="1779"/>
    </row>
    <row r="3391" spans="1:48" ht="13.15" customHeight="1">
      <c r="A3391" s="762"/>
      <c r="B3391" s="762" t="s">
        <v>1517</v>
      </c>
      <c r="C3391" s="762" t="s">
        <v>998</v>
      </c>
      <c r="D3391" s="1599"/>
      <c r="E3391" s="2296" t="s">
        <v>1944</v>
      </c>
      <c r="F3391" s="763">
        <v>6299</v>
      </c>
      <c r="G3391" s="846" t="s">
        <v>976</v>
      </c>
      <c r="H3391" s="752"/>
      <c r="I3391" s="752"/>
      <c r="J3391" s="753"/>
      <c r="K3391" s="1652"/>
      <c r="L3391" s="1575"/>
      <c r="M3391" s="1575"/>
      <c r="N3391" s="2847"/>
      <c r="O3391" s="86"/>
      <c r="P3391" s="1817" t="e">
        <f>INDEX(#REF!,MATCH(F3391,#REF!,0),2)</f>
        <v>#REF!</v>
      </c>
    </row>
    <row r="3392" spans="1:48" ht="37.5" customHeight="1">
      <c r="A3392" s="755" t="s">
        <v>782</v>
      </c>
      <c r="B3392" s="755" t="s">
        <v>1517</v>
      </c>
      <c r="C3392" s="755" t="s">
        <v>998</v>
      </c>
      <c r="D3392" s="1600" t="s">
        <v>1764</v>
      </c>
      <c r="E3392" s="2295" t="s">
        <v>1944</v>
      </c>
      <c r="F3392" s="756">
        <v>6411</v>
      </c>
      <c r="G3392" s="853" t="s">
        <v>2442</v>
      </c>
      <c r="H3392" s="759">
        <v>9240</v>
      </c>
      <c r="I3392" s="759"/>
      <c r="J3392" s="760"/>
      <c r="K3392" s="1725"/>
      <c r="L3392" s="1578">
        <v>0</v>
      </c>
      <c r="M3392" s="1578"/>
      <c r="N3392" s="2847"/>
      <c r="O3392" s="86"/>
      <c r="P3392" s="1817" t="e">
        <f>INDEX(#REF!,MATCH(F3392,#REF!,0),2)</f>
        <v>#REF!</v>
      </c>
    </row>
    <row r="3393" spans="1:48" ht="24.75" customHeight="1">
      <c r="A3393" s="762"/>
      <c r="B3393" s="762" t="s">
        <v>1517</v>
      </c>
      <c r="C3393" s="762" t="s">
        <v>998</v>
      </c>
      <c r="D3393" s="1599"/>
      <c r="E3393" s="2296" t="s">
        <v>1944</v>
      </c>
      <c r="F3393" s="763">
        <v>6411</v>
      </c>
      <c r="G3393" s="1656" t="s">
        <v>759</v>
      </c>
      <c r="H3393" s="752"/>
      <c r="I3393" s="752">
        <v>6240</v>
      </c>
      <c r="J3393" s="753"/>
      <c r="K3393" s="1652"/>
      <c r="L3393" s="1575"/>
      <c r="M3393" s="1575"/>
      <c r="N3393" s="2847"/>
      <c r="O3393" s="86"/>
      <c r="P3393" s="1817" t="e">
        <f>INDEX(#REF!,MATCH(F3393,#REF!,0),2)</f>
        <v>#REF!</v>
      </c>
    </row>
    <row r="3394" spans="1:48" ht="27.75" customHeight="1">
      <c r="A3394" s="1882"/>
      <c r="B3394" s="762" t="s">
        <v>1517</v>
      </c>
      <c r="C3394" s="762" t="s">
        <v>998</v>
      </c>
      <c r="D3394" s="1599"/>
      <c r="E3394" s="2296" t="s">
        <v>1944</v>
      </c>
      <c r="F3394" s="763">
        <v>6411</v>
      </c>
      <c r="G3394" s="1913" t="s">
        <v>3320</v>
      </c>
      <c r="H3394" s="1650"/>
      <c r="I3394" s="1650">
        <v>3000</v>
      </c>
      <c r="J3394" s="1651"/>
      <c r="K3394" s="1652"/>
      <c r="L3394" s="1968"/>
      <c r="M3394" s="1968"/>
      <c r="N3394" s="2847"/>
      <c r="O3394" s="86"/>
      <c r="P3394" s="1817" t="e">
        <f>INDEX(#REF!,MATCH(F3394,#REF!,0),2)</f>
        <v>#REF!</v>
      </c>
    </row>
    <row r="3395" spans="1:48" ht="11.45" customHeight="1">
      <c r="A3395" s="755" t="s">
        <v>782</v>
      </c>
      <c r="B3395" s="755" t="s">
        <v>1517</v>
      </c>
      <c r="C3395" s="755" t="s">
        <v>998</v>
      </c>
      <c r="D3395" s="1600" t="s">
        <v>1764</v>
      </c>
      <c r="E3395" s="2295" t="s">
        <v>1944</v>
      </c>
      <c r="F3395" s="756">
        <v>6412</v>
      </c>
      <c r="G3395" s="853" t="s">
        <v>1184</v>
      </c>
      <c r="H3395" s="759">
        <v>27000</v>
      </c>
      <c r="I3395" s="759"/>
      <c r="J3395" s="760"/>
      <c r="K3395" s="1725"/>
      <c r="L3395" s="1578">
        <v>0</v>
      </c>
      <c r="M3395" s="1578"/>
      <c r="N3395" s="2847"/>
      <c r="O3395" s="86"/>
      <c r="P3395" s="1817" t="e">
        <f>INDEX(#REF!,MATCH(F3395,#REF!,0),2)</f>
        <v>#REF!</v>
      </c>
      <c r="Q3395" s="11"/>
      <c r="R3395" s="11"/>
      <c r="S3395" s="11"/>
      <c r="T3395" s="11"/>
      <c r="U3395" s="11"/>
      <c r="V3395" s="11"/>
      <c r="W3395" s="4"/>
      <c r="X3395" s="11"/>
      <c r="Y3395" s="11"/>
      <c r="Z3395" s="11"/>
      <c r="AA3395" s="11"/>
      <c r="AB3395" s="11"/>
      <c r="AC3395" s="11"/>
      <c r="AD3395" s="11"/>
      <c r="AE3395" s="11"/>
      <c r="AF3395" s="11"/>
      <c r="AG3395" s="11"/>
      <c r="AH3395" s="11"/>
      <c r="AI3395" s="11"/>
      <c r="AJ3395" s="11"/>
      <c r="AK3395" s="11"/>
      <c r="AL3395" s="11"/>
      <c r="AM3395" s="11"/>
      <c r="AN3395" s="11"/>
      <c r="AO3395" s="11"/>
      <c r="AP3395" s="11"/>
      <c r="AQ3395" s="11"/>
      <c r="AR3395" s="11"/>
      <c r="AS3395" s="11"/>
      <c r="AT3395" s="11"/>
      <c r="AU3395" s="11"/>
      <c r="AV3395" s="11"/>
    </row>
    <row r="3396" spans="1:48" ht="14.45" customHeight="1">
      <c r="A3396" s="762"/>
      <c r="B3396" s="762" t="s">
        <v>1517</v>
      </c>
      <c r="C3396" s="762" t="s">
        <v>998</v>
      </c>
      <c r="D3396" s="1599"/>
      <c r="E3396" s="2296" t="s">
        <v>1944</v>
      </c>
      <c r="F3396" s="763">
        <v>6412</v>
      </c>
      <c r="G3396" s="1656" t="s">
        <v>2404</v>
      </c>
      <c r="H3396" s="752"/>
      <c r="I3396" s="752">
        <v>30000</v>
      </c>
      <c r="J3396" s="753"/>
      <c r="K3396" s="1652"/>
      <c r="L3396" s="1575"/>
      <c r="M3396" s="1575"/>
      <c r="N3396" s="2847"/>
      <c r="O3396" s="86"/>
      <c r="P3396" s="1817" t="e">
        <f>INDEX(#REF!,MATCH(F3396,#REF!,0),2)</f>
        <v>#REF!</v>
      </c>
      <c r="Q3396" s="43">
        <v>204973.40000000002</v>
      </c>
      <c r="R3396" s="1030">
        <f>M3396-Q3396</f>
        <v>-204973.40000000002</v>
      </c>
      <c r="S3396" s="43"/>
      <c r="T3396" s="43"/>
      <c r="U3396" s="43"/>
      <c r="V3396" s="43"/>
      <c r="W3396" s="43"/>
      <c r="X3396" s="43"/>
      <c r="Y3396" s="43"/>
      <c r="Z3396" s="43"/>
      <c r="AA3396" s="43"/>
      <c r="AB3396" s="43"/>
      <c r="AC3396" s="43"/>
      <c r="AD3396" s="43"/>
      <c r="AE3396" s="43"/>
      <c r="AF3396" s="43"/>
      <c r="AG3396" s="43"/>
    </row>
    <row r="3397" spans="1:48" ht="28.15" customHeight="1">
      <c r="A3397" s="1882"/>
      <c r="B3397" s="762" t="s">
        <v>1517</v>
      </c>
      <c r="C3397" s="762" t="s">
        <v>998</v>
      </c>
      <c r="D3397" s="1599"/>
      <c r="E3397" s="2296" t="s">
        <v>1944</v>
      </c>
      <c r="F3397" s="763">
        <v>6412</v>
      </c>
      <c r="G3397" s="1913" t="s">
        <v>3320</v>
      </c>
      <c r="H3397" s="1650"/>
      <c r="I3397" s="1650">
        <v>-3000</v>
      </c>
      <c r="J3397" s="1651"/>
      <c r="K3397" s="1652"/>
      <c r="L3397" s="1968"/>
      <c r="M3397" s="1968"/>
      <c r="N3397" s="2847"/>
      <c r="O3397" s="86"/>
      <c r="P3397" s="1817" t="e">
        <f>INDEX(#REF!,MATCH(F3397,#REF!,0),2)</f>
        <v>#REF!</v>
      </c>
      <c r="Q3397" s="43"/>
      <c r="R3397" s="1030"/>
      <c r="S3397" s="43"/>
      <c r="T3397" s="43"/>
      <c r="U3397" s="43"/>
      <c r="V3397" s="43"/>
      <c r="W3397" s="43"/>
      <c r="X3397" s="43"/>
      <c r="Y3397" s="43"/>
      <c r="Z3397" s="43"/>
      <c r="AA3397" s="43"/>
      <c r="AB3397" s="43"/>
      <c r="AC3397" s="43"/>
      <c r="AD3397" s="43"/>
      <c r="AE3397" s="43"/>
      <c r="AF3397" s="43"/>
      <c r="AG3397" s="43"/>
    </row>
    <row r="3398" spans="1:48" ht="11.45" customHeight="1">
      <c r="A3398" s="755" t="s">
        <v>782</v>
      </c>
      <c r="B3398" s="755" t="s">
        <v>1517</v>
      </c>
      <c r="C3398" s="755" t="s">
        <v>998</v>
      </c>
      <c r="D3398" s="1600" t="s">
        <v>1764</v>
      </c>
      <c r="E3398" s="2295" t="s">
        <v>1944</v>
      </c>
      <c r="F3398" s="756">
        <v>6419</v>
      </c>
      <c r="G3398" s="757" t="s">
        <v>761</v>
      </c>
      <c r="H3398" s="759">
        <v>218350</v>
      </c>
      <c r="I3398" s="759"/>
      <c r="J3398" s="760"/>
      <c r="K3398" s="1725"/>
      <c r="L3398" s="1578">
        <v>0</v>
      </c>
      <c r="M3398" s="1578"/>
      <c r="N3398" s="2847"/>
      <c r="O3398" s="86"/>
      <c r="P3398" s="1817" t="e">
        <f>INDEX(#REF!,MATCH(F3398,#REF!,0),2)</f>
        <v>#REF!</v>
      </c>
      <c r="Q3398" s="11"/>
      <c r="R3398" s="1030">
        <f t="shared" ref="R3398:R3477" si="1">M3398-Q3398</f>
        <v>0</v>
      </c>
      <c r="S3398" s="11"/>
      <c r="T3398" s="11"/>
      <c r="U3398" s="11"/>
      <c r="V3398" s="11"/>
      <c r="W3398" s="4"/>
      <c r="X3398" s="11"/>
      <c r="Y3398" s="11"/>
      <c r="Z3398" s="11"/>
      <c r="AA3398" s="11"/>
      <c r="AB3398" s="11"/>
      <c r="AC3398" s="11"/>
      <c r="AD3398" s="11"/>
      <c r="AE3398" s="11"/>
      <c r="AF3398" s="11"/>
      <c r="AG3398" s="11"/>
      <c r="AH3398" s="11"/>
      <c r="AI3398" s="11"/>
      <c r="AJ3398" s="11"/>
      <c r="AK3398" s="11"/>
      <c r="AL3398" s="11"/>
      <c r="AM3398" s="11"/>
      <c r="AN3398" s="11"/>
      <c r="AO3398" s="11"/>
      <c r="AP3398" s="11"/>
      <c r="AQ3398" s="11"/>
      <c r="AR3398" s="11"/>
      <c r="AS3398" s="11"/>
      <c r="AT3398" s="11"/>
      <c r="AU3398" s="11"/>
      <c r="AV3398" s="11"/>
    </row>
    <row r="3399" spans="1:48" ht="14.45" customHeight="1">
      <c r="A3399" s="762"/>
      <c r="B3399" s="762" t="s">
        <v>1517</v>
      </c>
      <c r="C3399" s="762" t="s">
        <v>998</v>
      </c>
      <c r="D3399" s="1599"/>
      <c r="E3399" s="2296" t="s">
        <v>1944</v>
      </c>
      <c r="F3399" s="763">
        <v>6419</v>
      </c>
      <c r="G3399" s="846" t="s">
        <v>1527</v>
      </c>
      <c r="H3399" s="752"/>
      <c r="I3399" s="752">
        <v>123350</v>
      </c>
      <c r="J3399" s="753"/>
      <c r="K3399" s="1652"/>
      <c r="L3399" s="1575"/>
      <c r="M3399" s="1575"/>
      <c r="N3399" s="2847"/>
      <c r="O3399" s="86"/>
      <c r="P3399" s="1817" t="e">
        <f>INDEX(#REF!,MATCH(F3399,#REF!,0),2)</f>
        <v>#REF!</v>
      </c>
      <c r="Q3399" s="43">
        <v>1000</v>
      </c>
      <c r="R3399" s="1030">
        <f t="shared" si="1"/>
        <v>-1000</v>
      </c>
      <c r="S3399" s="43"/>
      <c r="T3399" s="43"/>
      <c r="U3399" s="43"/>
      <c r="V3399" s="43"/>
      <c r="W3399" s="43"/>
      <c r="X3399" s="43"/>
      <c r="Y3399" s="43"/>
      <c r="Z3399" s="43"/>
      <c r="AA3399" s="43"/>
      <c r="AB3399" s="43"/>
      <c r="AC3399" s="43"/>
      <c r="AD3399" s="43"/>
      <c r="AE3399" s="43"/>
      <c r="AF3399" s="43"/>
      <c r="AG3399" s="43"/>
    </row>
    <row r="3400" spans="1:48" ht="11.45" customHeight="1">
      <c r="A3400" s="1882"/>
      <c r="B3400" s="762" t="s">
        <v>1517</v>
      </c>
      <c r="C3400" s="762" t="s">
        <v>998</v>
      </c>
      <c r="D3400" s="1599"/>
      <c r="E3400" s="2296" t="s">
        <v>1944</v>
      </c>
      <c r="F3400" s="763">
        <v>6419</v>
      </c>
      <c r="G3400" s="1656" t="s">
        <v>2405</v>
      </c>
      <c r="H3400" s="1892"/>
      <c r="I3400" s="1892">
        <v>107000</v>
      </c>
      <c r="J3400" s="1916"/>
      <c r="K3400" s="1652"/>
      <c r="L3400" s="1968"/>
      <c r="M3400" s="1575"/>
      <c r="N3400" s="2847"/>
      <c r="O3400" s="86"/>
      <c r="P3400" s="1817" t="e">
        <f>INDEX(#REF!,MATCH(F3400,#REF!,0),2)</f>
        <v>#REF!</v>
      </c>
      <c r="Q3400" s="11"/>
      <c r="R3400" s="1030">
        <f t="shared" si="1"/>
        <v>0</v>
      </c>
      <c r="S3400" s="11"/>
      <c r="T3400" s="11"/>
      <c r="U3400" s="11"/>
      <c r="V3400" s="11"/>
      <c r="W3400" s="4"/>
      <c r="X3400" s="11"/>
      <c r="Y3400" s="11"/>
      <c r="Z3400" s="11"/>
      <c r="AA3400" s="11"/>
      <c r="AB3400" s="11"/>
      <c r="AC3400" s="11"/>
      <c r="AD3400" s="11"/>
      <c r="AE3400" s="11"/>
      <c r="AF3400" s="11"/>
      <c r="AG3400" s="11"/>
      <c r="AH3400" s="11"/>
      <c r="AI3400" s="11"/>
      <c r="AJ3400" s="11"/>
      <c r="AK3400" s="11"/>
      <c r="AL3400" s="11"/>
      <c r="AM3400" s="11"/>
      <c r="AN3400" s="11"/>
      <c r="AO3400" s="11"/>
      <c r="AP3400" s="11"/>
      <c r="AQ3400" s="11"/>
      <c r="AR3400" s="11"/>
      <c r="AS3400" s="11"/>
      <c r="AT3400" s="11"/>
      <c r="AU3400" s="11"/>
      <c r="AV3400" s="11"/>
    </row>
    <row r="3401" spans="1:48" ht="18.75" customHeight="1">
      <c r="A3401" s="1882"/>
      <c r="B3401" s="762" t="s">
        <v>1517</v>
      </c>
      <c r="C3401" s="762" t="s">
        <v>998</v>
      </c>
      <c r="D3401" s="1599"/>
      <c r="E3401" s="2296" t="s">
        <v>1944</v>
      </c>
      <c r="F3401" s="763">
        <v>6419</v>
      </c>
      <c r="G3401" s="1913" t="s">
        <v>3317</v>
      </c>
      <c r="H3401" s="1892"/>
      <c r="I3401" s="1892">
        <v>-10000</v>
      </c>
      <c r="J3401" s="1916"/>
      <c r="K3401" s="1652"/>
      <c r="L3401" s="1968"/>
      <c r="M3401" s="1968"/>
      <c r="N3401" s="2847"/>
      <c r="O3401" s="86"/>
      <c r="P3401" s="1817" t="e">
        <f>INDEX(#REF!,MATCH(F3401,#REF!,0),2)</f>
        <v>#REF!</v>
      </c>
      <c r="Q3401" s="43"/>
      <c r="R3401" s="1030">
        <f t="shared" si="1"/>
        <v>0</v>
      </c>
      <c r="S3401" s="43"/>
      <c r="T3401" s="43"/>
      <c r="U3401" s="43"/>
      <c r="V3401" s="43"/>
      <c r="W3401" s="43"/>
      <c r="X3401" s="43"/>
      <c r="Y3401" s="43"/>
      <c r="Z3401" s="43"/>
      <c r="AA3401" s="43"/>
      <c r="AB3401" s="43"/>
      <c r="AC3401" s="43"/>
      <c r="AD3401" s="43"/>
      <c r="AE3401" s="43"/>
      <c r="AF3401" s="43"/>
      <c r="AG3401" s="43"/>
    </row>
    <row r="3402" spans="1:48" ht="13.15" customHeight="1">
      <c r="A3402" s="762"/>
      <c r="B3402" s="762" t="s">
        <v>1517</v>
      </c>
      <c r="C3402" s="762" t="s">
        <v>998</v>
      </c>
      <c r="D3402" s="1599"/>
      <c r="E3402" s="2296" t="s">
        <v>1944</v>
      </c>
      <c r="F3402" s="763">
        <v>6419</v>
      </c>
      <c r="G3402" s="1656" t="s">
        <v>3319</v>
      </c>
      <c r="H3402" s="752"/>
      <c r="I3402" s="752">
        <v>-2000</v>
      </c>
      <c r="J3402" s="753"/>
      <c r="K3402" s="1652"/>
      <c r="L3402" s="1575"/>
      <c r="M3402" s="1575"/>
      <c r="N3402" s="2847"/>
      <c r="O3402" s="86"/>
      <c r="P3402" s="1817" t="e">
        <f>INDEX(#REF!,MATCH(F3402,#REF!,0),2)</f>
        <v>#REF!</v>
      </c>
      <c r="Q3402" s="4"/>
      <c r="R3402" s="1030">
        <f t="shared" si="1"/>
        <v>0</v>
      </c>
      <c r="S3402" s="4"/>
      <c r="T3402" s="4"/>
      <c r="U3402" s="4"/>
      <c r="V3402" s="4"/>
      <c r="W3402" s="4"/>
      <c r="X3402" s="4"/>
      <c r="Y3402" s="4"/>
      <c r="Z3402" s="4"/>
      <c r="AA3402" s="4"/>
      <c r="AB3402" s="4"/>
      <c r="AC3402" s="4"/>
      <c r="AD3402" s="4"/>
      <c r="AE3402" s="4"/>
      <c r="AF3402" s="4"/>
      <c r="AG3402" s="4"/>
    </row>
    <row r="3403" spans="1:48" ht="10.9" customHeight="1">
      <c r="A3403" s="755"/>
      <c r="B3403" s="755" t="s">
        <v>663</v>
      </c>
      <c r="C3403" s="755" t="s">
        <v>652</v>
      </c>
      <c r="D3403" s="1600" t="s">
        <v>1764</v>
      </c>
      <c r="E3403" s="2247" t="s">
        <v>3053</v>
      </c>
      <c r="F3403" s="756">
        <v>1119</v>
      </c>
      <c r="G3403" s="757" t="s">
        <v>224</v>
      </c>
      <c r="H3403" s="759">
        <v>188513.40000000002</v>
      </c>
      <c r="I3403" s="759"/>
      <c r="J3403" s="760"/>
      <c r="K3403" s="1724"/>
      <c r="L3403" s="1580">
        <v>242479.77600000004</v>
      </c>
      <c r="M3403" s="1580"/>
      <c r="N3403" s="2847"/>
      <c r="O3403" s="86"/>
      <c r="P3403" s="1817" t="e">
        <f>INDEX(#REF!,MATCH(F3403,#REF!,0),2)</f>
        <v>#REF!</v>
      </c>
      <c r="Q3403" s="43">
        <v>51929.627407875014</v>
      </c>
      <c r="R3403" s="1030">
        <f t="shared" si="1"/>
        <v>-51929.627407875014</v>
      </c>
      <c r="S3403" s="43"/>
      <c r="T3403" s="43"/>
      <c r="U3403" s="43"/>
      <c r="V3403" s="43"/>
      <c r="W3403" s="43"/>
      <c r="X3403" s="43"/>
      <c r="Y3403" s="43"/>
      <c r="Z3403" s="43"/>
      <c r="AA3403" s="43"/>
      <c r="AB3403" s="43"/>
      <c r="AC3403" s="43"/>
      <c r="AD3403" s="43"/>
      <c r="AE3403" s="43"/>
      <c r="AF3403" s="43"/>
      <c r="AG3403" s="43"/>
    </row>
    <row r="3404" spans="1:48" ht="25.15" customHeight="1">
      <c r="A3404" s="762"/>
      <c r="B3404" s="762" t="s">
        <v>663</v>
      </c>
      <c r="C3404" s="762" t="s">
        <v>652</v>
      </c>
      <c r="D3404" s="1599"/>
      <c r="E3404" s="2245" t="s">
        <v>3053</v>
      </c>
      <c r="F3404" s="763">
        <v>1119</v>
      </c>
      <c r="G3404" s="786" t="s">
        <v>663</v>
      </c>
      <c r="H3404" s="764"/>
      <c r="I3404" s="764">
        <v>204973.40000000002</v>
      </c>
      <c r="J3404" s="765"/>
      <c r="K3404" s="1652"/>
      <c r="L3404" s="1576"/>
      <c r="M3404" s="1576">
        <v>242479.77600000004</v>
      </c>
      <c r="N3404" s="2847"/>
      <c r="O3404" s="86"/>
      <c r="P3404" s="1817" t="e">
        <f>INDEX(#REF!,MATCH(F3404,#REF!,0),2)</f>
        <v>#REF!</v>
      </c>
      <c r="Q3404" s="43"/>
      <c r="R3404" s="1030">
        <f t="shared" si="1"/>
        <v>242479.77600000004</v>
      </c>
      <c r="S3404" s="43"/>
      <c r="T3404" s="43"/>
      <c r="U3404" s="43"/>
      <c r="V3404" s="43"/>
      <c r="W3404" s="43"/>
      <c r="X3404" s="43"/>
      <c r="Y3404" s="43"/>
      <c r="Z3404" s="43"/>
      <c r="AA3404" s="43"/>
      <c r="AB3404" s="43"/>
      <c r="AC3404" s="43"/>
      <c r="AD3404" s="43"/>
      <c r="AE3404" s="43"/>
      <c r="AF3404" s="43"/>
      <c r="AG3404" s="43"/>
    </row>
    <row r="3405" spans="1:48" ht="23.25" customHeight="1">
      <c r="A3405" s="1882"/>
      <c r="B3405" s="762" t="s">
        <v>663</v>
      </c>
      <c r="C3405" s="762" t="s">
        <v>652</v>
      </c>
      <c r="D3405" s="1599"/>
      <c r="E3405" s="2245" t="s">
        <v>3053</v>
      </c>
      <c r="F3405" s="763">
        <v>1119</v>
      </c>
      <c r="G3405" s="1911" t="s">
        <v>3201</v>
      </c>
      <c r="H3405" s="1650"/>
      <c r="I3405" s="1650">
        <v>-16460</v>
      </c>
      <c r="J3405" s="1651"/>
      <c r="K3405" s="1652"/>
      <c r="L3405" s="1892"/>
      <c r="M3405" s="1892"/>
      <c r="N3405" s="2847"/>
      <c r="O3405" s="86"/>
      <c r="P3405" s="1817" t="e">
        <f>INDEX(#REF!,MATCH(F3405,#REF!,0),2)</f>
        <v>#REF!</v>
      </c>
      <c r="Q3405" s="4"/>
      <c r="R3405" s="1030">
        <f t="shared" si="1"/>
        <v>0</v>
      </c>
      <c r="S3405" s="4"/>
      <c r="T3405" s="4"/>
      <c r="U3405" s="4"/>
      <c r="V3405" s="4"/>
      <c r="W3405" s="4"/>
      <c r="X3405" s="4"/>
      <c r="Y3405" s="4"/>
      <c r="Z3405" s="4"/>
      <c r="AA3405" s="4"/>
      <c r="AB3405" s="4"/>
      <c r="AC3405" s="4"/>
      <c r="AD3405" s="4"/>
      <c r="AE3405" s="4"/>
      <c r="AF3405" s="4"/>
      <c r="AG3405" s="4"/>
    </row>
    <row r="3406" spans="1:48" ht="11.45" customHeight="1">
      <c r="A3406" s="755"/>
      <c r="B3406" s="755" t="s">
        <v>663</v>
      </c>
      <c r="C3406" s="755" t="s">
        <v>652</v>
      </c>
      <c r="D3406" s="1600" t="s">
        <v>1764</v>
      </c>
      <c r="E3406" s="2247" t="s">
        <v>3053</v>
      </c>
      <c r="F3406" s="756">
        <v>1147</v>
      </c>
      <c r="G3406" s="757" t="s">
        <v>653</v>
      </c>
      <c r="H3406" s="759">
        <v>1000</v>
      </c>
      <c r="I3406" s="759"/>
      <c r="J3406" s="760"/>
      <c r="K3406" s="1724"/>
      <c r="L3406" s="1580">
        <v>16998.823</v>
      </c>
      <c r="M3406" s="1580"/>
      <c r="N3406" s="2847"/>
      <c r="O3406" s="86"/>
      <c r="P3406" s="1817" t="e">
        <f>INDEX(#REF!,MATCH(F3406,#REF!,0),2)</f>
        <v>#REF!</v>
      </c>
      <c r="Q3406" s="11">
        <v>11315.363284625</v>
      </c>
      <c r="R3406" s="1030">
        <f t="shared" si="1"/>
        <v>-11315.363284625</v>
      </c>
      <c r="S3406" s="11"/>
      <c r="T3406" s="11"/>
      <c r="U3406" s="11"/>
      <c r="V3406" s="11"/>
      <c r="W3406" s="4"/>
      <c r="X3406" s="11"/>
      <c r="Y3406" s="11"/>
      <c r="Z3406" s="11"/>
      <c r="AA3406" s="11"/>
      <c r="AB3406" s="11"/>
      <c r="AC3406" s="11"/>
      <c r="AD3406" s="11"/>
      <c r="AE3406" s="11"/>
      <c r="AF3406" s="11"/>
      <c r="AG3406" s="11"/>
      <c r="AH3406" s="11"/>
      <c r="AI3406" s="11"/>
      <c r="AJ3406" s="11"/>
      <c r="AK3406" s="11"/>
      <c r="AL3406" s="11"/>
      <c r="AM3406" s="11"/>
      <c r="AN3406" s="11"/>
      <c r="AO3406" s="11"/>
      <c r="AP3406" s="11"/>
      <c r="AQ3406" s="11"/>
      <c r="AR3406" s="11"/>
      <c r="AS3406" s="11"/>
      <c r="AT3406" s="11"/>
      <c r="AU3406" s="11"/>
      <c r="AV3406" s="11"/>
    </row>
    <row r="3407" spans="1:48" ht="11.45" customHeight="1">
      <c r="A3407" s="762"/>
      <c r="B3407" s="762" t="s">
        <v>663</v>
      </c>
      <c r="C3407" s="762" t="s">
        <v>652</v>
      </c>
      <c r="D3407" s="1599"/>
      <c r="E3407" s="2245" t="s">
        <v>3053</v>
      </c>
      <c r="F3407" s="763">
        <v>1147</v>
      </c>
      <c r="G3407" s="786" t="s">
        <v>663</v>
      </c>
      <c r="H3407" s="764"/>
      <c r="I3407" s="764">
        <v>1000</v>
      </c>
      <c r="J3407" s="765"/>
      <c r="K3407" s="1652"/>
      <c r="L3407" s="1576"/>
      <c r="M3407" s="1576">
        <v>16998.823</v>
      </c>
      <c r="N3407" s="2847"/>
      <c r="O3407" s="86"/>
      <c r="P3407" s="1817" t="e">
        <f>INDEX(#REF!,MATCH(F3407,#REF!,0),2)</f>
        <v>#REF!</v>
      </c>
      <c r="Q3407" s="1779"/>
      <c r="R3407" s="1030">
        <f t="shared" si="1"/>
        <v>16998.823</v>
      </c>
      <c r="S3407" s="1779"/>
      <c r="T3407" s="1779"/>
      <c r="U3407" s="1779"/>
      <c r="V3407" s="1779"/>
      <c r="W3407" s="43"/>
      <c r="X3407" s="1779"/>
      <c r="Y3407" s="1779"/>
      <c r="Z3407" s="1779"/>
      <c r="AA3407" s="1779"/>
      <c r="AB3407" s="1779"/>
      <c r="AC3407" s="1779"/>
      <c r="AD3407" s="1779"/>
      <c r="AE3407" s="1779"/>
      <c r="AF3407" s="1779"/>
      <c r="AG3407" s="1779"/>
      <c r="AH3407" s="1779"/>
      <c r="AI3407" s="1779"/>
      <c r="AJ3407" s="1779"/>
      <c r="AK3407" s="1779"/>
      <c r="AL3407" s="1779"/>
      <c r="AM3407" s="1779"/>
      <c r="AN3407" s="1779"/>
      <c r="AO3407" s="1779"/>
      <c r="AP3407" s="1779"/>
      <c r="AQ3407" s="1779"/>
      <c r="AR3407" s="1779"/>
      <c r="AS3407" s="1779"/>
      <c r="AT3407" s="1779"/>
      <c r="AU3407" s="1779"/>
      <c r="AV3407" s="1779"/>
    </row>
    <row r="3408" spans="1:48" ht="11.45" customHeight="1">
      <c r="A3408" s="1490"/>
      <c r="B3408" s="1490" t="s">
        <v>663</v>
      </c>
      <c r="C3408" s="1490" t="s">
        <v>652</v>
      </c>
      <c r="D3408" s="1631" t="s">
        <v>1764</v>
      </c>
      <c r="E3408" s="2247" t="s">
        <v>3053</v>
      </c>
      <c r="F3408" s="1530">
        <v>1148</v>
      </c>
      <c r="G3408" s="1531" t="s">
        <v>2063</v>
      </c>
      <c r="H3408" s="1534">
        <v>0</v>
      </c>
      <c r="I3408" s="1534"/>
      <c r="J3408" s="1535"/>
      <c r="K3408" s="1724"/>
      <c r="L3408" s="1580">
        <v>0</v>
      </c>
      <c r="M3408" s="1580"/>
      <c r="N3408" s="2847"/>
      <c r="O3408" s="86"/>
      <c r="P3408" s="1817" t="e">
        <f>INDEX(#REF!,MATCH(F3408,#REF!,0),2)</f>
        <v>#REF!</v>
      </c>
      <c r="Q3408" s="11">
        <v>1800</v>
      </c>
      <c r="R3408" s="1030">
        <f t="shared" si="1"/>
        <v>-1800</v>
      </c>
      <c r="S3408" s="11"/>
      <c r="T3408" s="11"/>
      <c r="U3408" s="11"/>
      <c r="V3408" s="11"/>
      <c r="W3408" s="4"/>
      <c r="X3408" s="11"/>
      <c r="Y3408" s="11"/>
      <c r="Z3408" s="11"/>
      <c r="AA3408" s="11"/>
      <c r="AB3408" s="11"/>
      <c r="AC3408" s="11"/>
      <c r="AD3408" s="11"/>
      <c r="AE3408" s="11"/>
      <c r="AF3408" s="11"/>
      <c r="AG3408" s="11"/>
      <c r="AH3408" s="11"/>
      <c r="AI3408" s="11"/>
      <c r="AJ3408" s="11"/>
      <c r="AK3408" s="11"/>
      <c r="AL3408" s="11"/>
      <c r="AM3408" s="11"/>
      <c r="AN3408" s="11"/>
      <c r="AO3408" s="11"/>
      <c r="AP3408" s="11"/>
      <c r="AQ3408" s="11"/>
      <c r="AR3408" s="11"/>
      <c r="AS3408" s="11"/>
      <c r="AT3408" s="11"/>
      <c r="AU3408" s="11"/>
      <c r="AV3408" s="11"/>
    </row>
    <row r="3409" spans="1:48" ht="22.15" customHeight="1">
      <c r="A3409" s="1465"/>
      <c r="B3409" s="1465" t="s">
        <v>663</v>
      </c>
      <c r="C3409" s="1465" t="s">
        <v>652</v>
      </c>
      <c r="D3409" s="1602"/>
      <c r="E3409" s="2245" t="s">
        <v>3053</v>
      </c>
      <c r="F3409" s="1527">
        <v>1148</v>
      </c>
      <c r="G3409" s="1466" t="s">
        <v>2047</v>
      </c>
      <c r="H3409" s="1375"/>
      <c r="I3409" s="1375"/>
      <c r="J3409" s="1379"/>
      <c r="K3409" s="1652"/>
      <c r="L3409" s="1575"/>
      <c r="M3409" s="1575"/>
      <c r="N3409" s="2847"/>
      <c r="O3409" s="86"/>
      <c r="P3409" s="1817" t="e">
        <f>INDEX(#REF!,MATCH(F3409,#REF!,0),2)</f>
        <v>#REF!</v>
      </c>
      <c r="Q3409" s="11">
        <v>1110</v>
      </c>
      <c r="R3409" s="1030">
        <f t="shared" si="1"/>
        <v>-1110</v>
      </c>
      <c r="S3409" s="11"/>
      <c r="T3409" s="11"/>
      <c r="U3409" s="11"/>
      <c r="V3409" s="11"/>
      <c r="W3409" s="4"/>
      <c r="X3409" s="11"/>
      <c r="Y3409" s="11"/>
      <c r="Z3409" s="11"/>
      <c r="AA3409" s="11"/>
      <c r="AB3409" s="11"/>
      <c r="AC3409" s="11"/>
      <c r="AD3409" s="11"/>
      <c r="AE3409" s="11"/>
      <c r="AF3409" s="11"/>
      <c r="AG3409" s="11"/>
      <c r="AH3409" s="11"/>
      <c r="AI3409" s="11"/>
      <c r="AJ3409" s="11"/>
      <c r="AK3409" s="11"/>
      <c r="AL3409" s="11"/>
      <c r="AM3409" s="11"/>
      <c r="AN3409" s="11"/>
      <c r="AO3409" s="11"/>
      <c r="AP3409" s="11"/>
      <c r="AQ3409" s="11"/>
      <c r="AR3409" s="11"/>
      <c r="AS3409" s="11"/>
      <c r="AT3409" s="11"/>
      <c r="AU3409" s="11"/>
      <c r="AV3409" s="11"/>
    </row>
    <row r="3410" spans="1:48" ht="11.45" customHeight="1">
      <c r="A3410" s="755"/>
      <c r="B3410" s="755" t="s">
        <v>663</v>
      </c>
      <c r="C3410" s="755" t="s">
        <v>652</v>
      </c>
      <c r="D3410" s="1600" t="s">
        <v>1764</v>
      </c>
      <c r="E3410" s="2247" t="s">
        <v>3053</v>
      </c>
      <c r="F3410" s="756">
        <v>1210</v>
      </c>
      <c r="G3410" s="757" t="s">
        <v>228</v>
      </c>
      <c r="H3410" s="759">
        <v>46848.627407875014</v>
      </c>
      <c r="I3410" s="759"/>
      <c r="J3410" s="760"/>
      <c r="K3410" s="1724"/>
      <c r="L3410" s="1580">
        <v>60055.212043102525</v>
      </c>
      <c r="M3410" s="1580"/>
      <c r="N3410" s="2847"/>
      <c r="O3410" s="86"/>
      <c r="P3410" s="1817" t="e">
        <f>INDEX(#REF!,MATCH(F3410,#REF!,0),2)</f>
        <v>#REF!</v>
      </c>
      <c r="Q3410" s="1779"/>
      <c r="R3410" s="1030">
        <f t="shared" si="1"/>
        <v>0</v>
      </c>
      <c r="S3410" s="1779"/>
      <c r="T3410" s="1779"/>
      <c r="U3410" s="1779"/>
      <c r="V3410" s="1779"/>
      <c r="W3410" s="43"/>
      <c r="X3410" s="1779"/>
      <c r="Y3410" s="1779"/>
      <c r="Z3410" s="1779"/>
      <c r="AA3410" s="1779"/>
      <c r="AB3410" s="1779"/>
      <c r="AC3410" s="1779"/>
      <c r="AD3410" s="1779"/>
      <c r="AE3410" s="1779"/>
      <c r="AF3410" s="1779"/>
      <c r="AG3410" s="1779"/>
      <c r="AH3410" s="1779"/>
      <c r="AI3410" s="1779"/>
      <c r="AJ3410" s="1779"/>
      <c r="AK3410" s="1779"/>
      <c r="AL3410" s="1779"/>
      <c r="AM3410" s="1779"/>
      <c r="AN3410" s="1779"/>
      <c r="AO3410" s="1779"/>
      <c r="AP3410" s="1779"/>
      <c r="AQ3410" s="1779"/>
      <c r="AR3410" s="1779"/>
      <c r="AS3410" s="1779"/>
      <c r="AT3410" s="1779"/>
      <c r="AU3410" s="1779"/>
      <c r="AV3410" s="1779"/>
    </row>
    <row r="3411" spans="1:48" ht="35.25" customHeight="1">
      <c r="A3411" s="762"/>
      <c r="B3411" s="762" t="s">
        <v>663</v>
      </c>
      <c r="C3411" s="762" t="s">
        <v>652</v>
      </c>
      <c r="D3411" s="1599"/>
      <c r="E3411" s="2245" t="s">
        <v>3053</v>
      </c>
      <c r="F3411" s="763">
        <v>1210</v>
      </c>
      <c r="G3411" s="786" t="s">
        <v>663</v>
      </c>
      <c r="H3411" s="752"/>
      <c r="I3411" s="550">
        <v>51929.627407875014</v>
      </c>
      <c r="J3411" s="753"/>
      <c r="K3411" s="1652"/>
      <c r="L3411" s="1576"/>
      <c r="M3411" s="1576">
        <v>60055.212043102525</v>
      </c>
      <c r="N3411" s="2847"/>
      <c r="O3411" s="86"/>
      <c r="P3411" s="1817" t="e">
        <f>INDEX(#REF!,MATCH(F3411,#REF!,0),2)</f>
        <v>#REF!</v>
      </c>
      <c r="Q3411">
        <v>1452</v>
      </c>
      <c r="R3411" s="1030">
        <f t="shared" si="1"/>
        <v>58603.212043102525</v>
      </c>
    </row>
    <row r="3412" spans="1:48" ht="11.45" customHeight="1">
      <c r="A3412" s="762"/>
      <c r="B3412" s="762" t="s">
        <v>663</v>
      </c>
      <c r="C3412" s="762" t="s">
        <v>652</v>
      </c>
      <c r="D3412" s="1599"/>
      <c r="E3412" s="2245" t="s">
        <v>3053</v>
      </c>
      <c r="F3412" s="763">
        <v>1210</v>
      </c>
      <c r="G3412" s="1911" t="s">
        <v>3201</v>
      </c>
      <c r="H3412" s="764"/>
      <c r="I3412" s="550">
        <v>-5081</v>
      </c>
      <c r="J3412" s="765"/>
      <c r="K3412" s="1652"/>
      <c r="L3412" s="1576"/>
      <c r="M3412" s="1671"/>
      <c r="N3412" s="2847"/>
      <c r="O3412" s="86"/>
      <c r="P3412" s="1817" t="e">
        <f>INDEX(#REF!,MATCH(F3412,#REF!,0),2)</f>
        <v>#REF!</v>
      </c>
      <c r="Q3412" s="1779"/>
      <c r="R3412" s="1030">
        <f t="shared" si="1"/>
        <v>0</v>
      </c>
      <c r="S3412" s="1779"/>
      <c r="T3412" s="1779"/>
      <c r="U3412" s="1779"/>
      <c r="V3412" s="1779"/>
      <c r="W3412" s="43"/>
      <c r="X3412" s="1779"/>
      <c r="Y3412" s="1779"/>
      <c r="Z3412" s="1779"/>
      <c r="AA3412" s="1779"/>
      <c r="AB3412" s="1779"/>
      <c r="AC3412" s="1779"/>
      <c r="AD3412" s="1779"/>
      <c r="AE3412" s="1779"/>
      <c r="AF3412" s="1779"/>
      <c r="AG3412" s="1779"/>
      <c r="AH3412" s="1779"/>
      <c r="AI3412" s="1779"/>
      <c r="AJ3412" s="1779"/>
      <c r="AK3412" s="1779"/>
      <c r="AL3412" s="1779"/>
      <c r="AM3412" s="1779"/>
      <c r="AN3412" s="1779"/>
      <c r="AO3412" s="1779"/>
      <c r="AP3412" s="1779"/>
      <c r="AQ3412" s="1779"/>
      <c r="AR3412" s="1779"/>
      <c r="AS3412" s="1779"/>
      <c r="AT3412" s="1779"/>
      <c r="AU3412" s="1779"/>
      <c r="AV3412" s="1779"/>
    </row>
    <row r="3413" spans="1:48" ht="11.45" customHeight="1">
      <c r="A3413" s="755"/>
      <c r="B3413" s="755" t="s">
        <v>663</v>
      </c>
      <c r="C3413" s="755" t="s">
        <v>652</v>
      </c>
      <c r="D3413" s="1600" t="s">
        <v>1764</v>
      </c>
      <c r="E3413" s="2247" t="s">
        <v>3053</v>
      </c>
      <c r="F3413" s="756">
        <v>1221</v>
      </c>
      <c r="G3413" s="757" t="s">
        <v>229</v>
      </c>
      <c r="H3413" s="759">
        <v>11315.363284625</v>
      </c>
      <c r="I3413" s="759"/>
      <c r="J3413" s="760"/>
      <c r="K3413" s="1724"/>
      <c r="L3413" s="1580">
        <v>11660.212133847501</v>
      </c>
      <c r="M3413" s="1580"/>
      <c r="N3413" s="2847"/>
      <c r="O3413" s="86"/>
      <c r="P3413" s="1817" t="e">
        <f>INDEX(#REF!,MATCH(F3413,#REF!,0),2)</f>
        <v>#REF!</v>
      </c>
      <c r="Q3413">
        <v>7163</v>
      </c>
      <c r="R3413" s="1030">
        <f t="shared" si="1"/>
        <v>-7163</v>
      </c>
    </row>
    <row r="3414" spans="1:48" ht="11.45" customHeight="1">
      <c r="A3414" s="762"/>
      <c r="B3414" s="762" t="s">
        <v>663</v>
      </c>
      <c r="C3414" s="762" t="s">
        <v>652</v>
      </c>
      <c r="D3414" s="1599"/>
      <c r="E3414" s="2245" t="s">
        <v>3053</v>
      </c>
      <c r="F3414" s="763">
        <v>1221</v>
      </c>
      <c r="G3414" s="786"/>
      <c r="H3414" s="550"/>
      <c r="I3414" s="550">
        <v>11315.363284625</v>
      </c>
      <c r="J3414" s="551"/>
      <c r="K3414" s="1724"/>
      <c r="L3414" s="1671"/>
      <c r="M3414" s="1671">
        <v>11660.212133847501</v>
      </c>
      <c r="N3414" s="2847"/>
      <c r="O3414" s="86"/>
      <c r="P3414" s="1817" t="e">
        <f>INDEX(#REF!,MATCH(F3414,#REF!,0),2)</f>
        <v>#REF!</v>
      </c>
      <c r="Q3414" s="1779"/>
      <c r="R3414" s="1030">
        <f t="shared" si="1"/>
        <v>11660.212133847501</v>
      </c>
      <c r="S3414" s="1779"/>
      <c r="T3414" s="1779"/>
      <c r="U3414" s="1779"/>
      <c r="V3414" s="1779"/>
      <c r="W3414" s="43"/>
      <c r="X3414" s="1779"/>
      <c r="Y3414" s="1779"/>
      <c r="Z3414" s="1779"/>
      <c r="AA3414" s="1779"/>
      <c r="AB3414" s="1779"/>
      <c r="AC3414" s="1779"/>
      <c r="AD3414" s="1779"/>
      <c r="AE3414" s="1779"/>
      <c r="AF3414" s="1779"/>
      <c r="AG3414" s="1779"/>
      <c r="AH3414" s="1779"/>
      <c r="AI3414" s="1779"/>
      <c r="AJ3414" s="1779"/>
      <c r="AK3414" s="1779"/>
      <c r="AL3414" s="1779"/>
      <c r="AM3414" s="1779"/>
      <c r="AN3414" s="1779"/>
      <c r="AO3414" s="1779"/>
      <c r="AP3414" s="1779"/>
      <c r="AQ3414" s="1779"/>
      <c r="AR3414" s="1779"/>
      <c r="AS3414" s="1779"/>
      <c r="AT3414" s="1779"/>
      <c r="AU3414" s="1779"/>
      <c r="AV3414" s="1779"/>
    </row>
    <row r="3415" spans="1:48" ht="11.45" customHeight="1">
      <c r="A3415" s="755"/>
      <c r="B3415" s="755" t="s">
        <v>1248</v>
      </c>
      <c r="C3415" s="755" t="s">
        <v>652</v>
      </c>
      <c r="D3415" s="1600" t="s">
        <v>1764</v>
      </c>
      <c r="E3415" s="2247" t="s">
        <v>3053</v>
      </c>
      <c r="F3415" s="756">
        <v>1228</v>
      </c>
      <c r="G3415" s="757" t="s">
        <v>230</v>
      </c>
      <c r="H3415" s="759">
        <v>2910</v>
      </c>
      <c r="I3415" s="759"/>
      <c r="J3415" s="760"/>
      <c r="K3415" s="1724"/>
      <c r="L3415" s="1580">
        <v>3089</v>
      </c>
      <c r="M3415" s="1580"/>
      <c r="N3415" s="2847"/>
      <c r="O3415" s="86"/>
      <c r="P3415" s="1817" t="e">
        <f>INDEX(#REF!,MATCH(F3415,#REF!,0),2)</f>
        <v>#REF!</v>
      </c>
      <c r="Q3415">
        <v>1500</v>
      </c>
      <c r="R3415" s="1030">
        <f t="shared" si="1"/>
        <v>-1500</v>
      </c>
    </row>
    <row r="3416" spans="1:48" ht="11.45" customHeight="1">
      <c r="A3416" s="762"/>
      <c r="B3416" s="762" t="s">
        <v>1248</v>
      </c>
      <c r="C3416" s="762" t="s">
        <v>652</v>
      </c>
      <c r="D3416" s="1599"/>
      <c r="E3416" s="2245" t="s">
        <v>3053</v>
      </c>
      <c r="F3416" s="763">
        <v>1228</v>
      </c>
      <c r="G3416" s="786" t="s">
        <v>2668</v>
      </c>
      <c r="H3416" s="550"/>
      <c r="I3416" s="550">
        <v>1800</v>
      </c>
      <c r="J3416" s="551"/>
      <c r="K3416" s="1724"/>
      <c r="L3416" s="1671"/>
      <c r="M3416" s="1671">
        <v>1600</v>
      </c>
      <c r="N3416" s="2847"/>
      <c r="O3416" s="86"/>
      <c r="P3416" s="1817" t="e">
        <f>INDEX(#REF!,MATCH(F3416,#REF!,0),2)</f>
        <v>#REF!</v>
      </c>
      <c r="Q3416" s="1779"/>
      <c r="R3416" s="1030">
        <f t="shared" si="1"/>
        <v>1600</v>
      </c>
      <c r="S3416" s="1779"/>
      <c r="T3416" s="1779"/>
      <c r="U3416" s="1779"/>
      <c r="V3416" s="1779"/>
      <c r="W3416" s="43"/>
      <c r="X3416" s="1779"/>
      <c r="Y3416" s="1779"/>
      <c r="Z3416" s="1779"/>
      <c r="AA3416" s="1779"/>
      <c r="AB3416" s="1779"/>
      <c r="AC3416" s="1779"/>
      <c r="AD3416" s="1779"/>
      <c r="AE3416" s="1779"/>
      <c r="AF3416" s="1779"/>
      <c r="AG3416" s="1779"/>
      <c r="AH3416" s="1779"/>
      <c r="AI3416" s="1779"/>
      <c r="AJ3416" s="1779"/>
      <c r="AK3416" s="1779"/>
      <c r="AL3416" s="1779"/>
      <c r="AM3416" s="1779"/>
      <c r="AN3416" s="1779"/>
      <c r="AO3416" s="1779"/>
      <c r="AP3416" s="1779"/>
      <c r="AQ3416" s="1779"/>
      <c r="AR3416" s="1779"/>
      <c r="AS3416" s="1779"/>
      <c r="AT3416" s="1779"/>
      <c r="AU3416" s="1779"/>
      <c r="AV3416" s="1779"/>
    </row>
    <row r="3417" spans="1:48" ht="11.45" customHeight="1">
      <c r="A3417" s="1882"/>
      <c r="B3417" s="762" t="s">
        <v>1248</v>
      </c>
      <c r="C3417" s="762" t="s">
        <v>652</v>
      </c>
      <c r="D3417" s="1599"/>
      <c r="E3417" s="2245" t="s">
        <v>3053</v>
      </c>
      <c r="F3417" s="763">
        <v>1228</v>
      </c>
      <c r="G3417" s="1911" t="s">
        <v>5205</v>
      </c>
      <c r="H3417" s="550"/>
      <c r="I3417" s="550">
        <v>1110</v>
      </c>
      <c r="J3417" s="551"/>
      <c r="K3417" s="1724"/>
      <c r="L3417" s="1942"/>
      <c r="M3417" s="1942">
        <v>1489</v>
      </c>
      <c r="N3417" s="2847"/>
      <c r="O3417" s="86"/>
      <c r="P3417" s="1817" t="e">
        <f>INDEX(#REF!,MATCH(F3417,#REF!,0),2)</f>
        <v>#REF!</v>
      </c>
      <c r="Q3417">
        <v>12835</v>
      </c>
      <c r="R3417" s="1030">
        <f t="shared" si="1"/>
        <v>-11346</v>
      </c>
    </row>
    <row r="3418" spans="1:48" ht="11.45" customHeight="1">
      <c r="A3418" s="755"/>
      <c r="B3418" s="755" t="s">
        <v>1248</v>
      </c>
      <c r="C3418" s="755" t="s">
        <v>507</v>
      </c>
      <c r="D3418" s="1600" t="s">
        <v>1764</v>
      </c>
      <c r="E3418" s="2247" t="s">
        <v>3053</v>
      </c>
      <c r="F3418" s="756">
        <v>2210</v>
      </c>
      <c r="G3418" s="757" t="s">
        <v>1192</v>
      </c>
      <c r="H3418" s="759">
        <v>1452</v>
      </c>
      <c r="I3418" s="759"/>
      <c r="J3418" s="760"/>
      <c r="K3418" s="1725"/>
      <c r="L3418" s="1580">
        <v>1600</v>
      </c>
      <c r="M3418" s="1580"/>
      <c r="N3418" s="2847"/>
      <c r="O3418" s="86"/>
      <c r="P3418" s="1817" t="e">
        <f>INDEX(#REF!,MATCH(F3418,#REF!,0),2)</f>
        <v>#REF!</v>
      </c>
      <c r="Q3418" s="1779"/>
      <c r="R3418" s="1030">
        <f t="shared" si="1"/>
        <v>0</v>
      </c>
      <c r="S3418" s="1779"/>
      <c r="T3418" s="1779"/>
      <c r="U3418" s="1779"/>
      <c r="V3418" s="1779"/>
      <c r="W3418" s="43"/>
      <c r="X3418" s="1779"/>
      <c r="Y3418" s="1779"/>
      <c r="Z3418" s="1779"/>
      <c r="AA3418" s="1779"/>
      <c r="AB3418" s="1779"/>
      <c r="AC3418" s="1779"/>
      <c r="AD3418" s="1779"/>
      <c r="AE3418" s="1779"/>
      <c r="AF3418" s="1779"/>
      <c r="AG3418" s="1779"/>
      <c r="AH3418" s="1779"/>
      <c r="AI3418" s="1779"/>
      <c r="AJ3418" s="1779"/>
      <c r="AK3418" s="1779"/>
      <c r="AL3418" s="1779"/>
      <c r="AM3418" s="1779"/>
      <c r="AN3418" s="1779"/>
      <c r="AO3418" s="1779"/>
      <c r="AP3418" s="1779"/>
      <c r="AQ3418" s="1779"/>
      <c r="AR3418" s="1779"/>
      <c r="AS3418" s="1779"/>
      <c r="AT3418" s="1779"/>
      <c r="AU3418" s="1779"/>
      <c r="AV3418" s="1779"/>
    </row>
    <row r="3419" spans="1:48" ht="11.45" customHeight="1">
      <c r="A3419" s="762"/>
      <c r="B3419" s="762" t="s">
        <v>1248</v>
      </c>
      <c r="C3419" s="762" t="s">
        <v>507</v>
      </c>
      <c r="D3419" s="1599"/>
      <c r="E3419" s="2245" t="s">
        <v>3053</v>
      </c>
      <c r="F3419" s="763">
        <v>2210</v>
      </c>
      <c r="G3419" s="846" t="s">
        <v>5206</v>
      </c>
      <c r="H3419" s="764"/>
      <c r="I3419" s="764">
        <v>1452</v>
      </c>
      <c r="J3419" s="765"/>
      <c r="K3419" s="1652"/>
      <c r="L3419" s="1576"/>
      <c r="M3419" s="1576">
        <v>1600</v>
      </c>
      <c r="N3419" s="2847"/>
      <c r="O3419" s="86"/>
      <c r="P3419" s="1817" t="e">
        <f>INDEX(#REF!,MATCH(F3419,#REF!,0),2)</f>
        <v>#REF!</v>
      </c>
      <c r="Q3419">
        <v>750</v>
      </c>
      <c r="R3419" s="1030">
        <f t="shared" si="1"/>
        <v>850</v>
      </c>
    </row>
    <row r="3420" spans="1:48" ht="11.45" customHeight="1">
      <c r="A3420" s="755"/>
      <c r="B3420" s="755" t="s">
        <v>1248</v>
      </c>
      <c r="C3420" s="755" t="s">
        <v>507</v>
      </c>
      <c r="D3420" s="1600" t="s">
        <v>1764</v>
      </c>
      <c r="E3420" s="2247" t="s">
        <v>3053</v>
      </c>
      <c r="F3420" s="756">
        <v>2221</v>
      </c>
      <c r="G3420" s="757" t="s">
        <v>958</v>
      </c>
      <c r="H3420" s="759">
        <v>7163</v>
      </c>
      <c r="I3420" s="759"/>
      <c r="J3420" s="760"/>
      <c r="K3420" s="1725"/>
      <c r="L3420" s="1580">
        <v>5500</v>
      </c>
      <c r="M3420" s="1580"/>
      <c r="N3420" s="2847"/>
      <c r="O3420" s="86"/>
      <c r="P3420" s="1817" t="e">
        <f>INDEX(#REF!,MATCH(F3420,#REF!,0),2)</f>
        <v>#REF!</v>
      </c>
      <c r="Q3420" s="1779"/>
      <c r="R3420" s="1030">
        <f t="shared" si="1"/>
        <v>0</v>
      </c>
      <c r="S3420" s="1779"/>
      <c r="T3420" s="1779"/>
      <c r="U3420" s="1779"/>
      <c r="V3420" s="1779"/>
      <c r="W3420" s="43"/>
      <c r="X3420" s="1779"/>
      <c r="Y3420" s="1779"/>
      <c r="Z3420" s="1779"/>
      <c r="AA3420" s="1779"/>
      <c r="AB3420" s="1779"/>
      <c r="AC3420" s="1779"/>
      <c r="AD3420" s="1779"/>
      <c r="AE3420" s="1779"/>
      <c r="AF3420" s="1779"/>
      <c r="AG3420" s="1779"/>
      <c r="AH3420" s="1779"/>
      <c r="AI3420" s="1779"/>
      <c r="AJ3420" s="1779"/>
      <c r="AK3420" s="1779"/>
      <c r="AL3420" s="1779"/>
      <c r="AM3420" s="1779"/>
      <c r="AN3420" s="1779"/>
      <c r="AO3420" s="1779"/>
      <c r="AP3420" s="1779"/>
      <c r="AQ3420" s="1779"/>
      <c r="AR3420" s="1779"/>
      <c r="AS3420" s="1779"/>
      <c r="AT3420" s="1779"/>
      <c r="AU3420" s="1779"/>
      <c r="AV3420" s="1779"/>
    </row>
    <row r="3421" spans="1:48" ht="11.45" customHeight="1">
      <c r="A3421" s="762"/>
      <c r="B3421" s="762" t="s">
        <v>1248</v>
      </c>
      <c r="C3421" s="762" t="s">
        <v>507</v>
      </c>
      <c r="D3421" s="1599"/>
      <c r="E3421" s="2245" t="s">
        <v>3053</v>
      </c>
      <c r="F3421" s="763">
        <v>2221</v>
      </c>
      <c r="G3421" s="846"/>
      <c r="H3421" s="764"/>
      <c r="I3421" s="764">
        <v>7163</v>
      </c>
      <c r="J3421" s="765"/>
      <c r="K3421" s="1652"/>
      <c r="L3421" s="1576"/>
      <c r="M3421" s="1576">
        <v>5500</v>
      </c>
      <c r="N3421" s="2847" t="s">
        <v>5207</v>
      </c>
      <c r="O3421" s="86"/>
      <c r="P3421" s="1817" t="e">
        <f>INDEX(#REF!,MATCH(F3421,#REF!,0),2)</f>
        <v>#REF!</v>
      </c>
      <c r="R3421" s="1030">
        <f t="shared" si="1"/>
        <v>5500</v>
      </c>
    </row>
    <row r="3422" spans="1:48" ht="11.45" customHeight="1">
      <c r="A3422" s="755"/>
      <c r="B3422" s="755" t="s">
        <v>1248</v>
      </c>
      <c r="C3422" s="755" t="s">
        <v>507</v>
      </c>
      <c r="D3422" s="1600" t="s">
        <v>1764</v>
      </c>
      <c r="E3422" s="2247" t="s">
        <v>3053</v>
      </c>
      <c r="F3422" s="756">
        <v>2222</v>
      </c>
      <c r="G3422" s="757" t="s">
        <v>272</v>
      </c>
      <c r="H3422" s="759">
        <v>1500</v>
      </c>
      <c r="I3422" s="759"/>
      <c r="J3422" s="760"/>
      <c r="K3422" s="1725"/>
      <c r="L3422" s="1580">
        <v>1000</v>
      </c>
      <c r="M3422" s="1580"/>
      <c r="N3422" s="2847"/>
      <c r="O3422" s="86"/>
      <c r="P3422" s="1817" t="e">
        <f>INDEX(#REF!,MATCH(F3422,#REF!,0),2)</f>
        <v>#REF!</v>
      </c>
      <c r="Q3422" s="1779"/>
      <c r="R3422" s="1030">
        <f>M3422-Q3422</f>
        <v>0</v>
      </c>
      <c r="S3422" s="1779"/>
      <c r="T3422" s="1779"/>
      <c r="U3422" s="1779"/>
      <c r="V3422" s="1779"/>
      <c r="W3422" s="43"/>
      <c r="X3422" s="1779"/>
      <c r="Y3422" s="1779"/>
      <c r="Z3422" s="1779"/>
      <c r="AA3422" s="1779"/>
      <c r="AB3422" s="1779"/>
      <c r="AC3422" s="1779"/>
      <c r="AD3422" s="1779"/>
      <c r="AE3422" s="1779"/>
      <c r="AF3422" s="1779"/>
      <c r="AG3422" s="1779"/>
      <c r="AH3422" s="1779"/>
      <c r="AI3422" s="1779"/>
      <c r="AJ3422" s="1779"/>
      <c r="AK3422" s="1779"/>
      <c r="AL3422" s="1779"/>
      <c r="AM3422" s="1779"/>
      <c r="AN3422" s="1779"/>
      <c r="AO3422" s="1779"/>
      <c r="AP3422" s="1779"/>
      <c r="AQ3422" s="1779"/>
      <c r="AR3422" s="1779"/>
      <c r="AS3422" s="1779"/>
      <c r="AT3422" s="1779"/>
      <c r="AU3422" s="1779"/>
      <c r="AV3422" s="1779"/>
    </row>
    <row r="3423" spans="1:48" ht="11.45" customHeight="1">
      <c r="A3423" s="762"/>
      <c r="B3423" s="762" t="s">
        <v>1248</v>
      </c>
      <c r="C3423" s="762" t="s">
        <v>507</v>
      </c>
      <c r="D3423" s="1599"/>
      <c r="E3423" s="2245" t="s">
        <v>3053</v>
      </c>
      <c r="F3423" s="763">
        <v>2222</v>
      </c>
      <c r="G3423" s="846"/>
      <c r="H3423" s="764"/>
      <c r="I3423" s="764">
        <v>1500</v>
      </c>
      <c r="J3423" s="765"/>
      <c r="K3423" s="1652"/>
      <c r="L3423" s="1576"/>
      <c r="M3423" s="1576">
        <v>1000</v>
      </c>
      <c r="N3423" s="2847" t="s">
        <v>5208</v>
      </c>
      <c r="O3423" s="86"/>
      <c r="P3423" s="1817" t="e">
        <f>INDEX(#REF!,MATCH(F3423,#REF!,0),2)</f>
        <v>#REF!</v>
      </c>
      <c r="Q3423">
        <v>600</v>
      </c>
      <c r="R3423" s="1030">
        <f>M3423-Q3423</f>
        <v>400</v>
      </c>
    </row>
    <row r="3424" spans="1:48" ht="11.45" customHeight="1">
      <c r="A3424" s="755"/>
      <c r="B3424" s="755" t="s">
        <v>1248</v>
      </c>
      <c r="C3424" s="755" t="s">
        <v>507</v>
      </c>
      <c r="D3424" s="1600" t="s">
        <v>1764</v>
      </c>
      <c r="E3424" s="2247" t="s">
        <v>3053</v>
      </c>
      <c r="F3424" s="756">
        <v>2223</v>
      </c>
      <c r="G3424" s="757" t="s">
        <v>273</v>
      </c>
      <c r="H3424" s="759">
        <v>12835</v>
      </c>
      <c r="I3424" s="759"/>
      <c r="J3424" s="760"/>
      <c r="K3424" s="1725"/>
      <c r="L3424" s="1580">
        <v>5000</v>
      </c>
      <c r="M3424" s="1580"/>
      <c r="N3424" s="2847"/>
      <c r="O3424" s="86"/>
      <c r="P3424" s="1817" t="e">
        <f>INDEX(#REF!,MATCH(F3424,#REF!,0),2)</f>
        <v>#REF!</v>
      </c>
      <c r="R3424" s="1030"/>
    </row>
    <row r="3425" spans="1:48" ht="11.45" customHeight="1">
      <c r="A3425" s="762"/>
      <c r="B3425" s="762" t="s">
        <v>1248</v>
      </c>
      <c r="C3425" s="762" t="s">
        <v>507</v>
      </c>
      <c r="D3425" s="1599"/>
      <c r="E3425" s="2245" t="s">
        <v>3053</v>
      </c>
      <c r="F3425" s="763">
        <v>2223</v>
      </c>
      <c r="G3425" s="846"/>
      <c r="H3425" s="764"/>
      <c r="I3425" s="764">
        <v>12835</v>
      </c>
      <c r="J3425" s="765"/>
      <c r="K3425" s="1652"/>
      <c r="L3425" s="1576"/>
      <c r="M3425" s="1576">
        <v>5000</v>
      </c>
      <c r="N3425" s="2847" t="s">
        <v>5209</v>
      </c>
      <c r="O3425" s="86"/>
      <c r="P3425" s="1817" t="e">
        <f>INDEX(#REF!,MATCH(F3425,#REF!,0),2)</f>
        <v>#REF!</v>
      </c>
      <c r="Q3425" s="1779"/>
      <c r="R3425" s="1030">
        <f t="shared" si="1"/>
        <v>5000</v>
      </c>
      <c r="S3425" s="1779"/>
      <c r="T3425" s="1779"/>
      <c r="U3425" s="1779"/>
      <c r="V3425" s="1779"/>
      <c r="W3425" s="43"/>
      <c r="X3425" s="1779"/>
      <c r="Y3425" s="1779"/>
      <c r="Z3425" s="1779"/>
      <c r="AA3425" s="1779"/>
      <c r="AB3425" s="1779"/>
      <c r="AC3425" s="1779"/>
      <c r="AD3425" s="1779"/>
      <c r="AE3425" s="1779"/>
      <c r="AF3425" s="1779"/>
      <c r="AG3425" s="1779"/>
      <c r="AH3425" s="1779"/>
      <c r="AI3425" s="1779"/>
      <c r="AJ3425" s="1779"/>
      <c r="AK3425" s="1779"/>
      <c r="AL3425" s="1779"/>
      <c r="AM3425" s="1779"/>
      <c r="AN3425" s="1779"/>
      <c r="AO3425" s="1779"/>
      <c r="AP3425" s="1779"/>
      <c r="AQ3425" s="1779"/>
      <c r="AR3425" s="1779"/>
      <c r="AS3425" s="1779"/>
      <c r="AT3425" s="1779"/>
      <c r="AU3425" s="1779"/>
      <c r="AV3425" s="1779"/>
    </row>
    <row r="3426" spans="1:48" ht="11.45" customHeight="1">
      <c r="A3426" s="755"/>
      <c r="B3426" s="755" t="s">
        <v>1248</v>
      </c>
      <c r="C3426" s="755" t="s">
        <v>507</v>
      </c>
      <c r="D3426" s="1600" t="s">
        <v>1764</v>
      </c>
      <c r="E3426" s="2247" t="s">
        <v>3053</v>
      </c>
      <c r="F3426" s="756">
        <v>2224</v>
      </c>
      <c r="G3426" s="757" t="s">
        <v>2025</v>
      </c>
      <c r="H3426" s="759">
        <v>750</v>
      </c>
      <c r="I3426" s="759"/>
      <c r="J3426" s="760"/>
      <c r="K3426" s="1725"/>
      <c r="L3426" s="1580">
        <v>948</v>
      </c>
      <c r="M3426" s="1580"/>
      <c r="N3426" s="2847"/>
      <c r="O3426" s="86"/>
      <c r="P3426" s="1817"/>
      <c r="Q3426">
        <v>600</v>
      </c>
      <c r="R3426" s="1030">
        <f t="shared" si="1"/>
        <v>-600</v>
      </c>
    </row>
    <row r="3427" spans="1:48" ht="11.45" customHeight="1">
      <c r="A3427" s="762"/>
      <c r="B3427" s="762" t="s">
        <v>1248</v>
      </c>
      <c r="C3427" s="762" t="s">
        <v>507</v>
      </c>
      <c r="D3427" s="1599"/>
      <c r="E3427" s="2245" t="s">
        <v>3053</v>
      </c>
      <c r="F3427" s="763">
        <v>2224</v>
      </c>
      <c r="G3427" s="846" t="s">
        <v>5210</v>
      </c>
      <c r="H3427" s="764"/>
      <c r="I3427" s="764">
        <v>750</v>
      </c>
      <c r="J3427" s="765"/>
      <c r="K3427" s="1652"/>
      <c r="L3427" s="1576"/>
      <c r="M3427" s="1576">
        <v>948</v>
      </c>
      <c r="N3427" s="2847"/>
      <c r="O3427" s="86"/>
      <c r="P3427" s="1817" t="e">
        <f>INDEX(#REF!,MATCH(F3427,#REF!,0),2)</f>
        <v>#REF!</v>
      </c>
      <c r="Q3427" s="1779"/>
      <c r="R3427" s="1030">
        <f t="shared" si="1"/>
        <v>948</v>
      </c>
      <c r="S3427" s="1779"/>
      <c r="T3427" s="1779"/>
      <c r="U3427" s="1779"/>
      <c r="V3427" s="1779"/>
      <c r="W3427" s="43"/>
      <c r="X3427" s="1779"/>
      <c r="Y3427" s="1779"/>
      <c r="Z3427" s="1779"/>
      <c r="AA3427" s="1779"/>
      <c r="AB3427" s="1779"/>
      <c r="AC3427" s="1779"/>
      <c r="AD3427" s="1779"/>
      <c r="AE3427" s="1779"/>
      <c r="AF3427" s="1779"/>
      <c r="AG3427" s="1779"/>
      <c r="AH3427" s="1779"/>
      <c r="AI3427" s="1779"/>
      <c r="AJ3427" s="1779"/>
      <c r="AK3427" s="1779"/>
      <c r="AL3427" s="1779"/>
      <c r="AM3427" s="1779"/>
      <c r="AN3427" s="1779"/>
      <c r="AO3427" s="1779"/>
      <c r="AP3427" s="1779"/>
      <c r="AQ3427" s="1779"/>
      <c r="AR3427" s="1779"/>
      <c r="AS3427" s="1779"/>
      <c r="AT3427" s="1779"/>
      <c r="AU3427" s="1779"/>
      <c r="AV3427" s="1779"/>
    </row>
    <row r="3428" spans="1:48" ht="12.75" customHeight="1">
      <c r="A3428" s="755"/>
      <c r="B3428" s="755" t="s">
        <v>1248</v>
      </c>
      <c r="C3428" s="755" t="s">
        <v>507</v>
      </c>
      <c r="D3428" s="1600" t="s">
        <v>1764</v>
      </c>
      <c r="E3428" s="2247" t="s">
        <v>3053</v>
      </c>
      <c r="F3428" s="756">
        <v>2233</v>
      </c>
      <c r="G3428" s="757" t="s">
        <v>263</v>
      </c>
      <c r="H3428" s="759">
        <v>0</v>
      </c>
      <c r="I3428" s="759"/>
      <c r="J3428" s="760"/>
      <c r="K3428" s="1725"/>
      <c r="L3428" s="1580">
        <v>1000</v>
      </c>
      <c r="M3428" s="1580"/>
      <c r="N3428" s="2847"/>
      <c r="O3428" s="86"/>
      <c r="P3428" s="1817" t="e">
        <f>INDEX(#REF!,MATCH(F3428,#REF!,0),2)</f>
        <v>#REF!</v>
      </c>
      <c r="Q3428">
        <v>2000</v>
      </c>
      <c r="R3428" s="1030">
        <f t="shared" si="1"/>
        <v>-2000</v>
      </c>
    </row>
    <row r="3429" spans="1:48" ht="12.75" customHeight="1">
      <c r="A3429" s="1465"/>
      <c r="B3429" s="762" t="s">
        <v>1248</v>
      </c>
      <c r="C3429" s="762" t="s">
        <v>507</v>
      </c>
      <c r="D3429" s="1599"/>
      <c r="E3429" s="2245" t="s">
        <v>3053</v>
      </c>
      <c r="F3429" s="763">
        <v>2233</v>
      </c>
      <c r="G3429" s="1400" t="s">
        <v>5211</v>
      </c>
      <c r="H3429" s="1375"/>
      <c r="I3429" s="1375"/>
      <c r="J3429" s="1379"/>
      <c r="K3429" s="1652"/>
      <c r="L3429" s="1576"/>
      <c r="M3429" s="1576">
        <v>1000</v>
      </c>
      <c r="N3429" s="2847" t="s">
        <v>5212</v>
      </c>
      <c r="O3429" s="86"/>
      <c r="P3429" s="1817" t="e">
        <f>INDEX(#REF!,MATCH(F3429,#REF!,0),2)</f>
        <v>#REF!</v>
      </c>
      <c r="R3429" s="1030"/>
    </row>
    <row r="3430" spans="1:48" ht="12.75" customHeight="1">
      <c r="A3430" s="755"/>
      <c r="B3430" s="755" t="s">
        <v>1248</v>
      </c>
      <c r="C3430" s="755" t="s">
        <v>507</v>
      </c>
      <c r="D3430" s="1600" t="s">
        <v>1764</v>
      </c>
      <c r="E3430" s="2247" t="s">
        <v>3053</v>
      </c>
      <c r="F3430" s="756">
        <v>2235</v>
      </c>
      <c r="G3430" s="757" t="s">
        <v>1570</v>
      </c>
      <c r="H3430" s="759"/>
      <c r="I3430" s="759"/>
      <c r="J3430" s="759"/>
      <c r="K3430" s="1724"/>
      <c r="L3430" s="1580">
        <v>1500</v>
      </c>
      <c r="M3430" s="1580"/>
      <c r="N3430" s="2847"/>
      <c r="O3430" s="86"/>
      <c r="P3430" s="1817" t="e">
        <f>INDEX(#REF!,MATCH(F3430,#REF!,0),2)</f>
        <v>#REF!</v>
      </c>
      <c r="R3430" s="1030"/>
    </row>
    <row r="3431" spans="1:48" ht="11.45" customHeight="1">
      <c r="A3431" s="762"/>
      <c r="B3431" s="762" t="s">
        <v>1248</v>
      </c>
      <c r="C3431" s="762" t="s">
        <v>507</v>
      </c>
      <c r="D3431" s="1599"/>
      <c r="E3431" s="2245" t="s">
        <v>3053</v>
      </c>
      <c r="F3431" s="763">
        <v>2235</v>
      </c>
      <c r="G3431" s="846" t="s">
        <v>5216</v>
      </c>
      <c r="H3431" s="764"/>
      <c r="I3431" s="764"/>
      <c r="J3431" s="764">
        <v>818.3</v>
      </c>
      <c r="K3431" s="1859"/>
      <c r="L3431" s="1576"/>
      <c r="M3431" s="1576"/>
      <c r="N3431" s="2847"/>
      <c r="O3431" s="86"/>
      <c r="P3431" s="1817"/>
      <c r="Q3431" s="1030"/>
      <c r="R3431" s="1779"/>
      <c r="S3431" s="1779"/>
      <c r="T3431" s="1779"/>
      <c r="U3431" s="1779"/>
      <c r="V3431" s="43"/>
      <c r="W3431" s="1779"/>
      <c r="X3431" s="1779"/>
      <c r="Y3431" s="1779"/>
      <c r="Z3431" s="1779"/>
      <c r="AA3431" s="1779"/>
      <c r="AB3431" s="1779"/>
      <c r="AC3431" s="1779"/>
      <c r="AD3431" s="1779"/>
      <c r="AE3431" s="1779"/>
      <c r="AF3431" s="1779"/>
      <c r="AG3431" s="1779"/>
      <c r="AH3431" s="1779"/>
      <c r="AI3431" s="1779"/>
      <c r="AJ3431" s="1779"/>
      <c r="AK3431" s="1779"/>
      <c r="AL3431" s="1779"/>
      <c r="AM3431" s="1779"/>
      <c r="AN3431" s="1779"/>
      <c r="AO3431" s="1779"/>
      <c r="AP3431" s="1779"/>
      <c r="AQ3431" s="1779"/>
      <c r="AR3431" s="1779"/>
      <c r="AS3431" s="1779"/>
      <c r="AT3431" s="1779"/>
      <c r="AU3431" s="1779"/>
    </row>
    <row r="3432" spans="1:48" ht="19.899999999999999" customHeight="1">
      <c r="A3432" s="3872"/>
      <c r="B3432" s="762" t="s">
        <v>1248</v>
      </c>
      <c r="C3432" s="762" t="s">
        <v>507</v>
      </c>
      <c r="D3432" s="1599"/>
      <c r="E3432" s="2245" t="s">
        <v>3053</v>
      </c>
      <c r="F3432" s="763">
        <v>2235</v>
      </c>
      <c r="G3432" s="4063" t="s">
        <v>5684</v>
      </c>
      <c r="H3432" s="1650"/>
      <c r="I3432" s="1650"/>
      <c r="J3432" s="1650"/>
      <c r="K3432" s="1859"/>
      <c r="L3432" s="3928"/>
      <c r="M3432" s="3928">
        <v>1500</v>
      </c>
      <c r="N3432" s="2847"/>
      <c r="O3432" s="86"/>
      <c r="P3432" s="1817"/>
      <c r="R3432" s="1030"/>
    </row>
    <row r="3433" spans="1:48" ht="18" customHeight="1">
      <c r="A3433" s="755"/>
      <c r="B3433" s="755" t="s">
        <v>1248</v>
      </c>
      <c r="C3433" s="755" t="s">
        <v>507</v>
      </c>
      <c r="D3433" s="1600" t="s">
        <v>1764</v>
      </c>
      <c r="E3433" s="2247" t="s">
        <v>3053</v>
      </c>
      <c r="F3433" s="756">
        <v>2236</v>
      </c>
      <c r="G3433" s="757" t="s">
        <v>2670</v>
      </c>
      <c r="H3433" s="759">
        <v>600</v>
      </c>
      <c r="I3433" s="759"/>
      <c r="J3433" s="760"/>
      <c r="K3433" s="1725"/>
      <c r="L3433" s="1580">
        <v>726</v>
      </c>
      <c r="M3433" s="1580"/>
      <c r="N3433" s="2847"/>
      <c r="O3433" s="86"/>
      <c r="P3433" s="1817" t="e">
        <f>INDEX(#REF!,MATCH(F3433,#REF!,0),2)</f>
        <v>#REF!</v>
      </c>
      <c r="Q3433" s="1779"/>
      <c r="R3433" s="1030">
        <f t="shared" si="1"/>
        <v>0</v>
      </c>
      <c r="S3433" s="1779"/>
      <c r="T3433" s="1779"/>
      <c r="U3433" s="1779"/>
      <c r="V3433" s="1779"/>
      <c r="W3433" s="43"/>
      <c r="X3433" s="1779"/>
      <c r="Y3433" s="1779"/>
      <c r="Z3433" s="1779"/>
      <c r="AA3433" s="1779"/>
      <c r="AB3433" s="1779"/>
      <c r="AC3433" s="1779"/>
      <c r="AD3433" s="1779"/>
      <c r="AE3433" s="1779"/>
      <c r="AF3433" s="1779"/>
      <c r="AG3433" s="1779"/>
      <c r="AH3433" s="1779"/>
      <c r="AI3433" s="1779"/>
      <c r="AJ3433" s="1779"/>
      <c r="AK3433" s="1779"/>
      <c r="AL3433" s="1779"/>
      <c r="AM3433" s="1779"/>
      <c r="AN3433" s="1779"/>
      <c r="AO3433" s="1779"/>
      <c r="AP3433" s="1779"/>
      <c r="AQ3433" s="1779"/>
      <c r="AR3433" s="1779"/>
      <c r="AS3433" s="1779"/>
      <c r="AT3433" s="1779"/>
      <c r="AU3433" s="1779"/>
      <c r="AV3433" s="1779"/>
    </row>
    <row r="3434" spans="1:48" ht="23.25" customHeight="1">
      <c r="A3434" s="762"/>
      <c r="B3434" s="762" t="s">
        <v>1248</v>
      </c>
      <c r="C3434" s="762" t="s">
        <v>507</v>
      </c>
      <c r="D3434" s="1599"/>
      <c r="E3434" s="2245" t="s">
        <v>3053</v>
      </c>
      <c r="F3434" s="763">
        <v>2236</v>
      </c>
      <c r="G3434" s="846" t="s">
        <v>5213</v>
      </c>
      <c r="H3434" s="764"/>
      <c r="I3434" s="764">
        <v>600</v>
      </c>
      <c r="J3434" s="765"/>
      <c r="K3434" s="1652"/>
      <c r="L3434" s="1576"/>
      <c r="M3434" s="1576">
        <v>726</v>
      </c>
      <c r="N3434" s="2847" t="s">
        <v>5213</v>
      </c>
      <c r="O3434" s="86"/>
      <c r="P3434" s="1817" t="e">
        <f>INDEX(#REF!,MATCH(F3434,#REF!,0),2)</f>
        <v>#REF!</v>
      </c>
      <c r="Q3434">
        <v>1687</v>
      </c>
      <c r="R3434" s="1030">
        <f t="shared" si="1"/>
        <v>-961</v>
      </c>
    </row>
    <row r="3435" spans="1:48" ht="12.75" customHeight="1">
      <c r="A3435" s="755"/>
      <c r="B3435" s="755" t="s">
        <v>1248</v>
      </c>
      <c r="C3435" s="755" t="s">
        <v>507</v>
      </c>
      <c r="D3435" s="1600" t="s">
        <v>1764</v>
      </c>
      <c r="E3435" s="2247" t="s">
        <v>3053</v>
      </c>
      <c r="F3435" s="756">
        <v>2239</v>
      </c>
      <c r="G3435" s="757" t="s">
        <v>1801</v>
      </c>
      <c r="H3435" s="759">
        <v>2000</v>
      </c>
      <c r="I3435" s="759"/>
      <c r="J3435" s="760"/>
      <c r="K3435" s="1725"/>
      <c r="L3435" s="1580">
        <v>430.6</v>
      </c>
      <c r="M3435" s="1580"/>
      <c r="N3435" s="241"/>
      <c r="O3435" s="86"/>
      <c r="P3435" s="1817" t="e">
        <f>INDEX(#REF!,MATCH(F3435,#REF!,0),2)</f>
        <v>#REF!</v>
      </c>
      <c r="R3435" s="1030"/>
    </row>
    <row r="3436" spans="1:48" ht="12.75" customHeight="1">
      <c r="A3436" s="762"/>
      <c r="B3436" s="762" t="s">
        <v>1248</v>
      </c>
      <c r="C3436" s="762" t="s">
        <v>507</v>
      </c>
      <c r="D3436" s="1599"/>
      <c r="E3436" s="2245" t="s">
        <v>3053</v>
      </c>
      <c r="F3436" s="763">
        <v>2239</v>
      </c>
      <c r="G3436" s="846" t="s">
        <v>5214</v>
      </c>
      <c r="H3436" s="764"/>
      <c r="I3436" s="764"/>
      <c r="J3436" s="765"/>
      <c r="K3436" s="1652"/>
      <c r="L3436" s="1576"/>
      <c r="M3436" s="1576">
        <v>180.60000000000002</v>
      </c>
      <c r="N3436" s="2847"/>
      <c r="O3436" s="86"/>
      <c r="P3436" s="1817" t="e">
        <f>INDEX(#REF!,MATCH(F3436,#REF!,0),2)</f>
        <v>#REF!</v>
      </c>
      <c r="R3436" s="1030"/>
    </row>
    <row r="3437" spans="1:48" ht="11.45" customHeight="1">
      <c r="A3437" s="2790"/>
      <c r="B3437" s="762" t="s">
        <v>1248</v>
      </c>
      <c r="C3437" s="762" t="s">
        <v>507</v>
      </c>
      <c r="D3437" s="1599"/>
      <c r="E3437" s="2245" t="s">
        <v>3053</v>
      </c>
      <c r="F3437" s="763">
        <v>2239</v>
      </c>
      <c r="G3437" s="3666" t="s">
        <v>5215</v>
      </c>
      <c r="H3437" s="1650"/>
      <c r="I3437" s="1650"/>
      <c r="J3437" s="1650">
        <v>188.36</v>
      </c>
      <c r="K3437" s="1859"/>
      <c r="L3437" s="2779"/>
      <c r="M3437" s="2779">
        <v>200</v>
      </c>
      <c r="N3437" s="2847"/>
      <c r="O3437" s="86"/>
      <c r="P3437" s="1817"/>
      <c r="Q3437" s="1779"/>
      <c r="R3437" s="1030">
        <f t="shared" si="1"/>
        <v>200</v>
      </c>
      <c r="S3437" s="1779"/>
      <c r="T3437" s="1779"/>
      <c r="U3437" s="1779"/>
      <c r="V3437" s="1779"/>
      <c r="W3437" s="43"/>
      <c r="X3437" s="1779"/>
      <c r="Y3437" s="1779"/>
      <c r="Z3437" s="1779"/>
      <c r="AA3437" s="1779"/>
      <c r="AB3437" s="1779"/>
      <c r="AC3437" s="1779"/>
      <c r="AD3437" s="1779"/>
      <c r="AE3437" s="1779"/>
      <c r="AF3437" s="1779"/>
      <c r="AG3437" s="1779"/>
      <c r="AH3437" s="1779"/>
      <c r="AI3437" s="1779"/>
      <c r="AJ3437" s="1779"/>
      <c r="AK3437" s="1779"/>
      <c r="AL3437" s="1779"/>
      <c r="AM3437" s="1779"/>
      <c r="AN3437" s="1779"/>
      <c r="AO3437" s="1779"/>
      <c r="AP3437" s="1779"/>
      <c r="AQ3437" s="1779"/>
      <c r="AR3437" s="1779"/>
      <c r="AS3437" s="1779"/>
      <c r="AT3437" s="1779"/>
      <c r="AU3437" s="1779"/>
      <c r="AV3437" s="1779"/>
    </row>
    <row r="3438" spans="1:48" ht="14.45" customHeight="1">
      <c r="A3438" s="2790"/>
      <c r="B3438" s="762" t="s">
        <v>1248</v>
      </c>
      <c r="C3438" s="762" t="s">
        <v>507</v>
      </c>
      <c r="D3438" s="1599"/>
      <c r="E3438" s="2245" t="s">
        <v>3053</v>
      </c>
      <c r="F3438" s="763">
        <v>2239</v>
      </c>
      <c r="G3438" s="3666" t="s">
        <v>5217</v>
      </c>
      <c r="H3438" s="1650"/>
      <c r="I3438" s="1650"/>
      <c r="J3438" s="1650">
        <v>12</v>
      </c>
      <c r="K3438" s="1859"/>
      <c r="L3438" s="2779"/>
      <c r="M3438" s="2779">
        <v>50</v>
      </c>
      <c r="N3438" s="2847"/>
      <c r="O3438" s="86"/>
      <c r="P3438" s="1817"/>
      <c r="Q3438">
        <v>1175</v>
      </c>
      <c r="R3438" s="1030">
        <f t="shared" si="1"/>
        <v>-1125</v>
      </c>
    </row>
    <row r="3439" spans="1:48" ht="14.45" customHeight="1">
      <c r="A3439" s="755"/>
      <c r="B3439" s="755" t="s">
        <v>566</v>
      </c>
      <c r="C3439" s="755" t="s">
        <v>508</v>
      </c>
      <c r="D3439" s="1600" t="s">
        <v>1764</v>
      </c>
      <c r="E3439" s="2247" t="s">
        <v>3053</v>
      </c>
      <c r="F3439" s="756">
        <v>2241</v>
      </c>
      <c r="G3439" s="757" t="s">
        <v>3093</v>
      </c>
      <c r="H3439" s="759">
        <v>13770</v>
      </c>
      <c r="I3439" s="759"/>
      <c r="J3439" s="760"/>
      <c r="K3439" s="1725"/>
      <c r="L3439" s="1580">
        <v>0</v>
      </c>
      <c r="M3439" s="1580"/>
      <c r="N3439" s="2847"/>
      <c r="O3439" s="86"/>
      <c r="P3439" s="1817" t="e">
        <f>INDEX(#REF!,MATCH(F3439,#REF!,0),2)</f>
        <v>#REF!</v>
      </c>
      <c r="Q3439">
        <v>630</v>
      </c>
      <c r="R3439" s="1030">
        <f t="shared" si="1"/>
        <v>-630</v>
      </c>
    </row>
    <row r="3440" spans="1:48" ht="14.45" customHeight="1">
      <c r="A3440" s="1882"/>
      <c r="B3440" s="1882" t="s">
        <v>566</v>
      </c>
      <c r="C3440" s="1882" t="s">
        <v>508</v>
      </c>
      <c r="D3440" s="1599"/>
      <c r="E3440" s="2245" t="s">
        <v>3053</v>
      </c>
      <c r="F3440" s="1936">
        <v>2241</v>
      </c>
      <c r="G3440" s="1913" t="s">
        <v>3255</v>
      </c>
      <c r="H3440" s="1650"/>
      <c r="I3440" s="1650">
        <v>13770</v>
      </c>
      <c r="J3440" s="1651"/>
      <c r="K3440" s="1652"/>
      <c r="L3440" s="1892"/>
      <c r="M3440" s="1892"/>
      <c r="N3440" s="2847"/>
      <c r="O3440" s="86"/>
      <c r="P3440" s="1817" t="e">
        <f>INDEX(#REF!,MATCH(F3440,#REF!,0),2)</f>
        <v>#REF!</v>
      </c>
      <c r="Q3440">
        <v>413</v>
      </c>
      <c r="R3440" s="1030">
        <f t="shared" si="1"/>
        <v>-413</v>
      </c>
    </row>
    <row r="3441" spans="1:48" ht="12" customHeight="1">
      <c r="A3441" s="755"/>
      <c r="B3441" s="755" t="s">
        <v>1248</v>
      </c>
      <c r="C3441" s="755" t="s">
        <v>507</v>
      </c>
      <c r="D3441" s="1600" t="s">
        <v>1764</v>
      </c>
      <c r="E3441" s="2247" t="s">
        <v>3053</v>
      </c>
      <c r="F3441" s="756">
        <v>2243</v>
      </c>
      <c r="G3441" s="757" t="s">
        <v>329</v>
      </c>
      <c r="H3441" s="759">
        <v>1687</v>
      </c>
      <c r="I3441" s="759"/>
      <c r="J3441" s="760"/>
      <c r="K3441" s="1725"/>
      <c r="L3441" s="1580">
        <v>1963.3600000000001</v>
      </c>
      <c r="M3441" s="1580"/>
      <c r="N3441" s="2847"/>
      <c r="O3441" s="86"/>
      <c r="P3441" s="1817" t="e">
        <f>INDEX(#REF!,MATCH(F3441,#REF!,0),2)</f>
        <v>#REF!</v>
      </c>
      <c r="Q3441">
        <v>12974.4</v>
      </c>
      <c r="R3441" s="1030">
        <f t="shared" si="1"/>
        <v>-12974.4</v>
      </c>
    </row>
    <row r="3442" spans="1:48" ht="11.45" customHeight="1">
      <c r="A3442" s="762"/>
      <c r="B3442" s="762" t="s">
        <v>1248</v>
      </c>
      <c r="C3442" s="762" t="s">
        <v>507</v>
      </c>
      <c r="D3442" s="1599"/>
      <c r="E3442" s="2245" t="s">
        <v>3053</v>
      </c>
      <c r="F3442" s="763">
        <v>2243</v>
      </c>
      <c r="G3442" s="1567" t="s">
        <v>5219</v>
      </c>
      <c r="H3442" s="764"/>
      <c r="I3442" s="764">
        <v>1687</v>
      </c>
      <c r="J3442" s="765"/>
      <c r="K3442" s="1652"/>
      <c r="L3442" s="1576"/>
      <c r="M3442" s="1576">
        <v>1473.3600000000001</v>
      </c>
      <c r="N3442" s="241"/>
      <c r="O3442" s="86"/>
      <c r="P3442" s="1817" t="e">
        <f>INDEX(#REF!,MATCH(F3442,#REF!,0),2)</f>
        <v>#REF!</v>
      </c>
      <c r="Q3442">
        <v>550</v>
      </c>
      <c r="R3442" s="1030">
        <f t="shared" si="1"/>
        <v>923.36000000000013</v>
      </c>
    </row>
    <row r="3443" spans="1:48" ht="11.45" customHeight="1">
      <c r="A3443" s="2790"/>
      <c r="B3443" s="762" t="s">
        <v>1248</v>
      </c>
      <c r="C3443" s="762" t="s">
        <v>507</v>
      </c>
      <c r="D3443" s="1599"/>
      <c r="E3443" s="2245" t="s">
        <v>3053</v>
      </c>
      <c r="F3443" s="763">
        <v>2243</v>
      </c>
      <c r="G3443" s="1567" t="s">
        <v>5218</v>
      </c>
      <c r="H3443" s="1650"/>
      <c r="I3443" s="1650"/>
      <c r="J3443" s="1651"/>
      <c r="K3443" s="1652"/>
      <c r="L3443" s="2779"/>
      <c r="M3443" s="2779">
        <v>290</v>
      </c>
      <c r="N3443" s="2847"/>
      <c r="O3443" s="86"/>
      <c r="P3443" s="1817" t="e">
        <f>INDEX(#REF!,MATCH(F3443,#REF!,0),2)</f>
        <v>#REF!</v>
      </c>
      <c r="Q3443">
        <v>1537.9800000000014</v>
      </c>
      <c r="R3443" s="1030">
        <f t="shared" si="1"/>
        <v>-1247.9800000000014</v>
      </c>
    </row>
    <row r="3444" spans="1:48" ht="11.45" customHeight="1">
      <c r="A3444" s="2790"/>
      <c r="B3444" s="762" t="s">
        <v>1248</v>
      </c>
      <c r="C3444" s="762" t="s">
        <v>507</v>
      </c>
      <c r="D3444" s="1599"/>
      <c r="E3444" s="2245" t="s">
        <v>3053</v>
      </c>
      <c r="F3444" s="763">
        <v>2243</v>
      </c>
      <c r="G3444" s="1567" t="s">
        <v>5220</v>
      </c>
      <c r="H3444" s="1650"/>
      <c r="I3444" s="1650"/>
      <c r="J3444" s="1651"/>
      <c r="K3444" s="1652"/>
      <c r="L3444" s="2779"/>
      <c r="M3444" s="2779">
        <v>200</v>
      </c>
      <c r="N3444" s="2847"/>
      <c r="O3444" s="86"/>
      <c r="P3444" s="1817" t="e">
        <f>INDEX(#REF!,MATCH(F3444,#REF!,0),2)</f>
        <v>#REF!</v>
      </c>
      <c r="Q3444" s="1779"/>
      <c r="R3444" s="1030">
        <f t="shared" si="1"/>
        <v>200</v>
      </c>
      <c r="S3444" s="1779"/>
      <c r="T3444" s="1779"/>
      <c r="U3444" s="1779"/>
      <c r="V3444" s="1779"/>
      <c r="W3444" s="43"/>
      <c r="X3444" s="1779"/>
      <c r="Y3444" s="1779"/>
      <c r="Z3444" s="1779"/>
      <c r="AA3444" s="1779"/>
      <c r="AB3444" s="1779"/>
      <c r="AC3444" s="1779"/>
      <c r="AD3444" s="1779"/>
      <c r="AE3444" s="1779"/>
      <c r="AF3444" s="1779"/>
      <c r="AG3444" s="1779"/>
      <c r="AH3444" s="1779"/>
      <c r="AI3444" s="1779"/>
      <c r="AJ3444" s="1779"/>
      <c r="AK3444" s="1779"/>
      <c r="AL3444" s="1779"/>
      <c r="AM3444" s="1779"/>
      <c r="AN3444" s="1779"/>
      <c r="AO3444" s="1779"/>
      <c r="AP3444" s="1779"/>
      <c r="AQ3444" s="1779"/>
      <c r="AR3444" s="1779"/>
      <c r="AS3444" s="1779"/>
      <c r="AT3444" s="1779"/>
      <c r="AU3444" s="1779"/>
      <c r="AV3444" s="1779"/>
    </row>
    <row r="3445" spans="1:48" ht="11.45" customHeight="1">
      <c r="A3445" s="755" t="s">
        <v>782</v>
      </c>
      <c r="B3445" s="755" t="s">
        <v>1248</v>
      </c>
      <c r="C3445" s="755" t="s">
        <v>507</v>
      </c>
      <c r="D3445" s="1600" t="s">
        <v>1764</v>
      </c>
      <c r="E3445" s="2247" t="s">
        <v>3053</v>
      </c>
      <c r="F3445" s="756">
        <v>2244</v>
      </c>
      <c r="G3445" s="757" t="s">
        <v>801</v>
      </c>
      <c r="H3445" s="759">
        <v>17280</v>
      </c>
      <c r="I3445" s="759"/>
      <c r="J3445" s="760"/>
      <c r="K3445" s="1725"/>
      <c r="L3445" s="1580">
        <v>16791.68</v>
      </c>
      <c r="M3445" s="1580"/>
      <c r="N3445" s="2847"/>
      <c r="O3445" s="86"/>
      <c r="P3445" s="1817" t="e">
        <f>INDEX(#REF!,MATCH(F3445,#REF!,0),2)</f>
        <v>#REF!</v>
      </c>
      <c r="Q3445">
        <v>70</v>
      </c>
      <c r="R3445" s="1030">
        <f t="shared" si="1"/>
        <v>-70</v>
      </c>
    </row>
    <row r="3446" spans="1:48" ht="11.45" customHeight="1">
      <c r="A3446" s="1882"/>
      <c r="B3446" s="762" t="s">
        <v>1248</v>
      </c>
      <c r="C3446" s="762" t="s">
        <v>507</v>
      </c>
      <c r="D3446" s="1599"/>
      <c r="E3446" s="2245" t="s">
        <v>3053</v>
      </c>
      <c r="F3446" s="763">
        <v>2244</v>
      </c>
      <c r="G3446" s="3666" t="s">
        <v>1988</v>
      </c>
      <c r="H3446" s="2799"/>
      <c r="I3446" s="2799">
        <v>1175</v>
      </c>
      <c r="J3446" s="2779"/>
      <c r="K3446" s="2777"/>
      <c r="L3446" s="2779"/>
      <c r="M3446" s="2779">
        <v>600</v>
      </c>
      <c r="N3446" s="2561"/>
      <c r="O3446" s="86"/>
      <c r="P3446" s="1817" t="e">
        <f>INDEX(#REF!,MATCH(F3446,#REF!,0),2)</f>
        <v>#REF!</v>
      </c>
      <c r="Q3446" s="1779"/>
      <c r="R3446" s="1030">
        <f t="shared" si="1"/>
        <v>600</v>
      </c>
      <c r="S3446" s="1779"/>
      <c r="T3446" s="1779"/>
      <c r="U3446" s="1779"/>
      <c r="V3446" s="1779"/>
      <c r="W3446" s="43"/>
      <c r="X3446" s="1779"/>
      <c r="Y3446" s="1779"/>
      <c r="Z3446" s="1779"/>
      <c r="AA3446" s="1779"/>
      <c r="AB3446" s="1779"/>
      <c r="AC3446" s="1779"/>
      <c r="AD3446" s="1779"/>
      <c r="AE3446" s="1779"/>
      <c r="AF3446" s="1779"/>
      <c r="AG3446" s="1779"/>
      <c r="AH3446" s="1779"/>
      <c r="AI3446" s="1779"/>
      <c r="AJ3446" s="1779"/>
      <c r="AK3446" s="1779"/>
      <c r="AL3446" s="1779"/>
      <c r="AM3446" s="1779"/>
      <c r="AN3446" s="1779"/>
      <c r="AO3446" s="1779"/>
      <c r="AP3446" s="1779"/>
      <c r="AQ3446" s="1779"/>
      <c r="AR3446" s="1779"/>
      <c r="AS3446" s="1779"/>
      <c r="AT3446" s="1779"/>
      <c r="AU3446" s="1779"/>
      <c r="AV3446" s="1779"/>
    </row>
    <row r="3447" spans="1:48" ht="11.45" customHeight="1">
      <c r="A3447" s="1882"/>
      <c r="B3447" s="762" t="s">
        <v>1248</v>
      </c>
      <c r="C3447" s="762" t="s">
        <v>507</v>
      </c>
      <c r="D3447" s="1599"/>
      <c r="E3447" s="2245" t="s">
        <v>3053</v>
      </c>
      <c r="F3447" s="763">
        <v>2244</v>
      </c>
      <c r="G3447" s="3666" t="s">
        <v>2669</v>
      </c>
      <c r="H3447" s="2799"/>
      <c r="I3447" s="2799">
        <v>630</v>
      </c>
      <c r="J3447" s="2779"/>
      <c r="K3447" s="2777"/>
      <c r="L3447" s="2779"/>
      <c r="M3447" s="2779">
        <v>870</v>
      </c>
      <c r="N3447" s="2561"/>
      <c r="O3447" s="86"/>
      <c r="P3447" s="1817" t="e">
        <f>INDEX(#REF!,MATCH(F3447,#REF!,0),2)</f>
        <v>#REF!</v>
      </c>
      <c r="Q3447">
        <v>180</v>
      </c>
      <c r="R3447" s="1030">
        <f t="shared" si="1"/>
        <v>690</v>
      </c>
    </row>
    <row r="3448" spans="1:48" ht="11.45" customHeight="1">
      <c r="A3448" s="1882"/>
      <c r="B3448" s="762" t="s">
        <v>1248</v>
      </c>
      <c r="C3448" s="762" t="s">
        <v>507</v>
      </c>
      <c r="D3448" s="1599"/>
      <c r="E3448" s="2245" t="s">
        <v>3053</v>
      </c>
      <c r="F3448" s="763">
        <v>2244</v>
      </c>
      <c r="G3448" s="3666" t="s">
        <v>2671</v>
      </c>
      <c r="H3448" s="2799"/>
      <c r="I3448" s="2799">
        <v>413</v>
      </c>
      <c r="J3448" s="2779"/>
      <c r="K3448" s="2777"/>
      <c r="L3448" s="2779"/>
      <c r="M3448" s="2779">
        <v>1310</v>
      </c>
      <c r="N3448" s="2561" t="s">
        <v>5221</v>
      </c>
      <c r="O3448" s="86"/>
      <c r="P3448" s="1817" t="e">
        <f>INDEX(#REF!,MATCH(F3448,#REF!,0),2)</f>
        <v>#REF!</v>
      </c>
      <c r="R3448" s="1030"/>
    </row>
    <row r="3449" spans="1:48" ht="11.45" customHeight="1">
      <c r="A3449" s="762"/>
      <c r="B3449" s="762" t="s">
        <v>1248</v>
      </c>
      <c r="C3449" s="762" t="s">
        <v>507</v>
      </c>
      <c r="D3449" s="1599"/>
      <c r="E3449" s="2245" t="s">
        <v>3053</v>
      </c>
      <c r="F3449" s="763">
        <v>2244</v>
      </c>
      <c r="G3449" s="3666" t="s">
        <v>1525</v>
      </c>
      <c r="H3449" s="2799"/>
      <c r="I3449" s="2799">
        <v>12974.4</v>
      </c>
      <c r="J3449" s="2779"/>
      <c r="K3449" s="2777"/>
      <c r="L3449" s="2779"/>
      <c r="M3449" s="2779">
        <v>12589</v>
      </c>
      <c r="N3449" s="2561" t="s">
        <v>5222</v>
      </c>
      <c r="O3449" s="86"/>
      <c r="P3449" s="1817" t="e">
        <f>INDEX(#REF!,MATCH(F3449,#REF!,0),2)</f>
        <v>#REF!</v>
      </c>
      <c r="Q3449" s="1779"/>
      <c r="R3449" s="1030">
        <f t="shared" si="1"/>
        <v>12589</v>
      </c>
      <c r="S3449" s="1779"/>
      <c r="T3449" s="1779"/>
      <c r="U3449" s="1779"/>
      <c r="V3449" s="1779"/>
      <c r="W3449" s="43"/>
      <c r="X3449" s="1779"/>
      <c r="Y3449" s="1779"/>
      <c r="Z3449" s="1779"/>
      <c r="AA3449" s="1779"/>
      <c r="AB3449" s="1779"/>
      <c r="AC3449" s="1779"/>
      <c r="AD3449" s="1779"/>
      <c r="AE3449" s="1779"/>
      <c r="AF3449" s="1779"/>
      <c r="AG3449" s="1779"/>
      <c r="AH3449" s="1779"/>
      <c r="AI3449" s="1779"/>
      <c r="AJ3449" s="1779"/>
      <c r="AK3449" s="1779"/>
      <c r="AL3449" s="1779"/>
      <c r="AM3449" s="1779"/>
      <c r="AN3449" s="1779"/>
      <c r="AO3449" s="1779"/>
      <c r="AP3449" s="1779"/>
      <c r="AQ3449" s="1779"/>
      <c r="AR3449" s="1779"/>
      <c r="AS3449" s="1779"/>
      <c r="AT3449" s="1779"/>
      <c r="AU3449" s="1779"/>
      <c r="AV3449" s="1779"/>
    </row>
    <row r="3450" spans="1:48" ht="33" customHeight="1">
      <c r="A3450" s="762"/>
      <c r="B3450" s="762" t="s">
        <v>1248</v>
      </c>
      <c r="C3450" s="762" t="s">
        <v>507</v>
      </c>
      <c r="D3450" s="1599"/>
      <c r="E3450" s="2245" t="s">
        <v>3053</v>
      </c>
      <c r="F3450" s="763">
        <v>2244</v>
      </c>
      <c r="G3450" s="3666" t="s">
        <v>1526</v>
      </c>
      <c r="H3450" s="2799"/>
      <c r="I3450" s="2799">
        <v>550</v>
      </c>
      <c r="J3450" s="2779"/>
      <c r="K3450" s="2777"/>
      <c r="L3450" s="2779"/>
      <c r="M3450" s="2779">
        <v>447</v>
      </c>
      <c r="N3450" s="2561" t="s">
        <v>5223</v>
      </c>
      <c r="O3450" s="86"/>
      <c r="P3450" s="1817"/>
      <c r="Q3450">
        <v>2000</v>
      </c>
      <c r="R3450" s="1030">
        <f t="shared" si="1"/>
        <v>-1553</v>
      </c>
    </row>
    <row r="3451" spans="1:48" ht="11.45" customHeight="1">
      <c r="A3451" s="1370"/>
      <c r="B3451" s="762" t="s">
        <v>1248</v>
      </c>
      <c r="C3451" s="762" t="s">
        <v>507</v>
      </c>
      <c r="D3451" s="1599"/>
      <c r="E3451" s="2245" t="s">
        <v>3053</v>
      </c>
      <c r="F3451" s="763">
        <v>2244</v>
      </c>
      <c r="G3451" s="3666" t="s">
        <v>5224</v>
      </c>
      <c r="H3451" s="2799"/>
      <c r="I3451" s="2799">
        <v>1537.9800000000014</v>
      </c>
      <c r="J3451" s="2779"/>
      <c r="K3451" s="2777"/>
      <c r="L3451" s="2779"/>
      <c r="M3451" s="2779">
        <v>975.68000000000006</v>
      </c>
      <c r="N3451" s="1538" t="s">
        <v>5225</v>
      </c>
      <c r="O3451" s="86"/>
      <c r="P3451" s="1817" t="e">
        <f>INDEX(#REF!,MATCH(F3451,#REF!,0),2)</f>
        <v>#REF!</v>
      </c>
      <c r="Q3451" s="1779"/>
      <c r="R3451" s="1030">
        <f t="shared" si="1"/>
        <v>975.68000000000006</v>
      </c>
      <c r="S3451" s="1779"/>
      <c r="T3451" s="1779"/>
      <c r="U3451" s="1779"/>
      <c r="V3451" s="1779"/>
      <c r="W3451" s="43"/>
      <c r="X3451" s="1779"/>
      <c r="Y3451" s="1779"/>
      <c r="Z3451" s="1779"/>
      <c r="AA3451" s="1779"/>
      <c r="AB3451" s="1779"/>
      <c r="AC3451" s="1779"/>
      <c r="AD3451" s="1779"/>
      <c r="AE3451" s="1779"/>
      <c r="AF3451" s="1779"/>
      <c r="AG3451" s="1779"/>
      <c r="AH3451" s="1779"/>
      <c r="AI3451" s="1779"/>
      <c r="AJ3451" s="1779"/>
      <c r="AK3451" s="1779"/>
      <c r="AL3451" s="1779"/>
      <c r="AM3451" s="1779"/>
      <c r="AN3451" s="1779"/>
      <c r="AO3451" s="1779"/>
      <c r="AP3451" s="1779"/>
      <c r="AQ3451" s="1779"/>
      <c r="AR3451" s="1779"/>
      <c r="AS3451" s="1779"/>
      <c r="AT3451" s="1779"/>
      <c r="AU3451" s="1779"/>
      <c r="AV3451" s="1779"/>
    </row>
    <row r="3452" spans="1:48" ht="11.45" customHeight="1">
      <c r="A3452" s="755"/>
      <c r="B3452" s="755" t="s">
        <v>1248</v>
      </c>
      <c r="C3452" s="755" t="s">
        <v>507</v>
      </c>
      <c r="D3452" s="1600" t="s">
        <v>1764</v>
      </c>
      <c r="E3452" s="2247" t="s">
        <v>3053</v>
      </c>
      <c r="F3452" s="756">
        <v>2247</v>
      </c>
      <c r="G3452" s="757" t="s">
        <v>281</v>
      </c>
      <c r="H3452" s="759">
        <v>70</v>
      </c>
      <c r="I3452" s="759"/>
      <c r="J3452" s="760"/>
      <c r="K3452" s="1725"/>
      <c r="L3452" s="1580">
        <v>120</v>
      </c>
      <c r="M3452" s="1580"/>
      <c r="N3452" s="2847"/>
      <c r="O3452" s="86"/>
      <c r="P3452" s="1817" t="e">
        <f>INDEX(#REF!,MATCH(F3452,#REF!,0),2)</f>
        <v>#REF!</v>
      </c>
      <c r="Q3452">
        <v>500</v>
      </c>
      <c r="R3452" s="1030">
        <f t="shared" si="1"/>
        <v>-500</v>
      </c>
    </row>
    <row r="3453" spans="1:48">
      <c r="A3453" s="762"/>
      <c r="B3453" s="762" t="s">
        <v>1248</v>
      </c>
      <c r="C3453" s="762" t="s">
        <v>507</v>
      </c>
      <c r="D3453" s="1599"/>
      <c r="E3453" s="2245" t="s">
        <v>3053</v>
      </c>
      <c r="F3453" s="763">
        <v>2247</v>
      </c>
      <c r="G3453" s="846"/>
      <c r="H3453" s="764"/>
      <c r="I3453" s="764">
        <v>70</v>
      </c>
      <c r="J3453" s="765">
        <v>103</v>
      </c>
      <c r="K3453" s="1652"/>
      <c r="L3453" s="1576"/>
      <c r="M3453" s="1576">
        <v>120</v>
      </c>
      <c r="N3453" s="2847"/>
      <c r="O3453" s="86"/>
      <c r="P3453" s="1817" t="e">
        <f>INDEX(#REF!,MATCH(F3453,#REF!,0),2)</f>
        <v>#REF!</v>
      </c>
      <c r="Q3453">
        <v>1000</v>
      </c>
      <c r="R3453" s="1030">
        <f>M3453-Q3453</f>
        <v>-880</v>
      </c>
    </row>
    <row r="3454" spans="1:48" ht="11.45" customHeight="1">
      <c r="A3454" s="755"/>
      <c r="B3454" s="755" t="s">
        <v>1248</v>
      </c>
      <c r="C3454" s="755" t="s">
        <v>507</v>
      </c>
      <c r="D3454" s="1600" t="s">
        <v>1764</v>
      </c>
      <c r="E3454" s="2247" t="s">
        <v>3053</v>
      </c>
      <c r="F3454" s="756">
        <v>2264</v>
      </c>
      <c r="G3454" s="757" t="s">
        <v>240</v>
      </c>
      <c r="H3454" s="759">
        <v>180</v>
      </c>
      <c r="I3454" s="759"/>
      <c r="J3454" s="760"/>
      <c r="K3454" s="1725"/>
      <c r="L3454" s="1580">
        <v>333.96</v>
      </c>
      <c r="M3454" s="1580"/>
      <c r="N3454" s="2847"/>
      <c r="O3454" s="86"/>
      <c r="P3454" s="1817" t="e">
        <f>INDEX(#REF!,MATCH(F3454,#REF!,0),2)</f>
        <v>#REF!</v>
      </c>
      <c r="Q3454" s="1779"/>
      <c r="R3454" s="1030">
        <f t="shared" si="1"/>
        <v>0</v>
      </c>
      <c r="S3454" s="1779"/>
      <c r="T3454" s="1779"/>
      <c r="U3454" s="1779"/>
      <c r="V3454" s="1779"/>
      <c r="W3454" s="43"/>
      <c r="X3454" s="1779"/>
      <c r="Y3454" s="1779"/>
      <c r="Z3454" s="1779"/>
      <c r="AA3454" s="1779"/>
      <c r="AB3454" s="1779"/>
      <c r="AC3454" s="1779"/>
      <c r="AD3454" s="1779"/>
      <c r="AE3454" s="1779"/>
      <c r="AF3454" s="1779"/>
      <c r="AG3454" s="1779"/>
      <c r="AH3454" s="1779"/>
      <c r="AI3454" s="1779"/>
      <c r="AJ3454" s="1779"/>
      <c r="AK3454" s="1779"/>
      <c r="AL3454" s="1779"/>
      <c r="AM3454" s="1779"/>
      <c r="AN3454" s="1779"/>
      <c r="AO3454" s="1779"/>
      <c r="AP3454" s="1779"/>
      <c r="AQ3454" s="1779"/>
      <c r="AR3454" s="1779"/>
      <c r="AS3454" s="1779"/>
      <c r="AT3454" s="1779"/>
      <c r="AU3454" s="1779"/>
      <c r="AV3454" s="1779"/>
    </row>
    <row r="3455" spans="1:48">
      <c r="A3455" s="762"/>
      <c r="B3455" s="762" t="s">
        <v>1248</v>
      </c>
      <c r="C3455" s="762" t="s">
        <v>507</v>
      </c>
      <c r="D3455" s="1599"/>
      <c r="E3455" s="2245" t="s">
        <v>3053</v>
      </c>
      <c r="F3455" s="763">
        <v>2264</v>
      </c>
      <c r="G3455" s="846" t="s">
        <v>5227</v>
      </c>
      <c r="H3455" s="764"/>
      <c r="I3455" s="764">
        <v>180</v>
      </c>
      <c r="J3455" s="765"/>
      <c r="K3455" s="1652"/>
      <c r="L3455" s="1576"/>
      <c r="M3455" s="1576">
        <v>333.96</v>
      </c>
      <c r="N3455" s="2847"/>
      <c r="O3455" s="86"/>
      <c r="P3455" s="1817" t="e">
        <f>INDEX(#REF!,MATCH(F3455,#REF!,0),2)</f>
        <v>#REF!</v>
      </c>
      <c r="R3455" s="1030">
        <f t="shared" si="1"/>
        <v>333.96</v>
      </c>
    </row>
    <row r="3456" spans="1:48">
      <c r="A3456" s="2790"/>
      <c r="B3456" s="762" t="s">
        <v>1248</v>
      </c>
      <c r="C3456" s="2790"/>
      <c r="D3456" s="3071"/>
      <c r="E3456" s="2245" t="s">
        <v>3053</v>
      </c>
      <c r="F3456" s="763">
        <v>2264</v>
      </c>
      <c r="G3456" s="3666" t="s">
        <v>5226</v>
      </c>
      <c r="H3456" s="1650"/>
      <c r="I3456" s="1650"/>
      <c r="J3456" s="1651"/>
      <c r="K3456" s="1652"/>
      <c r="L3456" s="2779"/>
      <c r="M3456" s="2779">
        <v>412.32</v>
      </c>
      <c r="N3456" s="2847"/>
      <c r="O3456" s="86"/>
      <c r="P3456" s="1817" t="e">
        <f>INDEX(#REF!,MATCH(F3456,#REF!,0),2)</f>
        <v>#REF!</v>
      </c>
      <c r="R3456" s="1030">
        <f t="shared" si="1"/>
        <v>412.32</v>
      </c>
    </row>
    <row r="3457" spans="1:48" ht="11.45" customHeight="1">
      <c r="A3457" s="755" t="s">
        <v>782</v>
      </c>
      <c r="B3457" s="755" t="s">
        <v>1248</v>
      </c>
      <c r="C3457" s="755" t="s">
        <v>507</v>
      </c>
      <c r="D3457" s="1600" t="s">
        <v>1764</v>
      </c>
      <c r="E3457" s="2247" t="s">
        <v>3053</v>
      </c>
      <c r="F3457" s="756">
        <v>2311</v>
      </c>
      <c r="G3457" s="757" t="s">
        <v>362</v>
      </c>
      <c r="H3457" s="759">
        <v>2000</v>
      </c>
      <c r="I3457" s="759"/>
      <c r="J3457" s="760"/>
      <c r="K3457" s="1725"/>
      <c r="L3457" s="1580">
        <v>5000</v>
      </c>
      <c r="M3457" s="1580"/>
      <c r="N3457" s="2847"/>
      <c r="O3457" s="86"/>
      <c r="P3457" s="1817" t="e">
        <f>INDEX(#REF!,MATCH(F3457,#REF!,0),2)</f>
        <v>#REF!</v>
      </c>
      <c r="Q3457" s="1779"/>
      <c r="R3457" s="1030">
        <f>M3457-Q3457</f>
        <v>0</v>
      </c>
      <c r="S3457" s="1779"/>
      <c r="T3457" s="1779"/>
      <c r="U3457" s="1779"/>
      <c r="V3457" s="1779"/>
      <c r="W3457" s="43"/>
      <c r="X3457" s="1779"/>
      <c r="Y3457" s="1779"/>
      <c r="Z3457" s="1779"/>
      <c r="AA3457" s="1779"/>
      <c r="AB3457" s="1779"/>
      <c r="AC3457" s="1779"/>
      <c r="AD3457" s="1779"/>
      <c r="AE3457" s="1779"/>
      <c r="AF3457" s="1779"/>
      <c r="AG3457" s="1779"/>
      <c r="AH3457" s="1779"/>
      <c r="AI3457" s="1779"/>
      <c r="AJ3457" s="1779"/>
      <c r="AK3457" s="1779"/>
      <c r="AL3457" s="1779"/>
      <c r="AM3457" s="1779"/>
      <c r="AN3457" s="1779"/>
      <c r="AO3457" s="1779"/>
      <c r="AP3457" s="1779"/>
      <c r="AQ3457" s="1779"/>
      <c r="AR3457" s="1779"/>
      <c r="AS3457" s="1779"/>
      <c r="AT3457" s="1779"/>
      <c r="AU3457" s="1779"/>
      <c r="AV3457" s="1779"/>
    </row>
    <row r="3458" spans="1:48" ht="33.75">
      <c r="A3458" s="762"/>
      <c r="B3458" s="762" t="s">
        <v>1248</v>
      </c>
      <c r="C3458" s="762" t="s">
        <v>507</v>
      </c>
      <c r="D3458" s="1599"/>
      <c r="E3458" s="2245" t="s">
        <v>3053</v>
      </c>
      <c r="F3458" s="763">
        <v>2311</v>
      </c>
      <c r="G3458" s="1021" t="s">
        <v>2402</v>
      </c>
      <c r="H3458" s="764"/>
      <c r="I3458" s="764">
        <v>2000</v>
      </c>
      <c r="J3458" s="765"/>
      <c r="K3458" s="1652"/>
      <c r="L3458" s="1576"/>
      <c r="M3458" s="1576">
        <v>5000</v>
      </c>
      <c r="N3458" s="2396" t="s">
        <v>5685</v>
      </c>
      <c r="O3458" s="86"/>
      <c r="P3458" s="1817" t="e">
        <f>INDEX(#REF!,MATCH(F3458,#REF!,0),2)</f>
        <v>#REF!</v>
      </c>
      <c r="R3458" s="1030">
        <f>M3458-Q3458</f>
        <v>5000</v>
      </c>
    </row>
    <row r="3459" spans="1:48" ht="11.45" customHeight="1">
      <c r="A3459" s="755" t="s">
        <v>782</v>
      </c>
      <c r="B3459" s="755" t="s">
        <v>1248</v>
      </c>
      <c r="C3459" s="755" t="s">
        <v>507</v>
      </c>
      <c r="D3459" s="1600" t="s">
        <v>1764</v>
      </c>
      <c r="E3459" s="2247" t="s">
        <v>3053</v>
      </c>
      <c r="F3459" s="756">
        <v>2312</v>
      </c>
      <c r="G3459" s="757" t="s">
        <v>363</v>
      </c>
      <c r="H3459" s="759">
        <v>1500</v>
      </c>
      <c r="I3459" s="759"/>
      <c r="J3459" s="760"/>
      <c r="K3459" s="1725"/>
      <c r="L3459" s="1580">
        <v>1500</v>
      </c>
      <c r="M3459" s="1580"/>
      <c r="N3459" s="2847"/>
      <c r="O3459" s="86"/>
      <c r="P3459" s="1817" t="e">
        <f>INDEX(#REF!,MATCH(F3459,#REF!,0),2)</f>
        <v>#REF!</v>
      </c>
      <c r="Q3459" s="1779"/>
      <c r="R3459" s="1030">
        <f t="shared" si="1"/>
        <v>0</v>
      </c>
      <c r="S3459" s="1779"/>
      <c r="T3459" s="1779"/>
      <c r="U3459" s="1779"/>
      <c r="V3459" s="1779"/>
      <c r="W3459" s="43"/>
      <c r="X3459" s="1779"/>
      <c r="Y3459" s="1779"/>
      <c r="Z3459" s="1779"/>
      <c r="AA3459" s="1779"/>
      <c r="AB3459" s="1779"/>
      <c r="AC3459" s="1779"/>
      <c r="AD3459" s="1779"/>
      <c r="AE3459" s="1779"/>
      <c r="AF3459" s="1779"/>
      <c r="AG3459" s="1779"/>
      <c r="AH3459" s="1779"/>
      <c r="AI3459" s="1779"/>
      <c r="AJ3459" s="1779"/>
      <c r="AK3459" s="1779"/>
      <c r="AL3459" s="1779"/>
      <c r="AM3459" s="1779"/>
      <c r="AN3459" s="1779"/>
      <c r="AO3459" s="1779"/>
      <c r="AP3459" s="1779"/>
      <c r="AQ3459" s="1779"/>
      <c r="AR3459" s="1779"/>
      <c r="AS3459" s="1779"/>
      <c r="AT3459" s="1779"/>
      <c r="AU3459" s="1779"/>
      <c r="AV3459" s="1779"/>
    </row>
    <row r="3460" spans="1:48">
      <c r="A3460" s="1370"/>
      <c r="B3460" s="762" t="s">
        <v>1248</v>
      </c>
      <c r="C3460" s="762" t="s">
        <v>507</v>
      </c>
      <c r="D3460" s="1599"/>
      <c r="E3460" s="2245" t="s">
        <v>3053</v>
      </c>
      <c r="F3460" s="763">
        <v>2312</v>
      </c>
      <c r="G3460" s="1567" t="s">
        <v>5229</v>
      </c>
      <c r="H3460" s="1375"/>
      <c r="I3460" s="1375">
        <v>500</v>
      </c>
      <c r="J3460" s="1379"/>
      <c r="K3460" s="1652"/>
      <c r="L3460" s="1576"/>
      <c r="M3460" s="1576">
        <v>1500</v>
      </c>
      <c r="N3460" s="2847"/>
      <c r="O3460" s="86"/>
      <c r="P3460" s="1817" t="e">
        <f>INDEX(#REF!,MATCH(F3460,#REF!,0),2)</f>
        <v>#REF!</v>
      </c>
      <c r="Q3460">
        <v>1000</v>
      </c>
      <c r="R3460" s="1030">
        <f t="shared" si="1"/>
        <v>500</v>
      </c>
    </row>
    <row r="3461" spans="1:48" ht="22.5">
      <c r="A3461" s="762"/>
      <c r="B3461" s="762" t="s">
        <v>1248</v>
      </c>
      <c r="C3461" s="762" t="s">
        <v>507</v>
      </c>
      <c r="D3461" s="1599"/>
      <c r="E3461" s="2245" t="s">
        <v>3053</v>
      </c>
      <c r="F3461" s="763">
        <v>2312</v>
      </c>
      <c r="G3461" s="1567" t="s">
        <v>2403</v>
      </c>
      <c r="H3461" s="764"/>
      <c r="I3461" s="764">
        <v>1000</v>
      </c>
      <c r="J3461" s="765"/>
      <c r="K3461" s="1652"/>
      <c r="L3461" s="1576"/>
      <c r="M3461" s="1576"/>
      <c r="N3461" s="2847"/>
      <c r="O3461" s="86"/>
      <c r="P3461" s="1817" t="e">
        <f>INDEX(#REF!,MATCH(F3461,#REF!,0),2)</f>
        <v>#REF!</v>
      </c>
      <c r="Q3461">
        <v>3650</v>
      </c>
      <c r="R3461" s="1030">
        <f t="shared" si="1"/>
        <v>-3650</v>
      </c>
    </row>
    <row r="3462" spans="1:48">
      <c r="A3462" s="755" t="s">
        <v>782</v>
      </c>
      <c r="B3462" s="755" t="s">
        <v>566</v>
      </c>
      <c r="C3462" s="755" t="s">
        <v>508</v>
      </c>
      <c r="D3462" s="1600" t="s">
        <v>1764</v>
      </c>
      <c r="E3462" s="2247" t="s">
        <v>3053</v>
      </c>
      <c r="F3462" s="756">
        <v>2312</v>
      </c>
      <c r="G3462" s="757" t="s">
        <v>363</v>
      </c>
      <c r="H3462" s="759">
        <v>963</v>
      </c>
      <c r="I3462" s="759"/>
      <c r="J3462" s="760"/>
      <c r="K3462" s="1725"/>
      <c r="L3462" s="1580">
        <v>0</v>
      </c>
      <c r="M3462" s="1580"/>
      <c r="N3462" s="2847"/>
      <c r="O3462" s="86"/>
      <c r="P3462" s="1817" t="e">
        <f>INDEX(#REF!,MATCH(F3462,#REF!,0),2)</f>
        <v>#REF!</v>
      </c>
      <c r="R3462" s="1030"/>
    </row>
    <row r="3463" spans="1:48" ht="11.45" customHeight="1">
      <c r="A3463" s="762"/>
      <c r="B3463" s="762" t="s">
        <v>566</v>
      </c>
      <c r="C3463" s="762" t="s">
        <v>508</v>
      </c>
      <c r="D3463" s="1599"/>
      <c r="E3463" s="2245" t="s">
        <v>3053</v>
      </c>
      <c r="F3463" s="763">
        <v>2312</v>
      </c>
      <c r="G3463" s="846" t="s">
        <v>3281</v>
      </c>
      <c r="H3463" s="764"/>
      <c r="I3463" s="764">
        <v>484</v>
      </c>
      <c r="J3463" s="765"/>
      <c r="K3463" s="1652"/>
      <c r="L3463" s="1576"/>
      <c r="M3463" s="1576"/>
      <c r="N3463" s="2847"/>
      <c r="O3463" s="86"/>
      <c r="P3463" s="1817" t="e">
        <f>INDEX(#REF!,MATCH(F3463,#REF!,0),2)</f>
        <v>#REF!</v>
      </c>
      <c r="Q3463" s="1779"/>
      <c r="R3463" s="1030"/>
      <c r="S3463" s="1779"/>
      <c r="T3463" s="1779"/>
      <c r="U3463" s="1779"/>
      <c r="V3463" s="1779"/>
      <c r="W3463" s="43"/>
      <c r="X3463" s="1779"/>
      <c r="Y3463" s="1779"/>
      <c r="Z3463" s="1779"/>
      <c r="AA3463" s="1779"/>
      <c r="AB3463" s="1779"/>
      <c r="AC3463" s="1779"/>
      <c r="AD3463" s="1779"/>
      <c r="AE3463" s="1779"/>
      <c r="AF3463" s="1779"/>
      <c r="AG3463" s="1779"/>
      <c r="AH3463" s="1779"/>
      <c r="AI3463" s="1779"/>
      <c r="AJ3463" s="1779"/>
      <c r="AK3463" s="1779"/>
      <c r="AL3463" s="1779"/>
      <c r="AM3463" s="1779"/>
      <c r="AN3463" s="1779"/>
      <c r="AO3463" s="1779"/>
      <c r="AP3463" s="1779"/>
      <c r="AQ3463" s="1779"/>
      <c r="AR3463" s="1779"/>
      <c r="AS3463" s="1779"/>
      <c r="AT3463" s="1779"/>
      <c r="AU3463" s="1779"/>
      <c r="AV3463" s="1779"/>
    </row>
    <row r="3464" spans="1:48" ht="22.5">
      <c r="A3464" s="1882"/>
      <c r="B3464" s="762" t="s">
        <v>566</v>
      </c>
      <c r="C3464" s="762" t="s">
        <v>508</v>
      </c>
      <c r="D3464" s="1599"/>
      <c r="E3464" s="2245" t="s">
        <v>3053</v>
      </c>
      <c r="F3464" s="763">
        <v>2312</v>
      </c>
      <c r="G3464" s="846" t="s">
        <v>3282</v>
      </c>
      <c r="H3464" s="1650"/>
      <c r="I3464" s="1650">
        <v>479</v>
      </c>
      <c r="J3464" s="1651"/>
      <c r="K3464" s="1652"/>
      <c r="L3464" s="1892"/>
      <c r="M3464" s="1892"/>
      <c r="N3464" s="2847"/>
      <c r="O3464" s="86"/>
      <c r="P3464" s="1817" t="e">
        <f>INDEX(#REF!,MATCH(F3464,#REF!,0),2)</f>
        <v>#REF!</v>
      </c>
      <c r="R3464" s="1030"/>
    </row>
    <row r="3465" spans="1:48" ht="11.45" customHeight="1">
      <c r="A3465" s="755" t="s">
        <v>782</v>
      </c>
      <c r="B3465" s="755" t="s">
        <v>566</v>
      </c>
      <c r="C3465" s="755" t="s">
        <v>508</v>
      </c>
      <c r="D3465" s="1600" t="s">
        <v>1764</v>
      </c>
      <c r="E3465" s="2247" t="s">
        <v>3053</v>
      </c>
      <c r="F3465" s="756">
        <v>2322</v>
      </c>
      <c r="G3465" s="757" t="s">
        <v>319</v>
      </c>
      <c r="H3465" s="759">
        <v>120</v>
      </c>
      <c r="I3465" s="759"/>
      <c r="J3465" s="760"/>
      <c r="K3465" s="1725"/>
      <c r="L3465" s="1580">
        <v>600</v>
      </c>
      <c r="M3465" s="1580"/>
      <c r="N3465" s="2847"/>
      <c r="O3465" s="86"/>
      <c r="P3465" s="1817" t="e">
        <f>INDEX(#REF!,MATCH(F3465,#REF!,0),2)</f>
        <v>#REF!</v>
      </c>
      <c r="Q3465" s="11"/>
      <c r="R3465" s="1030">
        <f t="shared" si="1"/>
        <v>0</v>
      </c>
      <c r="S3465" s="11"/>
      <c r="T3465" s="11"/>
      <c r="U3465" s="11"/>
      <c r="V3465" s="11"/>
      <c r="W3465" s="4"/>
      <c r="X3465" s="11"/>
      <c r="Y3465" s="11"/>
      <c r="Z3465" s="11"/>
      <c r="AA3465" s="11"/>
      <c r="AB3465" s="11"/>
      <c r="AC3465" s="11"/>
      <c r="AD3465" s="11"/>
      <c r="AE3465" s="11"/>
      <c r="AF3465" s="11"/>
      <c r="AG3465" s="11"/>
      <c r="AH3465" s="11"/>
      <c r="AI3465" s="11"/>
      <c r="AJ3465" s="11"/>
      <c r="AK3465" s="11"/>
      <c r="AL3465" s="11"/>
      <c r="AM3465" s="11"/>
      <c r="AN3465" s="11"/>
      <c r="AO3465" s="11"/>
      <c r="AP3465" s="11"/>
      <c r="AQ3465" s="11"/>
      <c r="AR3465" s="11"/>
      <c r="AS3465" s="11"/>
      <c r="AT3465" s="11"/>
      <c r="AU3465" s="11"/>
      <c r="AV3465" s="11"/>
    </row>
    <row r="3466" spans="1:48" ht="12.6" customHeight="1">
      <c r="A3466" s="762"/>
      <c r="B3466" s="762" t="s">
        <v>566</v>
      </c>
      <c r="C3466" s="762" t="s">
        <v>508</v>
      </c>
      <c r="D3466" s="1599"/>
      <c r="E3466" s="2245" t="s">
        <v>3053</v>
      </c>
      <c r="F3466" s="763">
        <v>2322</v>
      </c>
      <c r="G3466" s="846" t="s">
        <v>3321</v>
      </c>
      <c r="H3466" s="764"/>
      <c r="I3466" s="764">
        <v>120</v>
      </c>
      <c r="J3466" s="765"/>
      <c r="K3466" s="1652"/>
      <c r="L3466" s="1576"/>
      <c r="M3466" s="1576">
        <v>600</v>
      </c>
      <c r="N3466" s="2847"/>
      <c r="O3466" s="86"/>
      <c r="P3466" s="1817" t="e">
        <f>INDEX(#REF!,MATCH(F3466,#REF!,0),2)</f>
        <v>#REF!</v>
      </c>
      <c r="Q3466" s="1779"/>
      <c r="R3466" s="1030">
        <f t="shared" si="1"/>
        <v>600</v>
      </c>
      <c r="S3466" s="1779"/>
      <c r="T3466" s="1779"/>
      <c r="U3466" s="1779"/>
      <c r="V3466" s="1779"/>
      <c r="W3466" s="43"/>
      <c r="X3466" s="1779"/>
      <c r="Y3466" s="1779"/>
      <c r="Z3466" s="1779"/>
      <c r="AA3466" s="1779"/>
      <c r="AB3466" s="1779"/>
      <c r="AC3466" s="1779"/>
      <c r="AD3466" s="1779"/>
      <c r="AE3466" s="1779"/>
      <c r="AF3466" s="1779"/>
      <c r="AG3466" s="1779"/>
      <c r="AH3466" s="1779"/>
      <c r="AI3466" s="1779"/>
      <c r="AJ3466" s="1779"/>
      <c r="AK3466" s="1779"/>
      <c r="AL3466" s="1779"/>
      <c r="AM3466" s="1779"/>
      <c r="AN3466" s="1779"/>
      <c r="AO3466" s="1779"/>
      <c r="AP3466" s="1779"/>
      <c r="AQ3466" s="1779"/>
      <c r="AR3466" s="1779"/>
      <c r="AS3466" s="1779"/>
      <c r="AT3466" s="1779"/>
      <c r="AU3466" s="1779"/>
      <c r="AV3466" s="1779"/>
    </row>
    <row r="3467" spans="1:48" ht="11.45" customHeight="1">
      <c r="A3467" s="755" t="s">
        <v>782</v>
      </c>
      <c r="B3467" s="755" t="s">
        <v>1248</v>
      </c>
      <c r="C3467" s="755" t="s">
        <v>507</v>
      </c>
      <c r="D3467" s="1600" t="s">
        <v>1764</v>
      </c>
      <c r="E3467" s="2247" t="s">
        <v>3053</v>
      </c>
      <c r="F3467" s="756">
        <v>2350</v>
      </c>
      <c r="G3467" s="757" t="s">
        <v>528</v>
      </c>
      <c r="H3467" s="759">
        <v>4600</v>
      </c>
      <c r="I3467" s="759"/>
      <c r="J3467" s="760"/>
      <c r="K3467" s="1725"/>
      <c r="L3467" s="1580">
        <v>3000</v>
      </c>
      <c r="M3467" s="1580"/>
      <c r="N3467" s="2847"/>
      <c r="O3467" s="86"/>
      <c r="P3467" s="1817" t="e">
        <f>INDEX(#REF!,MATCH(F3467,#REF!,0),2)</f>
        <v>#REF!</v>
      </c>
      <c r="Q3467" s="11"/>
      <c r="R3467" s="1030">
        <f t="shared" si="1"/>
        <v>0</v>
      </c>
      <c r="S3467" s="11"/>
      <c r="T3467" s="11"/>
      <c r="U3467" s="11"/>
      <c r="V3467" s="11"/>
      <c r="W3467" s="4"/>
      <c r="X3467" s="11"/>
      <c r="Y3467" s="11"/>
      <c r="Z3467" s="11"/>
      <c r="AA3467" s="11"/>
      <c r="AB3467" s="11"/>
      <c r="AC3467" s="11"/>
      <c r="AD3467" s="11"/>
      <c r="AE3467" s="11"/>
      <c r="AF3467" s="11"/>
      <c r="AG3467" s="11"/>
      <c r="AH3467" s="11"/>
      <c r="AI3467" s="11"/>
      <c r="AJ3467" s="11"/>
      <c r="AK3467" s="11"/>
      <c r="AL3467" s="11"/>
      <c r="AM3467" s="11"/>
      <c r="AN3467" s="11"/>
      <c r="AO3467" s="11"/>
      <c r="AP3467" s="11"/>
      <c r="AQ3467" s="11"/>
      <c r="AR3467" s="11"/>
      <c r="AS3467" s="11"/>
      <c r="AT3467" s="11"/>
      <c r="AU3467" s="11"/>
      <c r="AV3467" s="11"/>
    </row>
    <row r="3468" spans="1:48" ht="56.25">
      <c r="A3468" s="762"/>
      <c r="B3468" s="762" t="s">
        <v>1248</v>
      </c>
      <c r="C3468" s="762" t="s">
        <v>507</v>
      </c>
      <c r="D3468" s="1599"/>
      <c r="E3468" s="2245" t="s">
        <v>3053</v>
      </c>
      <c r="F3468" s="763">
        <v>2350</v>
      </c>
      <c r="G3468" s="846" t="s">
        <v>5228</v>
      </c>
      <c r="H3468" s="764"/>
      <c r="I3468" s="764">
        <v>1000</v>
      </c>
      <c r="J3468" s="765"/>
      <c r="K3468" s="1652"/>
      <c r="L3468" s="1576"/>
      <c r="M3468" s="1576">
        <v>3000</v>
      </c>
      <c r="N3468" s="2847"/>
      <c r="O3468" s="86"/>
      <c r="P3468" s="1817" t="e">
        <f>INDEX(#REF!,MATCH(F3468,#REF!,0),2)</f>
        <v>#REF!</v>
      </c>
      <c r="Q3468" s="1779">
        <v>900</v>
      </c>
      <c r="R3468" s="1030">
        <f t="shared" si="1"/>
        <v>2100</v>
      </c>
      <c r="S3468" s="1779"/>
      <c r="T3468" s="1779"/>
      <c r="U3468" s="1779"/>
      <c r="V3468" s="1779"/>
      <c r="W3468" s="43"/>
      <c r="X3468" s="1779"/>
      <c r="Y3468" s="1779"/>
      <c r="Z3468" s="1779"/>
      <c r="AA3468" s="1779"/>
      <c r="AB3468" s="1779"/>
      <c r="AC3468" s="1779"/>
      <c r="AD3468" s="1779"/>
      <c r="AE3468" s="1779"/>
      <c r="AF3468" s="1779"/>
      <c r="AG3468" s="1779"/>
      <c r="AH3468" s="1779"/>
      <c r="AI3468" s="1779"/>
      <c r="AJ3468" s="1779"/>
      <c r="AK3468" s="1779"/>
      <c r="AL3468" s="1779"/>
      <c r="AM3468" s="1779"/>
      <c r="AN3468" s="1779"/>
      <c r="AO3468" s="1779"/>
      <c r="AP3468" s="1779"/>
      <c r="AQ3468" s="1779"/>
      <c r="AR3468" s="1779"/>
      <c r="AS3468" s="1779"/>
      <c r="AT3468" s="1779"/>
      <c r="AU3468" s="1779"/>
      <c r="AV3468" s="1779"/>
    </row>
    <row r="3469" spans="1:48" ht="11.45" customHeight="1">
      <c r="A3469" s="1882"/>
      <c r="B3469" s="762" t="s">
        <v>1248</v>
      </c>
      <c r="C3469" s="762" t="s">
        <v>507</v>
      </c>
      <c r="D3469" s="1599"/>
      <c r="E3469" s="2245" t="s">
        <v>3053</v>
      </c>
      <c r="F3469" s="763">
        <v>2350</v>
      </c>
      <c r="G3469" s="1913" t="s">
        <v>528</v>
      </c>
      <c r="H3469" s="1650"/>
      <c r="I3469" s="1650">
        <v>3650</v>
      </c>
      <c r="J3469" s="1651"/>
      <c r="K3469" s="1652"/>
      <c r="L3469" s="1892"/>
      <c r="M3469" s="1892"/>
      <c r="N3469" s="2847"/>
      <c r="O3469" s="86"/>
      <c r="P3469" s="1817" t="e">
        <f>INDEX(#REF!,MATCH(F3469,#REF!,0),2)</f>
        <v>#REF!</v>
      </c>
      <c r="Q3469" s="11"/>
      <c r="R3469" s="1030"/>
      <c r="S3469" s="11"/>
      <c r="T3469" s="11"/>
      <c r="U3469" s="11"/>
      <c r="V3469" s="11"/>
      <c r="W3469" s="4"/>
      <c r="X3469" s="11"/>
      <c r="Y3469" s="11"/>
      <c r="Z3469" s="11"/>
      <c r="AA3469" s="11"/>
      <c r="AB3469" s="11"/>
      <c r="AC3469" s="11"/>
      <c r="AD3469" s="11"/>
      <c r="AE3469" s="11"/>
      <c r="AF3469" s="11"/>
      <c r="AG3469" s="11"/>
      <c r="AH3469" s="11"/>
      <c r="AI3469" s="11"/>
      <c r="AJ3469" s="11"/>
      <c r="AK3469" s="11"/>
      <c r="AL3469" s="11"/>
      <c r="AM3469" s="11"/>
      <c r="AN3469" s="11"/>
      <c r="AO3469" s="11"/>
      <c r="AP3469" s="11"/>
      <c r="AQ3469" s="11"/>
      <c r="AR3469" s="11"/>
      <c r="AS3469" s="11"/>
      <c r="AT3469" s="11"/>
      <c r="AU3469" s="11"/>
      <c r="AV3469" s="11"/>
    </row>
    <row r="3470" spans="1:48">
      <c r="A3470" s="1882"/>
      <c r="B3470" s="762" t="s">
        <v>1248</v>
      </c>
      <c r="C3470" s="762" t="s">
        <v>507</v>
      </c>
      <c r="D3470" s="1599"/>
      <c r="E3470" s="2245" t="s">
        <v>3053</v>
      </c>
      <c r="F3470" s="763">
        <v>2350</v>
      </c>
      <c r="G3470" s="1913" t="s">
        <v>2000</v>
      </c>
      <c r="H3470" s="1650"/>
      <c r="I3470" s="1650">
        <v>-50</v>
      </c>
      <c r="J3470" s="1651"/>
      <c r="K3470" s="1652"/>
      <c r="L3470" s="1892"/>
      <c r="M3470" s="1892"/>
      <c r="N3470" s="2847"/>
      <c r="O3470" s="86"/>
      <c r="P3470" s="1817" t="e">
        <f>INDEX(#REF!,MATCH(F3470,#REF!,0),2)</f>
        <v>#REF!</v>
      </c>
      <c r="Q3470" s="1779"/>
      <c r="R3470" s="1030"/>
      <c r="S3470" s="1779"/>
      <c r="T3470" s="1779"/>
      <c r="U3470" s="1779"/>
      <c r="V3470" s="1779"/>
      <c r="W3470" s="43"/>
      <c r="X3470" s="1779"/>
      <c r="Y3470" s="1779"/>
      <c r="Z3470" s="1779"/>
      <c r="AA3470" s="1779"/>
      <c r="AB3470" s="1779"/>
      <c r="AC3470" s="1779"/>
      <c r="AD3470" s="1779"/>
      <c r="AE3470" s="1779"/>
      <c r="AF3470" s="1779"/>
      <c r="AG3470" s="1779"/>
      <c r="AH3470" s="1779"/>
      <c r="AI3470" s="1779"/>
      <c r="AJ3470" s="1779"/>
      <c r="AK3470" s="1779"/>
      <c r="AL3470" s="1779"/>
      <c r="AM3470" s="1779"/>
      <c r="AN3470" s="1779"/>
      <c r="AO3470" s="1779"/>
      <c r="AP3470" s="1779"/>
      <c r="AQ3470" s="1779"/>
      <c r="AR3470" s="1779"/>
      <c r="AS3470" s="1779"/>
      <c r="AT3470" s="1779"/>
      <c r="AU3470" s="1779"/>
      <c r="AV3470" s="1779"/>
    </row>
    <row r="3471" spans="1:48">
      <c r="A3471" s="755"/>
      <c r="B3471" s="755" t="s">
        <v>1248</v>
      </c>
      <c r="C3471" s="755" t="s">
        <v>507</v>
      </c>
      <c r="D3471" s="1600" t="s">
        <v>1764</v>
      </c>
      <c r="E3471" s="2247" t="s">
        <v>3053</v>
      </c>
      <c r="F3471" s="756">
        <v>2390</v>
      </c>
      <c r="G3471" s="757" t="s">
        <v>253</v>
      </c>
      <c r="H3471" s="759">
        <v>50</v>
      </c>
      <c r="I3471" s="759"/>
      <c r="J3471" s="760"/>
      <c r="K3471" s="1725"/>
      <c r="L3471" s="1580">
        <v>50</v>
      </c>
      <c r="M3471" s="1580"/>
      <c r="N3471" s="2847"/>
      <c r="O3471" s="86"/>
      <c r="P3471" s="1817" t="e">
        <f>INDEX(#REF!,MATCH(F3471,#REF!,0),2)</f>
        <v>#REF!</v>
      </c>
      <c r="Q3471" s="1779"/>
      <c r="R3471" s="1030"/>
      <c r="S3471" s="1779"/>
      <c r="T3471" s="1779"/>
      <c r="U3471" s="1779"/>
      <c r="V3471" s="1779"/>
      <c r="W3471" s="43"/>
      <c r="X3471" s="1779"/>
      <c r="Y3471" s="1779"/>
      <c r="Z3471" s="1779"/>
      <c r="AA3471" s="1779"/>
      <c r="AB3471" s="1779"/>
      <c r="AC3471" s="1779"/>
      <c r="AD3471" s="1779"/>
      <c r="AE3471" s="1779"/>
      <c r="AF3471" s="1779"/>
      <c r="AG3471" s="1779"/>
      <c r="AH3471" s="1779"/>
      <c r="AI3471" s="1779"/>
      <c r="AJ3471" s="1779"/>
      <c r="AK3471" s="1779"/>
      <c r="AL3471" s="1779"/>
      <c r="AM3471" s="1779"/>
      <c r="AN3471" s="1779"/>
      <c r="AO3471" s="1779"/>
      <c r="AP3471" s="1779"/>
      <c r="AQ3471" s="1779"/>
      <c r="AR3471" s="1779"/>
      <c r="AS3471" s="1779"/>
      <c r="AT3471" s="1779"/>
      <c r="AU3471" s="1779"/>
      <c r="AV3471" s="1779"/>
    </row>
    <row r="3472" spans="1:48" ht="11.45" customHeight="1">
      <c r="A3472" s="1882"/>
      <c r="B3472" s="1882" t="s">
        <v>1248</v>
      </c>
      <c r="C3472" s="1882" t="s">
        <v>507</v>
      </c>
      <c r="D3472" s="1935"/>
      <c r="E3472" s="2229" t="s">
        <v>3053</v>
      </c>
      <c r="F3472" s="1936">
        <v>2390</v>
      </c>
      <c r="G3472" s="1913" t="s">
        <v>2000</v>
      </c>
      <c r="H3472" s="1650"/>
      <c r="I3472" s="1650">
        <v>50</v>
      </c>
      <c r="J3472" s="1651"/>
      <c r="K3472" s="1652"/>
      <c r="L3472" s="1892"/>
      <c r="M3472" s="1892">
        <v>50</v>
      </c>
      <c r="N3472" s="2847"/>
      <c r="O3472" s="86"/>
      <c r="P3472" s="1817" t="e">
        <f>INDEX(#REF!,MATCH(F3472,#REF!,0),2)</f>
        <v>#REF!</v>
      </c>
      <c r="Q3472" s="11"/>
      <c r="R3472" s="1030">
        <f t="shared" si="1"/>
        <v>50</v>
      </c>
      <c r="S3472" s="11"/>
      <c r="T3472" s="11"/>
      <c r="U3472" s="11"/>
      <c r="V3472" s="11"/>
      <c r="W3472" s="4"/>
      <c r="X3472" s="11"/>
      <c r="Y3472" s="11"/>
      <c r="Z3472" s="11"/>
      <c r="AA3472" s="11"/>
      <c r="AB3472" s="11"/>
      <c r="AC3472" s="11"/>
      <c r="AD3472" s="11"/>
      <c r="AE3472" s="11"/>
      <c r="AF3472" s="11"/>
      <c r="AG3472" s="11"/>
      <c r="AH3472" s="11"/>
      <c r="AI3472" s="11"/>
      <c r="AJ3472" s="11"/>
      <c r="AK3472" s="11"/>
      <c r="AL3472" s="11"/>
      <c r="AM3472" s="11"/>
      <c r="AN3472" s="11"/>
      <c r="AO3472" s="11"/>
      <c r="AP3472" s="11"/>
      <c r="AQ3472" s="11"/>
      <c r="AR3472" s="11"/>
      <c r="AS3472" s="11"/>
      <c r="AT3472" s="11"/>
      <c r="AU3472" s="11"/>
      <c r="AV3472" s="11"/>
    </row>
    <row r="3473" spans="1:48" ht="12.6" customHeight="1">
      <c r="A3473" s="755" t="s">
        <v>782</v>
      </c>
      <c r="B3473" s="755" t="s">
        <v>566</v>
      </c>
      <c r="C3473" s="755" t="s">
        <v>508</v>
      </c>
      <c r="D3473" s="1600" t="s">
        <v>1764</v>
      </c>
      <c r="E3473" s="2247" t="s">
        <v>3053</v>
      </c>
      <c r="F3473" s="788">
        <v>5218</v>
      </c>
      <c r="G3473" s="757" t="s">
        <v>2026</v>
      </c>
      <c r="H3473" s="759">
        <v>0</v>
      </c>
      <c r="I3473" s="759"/>
      <c r="J3473" s="760"/>
      <c r="K3473" s="1724"/>
      <c r="L3473" s="1580">
        <v>0</v>
      </c>
      <c r="M3473" s="1580"/>
      <c r="N3473" s="2847"/>
      <c r="O3473" s="86"/>
      <c r="P3473" s="1817" t="e">
        <f>INDEX(#REF!,MATCH(F3473,#REF!,0),2)</f>
        <v>#REF!</v>
      </c>
      <c r="Q3473" s="1779">
        <v>1000</v>
      </c>
      <c r="R3473" s="1030">
        <f t="shared" si="1"/>
        <v>-1000</v>
      </c>
      <c r="S3473" s="1779"/>
      <c r="T3473" s="1779"/>
      <c r="U3473" s="1779"/>
      <c r="V3473" s="1779"/>
      <c r="W3473" s="43"/>
      <c r="X3473" s="1779"/>
      <c r="Y3473" s="1779"/>
      <c r="Z3473" s="1779"/>
      <c r="AA3473" s="1779"/>
      <c r="AB3473" s="1779"/>
      <c r="AC3473" s="1779"/>
      <c r="AD3473" s="1779"/>
      <c r="AE3473" s="1779"/>
      <c r="AF3473" s="1779"/>
      <c r="AG3473" s="1779"/>
      <c r="AH3473" s="1779"/>
      <c r="AI3473" s="1779"/>
      <c r="AJ3473" s="1779"/>
      <c r="AK3473" s="1779"/>
      <c r="AL3473" s="1779"/>
      <c r="AM3473" s="1779"/>
      <c r="AN3473" s="1779"/>
      <c r="AO3473" s="1779"/>
      <c r="AP3473" s="1779"/>
      <c r="AQ3473" s="1779"/>
      <c r="AR3473" s="1779"/>
      <c r="AS3473" s="1779"/>
      <c r="AT3473" s="1779"/>
      <c r="AU3473" s="1779"/>
      <c r="AV3473" s="1779"/>
    </row>
    <row r="3474" spans="1:48" ht="17.45" customHeight="1">
      <c r="A3474" s="762"/>
      <c r="B3474" s="762" t="s">
        <v>566</v>
      </c>
      <c r="C3474" s="762" t="s">
        <v>508</v>
      </c>
      <c r="D3474" s="1599"/>
      <c r="E3474" s="2245" t="s">
        <v>3053</v>
      </c>
      <c r="F3474" s="773">
        <v>5218</v>
      </c>
      <c r="G3474" s="772"/>
      <c r="H3474" s="764"/>
      <c r="I3474" s="764"/>
      <c r="J3474" s="765"/>
      <c r="K3474" s="1652"/>
      <c r="L3474" s="1576"/>
      <c r="M3474" s="1576"/>
      <c r="N3474" s="2847"/>
      <c r="O3474" s="86"/>
      <c r="P3474" s="1817" t="e">
        <f>INDEX(#REF!,MATCH(F3474,#REF!,0),2)</f>
        <v>#REF!</v>
      </c>
      <c r="Q3474" s="11"/>
      <c r="R3474" s="1030">
        <f t="shared" si="1"/>
        <v>0</v>
      </c>
      <c r="S3474" s="11"/>
      <c r="T3474" s="11"/>
      <c r="U3474" s="11"/>
      <c r="V3474" s="11"/>
      <c r="W3474" s="4"/>
      <c r="X3474" s="11"/>
      <c r="Y3474" s="11"/>
      <c r="Z3474" s="11"/>
      <c r="AA3474" s="11"/>
      <c r="AB3474" s="11"/>
      <c r="AC3474" s="11"/>
      <c r="AD3474" s="11"/>
      <c r="AE3474" s="11"/>
      <c r="AF3474" s="11"/>
      <c r="AG3474" s="11"/>
      <c r="AH3474" s="11"/>
      <c r="AI3474" s="11"/>
      <c r="AJ3474" s="11"/>
      <c r="AK3474" s="11"/>
      <c r="AL3474" s="11"/>
      <c r="AM3474" s="11"/>
      <c r="AN3474" s="11"/>
      <c r="AO3474" s="11"/>
      <c r="AP3474" s="11"/>
      <c r="AQ3474" s="11"/>
      <c r="AR3474" s="11"/>
      <c r="AS3474" s="11"/>
      <c r="AT3474" s="11"/>
      <c r="AU3474" s="11"/>
      <c r="AV3474" s="11"/>
    </row>
    <row r="3475" spans="1:48" ht="12.6" customHeight="1">
      <c r="A3475" s="755" t="s">
        <v>782</v>
      </c>
      <c r="B3475" s="755" t="s">
        <v>1250</v>
      </c>
      <c r="C3475" s="755" t="s">
        <v>508</v>
      </c>
      <c r="D3475" s="1600" t="s">
        <v>1764</v>
      </c>
      <c r="E3475" s="2247" t="s">
        <v>3053</v>
      </c>
      <c r="F3475" s="788">
        <v>5238</v>
      </c>
      <c r="G3475" s="757" t="s">
        <v>257</v>
      </c>
      <c r="H3475" s="759">
        <v>900</v>
      </c>
      <c r="I3475" s="759"/>
      <c r="J3475" s="760"/>
      <c r="K3475" s="1724"/>
      <c r="L3475" s="1580">
        <v>0</v>
      </c>
      <c r="M3475" s="1580"/>
      <c r="N3475" s="2847"/>
      <c r="O3475" s="86"/>
      <c r="P3475" s="1817" t="e">
        <f>INDEX(#REF!,MATCH(F3475,#REF!,0),2)</f>
        <v>#REF!</v>
      </c>
      <c r="Q3475" s="1779"/>
      <c r="R3475" s="1030">
        <f t="shared" si="1"/>
        <v>0</v>
      </c>
      <c r="S3475" s="1779"/>
      <c r="T3475" s="1779"/>
      <c r="U3475" s="1779"/>
      <c r="V3475" s="1779"/>
      <c r="W3475" s="43"/>
      <c r="X3475" s="1779"/>
      <c r="Y3475" s="1779"/>
      <c r="Z3475" s="1779"/>
      <c r="AA3475" s="1779"/>
      <c r="AB3475" s="1779"/>
      <c r="AC3475" s="1779"/>
      <c r="AD3475" s="1779"/>
      <c r="AE3475" s="1779"/>
      <c r="AF3475" s="1779"/>
      <c r="AG3475" s="1779"/>
      <c r="AH3475" s="1779"/>
      <c r="AI3475" s="1779"/>
      <c r="AJ3475" s="1779"/>
      <c r="AK3475" s="1779"/>
      <c r="AL3475" s="1779"/>
      <c r="AM3475" s="1779"/>
      <c r="AN3475" s="1779"/>
      <c r="AO3475" s="1779"/>
      <c r="AP3475" s="1779"/>
      <c r="AQ3475" s="1779"/>
      <c r="AR3475" s="1779"/>
      <c r="AS3475" s="1779"/>
      <c r="AT3475" s="1779"/>
      <c r="AU3475" s="1779"/>
      <c r="AV3475" s="1779"/>
    </row>
    <row r="3476" spans="1:48" ht="12.6" customHeight="1">
      <c r="A3476" s="762"/>
      <c r="B3476" s="762" t="s">
        <v>1250</v>
      </c>
      <c r="C3476" s="762" t="s">
        <v>508</v>
      </c>
      <c r="D3476" s="1599"/>
      <c r="E3476" s="2245" t="s">
        <v>3053</v>
      </c>
      <c r="F3476" s="773">
        <v>5238</v>
      </c>
      <c r="G3476" s="772"/>
      <c r="H3476" s="764"/>
      <c r="I3476" s="764">
        <v>900</v>
      </c>
      <c r="J3476" s="765"/>
      <c r="K3476" s="1652"/>
      <c r="L3476" s="1576"/>
      <c r="M3476" s="1576"/>
      <c r="N3476" s="2847"/>
      <c r="O3476" s="86"/>
      <c r="P3476" s="1817" t="e">
        <f>INDEX(#REF!,MATCH(F3476,#REF!,0),2)</f>
        <v>#REF!</v>
      </c>
      <c r="Q3476" s="1779"/>
      <c r="R3476" s="1030">
        <f t="shared" si="1"/>
        <v>0</v>
      </c>
      <c r="S3476" s="1779"/>
      <c r="T3476" s="1779"/>
      <c r="U3476" s="1779"/>
      <c r="V3476" s="1779"/>
      <c r="W3476" s="43"/>
      <c r="X3476" s="1779"/>
      <c r="Y3476" s="1779"/>
      <c r="Z3476" s="1779"/>
      <c r="AA3476" s="1779"/>
      <c r="AB3476" s="1779"/>
      <c r="AC3476" s="1779"/>
      <c r="AD3476" s="1779"/>
      <c r="AE3476" s="1779"/>
      <c r="AF3476" s="1779"/>
      <c r="AG3476" s="1779"/>
      <c r="AH3476" s="1779"/>
      <c r="AI3476" s="1779"/>
      <c r="AJ3476" s="1779"/>
      <c r="AK3476" s="1779"/>
      <c r="AL3476" s="1779"/>
      <c r="AM3476" s="1779"/>
      <c r="AN3476" s="1779"/>
      <c r="AO3476" s="1779"/>
      <c r="AP3476" s="1779"/>
      <c r="AQ3476" s="1779"/>
      <c r="AR3476" s="1779"/>
      <c r="AS3476" s="1779"/>
      <c r="AT3476" s="1779"/>
      <c r="AU3476" s="1779"/>
      <c r="AV3476" s="1779"/>
    </row>
    <row r="3477" spans="1:48" ht="11.45" customHeight="1">
      <c r="A3477" s="755" t="s">
        <v>782</v>
      </c>
      <c r="B3477" s="755" t="s">
        <v>566</v>
      </c>
      <c r="C3477" s="755" t="s">
        <v>508</v>
      </c>
      <c r="D3477" s="1600" t="s">
        <v>1764</v>
      </c>
      <c r="E3477" s="2247" t="s">
        <v>3053</v>
      </c>
      <c r="F3477" s="788">
        <v>5238</v>
      </c>
      <c r="G3477" s="757" t="s">
        <v>257</v>
      </c>
      <c r="H3477" s="759">
        <v>6548</v>
      </c>
      <c r="I3477" s="759"/>
      <c r="J3477" s="760"/>
      <c r="K3477" s="1724"/>
      <c r="L3477" s="1580">
        <v>0</v>
      </c>
      <c r="M3477" s="1580"/>
      <c r="N3477" s="2847"/>
      <c r="O3477" s="86"/>
      <c r="P3477" s="1817" t="e">
        <f>INDEX(#REF!,MATCH(F3477,#REF!,0),2)</f>
        <v>#REF!</v>
      </c>
      <c r="Q3477" s="11"/>
      <c r="R3477" s="1030">
        <f t="shared" si="1"/>
        <v>0</v>
      </c>
      <c r="S3477" s="11"/>
      <c r="T3477" s="11"/>
      <c r="U3477" s="11"/>
      <c r="V3477" s="11"/>
      <c r="W3477" s="4"/>
      <c r="X3477" s="11"/>
      <c r="Y3477" s="11"/>
      <c r="Z3477" s="11"/>
      <c r="AA3477" s="11"/>
      <c r="AB3477" s="11"/>
      <c r="AC3477" s="11"/>
      <c r="AD3477" s="11"/>
      <c r="AE3477" s="11"/>
      <c r="AF3477" s="11"/>
      <c r="AG3477" s="11"/>
      <c r="AH3477" s="11"/>
      <c r="AI3477" s="11"/>
      <c r="AJ3477" s="11"/>
      <c r="AK3477" s="11"/>
      <c r="AL3477" s="11"/>
      <c r="AM3477" s="11"/>
      <c r="AN3477" s="11"/>
      <c r="AO3477" s="11"/>
      <c r="AP3477" s="11"/>
      <c r="AQ3477" s="11"/>
      <c r="AR3477" s="11"/>
      <c r="AS3477" s="11"/>
      <c r="AT3477" s="11"/>
      <c r="AU3477" s="11"/>
      <c r="AV3477" s="11"/>
    </row>
    <row r="3478" spans="1:48" ht="17.45" customHeight="1">
      <c r="A3478" s="1882"/>
      <c r="B3478" s="762" t="s">
        <v>566</v>
      </c>
      <c r="C3478" s="762" t="s">
        <v>508</v>
      </c>
      <c r="D3478" s="1599"/>
      <c r="E3478" s="2245" t="s">
        <v>3053</v>
      </c>
      <c r="F3478" s="773">
        <v>5238</v>
      </c>
      <c r="G3478" s="1884" t="s">
        <v>3251</v>
      </c>
      <c r="H3478" s="1650"/>
      <c r="I3478" s="1650">
        <v>3812</v>
      </c>
      <c r="J3478" s="1651"/>
      <c r="K3478" s="1652"/>
      <c r="L3478" s="1892"/>
      <c r="M3478" s="1892"/>
      <c r="N3478" s="2847"/>
      <c r="O3478" s="86"/>
      <c r="P3478" s="1817" t="e">
        <f>INDEX(#REF!,MATCH(F3478,#REF!,0),2)</f>
        <v>#REF!</v>
      </c>
      <c r="Q3478" s="1779">
        <v>63881</v>
      </c>
      <c r="R3478" s="1030">
        <f t="shared" ref="R3478:R3489" si="2">M3478-Q3478</f>
        <v>-63881</v>
      </c>
      <c r="S3478" s="1779"/>
      <c r="T3478" s="1779"/>
      <c r="U3478" s="1779"/>
      <c r="V3478" s="1779"/>
      <c r="W3478" s="43"/>
      <c r="X3478" s="1779"/>
      <c r="Y3478" s="1779"/>
      <c r="Z3478" s="1779"/>
      <c r="AA3478" s="1779"/>
      <c r="AB3478" s="1779"/>
      <c r="AC3478" s="1779"/>
      <c r="AD3478" s="1779"/>
      <c r="AE3478" s="1779"/>
      <c r="AF3478" s="1779"/>
      <c r="AG3478" s="1779"/>
      <c r="AH3478" s="1779"/>
      <c r="AI3478" s="1779"/>
      <c r="AJ3478" s="1779"/>
      <c r="AK3478" s="1779"/>
      <c r="AL3478" s="1779"/>
      <c r="AM3478" s="1779"/>
      <c r="AN3478" s="1779"/>
      <c r="AO3478" s="1779"/>
      <c r="AP3478" s="1779"/>
      <c r="AQ3478" s="1779"/>
      <c r="AR3478" s="1779"/>
      <c r="AS3478" s="1779"/>
      <c r="AT3478" s="1779"/>
      <c r="AU3478" s="1779"/>
      <c r="AV3478" s="1779"/>
    </row>
    <row r="3479" spans="1:48" ht="17.45" customHeight="1">
      <c r="A3479" s="1882"/>
      <c r="B3479" s="762" t="s">
        <v>566</v>
      </c>
      <c r="C3479" s="762" t="s">
        <v>508</v>
      </c>
      <c r="D3479" s="1599"/>
      <c r="E3479" s="2245" t="s">
        <v>3053</v>
      </c>
      <c r="F3479" s="773">
        <v>5238</v>
      </c>
      <c r="G3479" s="1884" t="s">
        <v>3288</v>
      </c>
      <c r="H3479" s="1650"/>
      <c r="I3479" s="1650">
        <v>2736</v>
      </c>
      <c r="J3479" s="1651"/>
      <c r="K3479" s="1652"/>
      <c r="L3479" s="1892"/>
      <c r="M3479" s="1892"/>
      <c r="N3479" s="2847"/>
      <c r="O3479" s="86"/>
      <c r="P3479" s="1817" t="e">
        <f>INDEX(#REF!,MATCH(F3479,#REF!,0),2)</f>
        <v>#REF!</v>
      </c>
      <c r="Q3479" s="1779"/>
      <c r="R3479" s="1030"/>
      <c r="S3479" s="1779"/>
      <c r="T3479" s="1779"/>
      <c r="U3479" s="1779"/>
      <c r="V3479" s="1779"/>
      <c r="W3479" s="43"/>
      <c r="X3479" s="1779"/>
      <c r="Y3479" s="1779"/>
      <c r="Z3479" s="1779"/>
      <c r="AA3479" s="1779"/>
      <c r="AB3479" s="1779"/>
      <c r="AC3479" s="1779"/>
      <c r="AD3479" s="1779"/>
      <c r="AE3479" s="1779"/>
      <c r="AF3479" s="1779"/>
      <c r="AG3479" s="1779"/>
      <c r="AH3479" s="1779"/>
      <c r="AI3479" s="1779"/>
      <c r="AJ3479" s="1779"/>
      <c r="AK3479" s="1779"/>
      <c r="AL3479" s="1779"/>
      <c r="AM3479" s="1779"/>
      <c r="AN3479" s="1779"/>
      <c r="AO3479" s="1779"/>
      <c r="AP3479" s="1779"/>
      <c r="AQ3479" s="1779"/>
      <c r="AR3479" s="1779"/>
      <c r="AS3479" s="1779"/>
      <c r="AT3479" s="1779"/>
      <c r="AU3479" s="1779"/>
      <c r="AV3479" s="1779"/>
    </row>
    <row r="3480" spans="1:48" ht="17.45" customHeight="1">
      <c r="A3480" s="755" t="s">
        <v>782</v>
      </c>
      <c r="B3480" s="755" t="s">
        <v>1250</v>
      </c>
      <c r="C3480" s="755" t="s">
        <v>508</v>
      </c>
      <c r="D3480" s="1600" t="s">
        <v>1764</v>
      </c>
      <c r="E3480" s="2247" t="s">
        <v>3053</v>
      </c>
      <c r="F3480" s="788">
        <v>5239</v>
      </c>
      <c r="G3480" s="757" t="s">
        <v>2574</v>
      </c>
      <c r="H3480" s="759">
        <v>1000</v>
      </c>
      <c r="I3480" s="759"/>
      <c r="J3480" s="760"/>
      <c r="K3480" s="1724"/>
      <c r="L3480" s="1580">
        <v>1000</v>
      </c>
      <c r="M3480" s="1580"/>
      <c r="N3480" s="2847"/>
      <c r="O3480" s="86"/>
      <c r="P3480" s="1817" t="e">
        <f>INDEX(#REF!,MATCH(F3480,#REF!,0),2)</f>
        <v>#REF!</v>
      </c>
      <c r="Q3480" s="1779">
        <v>60559</v>
      </c>
      <c r="R3480" s="1030">
        <f t="shared" si="2"/>
        <v>-60559</v>
      </c>
      <c r="S3480" s="1779"/>
      <c r="T3480" s="1779"/>
      <c r="U3480" s="1779"/>
      <c r="V3480" s="1779"/>
      <c r="W3480" s="43"/>
      <c r="X3480" s="1779"/>
      <c r="Y3480" s="1779"/>
      <c r="Z3480" s="1779"/>
      <c r="AA3480" s="1779"/>
      <c r="AB3480" s="1779"/>
      <c r="AC3480" s="1779"/>
      <c r="AD3480" s="1779"/>
      <c r="AE3480" s="1779"/>
      <c r="AF3480" s="1779"/>
      <c r="AG3480" s="1779"/>
      <c r="AH3480" s="1779"/>
      <c r="AI3480" s="1779"/>
      <c r="AJ3480" s="1779"/>
      <c r="AK3480" s="1779"/>
      <c r="AL3480" s="1779"/>
      <c r="AM3480" s="1779"/>
      <c r="AN3480" s="1779"/>
      <c r="AO3480" s="1779"/>
      <c r="AP3480" s="1779"/>
      <c r="AQ3480" s="1779"/>
      <c r="AR3480" s="1779"/>
      <c r="AS3480" s="1779"/>
      <c r="AT3480" s="1779"/>
      <c r="AU3480" s="1779"/>
      <c r="AV3480" s="1779"/>
    </row>
    <row r="3481" spans="1:48" ht="17.45" customHeight="1">
      <c r="A3481" s="762"/>
      <c r="B3481" s="762" t="s">
        <v>1250</v>
      </c>
      <c r="C3481" s="762" t="s">
        <v>508</v>
      </c>
      <c r="D3481" s="1599"/>
      <c r="E3481" s="2245" t="s">
        <v>3053</v>
      </c>
      <c r="F3481" s="773">
        <v>5239</v>
      </c>
      <c r="G3481" s="772" t="s">
        <v>1528</v>
      </c>
      <c r="H3481" s="764"/>
      <c r="I3481" s="764">
        <v>1000</v>
      </c>
      <c r="J3481" s="765"/>
      <c r="K3481" s="1652"/>
      <c r="L3481" s="1576"/>
      <c r="M3481" s="1576">
        <v>1000</v>
      </c>
      <c r="N3481" s="2847"/>
      <c r="O3481" s="86"/>
      <c r="P3481" s="1817" t="e">
        <f>INDEX(#REF!,MATCH(F3481,#REF!,0),2)</f>
        <v>#REF!</v>
      </c>
      <c r="Q3481" s="1779"/>
      <c r="R3481" s="1030"/>
      <c r="S3481" s="1779"/>
      <c r="T3481" s="1779"/>
      <c r="U3481" s="1779"/>
      <c r="V3481" s="1779"/>
      <c r="W3481" s="43"/>
      <c r="X3481" s="1779"/>
      <c r="Y3481" s="1779"/>
      <c r="Z3481" s="1779"/>
      <c r="AA3481" s="1779"/>
      <c r="AB3481" s="1779"/>
      <c r="AC3481" s="1779"/>
      <c r="AD3481" s="1779"/>
      <c r="AE3481" s="1779"/>
      <c r="AF3481" s="1779"/>
      <c r="AG3481" s="1779"/>
      <c r="AH3481" s="1779"/>
      <c r="AI3481" s="1779"/>
      <c r="AJ3481" s="1779"/>
      <c r="AK3481" s="1779"/>
      <c r="AL3481" s="1779"/>
      <c r="AM3481" s="1779"/>
      <c r="AN3481" s="1779"/>
      <c r="AO3481" s="1779"/>
      <c r="AP3481" s="1779"/>
      <c r="AQ3481" s="1779"/>
      <c r="AR3481" s="1779"/>
      <c r="AS3481" s="1779"/>
      <c r="AT3481" s="1779"/>
      <c r="AU3481" s="1779"/>
      <c r="AV3481" s="1779"/>
    </row>
    <row r="3482" spans="1:48" ht="17.45" customHeight="1">
      <c r="A3482" s="755" t="s">
        <v>782</v>
      </c>
      <c r="B3482" s="755" t="s">
        <v>566</v>
      </c>
      <c r="C3482" s="755" t="s">
        <v>508</v>
      </c>
      <c r="D3482" s="1600" t="s">
        <v>1764</v>
      </c>
      <c r="E3482" s="2247" t="s">
        <v>3053</v>
      </c>
      <c r="F3482" s="788">
        <v>5239</v>
      </c>
      <c r="G3482" s="757" t="s">
        <v>2574</v>
      </c>
      <c r="H3482" s="759">
        <v>0</v>
      </c>
      <c r="I3482" s="759"/>
      <c r="J3482" s="760"/>
      <c r="K3482" s="1724"/>
      <c r="L3482" s="1580">
        <v>0</v>
      </c>
      <c r="M3482" s="1580"/>
      <c r="N3482" s="2847"/>
      <c r="O3482" s="86"/>
      <c r="P3482" s="1817" t="e">
        <f>INDEX(#REF!,MATCH(F3482,#REF!,0),2)</f>
        <v>#REF!</v>
      </c>
      <c r="Q3482" s="1779"/>
      <c r="R3482" s="1030"/>
      <c r="S3482" s="1779"/>
      <c r="T3482" s="1779"/>
      <c r="U3482" s="1779"/>
      <c r="V3482" s="1779"/>
      <c r="W3482" s="43"/>
      <c r="X3482" s="1779"/>
      <c r="Y3482" s="1779"/>
      <c r="Z3482" s="1779"/>
      <c r="AA3482" s="1779"/>
      <c r="AB3482" s="1779"/>
      <c r="AC3482" s="1779"/>
      <c r="AD3482" s="1779"/>
      <c r="AE3482" s="1779"/>
      <c r="AF3482" s="1779"/>
      <c r="AG3482" s="1779"/>
      <c r="AH3482" s="1779"/>
      <c r="AI3482" s="1779"/>
      <c r="AJ3482" s="1779"/>
      <c r="AK3482" s="1779"/>
      <c r="AL3482" s="1779"/>
      <c r="AM3482" s="1779"/>
      <c r="AN3482" s="1779"/>
      <c r="AO3482" s="1779"/>
      <c r="AP3482" s="1779"/>
      <c r="AQ3482" s="1779"/>
      <c r="AR3482" s="1779"/>
      <c r="AS3482" s="1779"/>
      <c r="AT3482" s="1779"/>
      <c r="AU3482" s="1779"/>
      <c r="AV3482" s="1779"/>
    </row>
    <row r="3483" spans="1:48" ht="17.45" customHeight="1">
      <c r="A3483" s="762"/>
      <c r="B3483" s="762" t="s">
        <v>566</v>
      </c>
      <c r="C3483" s="762" t="s">
        <v>508</v>
      </c>
      <c r="D3483" s="1599"/>
      <c r="E3483" s="2245" t="s">
        <v>3053</v>
      </c>
      <c r="F3483" s="773">
        <v>5239</v>
      </c>
      <c r="G3483" s="772"/>
      <c r="H3483" s="764"/>
      <c r="I3483" s="764"/>
      <c r="J3483" s="765"/>
      <c r="K3483" s="1652"/>
      <c r="L3483" s="1576"/>
      <c r="M3483" s="1576"/>
      <c r="N3483" s="2847"/>
      <c r="O3483" s="86"/>
      <c r="P3483" s="1817" t="e">
        <f>INDEX(#REF!,MATCH(F3483,#REF!,0),2)</f>
        <v>#REF!</v>
      </c>
      <c r="Q3483" s="1779">
        <v>36650</v>
      </c>
      <c r="R3483" s="1030">
        <f t="shared" si="2"/>
        <v>-36650</v>
      </c>
      <c r="S3483" s="1779"/>
      <c r="T3483" s="1779"/>
      <c r="U3483" s="1779"/>
      <c r="V3483" s="1779"/>
      <c r="W3483" s="43"/>
      <c r="X3483" s="1779"/>
      <c r="Y3483" s="1779"/>
      <c r="Z3483" s="1779"/>
      <c r="AA3483" s="1779"/>
      <c r="AB3483" s="1779"/>
      <c r="AC3483" s="1779"/>
      <c r="AD3483" s="1779"/>
      <c r="AE3483" s="1779"/>
      <c r="AF3483" s="1779"/>
      <c r="AG3483" s="1779"/>
      <c r="AH3483" s="1779"/>
      <c r="AI3483" s="1779"/>
      <c r="AJ3483" s="1779"/>
      <c r="AK3483" s="1779"/>
      <c r="AL3483" s="1779"/>
      <c r="AM3483" s="1779"/>
      <c r="AN3483" s="1779"/>
      <c r="AO3483" s="1779"/>
      <c r="AP3483" s="1779"/>
      <c r="AQ3483" s="1779"/>
      <c r="AR3483" s="1779"/>
      <c r="AS3483" s="1779"/>
      <c r="AT3483" s="1779"/>
      <c r="AU3483" s="1779"/>
      <c r="AV3483" s="1779"/>
    </row>
    <row r="3484" spans="1:48" ht="17.45" customHeight="1">
      <c r="A3484" s="1370"/>
      <c r="B3484" s="762" t="s">
        <v>566</v>
      </c>
      <c r="C3484" s="762" t="s">
        <v>508</v>
      </c>
      <c r="D3484" s="1599"/>
      <c r="E3484" s="2245" t="s">
        <v>3053</v>
      </c>
      <c r="F3484" s="773">
        <v>5239</v>
      </c>
      <c r="G3484" s="1374"/>
      <c r="H3484" s="1375"/>
      <c r="I3484" s="1375"/>
      <c r="J3484" s="1379"/>
      <c r="K3484" s="1652"/>
      <c r="L3484" s="1576"/>
      <c r="M3484" s="1576"/>
      <c r="N3484" s="2847"/>
      <c r="O3484" s="86"/>
      <c r="P3484" s="1817" t="e">
        <f>INDEX(#REF!,MATCH(F3484,#REF!,0),2)</f>
        <v>#REF!</v>
      </c>
      <c r="Q3484" s="1779"/>
      <c r="R3484" s="1030">
        <f t="shared" si="2"/>
        <v>0</v>
      </c>
      <c r="S3484" s="1779"/>
      <c r="T3484" s="1779"/>
      <c r="U3484" s="1779"/>
      <c r="V3484" s="1779"/>
      <c r="W3484" s="43"/>
      <c r="X3484" s="1779"/>
      <c r="Y3484" s="1779"/>
      <c r="Z3484" s="1779"/>
      <c r="AA3484" s="1779"/>
      <c r="AB3484" s="1779"/>
      <c r="AC3484" s="1779"/>
      <c r="AD3484" s="1779"/>
      <c r="AE3484" s="1779"/>
      <c r="AF3484" s="1779"/>
      <c r="AG3484" s="1779"/>
      <c r="AH3484" s="1779"/>
      <c r="AI3484" s="1779"/>
      <c r="AJ3484" s="1779"/>
      <c r="AK3484" s="1779"/>
      <c r="AL3484" s="1779"/>
      <c r="AM3484" s="1779"/>
      <c r="AN3484" s="1779"/>
      <c r="AO3484" s="1779"/>
      <c r="AP3484" s="1779"/>
      <c r="AQ3484" s="1779"/>
      <c r="AR3484" s="1779"/>
      <c r="AS3484" s="1779"/>
      <c r="AT3484" s="1779"/>
      <c r="AU3484" s="1779"/>
      <c r="AV3484" s="1779"/>
    </row>
    <row r="3485" spans="1:48" ht="17.45" customHeight="1">
      <c r="A3485" s="755" t="s">
        <v>782</v>
      </c>
      <c r="B3485" s="755" t="s">
        <v>566</v>
      </c>
      <c r="C3485" s="755" t="s">
        <v>508</v>
      </c>
      <c r="D3485" s="1600" t="s">
        <v>1764</v>
      </c>
      <c r="E3485" s="2247" t="s">
        <v>3053</v>
      </c>
      <c r="F3485" s="788">
        <v>5240</v>
      </c>
      <c r="G3485" s="757" t="s">
        <v>293</v>
      </c>
      <c r="H3485" s="759">
        <v>139809</v>
      </c>
      <c r="I3485" s="759"/>
      <c r="J3485" s="760"/>
      <c r="K3485" s="1724"/>
      <c r="L3485" s="1580">
        <v>0</v>
      </c>
      <c r="M3485" s="1580"/>
      <c r="N3485" s="2847"/>
      <c r="O3485" s="86"/>
      <c r="P3485" s="1817" t="e">
        <f>INDEX(#REF!,MATCH(F3485,#REF!,0),2)</f>
        <v>#REF!</v>
      </c>
      <c r="Q3485" s="1779"/>
      <c r="R3485" s="1030">
        <f t="shared" si="2"/>
        <v>0</v>
      </c>
      <c r="S3485" s="1779"/>
      <c r="T3485" s="1779"/>
      <c r="U3485" s="1779"/>
      <c r="V3485" s="1779"/>
      <c r="W3485" s="43"/>
      <c r="X3485" s="1779"/>
      <c r="Y3485" s="1779"/>
      <c r="Z3485" s="1779"/>
      <c r="AA3485" s="1779"/>
      <c r="AB3485" s="1779"/>
      <c r="AC3485" s="1779"/>
      <c r="AD3485" s="1779"/>
      <c r="AE3485" s="1779"/>
      <c r="AF3485" s="1779"/>
      <c r="AG3485" s="1779"/>
      <c r="AH3485" s="1779"/>
      <c r="AI3485" s="1779"/>
      <c r="AJ3485" s="1779"/>
      <c r="AK3485" s="1779"/>
      <c r="AL3485" s="1779"/>
      <c r="AM3485" s="1779"/>
      <c r="AN3485" s="1779"/>
      <c r="AO3485" s="1779"/>
      <c r="AP3485" s="1779"/>
      <c r="AQ3485" s="1779"/>
      <c r="AR3485" s="1779"/>
      <c r="AS3485" s="1779"/>
      <c r="AT3485" s="1779"/>
      <c r="AU3485" s="1779"/>
      <c r="AV3485" s="1779"/>
    </row>
    <row r="3486" spans="1:48" ht="17.45" customHeight="1">
      <c r="A3486" s="1268"/>
      <c r="B3486" s="762" t="s">
        <v>566</v>
      </c>
      <c r="C3486" s="762" t="s">
        <v>508</v>
      </c>
      <c r="D3486" s="1599"/>
      <c r="E3486" s="2245" t="s">
        <v>3053</v>
      </c>
      <c r="F3486" s="773">
        <v>5240</v>
      </c>
      <c r="G3486" s="772" t="s">
        <v>2973</v>
      </c>
      <c r="H3486" s="764"/>
      <c r="I3486" s="764">
        <v>63881</v>
      </c>
      <c r="J3486" s="765"/>
      <c r="K3486" s="1652"/>
      <c r="L3486" s="1576"/>
      <c r="M3486" s="1576"/>
      <c r="N3486" s="2847"/>
      <c r="O3486" s="86"/>
      <c r="P3486" s="1817" t="e">
        <f>INDEX(#REF!,MATCH(F3486,#REF!,0),2)</f>
        <v>#REF!</v>
      </c>
      <c r="Q3486" s="1779"/>
      <c r="R3486" s="1030">
        <f t="shared" si="2"/>
        <v>0</v>
      </c>
      <c r="S3486" s="1779"/>
      <c r="T3486" s="1779"/>
      <c r="U3486" s="1779"/>
      <c r="V3486" s="1779"/>
      <c r="W3486" s="43"/>
      <c r="X3486" s="1779"/>
      <c r="Y3486" s="1779"/>
      <c r="Z3486" s="1779"/>
      <c r="AA3486" s="1779"/>
      <c r="AB3486" s="1779"/>
      <c r="AC3486" s="1779"/>
      <c r="AD3486" s="1779"/>
      <c r="AE3486" s="1779"/>
      <c r="AF3486" s="1779"/>
      <c r="AG3486" s="1779"/>
      <c r="AH3486" s="1779"/>
      <c r="AI3486" s="1779"/>
      <c r="AJ3486" s="1779"/>
      <c r="AK3486" s="1779"/>
      <c r="AL3486" s="1779"/>
      <c r="AM3486" s="1779"/>
      <c r="AN3486" s="1779"/>
      <c r="AO3486" s="1779"/>
      <c r="AP3486" s="1779"/>
      <c r="AQ3486" s="1779"/>
      <c r="AR3486" s="1779"/>
      <c r="AS3486" s="1779"/>
      <c r="AT3486" s="1779"/>
      <c r="AU3486" s="1779"/>
      <c r="AV3486" s="1779"/>
    </row>
    <row r="3487" spans="1:48" ht="17.45" customHeight="1">
      <c r="A3487" s="1882"/>
      <c r="B3487" s="762" t="s">
        <v>566</v>
      </c>
      <c r="C3487" s="762" t="s">
        <v>508</v>
      </c>
      <c r="D3487" s="1599"/>
      <c r="E3487" s="2245" t="s">
        <v>3053</v>
      </c>
      <c r="F3487" s="773">
        <v>5240</v>
      </c>
      <c r="G3487" s="1884" t="s">
        <v>3255</v>
      </c>
      <c r="H3487" s="1650"/>
      <c r="I3487" s="1650">
        <v>-13770</v>
      </c>
      <c r="J3487" s="1651"/>
      <c r="K3487" s="1652"/>
      <c r="L3487" s="1892"/>
      <c r="M3487" s="1892"/>
      <c r="N3487" s="2847"/>
      <c r="O3487" s="86"/>
      <c r="P3487" s="1817" t="e">
        <f>INDEX(#REF!,MATCH(F3487,#REF!,0),2)</f>
        <v>#REF!</v>
      </c>
      <c r="Q3487" s="1779"/>
      <c r="R3487" s="1030">
        <f t="shared" si="2"/>
        <v>0</v>
      </c>
      <c r="S3487" s="1779"/>
      <c r="T3487" s="1779"/>
      <c r="U3487" s="1779"/>
      <c r="V3487" s="1779"/>
      <c r="W3487" s="43"/>
      <c r="X3487" s="1779"/>
      <c r="Y3487" s="1779"/>
      <c r="Z3487" s="1779"/>
      <c r="AA3487" s="1779"/>
      <c r="AB3487" s="1779"/>
      <c r="AC3487" s="1779"/>
      <c r="AD3487" s="1779"/>
      <c r="AE3487" s="1779"/>
      <c r="AF3487" s="1779"/>
      <c r="AG3487" s="1779"/>
      <c r="AH3487" s="1779"/>
      <c r="AI3487" s="1779"/>
      <c r="AJ3487" s="1779"/>
      <c r="AK3487" s="1779"/>
      <c r="AL3487" s="1779"/>
      <c r="AM3487" s="1779"/>
      <c r="AN3487" s="1779"/>
      <c r="AO3487" s="1779"/>
      <c r="AP3487" s="1779"/>
      <c r="AQ3487" s="1779"/>
      <c r="AR3487" s="1779"/>
      <c r="AS3487" s="1779"/>
      <c r="AT3487" s="1779"/>
      <c r="AU3487" s="1779"/>
      <c r="AV3487" s="1779"/>
    </row>
    <row r="3488" spans="1:48" ht="17.45" customHeight="1">
      <c r="A3488" s="1563"/>
      <c r="B3488" s="762" t="s">
        <v>566</v>
      </c>
      <c r="C3488" s="762" t="s">
        <v>508</v>
      </c>
      <c r="D3488" s="1599"/>
      <c r="E3488" s="2245" t="s">
        <v>3053</v>
      </c>
      <c r="F3488" s="773">
        <v>5240</v>
      </c>
      <c r="G3488" s="772" t="s">
        <v>2974</v>
      </c>
      <c r="H3488" s="1650"/>
      <c r="I3488" s="1650">
        <v>60559</v>
      </c>
      <c r="J3488" s="1651"/>
      <c r="K3488" s="1652"/>
      <c r="L3488" s="1576"/>
      <c r="M3488" s="1576"/>
      <c r="N3488" s="2847"/>
      <c r="O3488" s="86"/>
      <c r="P3488" s="1817" t="e">
        <f>INDEX(#REF!,MATCH(F3488,#REF!,0),2)</f>
        <v>#REF!</v>
      </c>
      <c r="Q3488" s="1779"/>
      <c r="R3488" s="1030">
        <f t="shared" si="2"/>
        <v>0</v>
      </c>
      <c r="S3488" s="1779"/>
      <c r="T3488" s="1779"/>
      <c r="U3488" s="1779"/>
      <c r="V3488" s="1779"/>
      <c r="W3488" s="43"/>
      <c r="X3488" s="1779"/>
      <c r="Y3488" s="1779"/>
      <c r="Z3488" s="1779"/>
      <c r="AA3488" s="1779"/>
      <c r="AB3488" s="1779"/>
      <c r="AC3488" s="1779"/>
      <c r="AD3488" s="1779"/>
      <c r="AE3488" s="1779"/>
      <c r="AF3488" s="1779"/>
      <c r="AG3488" s="1779"/>
      <c r="AH3488" s="1779"/>
      <c r="AI3488" s="1779"/>
      <c r="AJ3488" s="1779"/>
      <c r="AK3488" s="1779"/>
      <c r="AL3488" s="1779"/>
      <c r="AM3488" s="1779"/>
      <c r="AN3488" s="1779"/>
      <c r="AO3488" s="1779"/>
      <c r="AP3488" s="1779"/>
      <c r="AQ3488" s="1779"/>
      <c r="AR3488" s="1779"/>
      <c r="AS3488" s="1779"/>
      <c r="AT3488" s="1779"/>
      <c r="AU3488" s="1779"/>
      <c r="AV3488" s="1779"/>
    </row>
    <row r="3489" spans="1:48" ht="17.45" customHeight="1">
      <c r="A3489" s="1882"/>
      <c r="B3489" s="762" t="s">
        <v>566</v>
      </c>
      <c r="C3489" s="762" t="s">
        <v>508</v>
      </c>
      <c r="D3489" s="1599"/>
      <c r="E3489" s="2245" t="s">
        <v>3053</v>
      </c>
      <c r="F3489" s="773">
        <v>5240</v>
      </c>
      <c r="G3489" s="1884" t="s">
        <v>3251</v>
      </c>
      <c r="H3489" s="1650"/>
      <c r="I3489" s="1650">
        <v>-3812</v>
      </c>
      <c r="J3489" s="1651"/>
      <c r="K3489" s="1652"/>
      <c r="L3489" s="1892"/>
      <c r="M3489" s="1892"/>
      <c r="N3489" s="2847"/>
      <c r="O3489" s="86"/>
      <c r="P3489" s="1817" t="e">
        <f>INDEX(#REF!,MATCH(F3489,#REF!,0),2)</f>
        <v>#REF!</v>
      </c>
      <c r="Q3489" s="1779"/>
      <c r="R3489" s="1030">
        <f t="shared" si="2"/>
        <v>0</v>
      </c>
      <c r="S3489" s="1779"/>
      <c r="T3489" s="1779"/>
      <c r="U3489" s="1779"/>
      <c r="V3489" s="1779"/>
      <c r="W3489" s="43"/>
      <c r="X3489" s="1779"/>
      <c r="Y3489" s="1779"/>
      <c r="Z3489" s="1779"/>
      <c r="AA3489" s="1779"/>
      <c r="AB3489" s="1779"/>
      <c r="AC3489" s="1779"/>
      <c r="AD3489" s="1779"/>
      <c r="AE3489" s="1779"/>
      <c r="AF3489" s="1779"/>
      <c r="AG3489" s="1779"/>
      <c r="AH3489" s="1779"/>
      <c r="AI3489" s="1779"/>
      <c r="AJ3489" s="1779"/>
      <c r="AK3489" s="1779"/>
      <c r="AL3489" s="1779"/>
      <c r="AM3489" s="1779"/>
      <c r="AN3489" s="1779"/>
      <c r="AO3489" s="1779"/>
      <c r="AP3489" s="1779"/>
      <c r="AQ3489" s="1779"/>
      <c r="AR3489" s="1779"/>
      <c r="AS3489" s="1779"/>
      <c r="AT3489" s="1779"/>
      <c r="AU3489" s="1779"/>
      <c r="AV3489" s="1779"/>
    </row>
    <row r="3490" spans="1:48" ht="14.45" customHeight="1">
      <c r="A3490" s="1882"/>
      <c r="B3490" s="762" t="s">
        <v>566</v>
      </c>
      <c r="C3490" s="762" t="s">
        <v>508</v>
      </c>
      <c r="D3490" s="1599"/>
      <c r="E3490" s="2245" t="s">
        <v>3053</v>
      </c>
      <c r="F3490" s="773">
        <v>5240</v>
      </c>
      <c r="G3490" s="1884" t="s">
        <v>3288</v>
      </c>
      <c r="H3490" s="1650"/>
      <c r="I3490" s="1650">
        <v>-2736</v>
      </c>
      <c r="J3490" s="1651"/>
      <c r="K3490" s="1652"/>
      <c r="L3490" s="1892"/>
      <c r="M3490" s="1892"/>
      <c r="N3490" s="2847"/>
      <c r="O3490" s="86"/>
      <c r="P3490" s="1817" t="e">
        <f>INDEX(#REF!,MATCH(F3490,#REF!,0),2)</f>
        <v>#REF!</v>
      </c>
      <c r="Q3490" s="1779"/>
      <c r="R3490" s="1779"/>
      <c r="S3490" s="1779"/>
      <c r="T3490" s="1779"/>
      <c r="U3490" s="1779"/>
      <c r="V3490" s="43"/>
      <c r="W3490" s="1779"/>
      <c r="X3490" s="1779"/>
      <c r="Y3490" s="1779"/>
      <c r="Z3490" s="1779"/>
      <c r="AA3490" s="1779"/>
      <c r="AB3490" s="1779"/>
      <c r="AC3490" s="1779"/>
      <c r="AD3490" s="1779"/>
      <c r="AE3490" s="1779"/>
      <c r="AF3490" s="1779"/>
      <c r="AG3490" s="1779"/>
      <c r="AH3490" s="1779"/>
      <c r="AI3490" s="1779"/>
      <c r="AJ3490" s="1779"/>
      <c r="AK3490" s="1779"/>
      <c r="AL3490" s="1779"/>
      <c r="AM3490" s="1779"/>
      <c r="AN3490" s="1779"/>
      <c r="AO3490" s="1779"/>
      <c r="AP3490" s="1779"/>
      <c r="AQ3490" s="1779"/>
      <c r="AR3490" s="1779"/>
      <c r="AS3490" s="1779"/>
      <c r="AT3490" s="1779"/>
      <c r="AU3490" s="1779"/>
    </row>
    <row r="3491" spans="1:48" ht="33.6" customHeight="1">
      <c r="A3491" s="1563"/>
      <c r="B3491" s="762" t="s">
        <v>566</v>
      </c>
      <c r="C3491" s="762" t="s">
        <v>508</v>
      </c>
      <c r="D3491" s="1599"/>
      <c r="E3491" s="2245" t="s">
        <v>3053</v>
      </c>
      <c r="F3491" s="773">
        <v>5240</v>
      </c>
      <c r="G3491" s="772" t="s">
        <v>2975</v>
      </c>
      <c r="H3491" s="1650"/>
      <c r="I3491" s="1650">
        <v>36650</v>
      </c>
      <c r="J3491" s="1651"/>
      <c r="K3491" s="1652"/>
      <c r="L3491" s="1576"/>
      <c r="M3491" s="1576"/>
      <c r="N3491" s="2847"/>
      <c r="O3491" s="86"/>
      <c r="P3491" s="1817" t="e">
        <f>INDEX(#REF!,MATCH(F3491,#REF!,0),2)</f>
        <v>#REF!</v>
      </c>
      <c r="V3491" s="81"/>
      <c r="W3491"/>
    </row>
    <row r="3492" spans="1:48" ht="13.9" customHeight="1">
      <c r="A3492" s="1563"/>
      <c r="B3492" s="762" t="s">
        <v>566</v>
      </c>
      <c r="C3492" s="762" t="s">
        <v>508</v>
      </c>
      <c r="D3492" s="1599"/>
      <c r="E3492" s="2245" t="s">
        <v>3053</v>
      </c>
      <c r="F3492" s="773">
        <v>5240</v>
      </c>
      <c r="G3492" s="846" t="s">
        <v>3281</v>
      </c>
      <c r="H3492" s="1650"/>
      <c r="I3492" s="1650">
        <v>-484</v>
      </c>
      <c r="J3492" s="1651"/>
      <c r="K3492" s="1652"/>
      <c r="L3492" s="1576"/>
      <c r="M3492" s="1576"/>
      <c r="N3492" s="2847"/>
      <c r="O3492" s="1817"/>
      <c r="P3492" s="1817" t="e">
        <f>INDEX(#REF!,MATCH(F3492,#REF!,0),2)</f>
        <v>#REF!</v>
      </c>
      <c r="Q3492" s="1779"/>
      <c r="R3492" s="1779"/>
      <c r="S3492" s="1779"/>
      <c r="T3492" s="1779"/>
      <c r="U3492" s="1779"/>
      <c r="V3492" s="1779"/>
      <c r="W3492" s="43"/>
      <c r="X3492" s="1779"/>
      <c r="Y3492" s="1779"/>
      <c r="Z3492" s="1779"/>
      <c r="AA3492" s="1779"/>
      <c r="AB3492" s="1779"/>
      <c r="AC3492" s="1779"/>
      <c r="AD3492" s="1779"/>
      <c r="AE3492" s="1779"/>
      <c r="AF3492" s="1779"/>
      <c r="AG3492" s="1779"/>
      <c r="AH3492" s="1779"/>
      <c r="AI3492" s="1779"/>
      <c r="AJ3492" s="1779"/>
      <c r="AK3492" s="1779"/>
      <c r="AL3492" s="1779"/>
      <c r="AM3492" s="1779"/>
      <c r="AN3492" s="1779"/>
      <c r="AO3492" s="1779"/>
      <c r="AP3492" s="1779"/>
      <c r="AQ3492" s="1779"/>
      <c r="AR3492" s="1779"/>
      <c r="AS3492" s="1779"/>
      <c r="AT3492" s="1779"/>
      <c r="AU3492" s="1779"/>
      <c r="AV3492" s="1779"/>
    </row>
    <row r="3493" spans="1:48" ht="13.15" customHeight="1">
      <c r="A3493" s="1268"/>
      <c r="B3493" s="762" t="s">
        <v>566</v>
      </c>
      <c r="C3493" s="762" t="s">
        <v>508</v>
      </c>
      <c r="D3493" s="1599"/>
      <c r="E3493" s="2245" t="s">
        <v>3053</v>
      </c>
      <c r="F3493" s="773">
        <v>5240</v>
      </c>
      <c r="G3493" s="846" t="s">
        <v>3282</v>
      </c>
      <c r="H3493" s="764"/>
      <c r="I3493" s="764">
        <v>-479</v>
      </c>
      <c r="J3493" s="765"/>
      <c r="K3493" s="1652"/>
      <c r="L3493" s="1576"/>
      <c r="M3493" s="1576"/>
      <c r="N3493" s="2847"/>
      <c r="O3493" s="1817"/>
      <c r="P3493" s="1817" t="e">
        <f>INDEX(#REF!,MATCH(F3493,#REF!,0),2)</f>
        <v>#REF!</v>
      </c>
    </row>
    <row r="3494" spans="1:48" ht="16.899999999999999" customHeight="1">
      <c r="A3494" s="1370"/>
      <c r="B3494" s="762" t="s">
        <v>566</v>
      </c>
      <c r="C3494" s="762" t="s">
        <v>508</v>
      </c>
      <c r="D3494" s="1599"/>
      <c r="E3494" s="2245" t="s">
        <v>3053</v>
      </c>
      <c r="F3494" s="773">
        <v>5240</v>
      </c>
      <c r="G3494" s="1374" t="s">
        <v>1883</v>
      </c>
      <c r="H3494" s="1375"/>
      <c r="I3494" s="1375"/>
      <c r="J3494" s="1379"/>
      <c r="K3494" s="1652"/>
      <c r="L3494" s="1576"/>
      <c r="M3494" s="1576"/>
      <c r="N3494" s="2847"/>
      <c r="O3494" s="86"/>
      <c r="P3494" s="1817" t="e">
        <f>INDEX(#REF!,MATCH(F3494,#REF!,0),2)</f>
        <v>#REF!</v>
      </c>
      <c r="Q3494" s="1779"/>
      <c r="R3494" s="1779"/>
      <c r="S3494" s="1779"/>
      <c r="T3494" s="1779"/>
      <c r="U3494" s="1779"/>
      <c r="V3494" s="1779"/>
      <c r="W3494" s="43"/>
      <c r="X3494" s="1779"/>
      <c r="Y3494" s="1779"/>
      <c r="Z3494" s="1779"/>
      <c r="AA3494" s="1779"/>
      <c r="AB3494" s="1779"/>
      <c r="AC3494" s="1779"/>
      <c r="AD3494" s="1779"/>
      <c r="AE3494" s="1779"/>
      <c r="AF3494" s="1779"/>
      <c r="AG3494" s="1779"/>
      <c r="AH3494" s="1779"/>
      <c r="AI3494" s="1779"/>
      <c r="AJ3494" s="1779"/>
      <c r="AK3494" s="1779"/>
      <c r="AL3494" s="1779"/>
      <c r="AM3494" s="1779"/>
      <c r="AN3494" s="1779"/>
      <c r="AO3494" s="1779"/>
      <c r="AP3494" s="1779"/>
      <c r="AQ3494" s="1779"/>
      <c r="AR3494" s="1779"/>
      <c r="AS3494" s="1779"/>
      <c r="AT3494" s="1779"/>
      <c r="AU3494" s="1779"/>
      <c r="AV3494" s="1779"/>
    </row>
    <row r="3495" spans="1:48" ht="17.45" customHeight="1">
      <c r="A3495" s="1370"/>
      <c r="B3495" s="762" t="s">
        <v>566</v>
      </c>
      <c r="C3495" s="762" t="s">
        <v>508</v>
      </c>
      <c r="D3495" s="1599"/>
      <c r="E3495" s="2245" t="s">
        <v>3053</v>
      </c>
      <c r="F3495" s="773">
        <v>5240</v>
      </c>
      <c r="G3495" s="1374" t="s">
        <v>1884</v>
      </c>
      <c r="H3495" s="1375"/>
      <c r="I3495" s="1375"/>
      <c r="J3495" s="1379"/>
      <c r="K3495" s="1652"/>
      <c r="L3495" s="1576"/>
      <c r="M3495" s="1576"/>
      <c r="N3495" s="2847"/>
      <c r="O3495" s="86"/>
      <c r="P3495" s="1817" t="e">
        <f>INDEX(#REF!,MATCH(F3495,#REF!,0),2)</f>
        <v>#REF!</v>
      </c>
    </row>
    <row r="3496" spans="1:48" ht="16.899999999999999" customHeight="1">
      <c r="A3496" s="762"/>
      <c r="B3496" s="762" t="s">
        <v>566</v>
      </c>
      <c r="C3496" s="762" t="s">
        <v>508</v>
      </c>
      <c r="D3496" s="1599"/>
      <c r="E3496" s="2245" t="s">
        <v>3053</v>
      </c>
      <c r="F3496" s="773">
        <v>5240</v>
      </c>
      <c r="G3496" s="772" t="s">
        <v>271</v>
      </c>
      <c r="H3496" s="764"/>
      <c r="I3496" s="764"/>
      <c r="J3496" s="765"/>
      <c r="K3496" s="1652"/>
      <c r="L3496" s="1576"/>
      <c r="M3496" s="1576"/>
      <c r="N3496" s="2847"/>
      <c r="O3496" s="86"/>
      <c r="P3496" s="1817" t="e">
        <f>INDEX(#REF!,MATCH(F3496,#REF!,0),2)</f>
        <v>#REF!</v>
      </c>
      <c r="Q3496" s="1779"/>
      <c r="R3496" s="1779"/>
      <c r="S3496" s="1779"/>
      <c r="T3496" s="1779"/>
      <c r="U3496" s="1779"/>
      <c r="V3496" s="1779"/>
      <c r="W3496" s="43"/>
      <c r="X3496" s="1779"/>
      <c r="Y3496" s="1779"/>
      <c r="Z3496" s="1779"/>
      <c r="AA3496" s="1779"/>
      <c r="AB3496" s="1779"/>
      <c r="AC3496" s="1779"/>
      <c r="AD3496" s="1779"/>
      <c r="AE3496" s="1779"/>
      <c r="AF3496" s="1779"/>
      <c r="AG3496" s="1779"/>
      <c r="AH3496" s="1779"/>
      <c r="AI3496" s="1779"/>
      <c r="AJ3496" s="1779"/>
      <c r="AK3496" s="1779"/>
      <c r="AL3496" s="1779"/>
      <c r="AM3496" s="1779"/>
      <c r="AN3496" s="1779"/>
      <c r="AO3496" s="1779"/>
      <c r="AP3496" s="1779"/>
      <c r="AQ3496" s="1779"/>
      <c r="AR3496" s="1779"/>
      <c r="AS3496" s="1779"/>
      <c r="AT3496" s="1779"/>
      <c r="AU3496" s="1779"/>
      <c r="AV3496" s="1779"/>
    </row>
    <row r="3497" spans="1:48" ht="17.45" customHeight="1">
      <c r="A3497" s="1370"/>
      <c r="B3497" s="762" t="s">
        <v>566</v>
      </c>
      <c r="C3497" s="762" t="s">
        <v>508</v>
      </c>
      <c r="D3497" s="1599"/>
      <c r="E3497" s="2245" t="s">
        <v>3053</v>
      </c>
      <c r="F3497" s="773">
        <v>5240</v>
      </c>
      <c r="G3497" s="1374" t="s">
        <v>1877</v>
      </c>
      <c r="H3497" s="1375"/>
      <c r="I3497" s="1375"/>
      <c r="J3497" s="1379"/>
      <c r="K3497" s="1652"/>
      <c r="L3497" s="1576"/>
      <c r="M3497" s="1576"/>
      <c r="N3497" s="2847"/>
      <c r="O3497" s="86"/>
      <c r="P3497" s="1817" t="e">
        <f>INDEX(#REF!,MATCH(F3497,#REF!,0),2)</f>
        <v>#REF!</v>
      </c>
    </row>
    <row r="3498" spans="1:48" ht="17.45" customHeight="1">
      <c r="A3498" s="755" t="s">
        <v>782</v>
      </c>
      <c r="B3498" s="755" t="s">
        <v>1517</v>
      </c>
      <c r="C3498" s="755" t="s">
        <v>998</v>
      </c>
      <c r="D3498" s="1600" t="s">
        <v>1764</v>
      </c>
      <c r="E3498" s="2247" t="s">
        <v>3053</v>
      </c>
      <c r="F3498" s="756">
        <v>6322</v>
      </c>
      <c r="G3498" s="757" t="s">
        <v>1535</v>
      </c>
      <c r="H3498" s="759">
        <v>19010</v>
      </c>
      <c r="I3498" s="759"/>
      <c r="J3498" s="760"/>
      <c r="K3498" s="1725"/>
      <c r="L3498" s="1580">
        <v>20000</v>
      </c>
      <c r="M3498" s="1580"/>
      <c r="N3498" s="2847" t="s">
        <v>5686</v>
      </c>
      <c r="O3498" s="86"/>
      <c r="P3498" s="1817" t="e">
        <f>INDEX(#REF!,MATCH(F3498,#REF!,0),2)</f>
        <v>#REF!</v>
      </c>
    </row>
    <row r="3499" spans="1:48" ht="16.899999999999999" customHeight="1">
      <c r="A3499" s="762"/>
      <c r="B3499" s="762" t="s">
        <v>1517</v>
      </c>
      <c r="C3499" s="762" t="s">
        <v>998</v>
      </c>
      <c r="D3499" s="1599"/>
      <c r="E3499" s="2245" t="s">
        <v>3053</v>
      </c>
      <c r="F3499" s="763">
        <v>6322</v>
      </c>
      <c r="G3499" s="846" t="s">
        <v>1678</v>
      </c>
      <c r="H3499" s="752"/>
      <c r="I3499" s="752">
        <v>19100</v>
      </c>
      <c r="J3499" s="753"/>
      <c r="K3499" s="1652"/>
      <c r="L3499" s="1576"/>
      <c r="M3499" s="1576">
        <v>20000</v>
      </c>
      <c r="N3499" s="2847" t="s">
        <v>5204</v>
      </c>
      <c r="O3499" s="86"/>
      <c r="P3499" s="1817" t="e">
        <f>INDEX(#REF!,MATCH(F3499,#REF!,0),2)</f>
        <v>#REF!</v>
      </c>
      <c r="Q3499" s="1779"/>
      <c r="R3499" s="1779"/>
      <c r="S3499" s="1779"/>
      <c r="T3499" s="1779"/>
      <c r="U3499" s="1779"/>
      <c r="V3499" s="1779"/>
      <c r="W3499" s="43"/>
      <c r="X3499" s="1779"/>
      <c r="Y3499" s="1779"/>
      <c r="Z3499" s="1779"/>
      <c r="AA3499" s="1779"/>
      <c r="AB3499" s="1779"/>
      <c r="AC3499" s="1779"/>
      <c r="AD3499" s="1779"/>
      <c r="AE3499" s="1779"/>
      <c r="AF3499" s="1779"/>
      <c r="AG3499" s="1779"/>
      <c r="AH3499" s="1779"/>
      <c r="AI3499" s="1779"/>
      <c r="AJ3499" s="1779"/>
      <c r="AK3499" s="1779"/>
      <c r="AL3499" s="1779"/>
      <c r="AM3499" s="1779"/>
      <c r="AN3499" s="1779"/>
      <c r="AO3499" s="1779"/>
      <c r="AP3499" s="1779"/>
      <c r="AQ3499" s="1779"/>
      <c r="AR3499" s="1779"/>
      <c r="AS3499" s="1779"/>
      <c r="AT3499" s="1779"/>
      <c r="AU3499" s="1779"/>
      <c r="AV3499" s="1779"/>
    </row>
    <row r="3500" spans="1:48" ht="17.45" customHeight="1">
      <c r="A3500" s="755"/>
      <c r="B3500" s="755" t="s">
        <v>1517</v>
      </c>
      <c r="C3500" s="755" t="s">
        <v>998</v>
      </c>
      <c r="D3500" s="1600" t="s">
        <v>1764</v>
      </c>
      <c r="E3500" s="2247" t="s">
        <v>3053</v>
      </c>
      <c r="F3500" s="756">
        <v>6421</v>
      </c>
      <c r="G3500" s="757" t="s">
        <v>465</v>
      </c>
      <c r="H3500" s="759">
        <v>1132.3599999999999</v>
      </c>
      <c r="I3500" s="759"/>
      <c r="J3500" s="760"/>
      <c r="K3500" s="1725"/>
      <c r="L3500" s="1580">
        <v>500</v>
      </c>
      <c r="M3500" s="1580"/>
      <c r="N3500" s="2847"/>
      <c r="O3500" s="86"/>
      <c r="P3500" s="1817" t="e">
        <f>INDEX(#REF!,MATCH(F3500,#REF!,0),2)</f>
        <v>#REF!</v>
      </c>
    </row>
    <row r="3501" spans="1:48" ht="17.45" customHeight="1">
      <c r="A3501" s="762"/>
      <c r="B3501" s="762" t="s">
        <v>1517</v>
      </c>
      <c r="C3501" s="762" t="s">
        <v>998</v>
      </c>
      <c r="D3501" s="1599"/>
      <c r="E3501" s="2245" t="s">
        <v>3053</v>
      </c>
      <c r="F3501" s="763">
        <v>6421</v>
      </c>
      <c r="G3501" s="846"/>
      <c r="H3501" s="752"/>
      <c r="I3501" s="752">
        <v>1132.3599999999999</v>
      </c>
      <c r="J3501" s="753"/>
      <c r="K3501" s="1652"/>
      <c r="L3501" s="1576"/>
      <c r="M3501" s="1576">
        <v>500</v>
      </c>
      <c r="N3501" s="2847" t="s">
        <v>2406</v>
      </c>
      <c r="O3501" s="86"/>
      <c r="P3501" s="1817" t="e">
        <f>INDEX(#REF!,MATCH(F3501,#REF!,0),2)</f>
        <v>#REF!</v>
      </c>
    </row>
    <row r="3502" spans="1:48" ht="33" customHeight="1">
      <c r="A3502" s="755"/>
      <c r="B3502" s="755" t="s">
        <v>512</v>
      </c>
      <c r="C3502" s="755" t="s">
        <v>506</v>
      </c>
      <c r="D3502" s="1600">
        <v>1016</v>
      </c>
      <c r="E3502" s="2247" t="s">
        <v>2030</v>
      </c>
      <c r="F3502" s="756">
        <v>1146</v>
      </c>
      <c r="G3502" s="757" t="s">
        <v>653</v>
      </c>
      <c r="H3502" s="759">
        <v>200</v>
      </c>
      <c r="I3502" s="759"/>
      <c r="J3502" s="760"/>
      <c r="K3502" s="804"/>
      <c r="L3502" s="759">
        <v>0</v>
      </c>
      <c r="M3502" s="759"/>
      <c r="N3502" s="2847"/>
      <c r="O3502" s="86"/>
      <c r="P3502" s="1817" t="e">
        <f>INDEX(#REF!,MATCH(F3502,#REF!,0),2)</f>
        <v>#REF!</v>
      </c>
      <c r="Q3502" s="1779"/>
      <c r="R3502" s="1779"/>
      <c r="S3502" s="1779"/>
      <c r="T3502" s="1779"/>
      <c r="U3502" s="1779"/>
      <c r="V3502" s="1779"/>
      <c r="W3502" s="43"/>
      <c r="X3502" s="1779"/>
      <c r="Y3502" s="1779"/>
      <c r="Z3502" s="1779"/>
      <c r="AA3502" s="1779"/>
      <c r="AB3502" s="1779"/>
      <c r="AC3502" s="1779"/>
      <c r="AD3502" s="1779"/>
      <c r="AE3502" s="1779"/>
      <c r="AF3502" s="1779"/>
      <c r="AG3502" s="1779"/>
      <c r="AH3502" s="1779"/>
      <c r="AI3502" s="1779"/>
      <c r="AJ3502" s="1779"/>
      <c r="AK3502" s="1779"/>
      <c r="AL3502" s="1779"/>
      <c r="AM3502" s="1779"/>
      <c r="AN3502" s="1779"/>
      <c r="AO3502" s="1779"/>
      <c r="AP3502" s="1779"/>
      <c r="AQ3502" s="1779"/>
      <c r="AR3502" s="1779"/>
      <c r="AS3502" s="1779"/>
      <c r="AT3502" s="1779"/>
      <c r="AU3502" s="1779"/>
      <c r="AV3502" s="1779"/>
    </row>
    <row r="3503" spans="1:48" ht="17.45" customHeight="1">
      <c r="A3503" s="762"/>
      <c r="B3503" s="762" t="s">
        <v>512</v>
      </c>
      <c r="C3503" s="762" t="s">
        <v>506</v>
      </c>
      <c r="D3503" s="1599"/>
      <c r="E3503" s="2245" t="s">
        <v>2030</v>
      </c>
      <c r="F3503" s="763">
        <v>1146</v>
      </c>
      <c r="G3503" s="829" t="s">
        <v>2031</v>
      </c>
      <c r="H3503" s="752"/>
      <c r="I3503" s="752">
        <v>200</v>
      </c>
      <c r="J3503" s="753"/>
      <c r="K3503" s="754"/>
      <c r="L3503" s="752"/>
      <c r="M3503" s="752"/>
      <c r="N3503" s="2847"/>
      <c r="O3503" s="86"/>
      <c r="P3503" s="1817" t="e">
        <f>INDEX(#REF!,MATCH(F3503,#REF!,0),2)</f>
        <v>#REF!</v>
      </c>
    </row>
    <row r="3504" spans="1:48" ht="13.5" customHeight="1">
      <c r="A3504" s="755"/>
      <c r="B3504" s="755" t="s">
        <v>512</v>
      </c>
      <c r="C3504" s="755" t="s">
        <v>506</v>
      </c>
      <c r="D3504" s="1600">
        <v>1016</v>
      </c>
      <c r="E3504" s="2247" t="s">
        <v>2030</v>
      </c>
      <c r="F3504" s="756">
        <v>1147</v>
      </c>
      <c r="G3504" s="757" t="s">
        <v>653</v>
      </c>
      <c r="H3504" s="759">
        <v>47435</v>
      </c>
      <c r="I3504" s="759"/>
      <c r="J3504" s="760"/>
      <c r="K3504" s="804"/>
      <c r="L3504" s="759">
        <v>46044</v>
      </c>
      <c r="M3504" s="759"/>
      <c r="N3504" s="2847"/>
      <c r="O3504" s="86"/>
      <c r="P3504" s="1817" t="e">
        <f>INDEX(#REF!,MATCH(F3504,#REF!,0),2)</f>
        <v>#REF!</v>
      </c>
      <c r="Q3504" s="1779"/>
      <c r="R3504" s="1779"/>
      <c r="S3504" s="1779"/>
      <c r="T3504" s="1779"/>
      <c r="U3504" s="1779"/>
      <c r="V3504" s="1779"/>
      <c r="W3504" s="43"/>
      <c r="X3504" s="1779"/>
      <c r="Y3504" s="1779"/>
      <c r="Z3504" s="1779"/>
      <c r="AA3504" s="1779"/>
      <c r="AB3504" s="1779"/>
      <c r="AC3504" s="1779"/>
      <c r="AD3504" s="1779"/>
      <c r="AE3504" s="1779"/>
      <c r="AF3504" s="1779"/>
      <c r="AG3504" s="1779"/>
      <c r="AH3504" s="1779"/>
      <c r="AI3504" s="1779"/>
      <c r="AJ3504" s="1779"/>
      <c r="AK3504" s="1779"/>
      <c r="AL3504" s="1779"/>
      <c r="AM3504" s="1779"/>
      <c r="AN3504" s="1779"/>
      <c r="AO3504" s="1779"/>
      <c r="AP3504" s="1779"/>
      <c r="AQ3504" s="1779"/>
      <c r="AR3504" s="1779"/>
      <c r="AS3504" s="1779"/>
      <c r="AT3504" s="1779"/>
      <c r="AU3504" s="1779"/>
      <c r="AV3504" s="1779"/>
    </row>
    <row r="3505" spans="1:48" ht="17.45" customHeight="1">
      <c r="A3505" s="762"/>
      <c r="B3505" s="762" t="s">
        <v>512</v>
      </c>
      <c r="C3505" s="762" t="s">
        <v>506</v>
      </c>
      <c r="D3505" s="1599"/>
      <c r="E3505" s="2245" t="s">
        <v>2030</v>
      </c>
      <c r="F3505" s="763">
        <v>1147</v>
      </c>
      <c r="G3505" s="829" t="s">
        <v>2031</v>
      </c>
      <c r="H3505" s="752"/>
      <c r="I3505" s="752">
        <v>11735</v>
      </c>
      <c r="J3505" s="753"/>
      <c r="K3505" s="754"/>
      <c r="L3505" s="752"/>
      <c r="M3505" s="752">
        <v>46044</v>
      </c>
      <c r="N3505" s="2847" t="s">
        <v>2395</v>
      </c>
      <c r="O3505" s="86"/>
      <c r="P3505" s="1817" t="e">
        <f>INDEX(#REF!,MATCH(F3505,#REF!,0),2)</f>
        <v>#REF!</v>
      </c>
    </row>
    <row r="3506" spans="1:48" ht="15.75" customHeight="1">
      <c r="A3506" s="1882"/>
      <c r="B3506" s="762" t="s">
        <v>512</v>
      </c>
      <c r="C3506" s="762" t="s">
        <v>506</v>
      </c>
      <c r="D3506" s="1599"/>
      <c r="E3506" s="2245" t="s">
        <v>2030</v>
      </c>
      <c r="F3506" s="763">
        <v>1147</v>
      </c>
      <c r="G3506" s="2075" t="s">
        <v>3172</v>
      </c>
      <c r="H3506" s="1650"/>
      <c r="I3506" s="1650">
        <v>35700</v>
      </c>
      <c r="J3506" s="1651"/>
      <c r="K3506" s="1652"/>
      <c r="L3506" s="1650"/>
      <c r="M3506" s="1650"/>
      <c r="N3506" s="2847"/>
      <c r="O3506" s="86"/>
      <c r="P3506" s="1817" t="e">
        <f>INDEX(#REF!,MATCH(F3506,#REF!,0),2)</f>
        <v>#REF!</v>
      </c>
      <c r="Q3506" s="1779"/>
      <c r="R3506" s="1779"/>
      <c r="S3506" s="1779"/>
      <c r="T3506" s="1779"/>
      <c r="U3506" s="1779"/>
      <c r="V3506" s="1779"/>
      <c r="W3506" s="43"/>
      <c r="X3506" s="1779"/>
      <c r="Y3506" s="1779"/>
      <c r="Z3506" s="1779"/>
      <c r="AA3506" s="1779"/>
      <c r="AB3506" s="1779"/>
      <c r="AC3506" s="1779"/>
      <c r="AD3506" s="1779"/>
      <c r="AE3506" s="1779"/>
      <c r="AF3506" s="1779"/>
      <c r="AG3506" s="1779"/>
      <c r="AH3506" s="1779"/>
      <c r="AI3506" s="1779"/>
      <c r="AJ3506" s="1779"/>
      <c r="AK3506" s="1779"/>
      <c r="AL3506" s="1779"/>
      <c r="AM3506" s="1779"/>
      <c r="AN3506" s="1779"/>
      <c r="AO3506" s="1779"/>
      <c r="AP3506" s="1779"/>
      <c r="AQ3506" s="1779"/>
      <c r="AR3506" s="1779"/>
      <c r="AS3506" s="1779"/>
      <c r="AT3506" s="1779"/>
      <c r="AU3506" s="1779"/>
      <c r="AV3506" s="1779"/>
    </row>
    <row r="3507" spans="1:48" ht="17.45" customHeight="1">
      <c r="A3507" s="755"/>
      <c r="B3507" s="755" t="s">
        <v>512</v>
      </c>
      <c r="C3507" s="755" t="s">
        <v>506</v>
      </c>
      <c r="D3507" s="1600">
        <v>1016</v>
      </c>
      <c r="E3507" s="2247" t="s">
        <v>2030</v>
      </c>
      <c r="F3507" s="756">
        <v>1210</v>
      </c>
      <c r="G3507" s="757" t="s">
        <v>624</v>
      </c>
      <c r="H3507" s="759">
        <v>18500</v>
      </c>
      <c r="I3507" s="759"/>
      <c r="J3507" s="760"/>
      <c r="K3507" s="804"/>
      <c r="L3507" s="759">
        <v>2000</v>
      </c>
      <c r="M3507" s="759"/>
      <c r="N3507" s="2847"/>
      <c r="O3507" s="86"/>
      <c r="P3507" s="1817" t="e">
        <f>INDEX(#REF!,MATCH(F3507,#REF!,0),2)</f>
        <v>#REF!</v>
      </c>
    </row>
    <row r="3508" spans="1:48" ht="15.75" customHeight="1">
      <c r="A3508" s="762"/>
      <c r="B3508" s="762" t="s">
        <v>512</v>
      </c>
      <c r="C3508" s="762" t="s">
        <v>506</v>
      </c>
      <c r="D3508" s="1599"/>
      <c r="E3508" s="2245" t="s">
        <v>2030</v>
      </c>
      <c r="F3508" s="763">
        <v>1210</v>
      </c>
      <c r="G3508" s="829" t="s">
        <v>2031</v>
      </c>
      <c r="H3508" s="752"/>
      <c r="I3508" s="752">
        <v>4000</v>
      </c>
      <c r="J3508" s="753"/>
      <c r="K3508" s="754"/>
      <c r="L3508" s="752"/>
      <c r="M3508" s="752">
        <v>2000</v>
      </c>
      <c r="N3508" s="2847" t="s">
        <v>2395</v>
      </c>
      <c r="O3508" s="86"/>
      <c r="P3508" s="1817" t="e">
        <f>INDEX(#REF!,MATCH(F3508,#REF!,0),2)</f>
        <v>#REF!</v>
      </c>
      <c r="Q3508" s="1779"/>
      <c r="R3508" s="1779"/>
      <c r="S3508" s="1779"/>
      <c r="T3508" s="1779"/>
      <c r="U3508" s="1779"/>
      <c r="V3508" s="1779"/>
      <c r="W3508" s="43"/>
      <c r="X3508" s="1779"/>
      <c r="Y3508" s="1779"/>
      <c r="Z3508" s="1779"/>
      <c r="AA3508" s="1779"/>
      <c r="AB3508" s="1779"/>
      <c r="AC3508" s="1779"/>
      <c r="AD3508" s="1779"/>
      <c r="AE3508" s="1779"/>
      <c r="AF3508" s="1779"/>
      <c r="AG3508" s="1779"/>
      <c r="AH3508" s="1779"/>
      <c r="AI3508" s="1779"/>
      <c r="AJ3508" s="1779"/>
      <c r="AK3508" s="1779"/>
      <c r="AL3508" s="1779"/>
      <c r="AM3508" s="1779"/>
      <c r="AN3508" s="1779"/>
      <c r="AO3508" s="1779"/>
      <c r="AP3508" s="1779"/>
      <c r="AQ3508" s="1779"/>
      <c r="AR3508" s="1779"/>
      <c r="AS3508" s="1779"/>
      <c r="AT3508" s="1779"/>
      <c r="AU3508" s="1779"/>
      <c r="AV3508" s="1779"/>
    </row>
    <row r="3509" spans="1:48" ht="17.45" customHeight="1">
      <c r="A3509" s="1882"/>
      <c r="B3509" s="762" t="s">
        <v>512</v>
      </c>
      <c r="C3509" s="762" t="s">
        <v>506</v>
      </c>
      <c r="D3509" s="1599"/>
      <c r="E3509" s="2245" t="s">
        <v>2030</v>
      </c>
      <c r="F3509" s="763">
        <v>1210</v>
      </c>
      <c r="G3509" s="2075" t="s">
        <v>3172</v>
      </c>
      <c r="H3509" s="1650"/>
      <c r="I3509" s="1650">
        <v>14500</v>
      </c>
      <c r="J3509" s="1651"/>
      <c r="K3509" s="1652"/>
      <c r="L3509" s="1650"/>
      <c r="M3509" s="1650"/>
      <c r="N3509" s="2847"/>
      <c r="O3509" s="86"/>
      <c r="P3509" s="1817" t="e">
        <f>INDEX(#REF!,MATCH(F3509,#REF!,0),2)</f>
        <v>#REF!</v>
      </c>
    </row>
    <row r="3510" spans="1:48" ht="15.75" customHeight="1">
      <c r="A3510" s="755"/>
      <c r="B3510" s="755" t="s">
        <v>512</v>
      </c>
      <c r="C3510" s="755" t="s">
        <v>506</v>
      </c>
      <c r="D3510" s="1600">
        <v>1016</v>
      </c>
      <c r="E3510" s="2247" t="s">
        <v>2030</v>
      </c>
      <c r="F3510" s="756">
        <v>2239</v>
      </c>
      <c r="G3510" s="757" t="s">
        <v>1801</v>
      </c>
      <c r="H3510" s="759">
        <v>13000</v>
      </c>
      <c r="I3510" s="759"/>
      <c r="J3510" s="760"/>
      <c r="K3510" s="804"/>
      <c r="L3510" s="759">
        <v>100000</v>
      </c>
      <c r="M3510" s="759"/>
      <c r="N3510" s="2847"/>
      <c r="O3510" s="86"/>
      <c r="P3510" s="1817" t="e">
        <f>INDEX(#REF!,MATCH(F3510,#REF!,0),2)</f>
        <v>#REF!</v>
      </c>
      <c r="Q3510" s="1779"/>
      <c r="R3510" s="1779"/>
      <c r="S3510" s="1779"/>
      <c r="T3510" s="1779"/>
      <c r="U3510" s="1779"/>
      <c r="V3510" s="1779"/>
      <c r="W3510" s="43"/>
      <c r="X3510" s="1779"/>
      <c r="Y3510" s="1779"/>
      <c r="Z3510" s="1779"/>
      <c r="AA3510" s="1779"/>
      <c r="AB3510" s="1779"/>
      <c r="AC3510" s="1779"/>
      <c r="AD3510" s="1779"/>
      <c r="AE3510" s="1779"/>
      <c r="AF3510" s="1779"/>
      <c r="AG3510" s="1779"/>
      <c r="AH3510" s="1779"/>
      <c r="AI3510" s="1779"/>
      <c r="AJ3510" s="1779"/>
      <c r="AK3510" s="1779"/>
      <c r="AL3510" s="1779"/>
      <c r="AM3510" s="1779"/>
      <c r="AN3510" s="1779"/>
      <c r="AO3510" s="1779"/>
      <c r="AP3510" s="1779"/>
      <c r="AQ3510" s="1779"/>
      <c r="AR3510" s="1779"/>
      <c r="AS3510" s="1779"/>
      <c r="AT3510" s="1779"/>
      <c r="AU3510" s="1779"/>
      <c r="AV3510" s="1779"/>
    </row>
    <row r="3511" spans="1:48" ht="17.45" customHeight="1">
      <c r="A3511" s="762"/>
      <c r="B3511" s="762" t="s">
        <v>512</v>
      </c>
      <c r="C3511" s="762" t="s">
        <v>506</v>
      </c>
      <c r="D3511" s="1599"/>
      <c r="E3511" s="2245" t="s">
        <v>2030</v>
      </c>
      <c r="F3511" s="763">
        <v>2239</v>
      </c>
      <c r="G3511" s="829" t="s">
        <v>3323</v>
      </c>
      <c r="H3511" s="752"/>
      <c r="I3511" s="752">
        <v>13000</v>
      </c>
      <c r="J3511" s="753"/>
      <c r="K3511" s="754"/>
      <c r="L3511" s="752"/>
      <c r="M3511" s="752">
        <v>100000</v>
      </c>
      <c r="N3511" s="2847" t="s">
        <v>2395</v>
      </c>
      <c r="O3511" s="86"/>
      <c r="P3511" s="1817" t="e">
        <f>INDEX(#REF!,MATCH(F3511,#REF!,0),2)</f>
        <v>#REF!</v>
      </c>
    </row>
    <row r="3512" spans="1:48" ht="15.75" customHeight="1">
      <c r="A3512" s="755"/>
      <c r="B3512" s="755" t="s">
        <v>512</v>
      </c>
      <c r="C3512" s="755" t="s">
        <v>506</v>
      </c>
      <c r="D3512" s="1600">
        <v>1016</v>
      </c>
      <c r="E3512" s="2247" t="s">
        <v>2030</v>
      </c>
      <c r="F3512" s="756">
        <v>2363</v>
      </c>
      <c r="G3512" s="757" t="s">
        <v>1574</v>
      </c>
      <c r="H3512" s="759">
        <v>11265</v>
      </c>
      <c r="I3512" s="759"/>
      <c r="J3512" s="760"/>
      <c r="K3512" s="804"/>
      <c r="L3512" s="759">
        <v>0</v>
      </c>
      <c r="M3512" s="759"/>
      <c r="N3512" s="2847"/>
      <c r="O3512" s="86"/>
      <c r="P3512" s="1817" t="e">
        <f>INDEX(#REF!,MATCH(F3512,#REF!,0),2)</f>
        <v>#REF!</v>
      </c>
      <c r="Q3512" s="1779"/>
      <c r="R3512" s="1779"/>
      <c r="S3512" s="1779"/>
      <c r="T3512" s="1779"/>
      <c r="U3512" s="1779"/>
      <c r="V3512" s="1779"/>
      <c r="W3512" s="43"/>
      <c r="X3512" s="1779"/>
      <c r="Y3512" s="1779"/>
      <c r="Z3512" s="1779"/>
      <c r="AA3512" s="1779"/>
      <c r="AB3512" s="1779"/>
      <c r="AC3512" s="1779"/>
      <c r="AD3512" s="1779"/>
      <c r="AE3512" s="1779"/>
      <c r="AF3512" s="1779"/>
      <c r="AG3512" s="1779"/>
      <c r="AH3512" s="1779"/>
      <c r="AI3512" s="1779"/>
      <c r="AJ3512" s="1779"/>
      <c r="AK3512" s="1779"/>
      <c r="AL3512" s="1779"/>
      <c r="AM3512" s="1779"/>
      <c r="AN3512" s="1779"/>
      <c r="AO3512" s="1779"/>
      <c r="AP3512" s="1779"/>
      <c r="AQ3512" s="1779"/>
      <c r="AR3512" s="1779"/>
      <c r="AS3512" s="1779"/>
      <c r="AT3512" s="1779"/>
      <c r="AU3512" s="1779"/>
      <c r="AV3512" s="1779"/>
    </row>
    <row r="3513" spans="1:48" ht="17.45" customHeight="1">
      <c r="A3513" s="762"/>
      <c r="B3513" s="762" t="s">
        <v>512</v>
      </c>
      <c r="C3513" s="762" t="s">
        <v>506</v>
      </c>
      <c r="D3513" s="1599"/>
      <c r="E3513" s="2245" t="s">
        <v>2030</v>
      </c>
      <c r="F3513" s="763">
        <v>2363</v>
      </c>
      <c r="G3513" s="829" t="s">
        <v>3323</v>
      </c>
      <c r="H3513" s="752"/>
      <c r="I3513" s="752">
        <v>11265</v>
      </c>
      <c r="J3513" s="753"/>
      <c r="K3513" s="754"/>
      <c r="L3513" s="752"/>
      <c r="M3513" s="752"/>
      <c r="N3513" s="2847"/>
      <c r="O3513" s="86"/>
      <c r="P3513" s="1817" t="e">
        <f>INDEX(#REF!,MATCH(F3513,#REF!,0),2)</f>
        <v>#REF!</v>
      </c>
    </row>
    <row r="3514" spans="1:48" ht="15.75" customHeight="1">
      <c r="A3514" s="755"/>
      <c r="B3514" s="755" t="s">
        <v>512</v>
      </c>
      <c r="C3514" s="755" t="s">
        <v>506</v>
      </c>
      <c r="D3514" s="1600">
        <v>1016</v>
      </c>
      <c r="E3514" s="2247" t="s">
        <v>2030</v>
      </c>
      <c r="F3514" s="756">
        <v>6252</v>
      </c>
      <c r="G3514" s="757" t="s">
        <v>3322</v>
      </c>
      <c r="H3514" s="759">
        <v>800</v>
      </c>
      <c r="I3514" s="759"/>
      <c r="J3514" s="760"/>
      <c r="K3514" s="804"/>
      <c r="L3514" s="759">
        <v>0</v>
      </c>
      <c r="M3514" s="759"/>
      <c r="N3514" s="2847"/>
      <c r="O3514" s="86"/>
      <c r="P3514" s="1817" t="e">
        <f>INDEX(#REF!,MATCH(F3514,#REF!,0),2)</f>
        <v>#REF!</v>
      </c>
      <c r="Q3514" s="1779"/>
      <c r="R3514" s="1779"/>
      <c r="S3514" s="1779"/>
      <c r="T3514" s="1779"/>
      <c r="U3514" s="1779"/>
      <c r="V3514" s="1779"/>
      <c r="W3514" s="43"/>
      <c r="X3514" s="1779"/>
      <c r="Y3514" s="1779"/>
      <c r="Z3514" s="1779"/>
      <c r="AA3514" s="1779"/>
      <c r="AB3514" s="1779"/>
      <c r="AC3514" s="1779"/>
      <c r="AD3514" s="1779"/>
      <c r="AE3514" s="1779"/>
      <c r="AF3514" s="1779"/>
      <c r="AG3514" s="1779"/>
      <c r="AH3514" s="1779"/>
      <c r="AI3514" s="1779"/>
      <c r="AJ3514" s="1779"/>
      <c r="AK3514" s="1779"/>
      <c r="AL3514" s="1779"/>
      <c r="AM3514" s="1779"/>
      <c r="AN3514" s="1779"/>
      <c r="AO3514" s="1779"/>
      <c r="AP3514" s="1779"/>
      <c r="AQ3514" s="1779"/>
      <c r="AR3514" s="1779"/>
      <c r="AS3514" s="1779"/>
      <c r="AT3514" s="1779"/>
      <c r="AU3514" s="1779"/>
      <c r="AV3514" s="1779"/>
    </row>
    <row r="3515" spans="1:48" ht="17.45" customHeight="1">
      <c r="A3515" s="762"/>
      <c r="B3515" s="762" t="s">
        <v>512</v>
      </c>
      <c r="C3515" s="762" t="s">
        <v>506</v>
      </c>
      <c r="D3515" s="1599"/>
      <c r="E3515" s="2245" t="s">
        <v>2030</v>
      </c>
      <c r="F3515" s="763">
        <v>6252</v>
      </c>
      <c r="G3515" s="829" t="s">
        <v>3323</v>
      </c>
      <c r="H3515" s="752"/>
      <c r="I3515" s="752">
        <v>800</v>
      </c>
      <c r="J3515" s="753"/>
      <c r="K3515" s="754"/>
      <c r="L3515" s="752"/>
      <c r="M3515" s="752"/>
      <c r="N3515" s="2847"/>
      <c r="O3515" s="86"/>
      <c r="P3515" s="1817" t="e">
        <f>INDEX(#REF!,MATCH(F3515,#REF!,0),2)</f>
        <v>#REF!</v>
      </c>
    </row>
    <row r="3516" spans="1:48" ht="15.75" customHeight="1">
      <c r="A3516" s="755"/>
      <c r="B3516" s="755" t="s">
        <v>512</v>
      </c>
      <c r="C3516" s="755" t="s">
        <v>506</v>
      </c>
      <c r="D3516" s="1600">
        <v>1016</v>
      </c>
      <c r="E3516" s="2247" t="s">
        <v>2030</v>
      </c>
      <c r="F3516" s="756">
        <v>6254</v>
      </c>
      <c r="G3516" s="757" t="s">
        <v>1802</v>
      </c>
      <c r="H3516" s="759">
        <v>800</v>
      </c>
      <c r="I3516" s="759"/>
      <c r="J3516" s="760"/>
      <c r="K3516" s="804"/>
      <c r="L3516" s="759">
        <v>0</v>
      </c>
      <c r="M3516" s="759"/>
      <c r="N3516" s="2847"/>
      <c r="O3516" s="86"/>
      <c r="P3516" s="1817" t="e">
        <f>INDEX(#REF!,MATCH(F3516,#REF!,0),2)</f>
        <v>#REF!</v>
      </c>
      <c r="Q3516" s="1779"/>
      <c r="R3516" s="1779"/>
      <c r="S3516" s="1779"/>
      <c r="T3516" s="1779"/>
      <c r="U3516" s="1779"/>
      <c r="V3516" s="1779"/>
      <c r="W3516" s="43"/>
      <c r="X3516" s="1779"/>
      <c r="Y3516" s="1779"/>
      <c r="Z3516" s="1779"/>
      <c r="AA3516" s="1779"/>
      <c r="AB3516" s="1779"/>
      <c r="AC3516" s="1779"/>
      <c r="AD3516" s="1779"/>
      <c r="AE3516" s="1779"/>
      <c r="AF3516" s="1779"/>
      <c r="AG3516" s="1779"/>
      <c r="AH3516" s="1779"/>
      <c r="AI3516" s="1779"/>
      <c r="AJ3516" s="1779"/>
      <c r="AK3516" s="1779"/>
      <c r="AL3516" s="1779"/>
      <c r="AM3516" s="1779"/>
      <c r="AN3516" s="1779"/>
      <c r="AO3516" s="1779"/>
      <c r="AP3516" s="1779"/>
      <c r="AQ3516" s="1779"/>
      <c r="AR3516" s="1779"/>
      <c r="AS3516" s="1779"/>
      <c r="AT3516" s="1779"/>
      <c r="AU3516" s="1779"/>
      <c r="AV3516" s="1779"/>
    </row>
    <row r="3517" spans="1:48" ht="17.45" customHeight="1">
      <c r="A3517" s="762"/>
      <c r="B3517" s="762" t="s">
        <v>512</v>
      </c>
      <c r="C3517" s="762" t="s">
        <v>506</v>
      </c>
      <c r="D3517" s="1599"/>
      <c r="E3517" s="2245" t="s">
        <v>2030</v>
      </c>
      <c r="F3517" s="763">
        <v>6254</v>
      </c>
      <c r="G3517" s="829" t="s">
        <v>3323</v>
      </c>
      <c r="H3517" s="752"/>
      <c r="I3517" s="752">
        <v>800</v>
      </c>
      <c r="J3517" s="753"/>
      <c r="K3517" s="754"/>
      <c r="L3517" s="752"/>
      <c r="M3517" s="752"/>
      <c r="N3517" s="2847"/>
      <c r="O3517" s="86"/>
      <c r="P3517" s="1817" t="e">
        <f>INDEX(#REF!,MATCH(F3517,#REF!,0),2)</f>
        <v>#REF!</v>
      </c>
    </row>
    <row r="3518" spans="1:48" ht="15.75" customHeight="1">
      <c r="A3518" s="755"/>
      <c r="B3518" s="755" t="s">
        <v>512</v>
      </c>
      <c r="C3518" s="755" t="s">
        <v>506</v>
      </c>
      <c r="D3518" s="1600">
        <v>1016</v>
      </c>
      <c r="E3518" s="2247" t="s">
        <v>2030</v>
      </c>
      <c r="F3518" s="756">
        <v>6255</v>
      </c>
      <c r="G3518" s="757" t="s">
        <v>3324</v>
      </c>
      <c r="H3518" s="759">
        <v>5000</v>
      </c>
      <c r="I3518" s="759"/>
      <c r="J3518" s="760"/>
      <c r="K3518" s="804"/>
      <c r="L3518" s="759">
        <v>0</v>
      </c>
      <c r="M3518" s="759"/>
      <c r="N3518" s="2847"/>
      <c r="O3518" s="86"/>
      <c r="P3518" s="1817" t="e">
        <f>INDEX(#REF!,MATCH(F3518,#REF!,0),2)</f>
        <v>#REF!</v>
      </c>
      <c r="Q3518" s="1779"/>
      <c r="R3518" s="1779"/>
      <c r="S3518" s="1779"/>
      <c r="T3518" s="1779"/>
      <c r="U3518" s="1779"/>
      <c r="V3518" s="1779"/>
      <c r="W3518" s="43"/>
      <c r="X3518" s="1779"/>
      <c r="Y3518" s="1779"/>
      <c r="Z3518" s="1779"/>
      <c r="AA3518" s="1779"/>
      <c r="AB3518" s="1779"/>
      <c r="AC3518" s="1779"/>
      <c r="AD3518" s="1779"/>
      <c r="AE3518" s="1779"/>
      <c r="AF3518" s="1779"/>
      <c r="AG3518" s="1779"/>
      <c r="AH3518" s="1779"/>
      <c r="AI3518" s="1779"/>
      <c r="AJ3518" s="1779"/>
      <c r="AK3518" s="1779"/>
      <c r="AL3518" s="1779"/>
      <c r="AM3518" s="1779"/>
      <c r="AN3518" s="1779"/>
      <c r="AO3518" s="1779"/>
      <c r="AP3518" s="1779"/>
      <c r="AQ3518" s="1779"/>
      <c r="AR3518" s="1779"/>
      <c r="AS3518" s="1779"/>
      <c r="AT3518" s="1779"/>
      <c r="AU3518" s="1779"/>
      <c r="AV3518" s="1779"/>
    </row>
    <row r="3519" spans="1:48" ht="17.45" customHeight="1">
      <c r="A3519" s="762"/>
      <c r="B3519" s="762" t="s">
        <v>512</v>
      </c>
      <c r="C3519" s="762" t="s">
        <v>506</v>
      </c>
      <c r="D3519" s="1599"/>
      <c r="E3519" s="2245" t="s">
        <v>2030</v>
      </c>
      <c r="F3519" s="763">
        <v>6255</v>
      </c>
      <c r="G3519" s="829" t="s">
        <v>3323</v>
      </c>
      <c r="H3519" s="752"/>
      <c r="I3519" s="752">
        <v>5000</v>
      </c>
      <c r="J3519" s="753"/>
      <c r="K3519" s="754"/>
      <c r="L3519" s="752"/>
      <c r="M3519" s="752"/>
      <c r="N3519" s="2847"/>
      <c r="O3519" s="86"/>
      <c r="P3519" s="1817" t="e">
        <f>INDEX(#REF!,MATCH(F3519,#REF!,0),2)</f>
        <v>#REF!</v>
      </c>
    </row>
    <row r="3520" spans="1:48" ht="15.75" customHeight="1">
      <c r="A3520" s="755"/>
      <c r="B3520" s="755" t="s">
        <v>512</v>
      </c>
      <c r="C3520" s="755" t="s">
        <v>506</v>
      </c>
      <c r="D3520" s="1600">
        <v>1016</v>
      </c>
      <c r="E3520" s="2247" t="s">
        <v>2030</v>
      </c>
      <c r="F3520" s="756">
        <v>6259</v>
      </c>
      <c r="G3520" s="757" t="s">
        <v>3325</v>
      </c>
      <c r="H3520" s="759">
        <v>500</v>
      </c>
      <c r="I3520" s="759"/>
      <c r="J3520" s="760"/>
      <c r="K3520" s="804"/>
      <c r="L3520" s="759">
        <v>0</v>
      </c>
      <c r="M3520" s="759"/>
      <c r="N3520" s="2847"/>
      <c r="O3520" s="86"/>
      <c r="P3520" s="1817" t="e">
        <f>INDEX(#REF!,MATCH(F3520,#REF!,0),2)</f>
        <v>#REF!</v>
      </c>
      <c r="Q3520" s="1779"/>
      <c r="R3520" s="1779"/>
      <c r="S3520" s="1779"/>
      <c r="T3520" s="1779"/>
      <c r="U3520" s="1779"/>
      <c r="V3520" s="1779"/>
      <c r="W3520" s="43"/>
      <c r="X3520" s="1779"/>
      <c r="Y3520" s="1779"/>
      <c r="Z3520" s="1779"/>
      <c r="AA3520" s="1779"/>
      <c r="AB3520" s="1779"/>
      <c r="AC3520" s="1779"/>
      <c r="AD3520" s="1779"/>
      <c r="AE3520" s="1779"/>
      <c r="AF3520" s="1779"/>
      <c r="AG3520" s="1779"/>
      <c r="AH3520" s="1779"/>
      <c r="AI3520" s="1779"/>
      <c r="AJ3520" s="1779"/>
      <c r="AK3520" s="1779"/>
      <c r="AL3520" s="1779"/>
      <c r="AM3520" s="1779"/>
      <c r="AN3520" s="1779"/>
      <c r="AO3520" s="1779"/>
      <c r="AP3520" s="1779"/>
      <c r="AQ3520" s="1779"/>
      <c r="AR3520" s="1779"/>
      <c r="AS3520" s="1779"/>
      <c r="AT3520" s="1779"/>
      <c r="AU3520" s="1779"/>
      <c r="AV3520" s="1779"/>
    </row>
    <row r="3521" spans="1:48" ht="17.45" customHeight="1">
      <c r="A3521" s="762"/>
      <c r="B3521" s="762" t="s">
        <v>512</v>
      </c>
      <c r="C3521" s="762" t="s">
        <v>506</v>
      </c>
      <c r="D3521" s="1599"/>
      <c r="E3521" s="2245" t="s">
        <v>2030</v>
      </c>
      <c r="F3521" s="763">
        <v>6259</v>
      </c>
      <c r="G3521" s="829" t="s">
        <v>3323</v>
      </c>
      <c r="H3521" s="752"/>
      <c r="I3521" s="752">
        <v>500</v>
      </c>
      <c r="J3521" s="753"/>
      <c r="K3521" s="754"/>
      <c r="L3521" s="752"/>
      <c r="M3521" s="752"/>
      <c r="N3521" s="2847"/>
      <c r="O3521" s="86"/>
      <c r="P3521" s="1817" t="e">
        <f>INDEX(#REF!,MATCH(F3521,#REF!,0),2)</f>
        <v>#REF!</v>
      </c>
    </row>
    <row r="3522" spans="1:48" ht="15.75" customHeight="1">
      <c r="A3522" s="755"/>
      <c r="B3522" s="755" t="s">
        <v>512</v>
      </c>
      <c r="C3522" s="755" t="s">
        <v>506</v>
      </c>
      <c r="D3522" s="1600">
        <v>1016</v>
      </c>
      <c r="E3522" s="2247" t="s">
        <v>2030</v>
      </c>
      <c r="F3522" s="756">
        <v>6260</v>
      </c>
      <c r="G3522" s="757" t="s">
        <v>3327</v>
      </c>
      <c r="H3522" s="759">
        <v>5000</v>
      </c>
      <c r="I3522" s="759"/>
      <c r="J3522" s="760"/>
      <c r="K3522" s="804"/>
      <c r="L3522" s="759">
        <v>0</v>
      </c>
      <c r="M3522" s="759"/>
      <c r="N3522" s="2847"/>
      <c r="O3522" s="86"/>
      <c r="P3522" s="1817" t="e">
        <f>INDEX(#REF!,MATCH(F3522,#REF!,0),2)</f>
        <v>#REF!</v>
      </c>
      <c r="Q3522" s="1779"/>
      <c r="R3522" s="1779"/>
      <c r="S3522" s="1779"/>
      <c r="T3522" s="1779"/>
      <c r="U3522" s="1779"/>
      <c r="V3522" s="1779"/>
      <c r="W3522" s="43"/>
      <c r="X3522" s="1779"/>
      <c r="Y3522" s="1779"/>
      <c r="Z3522" s="1779"/>
      <c r="AA3522" s="1779"/>
      <c r="AB3522" s="1779"/>
      <c r="AC3522" s="1779"/>
      <c r="AD3522" s="1779"/>
      <c r="AE3522" s="1779"/>
      <c r="AF3522" s="1779"/>
      <c r="AG3522" s="1779"/>
      <c r="AH3522" s="1779"/>
      <c r="AI3522" s="1779"/>
      <c r="AJ3522" s="1779"/>
      <c r="AK3522" s="1779"/>
      <c r="AL3522" s="1779"/>
      <c r="AM3522" s="1779"/>
      <c r="AN3522" s="1779"/>
      <c r="AO3522" s="1779"/>
      <c r="AP3522" s="1779"/>
      <c r="AQ3522" s="1779"/>
      <c r="AR3522" s="1779"/>
      <c r="AS3522" s="1779"/>
      <c r="AT3522" s="1779"/>
      <c r="AU3522" s="1779"/>
      <c r="AV3522" s="1779"/>
    </row>
    <row r="3523" spans="1:48" ht="17.45" customHeight="1">
      <c r="A3523" s="762"/>
      <c r="B3523" s="762" t="s">
        <v>512</v>
      </c>
      <c r="C3523" s="762" t="s">
        <v>506</v>
      </c>
      <c r="D3523" s="1599"/>
      <c r="E3523" s="2245" t="s">
        <v>2030</v>
      </c>
      <c r="F3523" s="763">
        <v>6260</v>
      </c>
      <c r="G3523" s="829" t="s">
        <v>3323</v>
      </c>
      <c r="H3523" s="752"/>
      <c r="I3523" s="752">
        <v>5000</v>
      </c>
      <c r="J3523" s="753"/>
      <c r="K3523" s="754"/>
      <c r="L3523" s="752"/>
      <c r="M3523" s="752"/>
      <c r="N3523" s="2847"/>
      <c r="O3523" s="86"/>
      <c r="P3523" s="1817" t="e">
        <f>INDEX(#REF!,MATCH(F3523,#REF!,0),2)</f>
        <v>#REF!</v>
      </c>
    </row>
    <row r="3524" spans="1:48" ht="15.75" customHeight="1">
      <c r="A3524" s="755"/>
      <c r="B3524" s="755" t="s">
        <v>512</v>
      </c>
      <c r="C3524" s="755" t="s">
        <v>506</v>
      </c>
      <c r="D3524" s="1600">
        <v>1016</v>
      </c>
      <c r="E3524" s="2247" t="s">
        <v>2030</v>
      </c>
      <c r="F3524" s="756">
        <v>6270</v>
      </c>
      <c r="G3524" s="757" t="s">
        <v>3326</v>
      </c>
      <c r="H3524" s="759">
        <v>8000</v>
      </c>
      <c r="I3524" s="759"/>
      <c r="J3524" s="760"/>
      <c r="K3524" s="804"/>
      <c r="L3524" s="759">
        <v>0</v>
      </c>
      <c r="M3524" s="759"/>
      <c r="N3524" s="2847"/>
      <c r="O3524" s="86"/>
      <c r="P3524" s="1817" t="e">
        <f>INDEX(#REF!,MATCH(F3524,#REF!,0),2)</f>
        <v>#REF!</v>
      </c>
      <c r="Q3524" s="1779"/>
      <c r="R3524" s="1779"/>
      <c r="S3524" s="1779"/>
      <c r="T3524" s="1779"/>
      <c r="U3524" s="1779"/>
      <c r="V3524" s="1779"/>
      <c r="W3524" s="43"/>
      <c r="X3524" s="1779"/>
      <c r="Y3524" s="1779"/>
      <c r="Z3524" s="1779"/>
      <c r="AA3524" s="1779"/>
      <c r="AB3524" s="1779"/>
      <c r="AC3524" s="1779"/>
      <c r="AD3524" s="1779"/>
      <c r="AE3524" s="1779"/>
      <c r="AF3524" s="1779"/>
      <c r="AG3524" s="1779"/>
      <c r="AH3524" s="1779"/>
      <c r="AI3524" s="1779"/>
      <c r="AJ3524" s="1779"/>
      <c r="AK3524" s="1779"/>
      <c r="AL3524" s="1779"/>
      <c r="AM3524" s="1779"/>
      <c r="AN3524" s="1779"/>
      <c r="AO3524" s="1779"/>
      <c r="AP3524" s="1779"/>
      <c r="AQ3524" s="1779"/>
      <c r="AR3524" s="1779"/>
      <c r="AS3524" s="1779"/>
      <c r="AT3524" s="1779"/>
      <c r="AU3524" s="1779"/>
      <c r="AV3524" s="1779"/>
    </row>
    <row r="3525" spans="1:48" ht="17.45" customHeight="1">
      <c r="A3525" s="762"/>
      <c r="B3525" s="762" t="s">
        <v>512</v>
      </c>
      <c r="C3525" s="762" t="s">
        <v>506</v>
      </c>
      <c r="D3525" s="1599"/>
      <c r="E3525" s="2245" t="s">
        <v>2030</v>
      </c>
      <c r="F3525" s="763">
        <v>6270</v>
      </c>
      <c r="G3525" s="829" t="s">
        <v>3323</v>
      </c>
      <c r="H3525" s="752"/>
      <c r="I3525" s="752">
        <v>8000</v>
      </c>
      <c r="J3525" s="753"/>
      <c r="K3525" s="754"/>
      <c r="L3525" s="752"/>
      <c r="M3525" s="752"/>
      <c r="N3525" s="2847"/>
      <c r="O3525" s="86"/>
      <c r="P3525" s="1817" t="e">
        <f>INDEX(#REF!,MATCH(F3525,#REF!,0),2)</f>
        <v>#REF!</v>
      </c>
    </row>
    <row r="3526" spans="1:48" ht="15.75" customHeight="1">
      <c r="A3526" s="755"/>
      <c r="B3526" s="755" t="s">
        <v>512</v>
      </c>
      <c r="C3526" s="755" t="s">
        <v>506</v>
      </c>
      <c r="D3526" s="1600">
        <v>1016</v>
      </c>
      <c r="E3526" s="2247" t="s">
        <v>2030</v>
      </c>
      <c r="F3526" s="756">
        <v>6322</v>
      </c>
      <c r="G3526" s="757" t="s">
        <v>2057</v>
      </c>
      <c r="H3526" s="759">
        <v>358</v>
      </c>
      <c r="I3526" s="759"/>
      <c r="J3526" s="760"/>
      <c r="K3526" s="804"/>
      <c r="L3526" s="759">
        <v>0</v>
      </c>
      <c r="M3526" s="759"/>
      <c r="N3526" s="2847"/>
      <c r="O3526" s="86"/>
      <c r="P3526" s="1817" t="e">
        <f>INDEX(#REF!,MATCH(F3526,#REF!,0),2)</f>
        <v>#REF!</v>
      </c>
      <c r="Q3526" s="1779"/>
      <c r="R3526" s="1779"/>
      <c r="S3526" s="1779"/>
      <c r="T3526" s="1779"/>
      <c r="U3526" s="1779"/>
      <c r="V3526" s="1779"/>
      <c r="W3526" s="43"/>
      <c r="X3526" s="1779"/>
      <c r="Y3526" s="1779"/>
      <c r="Z3526" s="1779"/>
      <c r="AA3526" s="1779"/>
      <c r="AB3526" s="1779"/>
      <c r="AC3526" s="1779"/>
      <c r="AD3526" s="1779"/>
      <c r="AE3526" s="1779"/>
      <c r="AF3526" s="1779"/>
      <c r="AG3526" s="1779"/>
      <c r="AH3526" s="1779"/>
      <c r="AI3526" s="1779"/>
      <c r="AJ3526" s="1779"/>
      <c r="AK3526" s="1779"/>
      <c r="AL3526" s="1779"/>
      <c r="AM3526" s="1779"/>
      <c r="AN3526" s="1779"/>
      <c r="AO3526" s="1779"/>
      <c r="AP3526" s="1779"/>
      <c r="AQ3526" s="1779"/>
      <c r="AR3526" s="1779"/>
      <c r="AS3526" s="1779"/>
      <c r="AT3526" s="1779"/>
      <c r="AU3526" s="1779"/>
      <c r="AV3526" s="1779"/>
    </row>
    <row r="3527" spans="1:48" ht="17.45" customHeight="1">
      <c r="A3527" s="762"/>
      <c r="B3527" s="762" t="s">
        <v>512</v>
      </c>
      <c r="C3527" s="762" t="s">
        <v>506</v>
      </c>
      <c r="D3527" s="1599"/>
      <c r="E3527" s="2245" t="s">
        <v>2030</v>
      </c>
      <c r="F3527" s="763">
        <v>6322</v>
      </c>
      <c r="G3527" s="829" t="s">
        <v>3323</v>
      </c>
      <c r="H3527" s="752"/>
      <c r="I3527" s="752">
        <v>358</v>
      </c>
      <c r="J3527" s="753"/>
      <c r="K3527" s="754"/>
      <c r="L3527" s="752"/>
      <c r="M3527" s="752"/>
      <c r="N3527" s="2847"/>
      <c r="O3527" s="86"/>
      <c r="P3527" s="1817" t="e">
        <f>INDEX(#REF!,MATCH(F3527,#REF!,0),2)</f>
        <v>#REF!</v>
      </c>
    </row>
    <row r="3528" spans="1:48" ht="24" customHeight="1">
      <c r="A3528" s="755"/>
      <c r="B3528" s="755" t="s">
        <v>512</v>
      </c>
      <c r="C3528" s="755" t="s">
        <v>506</v>
      </c>
      <c r="D3528" s="1600">
        <v>1016</v>
      </c>
      <c r="E3528" s="2247" t="s">
        <v>2030</v>
      </c>
      <c r="F3528" s="756">
        <v>6360</v>
      </c>
      <c r="G3528" s="757" t="s">
        <v>3328</v>
      </c>
      <c r="H3528" s="759">
        <v>5000</v>
      </c>
      <c r="I3528" s="759"/>
      <c r="J3528" s="760"/>
      <c r="K3528" s="804"/>
      <c r="L3528" s="759">
        <v>0</v>
      </c>
      <c r="M3528" s="759"/>
      <c r="N3528" s="2847"/>
      <c r="O3528" s="86"/>
      <c r="P3528" s="1817" t="e">
        <f>INDEX(#REF!,MATCH(F3528,#REF!,0),2)</f>
        <v>#REF!</v>
      </c>
      <c r="Q3528" s="11"/>
      <c r="R3528" s="11"/>
      <c r="S3528" s="11"/>
      <c r="T3528" s="11"/>
      <c r="U3528" s="11"/>
      <c r="V3528" s="11"/>
      <c r="W3528" s="4"/>
      <c r="X3528" s="11"/>
      <c r="Y3528" s="11"/>
      <c r="Z3528" s="11"/>
      <c r="AA3528" s="11"/>
      <c r="AB3528" s="11"/>
      <c r="AC3528" s="11"/>
      <c r="AD3528" s="11"/>
      <c r="AE3528" s="11"/>
      <c r="AF3528" s="11"/>
      <c r="AG3528" s="11"/>
      <c r="AH3528" s="11"/>
      <c r="AI3528" s="11"/>
      <c r="AJ3528" s="11"/>
      <c r="AK3528" s="11"/>
      <c r="AL3528" s="11"/>
      <c r="AM3528" s="11"/>
      <c r="AN3528" s="11"/>
      <c r="AO3528" s="11"/>
      <c r="AP3528" s="11"/>
      <c r="AQ3528" s="11"/>
      <c r="AR3528" s="11"/>
      <c r="AS3528" s="11"/>
      <c r="AT3528" s="11"/>
      <c r="AU3528" s="11"/>
      <c r="AV3528" s="11"/>
    </row>
    <row r="3529" spans="1:48" ht="13.9" customHeight="1">
      <c r="A3529" s="762"/>
      <c r="B3529" s="762" t="s">
        <v>512</v>
      </c>
      <c r="C3529" s="762" t="s">
        <v>506</v>
      </c>
      <c r="D3529" s="1599"/>
      <c r="E3529" s="2245" t="s">
        <v>2030</v>
      </c>
      <c r="F3529" s="763">
        <v>6360</v>
      </c>
      <c r="G3529" s="829" t="s">
        <v>3323</v>
      </c>
      <c r="H3529" s="752"/>
      <c r="I3529" s="752">
        <v>5000</v>
      </c>
      <c r="J3529" s="753"/>
      <c r="K3529" s="754"/>
      <c r="L3529" s="752"/>
      <c r="M3529" s="752"/>
      <c r="N3529" s="2847"/>
      <c r="O3529" s="86"/>
      <c r="P3529" s="1817" t="e">
        <f>INDEX(#REF!,MATCH(F3529,#REF!,0),2)</f>
        <v>#REF!</v>
      </c>
      <c r="Q3529" s="1779"/>
      <c r="R3529" s="1779"/>
      <c r="S3529" s="1779"/>
      <c r="T3529" s="1779"/>
      <c r="U3529" s="1779"/>
      <c r="V3529" s="1779"/>
      <c r="W3529" s="43"/>
      <c r="X3529" s="1779"/>
      <c r="Y3529" s="1779"/>
      <c r="Z3529" s="1779"/>
      <c r="AA3529" s="1779"/>
      <c r="AB3529" s="1779"/>
      <c r="AC3529" s="1779"/>
      <c r="AD3529" s="1779"/>
      <c r="AE3529" s="1779"/>
      <c r="AF3529" s="1779"/>
      <c r="AG3529" s="1779"/>
      <c r="AH3529" s="1779"/>
      <c r="AI3529" s="1779"/>
      <c r="AJ3529" s="1779"/>
      <c r="AK3529" s="1779"/>
      <c r="AL3529" s="1779"/>
      <c r="AM3529" s="1779"/>
      <c r="AN3529" s="1779"/>
      <c r="AO3529" s="1779"/>
      <c r="AP3529" s="1779"/>
      <c r="AQ3529" s="1779"/>
      <c r="AR3529" s="1779"/>
      <c r="AS3529" s="1779"/>
      <c r="AT3529" s="1779"/>
      <c r="AU3529" s="1779"/>
      <c r="AV3529" s="1779"/>
    </row>
    <row r="3530" spans="1:48" ht="24" customHeight="1">
      <c r="A3530" s="755"/>
      <c r="B3530" s="755" t="s">
        <v>512</v>
      </c>
      <c r="C3530" s="755" t="s">
        <v>506</v>
      </c>
      <c r="D3530" s="1600">
        <v>1016</v>
      </c>
      <c r="E3530" s="2247" t="s">
        <v>2030</v>
      </c>
      <c r="F3530" s="756">
        <v>6419</v>
      </c>
      <c r="G3530" s="757" t="s">
        <v>2027</v>
      </c>
      <c r="H3530" s="759">
        <v>1000</v>
      </c>
      <c r="I3530" s="759"/>
      <c r="J3530" s="760"/>
      <c r="K3530" s="804"/>
      <c r="L3530" s="759">
        <v>0</v>
      </c>
      <c r="M3530" s="759"/>
      <c r="N3530" s="2847"/>
      <c r="O3530" s="86"/>
      <c r="P3530" s="1817" t="e">
        <f>INDEX(#REF!,MATCH(F3530,#REF!,0),2)</f>
        <v>#REF!</v>
      </c>
      <c r="Q3530" s="11"/>
      <c r="R3530" s="11"/>
      <c r="S3530" s="11"/>
      <c r="T3530" s="11"/>
      <c r="U3530" s="11"/>
      <c r="V3530" s="11"/>
      <c r="W3530" s="4"/>
      <c r="X3530" s="11"/>
      <c r="Y3530" s="11"/>
      <c r="Z3530" s="11"/>
      <c r="AA3530" s="11"/>
      <c r="AB3530" s="11"/>
      <c r="AC3530" s="11"/>
      <c r="AD3530" s="11"/>
      <c r="AE3530" s="11"/>
      <c r="AF3530" s="11"/>
      <c r="AG3530" s="11"/>
      <c r="AH3530" s="11"/>
      <c r="AI3530" s="11"/>
      <c r="AJ3530" s="11"/>
      <c r="AK3530" s="11"/>
      <c r="AL3530" s="11"/>
      <c r="AM3530" s="11"/>
      <c r="AN3530" s="11"/>
      <c r="AO3530" s="11"/>
      <c r="AP3530" s="11"/>
      <c r="AQ3530" s="11"/>
      <c r="AR3530" s="11"/>
      <c r="AS3530" s="11"/>
      <c r="AT3530" s="11"/>
      <c r="AU3530" s="11"/>
      <c r="AV3530" s="11"/>
    </row>
    <row r="3531" spans="1:48" ht="13.9" customHeight="1">
      <c r="A3531" s="762"/>
      <c r="B3531" s="762" t="s">
        <v>512</v>
      </c>
      <c r="C3531" s="762" t="s">
        <v>506</v>
      </c>
      <c r="D3531" s="1599"/>
      <c r="E3531" s="2245" t="s">
        <v>2030</v>
      </c>
      <c r="F3531" s="763">
        <v>6419</v>
      </c>
      <c r="G3531" s="829" t="s">
        <v>3323</v>
      </c>
      <c r="H3531" s="752"/>
      <c r="I3531" s="752">
        <v>1000</v>
      </c>
      <c r="J3531" s="753"/>
      <c r="K3531" s="754"/>
      <c r="L3531" s="752"/>
      <c r="M3531" s="752"/>
      <c r="N3531" s="2847"/>
      <c r="O3531" s="86"/>
      <c r="P3531" s="1817" t="e">
        <f>INDEX(#REF!,MATCH(F3531,#REF!,0),2)</f>
        <v>#REF!</v>
      </c>
      <c r="Q3531" s="1779"/>
      <c r="R3531" s="1779"/>
      <c r="S3531" s="1779"/>
      <c r="T3531" s="1779"/>
      <c r="U3531" s="1779"/>
      <c r="V3531" s="1779"/>
      <c r="W3531" s="43"/>
      <c r="X3531" s="1779"/>
      <c r="Y3531" s="1779"/>
      <c r="Z3531" s="1779"/>
      <c r="AA3531" s="1779"/>
      <c r="AB3531" s="1779"/>
      <c r="AC3531" s="1779"/>
      <c r="AD3531" s="1779"/>
      <c r="AE3531" s="1779"/>
      <c r="AF3531" s="1779"/>
      <c r="AG3531" s="1779"/>
      <c r="AH3531" s="1779"/>
      <c r="AI3531" s="1779"/>
      <c r="AJ3531" s="1779"/>
      <c r="AK3531" s="1779"/>
      <c r="AL3531" s="1779"/>
      <c r="AM3531" s="1779"/>
      <c r="AN3531" s="1779"/>
      <c r="AO3531" s="1779"/>
      <c r="AP3531" s="1779"/>
      <c r="AQ3531" s="1779"/>
      <c r="AR3531" s="1779"/>
      <c r="AS3531" s="1779"/>
      <c r="AT3531" s="1779"/>
      <c r="AU3531" s="1779"/>
      <c r="AV3531" s="1779"/>
    </row>
    <row r="3532" spans="1:48" ht="24" customHeight="1">
      <c r="A3532" s="755"/>
      <c r="B3532" s="755" t="s">
        <v>512</v>
      </c>
      <c r="C3532" s="755" t="s">
        <v>506</v>
      </c>
      <c r="D3532" s="1600">
        <v>1016</v>
      </c>
      <c r="E3532" s="2247" t="s">
        <v>2030</v>
      </c>
      <c r="F3532" s="756">
        <v>6423</v>
      </c>
      <c r="G3532" s="757" t="s">
        <v>466</v>
      </c>
      <c r="H3532" s="759">
        <v>2000</v>
      </c>
      <c r="I3532" s="759"/>
      <c r="J3532" s="760"/>
      <c r="K3532" s="804"/>
      <c r="L3532" s="759">
        <v>0</v>
      </c>
      <c r="M3532" s="759"/>
      <c r="N3532" s="2847"/>
      <c r="O3532" s="86"/>
      <c r="P3532" s="1817" t="e">
        <f>INDEX(#REF!,MATCH(F3532,#REF!,0),2)</f>
        <v>#REF!</v>
      </c>
      <c r="Q3532" s="11"/>
      <c r="R3532" s="11"/>
      <c r="S3532" s="11"/>
      <c r="T3532" s="11"/>
      <c r="U3532" s="11"/>
      <c r="V3532" s="11"/>
      <c r="W3532" s="4"/>
      <c r="X3532" s="11"/>
      <c r="Y3532" s="11"/>
      <c r="Z3532" s="11"/>
      <c r="AA3532" s="11"/>
      <c r="AB3532" s="11"/>
      <c r="AC3532" s="11"/>
      <c r="AD3532" s="11"/>
      <c r="AE3532" s="11"/>
      <c r="AF3532" s="11"/>
      <c r="AG3532" s="11"/>
      <c r="AH3532" s="11"/>
      <c r="AI3532" s="11"/>
      <c r="AJ3532" s="11"/>
      <c r="AK3532" s="11"/>
      <c r="AL3532" s="11"/>
      <c r="AM3532" s="11"/>
      <c r="AN3532" s="11"/>
      <c r="AO3532" s="11"/>
      <c r="AP3532" s="11"/>
      <c r="AQ3532" s="11"/>
      <c r="AR3532" s="11"/>
      <c r="AS3532" s="11"/>
      <c r="AT3532" s="11"/>
      <c r="AU3532" s="11"/>
      <c r="AV3532" s="11"/>
    </row>
    <row r="3533" spans="1:48" ht="13.9" customHeight="1">
      <c r="A3533" s="762"/>
      <c r="B3533" s="762" t="s">
        <v>512</v>
      </c>
      <c r="C3533" s="762" t="s">
        <v>506</v>
      </c>
      <c r="D3533" s="1599"/>
      <c r="E3533" s="2245" t="s">
        <v>2030</v>
      </c>
      <c r="F3533" s="763">
        <v>6423</v>
      </c>
      <c r="G3533" s="829" t="s">
        <v>3323</v>
      </c>
      <c r="H3533" s="752"/>
      <c r="I3533" s="752">
        <v>2000</v>
      </c>
      <c r="J3533" s="753"/>
      <c r="K3533" s="754"/>
      <c r="L3533" s="752"/>
      <c r="M3533" s="752"/>
      <c r="N3533" s="2847"/>
      <c r="O3533" s="86"/>
      <c r="P3533" s="1817" t="e">
        <f>INDEX(#REF!,MATCH(F3533,#REF!,0),2)</f>
        <v>#REF!</v>
      </c>
      <c r="Q3533" s="1779"/>
      <c r="R3533" s="1779"/>
      <c r="S3533" s="1779"/>
      <c r="T3533" s="1779"/>
      <c r="U3533" s="1779"/>
      <c r="V3533" s="1779"/>
      <c r="W3533" s="43"/>
      <c r="X3533" s="1779"/>
      <c r="Y3533" s="1779"/>
      <c r="Z3533" s="1779"/>
      <c r="AA3533" s="1779"/>
      <c r="AB3533" s="1779"/>
      <c r="AC3533" s="1779"/>
      <c r="AD3533" s="1779"/>
      <c r="AE3533" s="1779"/>
      <c r="AF3533" s="1779"/>
      <c r="AG3533" s="1779"/>
      <c r="AH3533" s="1779"/>
      <c r="AI3533" s="1779"/>
      <c r="AJ3533" s="1779"/>
      <c r="AK3533" s="1779"/>
      <c r="AL3533" s="1779"/>
      <c r="AM3533" s="1779"/>
      <c r="AN3533" s="1779"/>
      <c r="AO3533" s="1779"/>
      <c r="AP3533" s="1779"/>
      <c r="AQ3533" s="1779"/>
      <c r="AR3533" s="1779"/>
      <c r="AS3533" s="1779"/>
      <c r="AT3533" s="1779"/>
      <c r="AU3533" s="1779"/>
      <c r="AV3533" s="1779"/>
    </row>
    <row r="3534" spans="1:48" ht="24" customHeight="1">
      <c r="A3534" s="755"/>
      <c r="B3534" s="755" t="s">
        <v>512</v>
      </c>
      <c r="C3534" s="755" t="s">
        <v>506</v>
      </c>
      <c r="D3534" s="1600">
        <v>1016</v>
      </c>
      <c r="E3534" s="2247" t="s">
        <v>2030</v>
      </c>
      <c r="F3534" s="756">
        <v>7245</v>
      </c>
      <c r="G3534" s="757" t="s">
        <v>786</v>
      </c>
      <c r="H3534" s="759">
        <v>1142</v>
      </c>
      <c r="I3534" s="759"/>
      <c r="J3534" s="760"/>
      <c r="K3534" s="804"/>
      <c r="L3534" s="759">
        <v>0</v>
      </c>
      <c r="M3534" s="759"/>
      <c r="N3534" s="2847"/>
      <c r="O3534" s="86"/>
      <c r="P3534" s="1817" t="e">
        <f>INDEX(#REF!,MATCH(F3534,#REF!,0),2)</f>
        <v>#REF!</v>
      </c>
      <c r="Q3534" s="11"/>
      <c r="R3534" s="11"/>
      <c r="S3534" s="11"/>
      <c r="T3534" s="11"/>
      <c r="U3534" s="11"/>
      <c r="V3534" s="11"/>
      <c r="W3534" s="4"/>
      <c r="X3534" s="11"/>
      <c r="Y3534" s="11"/>
      <c r="Z3534" s="11"/>
      <c r="AA3534" s="11"/>
      <c r="AB3534" s="11"/>
      <c r="AC3534" s="11"/>
      <c r="AD3534" s="11"/>
      <c r="AE3534" s="11"/>
      <c r="AF3534" s="11"/>
      <c r="AG3534" s="11"/>
      <c r="AH3534" s="11"/>
      <c r="AI3534" s="11"/>
      <c r="AJ3534" s="11"/>
      <c r="AK3534" s="11"/>
      <c r="AL3534" s="11"/>
      <c r="AM3534" s="11"/>
      <c r="AN3534" s="11"/>
      <c r="AO3534" s="11"/>
      <c r="AP3534" s="11"/>
      <c r="AQ3534" s="11"/>
      <c r="AR3534" s="11"/>
      <c r="AS3534" s="11"/>
      <c r="AT3534" s="11"/>
      <c r="AU3534" s="11"/>
      <c r="AV3534" s="11"/>
    </row>
    <row r="3535" spans="1:48" ht="13.9" customHeight="1">
      <c r="A3535" s="762"/>
      <c r="B3535" s="762" t="s">
        <v>512</v>
      </c>
      <c r="C3535" s="762" t="s">
        <v>506</v>
      </c>
      <c r="D3535" s="1599"/>
      <c r="E3535" s="2245" t="s">
        <v>2030</v>
      </c>
      <c r="F3535" s="763">
        <v>7245</v>
      </c>
      <c r="G3535" s="829" t="s">
        <v>3323</v>
      </c>
      <c r="H3535" s="752"/>
      <c r="I3535" s="752">
        <v>1142</v>
      </c>
      <c r="J3535" s="753"/>
      <c r="K3535" s="754"/>
      <c r="L3535" s="752"/>
      <c r="M3535" s="752"/>
      <c r="N3535" s="2847"/>
      <c r="O3535" s="86"/>
      <c r="P3535" s="1817" t="e">
        <f>INDEX(#REF!,MATCH(F3535,#REF!,0),2)</f>
        <v>#REF!</v>
      </c>
      <c r="Q3535" s="1779"/>
      <c r="R3535" s="1779"/>
      <c r="S3535" s="1779"/>
      <c r="T3535" s="1779"/>
      <c r="U3535" s="1779"/>
      <c r="V3535" s="1779"/>
      <c r="W3535" s="43"/>
      <c r="X3535" s="1779"/>
      <c r="Y3535" s="1779"/>
      <c r="Z3535" s="1779"/>
      <c r="AA3535" s="1779"/>
      <c r="AB3535" s="1779"/>
      <c r="AC3535" s="1779"/>
      <c r="AD3535" s="1779"/>
      <c r="AE3535" s="1779"/>
      <c r="AF3535" s="1779"/>
      <c r="AG3535" s="1779"/>
      <c r="AH3535" s="1779"/>
      <c r="AI3535" s="1779"/>
      <c r="AJ3535" s="1779"/>
      <c r="AK3535" s="1779"/>
      <c r="AL3535" s="1779"/>
      <c r="AM3535" s="1779"/>
      <c r="AN3535" s="1779"/>
      <c r="AO3535" s="1779"/>
      <c r="AP3535" s="1779"/>
      <c r="AQ3535" s="1779"/>
      <c r="AR3535" s="1779"/>
      <c r="AS3535" s="1779"/>
      <c r="AT3535" s="1779"/>
      <c r="AU3535" s="1779"/>
      <c r="AV3535" s="1779"/>
    </row>
    <row r="3536" spans="1:48" ht="12.6" customHeight="1">
      <c r="A3536" s="755"/>
      <c r="B3536" s="755" t="s">
        <v>512</v>
      </c>
      <c r="C3536" s="755" t="s">
        <v>506</v>
      </c>
      <c r="D3536" s="1600">
        <v>1017</v>
      </c>
      <c r="E3536" s="2247" t="s">
        <v>2032</v>
      </c>
      <c r="F3536" s="756">
        <v>1147</v>
      </c>
      <c r="G3536" s="757" t="s">
        <v>653</v>
      </c>
      <c r="H3536" s="759">
        <v>0</v>
      </c>
      <c r="I3536" s="759"/>
      <c r="J3536" s="760"/>
      <c r="K3536" s="761"/>
      <c r="L3536" s="767">
        <v>11000</v>
      </c>
      <c r="M3536" s="767"/>
      <c r="N3536" s="2847"/>
      <c r="O3536" s="86"/>
      <c r="P3536" s="1817" t="e">
        <f>INDEX(#REF!,MATCH(F3536,#REF!,0),2)</f>
        <v>#REF!</v>
      </c>
      <c r="Q3536" s="4"/>
      <c r="R3536" s="4"/>
      <c r="S3536" s="4"/>
      <c r="T3536" s="4"/>
      <c r="U3536" s="4"/>
      <c r="V3536" s="4"/>
      <c r="W3536" s="4"/>
      <c r="X3536" s="4"/>
      <c r="Y3536" s="4"/>
      <c r="Z3536" s="4"/>
      <c r="AA3536" s="4"/>
      <c r="AB3536" s="4"/>
      <c r="AC3536" s="4"/>
      <c r="AD3536" s="4"/>
      <c r="AE3536" s="4"/>
      <c r="AF3536" s="4"/>
      <c r="AG3536" s="4"/>
      <c r="AH3536" s="4"/>
      <c r="AI3536" s="4"/>
      <c r="AJ3536" s="4"/>
      <c r="AK3536" s="4"/>
      <c r="AL3536" s="4"/>
      <c r="AM3536" s="4"/>
      <c r="AN3536" s="4"/>
      <c r="AO3536" s="4"/>
      <c r="AP3536" s="4"/>
      <c r="AQ3536" s="4"/>
      <c r="AR3536" s="4"/>
      <c r="AS3536" s="4"/>
      <c r="AT3536" s="4"/>
      <c r="AU3536" s="4"/>
      <c r="AV3536" s="4"/>
    </row>
    <row r="3537" spans="1:48" ht="27.6" customHeight="1">
      <c r="A3537" s="762"/>
      <c r="B3537" s="762" t="s">
        <v>512</v>
      </c>
      <c r="C3537" s="762" t="s">
        <v>506</v>
      </c>
      <c r="D3537" s="1599">
        <v>1017</v>
      </c>
      <c r="E3537" s="2245" t="s">
        <v>2032</v>
      </c>
      <c r="F3537" s="763">
        <v>1147</v>
      </c>
      <c r="G3537" s="829"/>
      <c r="H3537" s="764"/>
      <c r="I3537" s="764"/>
      <c r="J3537" s="765"/>
      <c r="K3537" s="766"/>
      <c r="L3537" s="770"/>
      <c r="M3537" s="770">
        <v>11000</v>
      </c>
      <c r="N3537" s="2847"/>
      <c r="O3537" s="86"/>
      <c r="P3537" s="1817" t="e">
        <f>INDEX(#REF!,MATCH(F3537,#REF!,0),2)</f>
        <v>#REF!</v>
      </c>
      <c r="Q3537" s="43"/>
      <c r="R3537" s="43"/>
      <c r="S3537" s="43"/>
      <c r="T3537" s="43"/>
      <c r="U3537" s="43"/>
      <c r="V3537" s="43"/>
      <c r="W3537" s="43"/>
      <c r="X3537" s="43"/>
      <c r="Y3537" s="43"/>
      <c r="Z3537" s="43"/>
      <c r="AA3537" s="43"/>
      <c r="AB3537" s="43"/>
      <c r="AC3537" s="43"/>
      <c r="AD3537" s="43"/>
      <c r="AE3537" s="43"/>
      <c r="AF3537" s="43"/>
      <c r="AG3537" s="43"/>
      <c r="AH3537" s="43"/>
      <c r="AI3537" s="43"/>
      <c r="AJ3537" s="43"/>
      <c r="AK3537" s="43"/>
      <c r="AL3537" s="43"/>
      <c r="AM3537" s="43"/>
      <c r="AN3537" s="43"/>
      <c r="AO3537" s="43"/>
      <c r="AP3537" s="43"/>
      <c r="AQ3537" s="43"/>
      <c r="AR3537" s="43"/>
      <c r="AS3537" s="43"/>
      <c r="AT3537" s="43"/>
      <c r="AU3537" s="43"/>
      <c r="AV3537" s="43"/>
    </row>
    <row r="3538" spans="1:48" ht="27.6" customHeight="1">
      <c r="A3538" s="755"/>
      <c r="B3538" s="755" t="s">
        <v>512</v>
      </c>
      <c r="C3538" s="755" t="s">
        <v>506</v>
      </c>
      <c r="D3538" s="1600">
        <v>1017</v>
      </c>
      <c r="E3538" s="2247" t="s">
        <v>2032</v>
      </c>
      <c r="F3538" s="756">
        <v>1210</v>
      </c>
      <c r="G3538" s="757" t="s">
        <v>1801</v>
      </c>
      <c r="H3538" s="759">
        <v>0</v>
      </c>
      <c r="I3538" s="759"/>
      <c r="J3538" s="760"/>
      <c r="K3538" s="761"/>
      <c r="L3538" s="767">
        <v>3000</v>
      </c>
      <c r="M3538" s="767"/>
      <c r="N3538" s="2847"/>
      <c r="O3538" s="86"/>
      <c r="P3538" s="1817" t="e">
        <f>INDEX(#REF!,MATCH(F3538,#REF!,0),2)</f>
        <v>#REF!</v>
      </c>
      <c r="Q3538" s="43"/>
      <c r="R3538" s="43"/>
      <c r="S3538" s="43"/>
      <c r="T3538" s="43"/>
      <c r="U3538" s="43"/>
      <c r="V3538" s="43"/>
      <c r="W3538" s="43"/>
      <c r="X3538" s="43"/>
      <c r="Y3538" s="43"/>
      <c r="Z3538" s="43"/>
      <c r="AA3538" s="43"/>
      <c r="AB3538" s="43"/>
      <c r="AC3538" s="43"/>
      <c r="AD3538" s="43"/>
      <c r="AE3538" s="43"/>
      <c r="AF3538" s="43"/>
      <c r="AG3538" s="43"/>
      <c r="AH3538" s="43"/>
      <c r="AI3538" s="43"/>
      <c r="AJ3538" s="43"/>
      <c r="AK3538" s="43"/>
      <c r="AL3538" s="43"/>
      <c r="AM3538" s="43"/>
      <c r="AN3538" s="43"/>
      <c r="AO3538" s="43"/>
      <c r="AP3538" s="43"/>
      <c r="AQ3538" s="43"/>
      <c r="AR3538" s="43"/>
      <c r="AS3538" s="43"/>
      <c r="AT3538" s="43"/>
      <c r="AU3538" s="43"/>
      <c r="AV3538" s="43"/>
    </row>
    <row r="3539" spans="1:48" ht="13.15" customHeight="1">
      <c r="A3539" s="762"/>
      <c r="B3539" s="762" t="s">
        <v>512</v>
      </c>
      <c r="C3539" s="762" t="s">
        <v>506</v>
      </c>
      <c r="D3539" s="1599">
        <v>1017</v>
      </c>
      <c r="E3539" s="2245" t="s">
        <v>2032</v>
      </c>
      <c r="F3539" s="763">
        <v>1210</v>
      </c>
      <c r="G3539" s="829"/>
      <c r="H3539" s="764"/>
      <c r="I3539" s="764"/>
      <c r="J3539" s="765"/>
      <c r="K3539" s="766"/>
      <c r="L3539" s="770"/>
      <c r="M3539" s="770">
        <v>3000</v>
      </c>
      <c r="N3539" s="2847"/>
      <c r="O3539" s="86"/>
      <c r="P3539" s="1817" t="e">
        <f>INDEX(#REF!,MATCH(F3539,#REF!,0),2)</f>
        <v>#REF!</v>
      </c>
      <c r="Q3539" s="4"/>
      <c r="R3539" s="4"/>
      <c r="S3539" s="4"/>
      <c r="T3539" s="4"/>
      <c r="U3539" s="4"/>
      <c r="V3539" s="4"/>
      <c r="W3539" s="4"/>
      <c r="X3539" s="4"/>
      <c r="Y3539" s="4"/>
      <c r="Z3539" s="4"/>
      <c r="AA3539" s="4"/>
      <c r="AB3539" s="4"/>
      <c r="AC3539" s="4"/>
      <c r="AD3539" s="4"/>
      <c r="AE3539" s="4"/>
      <c r="AF3539" s="4"/>
      <c r="AG3539" s="4"/>
      <c r="AH3539" s="4"/>
      <c r="AI3539" s="4"/>
      <c r="AJ3539" s="4"/>
      <c r="AK3539" s="4"/>
      <c r="AL3539" s="4"/>
      <c r="AM3539" s="4"/>
      <c r="AN3539" s="4"/>
      <c r="AO3539" s="4"/>
      <c r="AP3539" s="4"/>
      <c r="AQ3539" s="4"/>
      <c r="AR3539" s="4"/>
      <c r="AS3539" s="4"/>
      <c r="AT3539" s="4"/>
      <c r="AU3539" s="4"/>
    </row>
    <row r="3540" spans="1:48" ht="13.15" customHeight="1">
      <c r="A3540" s="755"/>
      <c r="B3540" s="755" t="s">
        <v>512</v>
      </c>
      <c r="C3540" s="755" t="s">
        <v>506</v>
      </c>
      <c r="D3540" s="1600">
        <v>1017</v>
      </c>
      <c r="E3540" s="2247" t="s">
        <v>2032</v>
      </c>
      <c r="F3540" s="756">
        <v>6299</v>
      </c>
      <c r="G3540" s="757" t="s">
        <v>459</v>
      </c>
      <c r="H3540" s="759">
        <v>0</v>
      </c>
      <c r="I3540" s="759"/>
      <c r="J3540" s="760"/>
      <c r="K3540" s="761"/>
      <c r="L3540" s="767">
        <v>391292</v>
      </c>
      <c r="M3540" s="767"/>
      <c r="N3540" s="2847"/>
      <c r="O3540" s="86"/>
      <c r="P3540" s="1817" t="e">
        <f>INDEX(#REF!,MATCH(F3540,#REF!,0),2)</f>
        <v>#REF!</v>
      </c>
      <c r="Q3540" s="43"/>
      <c r="R3540" s="43"/>
      <c r="S3540" s="43"/>
      <c r="T3540" s="43"/>
      <c r="U3540" s="43"/>
      <c r="V3540" s="43"/>
      <c r="W3540" s="43"/>
      <c r="X3540" s="43"/>
      <c r="Y3540" s="43"/>
      <c r="Z3540" s="43"/>
      <c r="AA3540" s="43"/>
      <c r="AB3540" s="43"/>
      <c r="AC3540" s="43"/>
      <c r="AD3540" s="43"/>
      <c r="AE3540" s="43"/>
      <c r="AF3540" s="43"/>
      <c r="AG3540" s="43"/>
      <c r="AH3540" s="43"/>
      <c r="AI3540" s="43"/>
      <c r="AJ3540" s="43"/>
      <c r="AK3540" s="43"/>
      <c r="AL3540" s="43"/>
      <c r="AM3540" s="43"/>
      <c r="AN3540" s="43"/>
      <c r="AO3540" s="43"/>
      <c r="AP3540" s="43"/>
      <c r="AQ3540" s="43"/>
      <c r="AR3540" s="43"/>
      <c r="AS3540" s="43"/>
      <c r="AT3540" s="43"/>
      <c r="AU3540" s="43"/>
    </row>
    <row r="3541" spans="1:48" ht="21" customHeight="1">
      <c r="A3541" s="762"/>
      <c r="B3541" s="762" t="s">
        <v>512</v>
      </c>
      <c r="C3541" s="762" t="s">
        <v>506</v>
      </c>
      <c r="D3541" s="1599">
        <v>1017</v>
      </c>
      <c r="E3541" s="2245" t="s">
        <v>2032</v>
      </c>
      <c r="F3541" s="763">
        <v>6299</v>
      </c>
      <c r="G3541" s="829"/>
      <c r="H3541" s="764"/>
      <c r="I3541" s="764"/>
      <c r="J3541" s="765"/>
      <c r="K3541" s="766"/>
      <c r="L3541" s="770"/>
      <c r="M3541" s="770">
        <v>391292</v>
      </c>
      <c r="N3541" s="2847"/>
      <c r="O3541" s="1817"/>
      <c r="P3541" s="1817" t="e">
        <f>INDEX(#REF!,MATCH(F3541,#REF!,0),2)</f>
        <v>#REF!</v>
      </c>
      <c r="Q3541" s="4"/>
      <c r="R3541" s="4"/>
      <c r="S3541" s="4"/>
      <c r="T3541" s="4"/>
      <c r="U3541" s="4"/>
      <c r="V3541" s="4"/>
      <c r="W3541" s="4"/>
      <c r="X3541" s="4"/>
      <c r="Y3541" s="4"/>
      <c r="Z3541" s="4"/>
      <c r="AA3541" s="4"/>
      <c r="AB3541" s="4"/>
      <c r="AC3541" s="4"/>
      <c r="AD3541" s="4"/>
      <c r="AE3541" s="4"/>
      <c r="AF3541" s="4"/>
      <c r="AG3541" s="4"/>
      <c r="AH3541" s="4"/>
      <c r="AI3541" s="4"/>
      <c r="AJ3541" s="4"/>
      <c r="AK3541" s="4"/>
      <c r="AL3541" s="4"/>
      <c r="AM3541" s="4"/>
      <c r="AN3541" s="4"/>
      <c r="AO3541" s="4"/>
      <c r="AP3541" s="4"/>
      <c r="AQ3541" s="4"/>
      <c r="AR3541" s="4"/>
      <c r="AS3541" s="4"/>
      <c r="AT3541" s="4"/>
      <c r="AU3541" s="4"/>
      <c r="AV3541" s="4"/>
    </row>
    <row r="3542" spans="1:48" ht="12.6" customHeight="1">
      <c r="A3542" s="755"/>
      <c r="B3542" s="755" t="s">
        <v>512</v>
      </c>
      <c r="C3542" s="755" t="s">
        <v>506</v>
      </c>
      <c r="D3542" s="1600">
        <v>1017</v>
      </c>
      <c r="E3542" s="2247" t="s">
        <v>2032</v>
      </c>
      <c r="F3542" s="756">
        <v>7245</v>
      </c>
      <c r="G3542" s="757" t="s">
        <v>786</v>
      </c>
      <c r="H3542" s="759">
        <v>0</v>
      </c>
      <c r="I3542" s="759"/>
      <c r="J3542" s="760"/>
      <c r="K3542" s="761"/>
      <c r="L3542" s="767">
        <v>293052</v>
      </c>
      <c r="M3542" s="767"/>
      <c r="N3542" s="2847"/>
      <c r="O3542" s="1817"/>
      <c r="P3542" s="1817" t="e">
        <f>INDEX(#REF!,MATCH(F3542,#REF!,0),2)</f>
        <v>#REF!</v>
      </c>
      <c r="Q3542" s="4"/>
      <c r="R3542" s="4"/>
      <c r="S3542" s="4"/>
      <c r="T3542" s="4"/>
      <c r="U3542" s="4"/>
      <c r="V3542" s="4"/>
      <c r="W3542" s="4"/>
      <c r="X3542" s="4"/>
      <c r="Y3542" s="4"/>
      <c r="Z3542" s="4"/>
      <c r="AA3542" s="4"/>
      <c r="AB3542" s="4"/>
      <c r="AC3542" s="4"/>
      <c r="AD3542" s="4"/>
      <c r="AE3542" s="4"/>
      <c r="AF3542" s="4"/>
      <c r="AG3542" s="4"/>
      <c r="AH3542" s="4"/>
      <c r="AI3542" s="4"/>
      <c r="AJ3542" s="4"/>
      <c r="AK3542" s="4"/>
      <c r="AL3542" s="4"/>
      <c r="AM3542" s="4"/>
      <c r="AN3542" s="4"/>
      <c r="AO3542" s="4"/>
      <c r="AP3542" s="4"/>
      <c r="AQ3542" s="4"/>
      <c r="AR3542" s="4"/>
      <c r="AS3542" s="4"/>
      <c r="AT3542" s="4"/>
      <c r="AU3542" s="4"/>
      <c r="AV3542" s="4"/>
    </row>
    <row r="3543" spans="1:48" ht="12.6" customHeight="1">
      <c r="A3543" s="762"/>
      <c r="B3543" s="762" t="s">
        <v>512</v>
      </c>
      <c r="C3543" s="762" t="s">
        <v>506</v>
      </c>
      <c r="D3543" s="1599">
        <v>1017</v>
      </c>
      <c r="E3543" s="2245" t="s">
        <v>2032</v>
      </c>
      <c r="F3543" s="763">
        <v>7245</v>
      </c>
      <c r="G3543" s="829"/>
      <c r="H3543" s="764"/>
      <c r="I3543" s="764"/>
      <c r="J3543" s="765"/>
      <c r="K3543" s="766"/>
      <c r="L3543" s="770"/>
      <c r="M3543" s="770">
        <v>293052</v>
      </c>
      <c r="N3543" s="2847"/>
      <c r="O3543" s="86"/>
      <c r="P3543" s="1817" t="e">
        <f>INDEX(#REF!,MATCH(F3543,#REF!,0),2)</f>
        <v>#REF!</v>
      </c>
      <c r="Q3543" s="4"/>
      <c r="R3543" s="4"/>
      <c r="S3543" s="4"/>
      <c r="T3543" s="4"/>
      <c r="U3543" s="4"/>
      <c r="V3543" s="4"/>
      <c r="W3543" s="4"/>
      <c r="X3543" s="4"/>
      <c r="Y3543" s="4"/>
      <c r="Z3543" s="4"/>
      <c r="AA3543" s="4"/>
      <c r="AB3543" s="4"/>
      <c r="AC3543" s="4"/>
      <c r="AD3543" s="4"/>
      <c r="AE3543" s="4"/>
      <c r="AF3543" s="4"/>
      <c r="AG3543" s="4"/>
      <c r="AH3543" s="4"/>
      <c r="AI3543" s="4"/>
      <c r="AJ3543" s="4"/>
      <c r="AK3543" s="4"/>
      <c r="AL3543" s="4"/>
      <c r="AM3543" s="4"/>
      <c r="AN3543" s="4"/>
      <c r="AO3543" s="4"/>
      <c r="AP3543" s="4"/>
      <c r="AQ3543" s="4"/>
      <c r="AR3543" s="4"/>
      <c r="AS3543" s="4"/>
      <c r="AT3543" s="4"/>
      <c r="AU3543" s="4"/>
      <c r="AV3543" s="4"/>
    </row>
    <row r="3544" spans="1:48" ht="11.45" customHeight="1">
      <c r="A3544" s="506"/>
      <c r="B3544" s="506" t="s">
        <v>1248</v>
      </c>
      <c r="C3544" s="506" t="s">
        <v>507</v>
      </c>
      <c r="D3544" s="1589" t="s">
        <v>1980</v>
      </c>
      <c r="E3544" s="2223" t="s">
        <v>1980</v>
      </c>
      <c r="F3544" s="540">
        <v>2223</v>
      </c>
      <c r="G3544" s="411" t="s">
        <v>273</v>
      </c>
      <c r="H3544" s="572">
        <v>10977</v>
      </c>
      <c r="I3544" s="572"/>
      <c r="J3544" s="572"/>
      <c r="K3544" s="543"/>
      <c r="L3544" s="571">
        <v>0</v>
      </c>
      <c r="M3544" s="571"/>
      <c r="N3544" s="2847"/>
      <c r="O3544" s="86"/>
      <c r="P3544" s="1817" t="e">
        <f>INDEX(#REF!,MATCH(F3544,#REF!,0),2)</f>
        <v>#REF!</v>
      </c>
      <c r="Q3544" s="43"/>
      <c r="R3544" s="43"/>
      <c r="S3544" s="43"/>
      <c r="T3544" s="43"/>
      <c r="U3544" s="43"/>
      <c r="V3544" s="43"/>
      <c r="W3544" s="43"/>
      <c r="X3544" s="43"/>
      <c r="Y3544" s="43"/>
      <c r="Z3544" s="43"/>
      <c r="AA3544" s="43"/>
      <c r="AB3544" s="43"/>
      <c r="AC3544" s="43"/>
      <c r="AD3544" s="43"/>
      <c r="AE3544" s="43"/>
      <c r="AF3544" s="43"/>
      <c r="AG3544" s="43"/>
      <c r="AH3544" s="43"/>
      <c r="AI3544" s="43"/>
      <c r="AJ3544" s="43"/>
      <c r="AK3544" s="43"/>
      <c r="AL3544" s="43"/>
      <c r="AM3544" s="43"/>
      <c r="AN3544" s="43"/>
      <c r="AO3544" s="43"/>
      <c r="AP3544" s="43"/>
      <c r="AQ3544" s="43"/>
      <c r="AR3544" s="43"/>
      <c r="AS3544" s="43"/>
      <c r="AT3544" s="43"/>
      <c r="AU3544" s="43"/>
      <c r="AV3544" s="43"/>
    </row>
    <row r="3545" spans="1:48" ht="47.45" customHeight="1">
      <c r="A3545" s="412"/>
      <c r="B3545" s="412" t="s">
        <v>1248</v>
      </c>
      <c r="C3545" s="412" t="s">
        <v>507</v>
      </c>
      <c r="D3545" s="1590" t="s">
        <v>1980</v>
      </c>
      <c r="E3545" s="2224" t="s">
        <v>1980</v>
      </c>
      <c r="F3545" s="505">
        <v>2223</v>
      </c>
      <c r="G3545" s="416" t="s">
        <v>3229</v>
      </c>
      <c r="H3545" s="487"/>
      <c r="I3545" s="3840">
        <v>17977</v>
      </c>
      <c r="J3545" s="487"/>
      <c r="K3545" s="543"/>
      <c r="L3545" s="430"/>
      <c r="M3545" s="3838"/>
      <c r="N3545" s="2847"/>
      <c r="O3545" s="86"/>
      <c r="P3545" s="1817"/>
      <c r="Q3545" s="4"/>
      <c r="R3545" s="4"/>
      <c r="S3545" s="4"/>
      <c r="T3545" s="4"/>
      <c r="U3545" s="4"/>
      <c r="V3545" s="4"/>
      <c r="W3545" s="4"/>
      <c r="X3545" s="4"/>
      <c r="Y3545" s="4"/>
      <c r="Z3545" s="4"/>
      <c r="AA3545" s="4"/>
      <c r="AB3545" s="4"/>
      <c r="AC3545" s="4"/>
      <c r="AD3545" s="4"/>
      <c r="AE3545" s="4"/>
      <c r="AF3545" s="4"/>
      <c r="AG3545" s="4"/>
      <c r="AH3545" s="4"/>
      <c r="AI3545" s="4"/>
      <c r="AJ3545" s="4"/>
      <c r="AK3545" s="4"/>
      <c r="AL3545" s="4"/>
      <c r="AM3545" s="4"/>
      <c r="AN3545" s="4"/>
      <c r="AO3545" s="4"/>
      <c r="AP3545" s="4"/>
      <c r="AQ3545" s="4"/>
      <c r="AR3545" s="4"/>
      <c r="AS3545" s="4"/>
      <c r="AT3545" s="4"/>
      <c r="AU3545" s="4"/>
      <c r="AV3545" s="4"/>
    </row>
    <row r="3546" spans="1:48" ht="37.5" customHeight="1">
      <c r="A3546" s="1882"/>
      <c r="B3546" s="412" t="s">
        <v>1248</v>
      </c>
      <c r="C3546" s="412" t="s">
        <v>507</v>
      </c>
      <c r="D3546" s="1590" t="s">
        <v>1980</v>
      </c>
      <c r="E3546" s="2224" t="s">
        <v>1980</v>
      </c>
      <c r="F3546" s="505">
        <v>2223</v>
      </c>
      <c r="G3546" s="2235" t="s">
        <v>3228</v>
      </c>
      <c r="H3546" s="1772"/>
      <c r="I3546" s="3841">
        <v>-7000</v>
      </c>
      <c r="J3546" s="1772"/>
      <c r="K3546" s="1917"/>
      <c r="L3546" s="1764"/>
      <c r="M3546" s="3651"/>
      <c r="N3546" s="2847"/>
      <c r="O3546" s="86"/>
      <c r="P3546" s="1817" t="e">
        <f>INDEX(#REF!,MATCH(F3546,#REF!,0),2)</f>
        <v>#REF!</v>
      </c>
      <c r="Q3546" s="4"/>
      <c r="R3546" s="4"/>
      <c r="S3546" s="4"/>
      <c r="T3546" s="4"/>
      <c r="U3546" s="4"/>
      <c r="V3546" s="4"/>
      <c r="W3546" s="4"/>
      <c r="X3546" s="4"/>
      <c r="Y3546" s="4"/>
      <c r="Z3546" s="4"/>
      <c r="AA3546" s="4"/>
      <c r="AB3546" s="4"/>
      <c r="AC3546" s="4"/>
      <c r="AD3546" s="4"/>
      <c r="AE3546" s="4"/>
      <c r="AF3546" s="4"/>
      <c r="AG3546" s="4"/>
      <c r="AH3546" s="4"/>
      <c r="AI3546" s="4"/>
      <c r="AJ3546" s="4"/>
      <c r="AK3546" s="4"/>
      <c r="AL3546" s="4"/>
      <c r="AM3546" s="4"/>
      <c r="AN3546" s="4"/>
      <c r="AO3546" s="4"/>
      <c r="AP3546" s="4"/>
      <c r="AQ3546" s="4"/>
      <c r="AR3546" s="4"/>
      <c r="AS3546" s="4"/>
      <c r="AT3546" s="4"/>
      <c r="AU3546" s="4"/>
      <c r="AV3546" s="4"/>
    </row>
    <row r="3547" spans="1:48" ht="14.45" customHeight="1">
      <c r="A3547" s="506"/>
      <c r="B3547" s="506" t="s">
        <v>1248</v>
      </c>
      <c r="C3547" s="506" t="s">
        <v>507</v>
      </c>
      <c r="D3547" s="1589" t="s">
        <v>1980</v>
      </c>
      <c r="E3547" s="2223" t="s">
        <v>1980</v>
      </c>
      <c r="F3547" s="540">
        <v>2224</v>
      </c>
      <c r="G3547" s="411" t="s">
        <v>274</v>
      </c>
      <c r="H3547" s="572">
        <v>244.99760000000001</v>
      </c>
      <c r="I3547" s="572"/>
      <c r="J3547" s="572"/>
      <c r="K3547" s="543"/>
      <c r="L3547" s="571">
        <v>0</v>
      </c>
      <c r="M3547" s="571"/>
      <c r="N3547" s="2847" t="s">
        <v>2267</v>
      </c>
      <c r="O3547" s="86"/>
      <c r="P3547" s="1817" t="e">
        <f>INDEX(#REF!,MATCH(F3547,#REF!,0),2)</f>
        <v>#REF!</v>
      </c>
      <c r="Q3547" s="43"/>
      <c r="R3547" s="43"/>
      <c r="S3547" s="43"/>
      <c r="T3547" s="43"/>
      <c r="U3547" s="43"/>
      <c r="V3547" s="43"/>
      <c r="W3547" s="43"/>
      <c r="X3547" s="43"/>
      <c r="Y3547" s="43"/>
      <c r="Z3547" s="43"/>
      <c r="AA3547" s="43"/>
      <c r="AB3547" s="43"/>
      <c r="AC3547" s="43"/>
      <c r="AD3547" s="43"/>
      <c r="AE3547" s="43"/>
      <c r="AF3547" s="43"/>
      <c r="AG3547" s="43"/>
      <c r="AH3547" s="43"/>
      <c r="AI3547" s="43"/>
      <c r="AJ3547" s="43"/>
      <c r="AK3547" s="43"/>
      <c r="AL3547" s="43"/>
      <c r="AM3547" s="43"/>
      <c r="AN3547" s="43"/>
      <c r="AO3547" s="43"/>
      <c r="AP3547" s="43"/>
      <c r="AQ3547" s="43"/>
      <c r="AR3547" s="43"/>
      <c r="AS3547" s="43"/>
      <c r="AT3547" s="43"/>
      <c r="AU3547" s="43"/>
      <c r="AV3547" s="43"/>
    </row>
    <row r="3548" spans="1:48" ht="34.15" customHeight="1">
      <c r="A3548" s="412"/>
      <c r="B3548" s="412" t="s">
        <v>1248</v>
      </c>
      <c r="C3548" s="412" t="s">
        <v>507</v>
      </c>
      <c r="D3548" s="1590" t="s">
        <v>1980</v>
      </c>
      <c r="E3548" s="2224" t="s">
        <v>1980</v>
      </c>
      <c r="F3548" s="505">
        <v>2224</v>
      </c>
      <c r="G3548" s="416" t="s">
        <v>1550</v>
      </c>
      <c r="H3548" s="487"/>
      <c r="I3548" s="3840">
        <v>244.99760000000001</v>
      </c>
      <c r="J3548" s="487"/>
      <c r="K3548" s="543"/>
      <c r="L3548" s="430"/>
      <c r="M3548" s="3838"/>
      <c r="N3548" s="2847" t="s">
        <v>2267</v>
      </c>
      <c r="O3548" s="86"/>
      <c r="P3548" s="1817"/>
      <c r="Q3548" s="43"/>
      <c r="R3548" s="43"/>
      <c r="S3548" s="43"/>
      <c r="T3548" s="43"/>
      <c r="U3548" s="43"/>
      <c r="V3548" s="43"/>
      <c r="W3548" s="43"/>
      <c r="X3548" s="43"/>
      <c r="Y3548" s="43"/>
      <c r="Z3548" s="43"/>
      <c r="AA3548" s="43"/>
      <c r="AB3548" s="43"/>
      <c r="AC3548" s="43"/>
      <c r="AD3548" s="43"/>
      <c r="AE3548" s="43"/>
      <c r="AF3548" s="43"/>
      <c r="AG3548" s="43"/>
      <c r="AH3548" s="43"/>
      <c r="AI3548" s="43"/>
      <c r="AJ3548" s="43"/>
      <c r="AK3548" s="43"/>
      <c r="AL3548" s="43"/>
      <c r="AM3548" s="43"/>
      <c r="AN3548" s="43"/>
      <c r="AO3548" s="43"/>
      <c r="AP3548" s="43"/>
      <c r="AQ3548" s="43"/>
      <c r="AR3548" s="43"/>
      <c r="AS3548" s="43"/>
      <c r="AT3548" s="43"/>
      <c r="AU3548" s="43"/>
      <c r="AV3548" s="43"/>
    </row>
    <row r="3549" spans="1:48" ht="34.15" customHeight="1">
      <c r="A3549" s="506"/>
      <c r="B3549" s="506" t="s">
        <v>1248</v>
      </c>
      <c r="C3549" s="506" t="s">
        <v>505</v>
      </c>
      <c r="D3549" s="1589" t="s">
        <v>1980</v>
      </c>
      <c r="E3549" s="2223" t="s">
        <v>1980</v>
      </c>
      <c r="F3549" s="540">
        <v>2243</v>
      </c>
      <c r="G3549" s="411" t="s">
        <v>329</v>
      </c>
      <c r="H3549" s="572">
        <v>4634</v>
      </c>
      <c r="I3549" s="572"/>
      <c r="J3549" s="572"/>
      <c r="K3549" s="543"/>
      <c r="L3549" s="571">
        <v>0</v>
      </c>
      <c r="M3549" s="571"/>
      <c r="N3549" s="2847"/>
      <c r="O3549" s="86"/>
      <c r="P3549" s="1817" t="e">
        <f>INDEX(#REF!,MATCH(F3549,#REF!,0),2)</f>
        <v>#REF!</v>
      </c>
      <c r="Q3549" s="43"/>
      <c r="R3549" s="43"/>
      <c r="S3549" s="43"/>
      <c r="T3549" s="43"/>
      <c r="U3549" s="43"/>
      <c r="V3549" s="43"/>
      <c r="W3549" s="43"/>
      <c r="X3549" s="43"/>
      <c r="Y3549" s="43"/>
      <c r="Z3549" s="43"/>
      <c r="AA3549" s="43"/>
      <c r="AB3549" s="43"/>
      <c r="AC3549" s="43"/>
      <c r="AD3549" s="43"/>
      <c r="AE3549" s="43"/>
      <c r="AF3549" s="43"/>
      <c r="AG3549" s="43"/>
      <c r="AH3549" s="43"/>
      <c r="AI3549" s="43"/>
      <c r="AJ3549" s="43"/>
      <c r="AK3549" s="43"/>
      <c r="AL3549" s="43"/>
      <c r="AM3549" s="43"/>
      <c r="AN3549" s="43"/>
      <c r="AO3549" s="43"/>
      <c r="AP3549" s="43"/>
      <c r="AQ3549" s="43"/>
      <c r="AR3549" s="43"/>
      <c r="AS3549" s="43"/>
      <c r="AT3549" s="43"/>
      <c r="AU3549" s="43"/>
      <c r="AV3549" s="43"/>
    </row>
    <row r="3550" spans="1:48" ht="34.15" customHeight="1">
      <c r="A3550" s="412"/>
      <c r="B3550" s="412" t="s">
        <v>1248</v>
      </c>
      <c r="C3550" s="412" t="s">
        <v>505</v>
      </c>
      <c r="D3550" s="1590" t="s">
        <v>1980</v>
      </c>
      <c r="E3550" s="2224" t="s">
        <v>1980</v>
      </c>
      <c r="F3550" s="505">
        <v>2243</v>
      </c>
      <c r="G3550" s="416" t="s">
        <v>2691</v>
      </c>
      <c r="H3550" s="575"/>
      <c r="I3550" s="575">
        <v>4854</v>
      </c>
      <c r="J3550" s="575"/>
      <c r="K3550" s="543"/>
      <c r="L3550" s="574"/>
      <c r="M3550" s="574"/>
      <c r="N3550" s="2847"/>
      <c r="O3550" s="86"/>
      <c r="P3550" s="1817" t="e">
        <f>INDEX(#REF!,MATCH(F3550,#REF!,0),2)</f>
        <v>#REF!</v>
      </c>
      <c r="Q3550" s="4"/>
      <c r="R3550" s="4"/>
      <c r="S3550" s="4"/>
      <c r="T3550" s="4"/>
      <c r="U3550" s="4"/>
      <c r="V3550" s="4"/>
      <c r="W3550" s="4"/>
      <c r="X3550" s="4"/>
      <c r="Y3550" s="4"/>
      <c r="Z3550" s="4"/>
      <c r="AA3550" s="4"/>
      <c r="AB3550" s="4"/>
      <c r="AC3550" s="4"/>
      <c r="AD3550" s="4"/>
      <c r="AE3550" s="4"/>
      <c r="AF3550" s="4"/>
      <c r="AG3550" s="4"/>
      <c r="AH3550" s="4"/>
      <c r="AI3550" s="4"/>
      <c r="AJ3550" s="4"/>
      <c r="AK3550" s="4"/>
      <c r="AL3550" s="4"/>
      <c r="AM3550" s="4"/>
      <c r="AN3550" s="4"/>
      <c r="AO3550" s="4"/>
      <c r="AP3550" s="4"/>
      <c r="AQ3550" s="4"/>
      <c r="AR3550" s="4"/>
      <c r="AS3550" s="4"/>
      <c r="AT3550" s="4"/>
      <c r="AU3550" s="4"/>
    </row>
    <row r="3551" spans="1:48" ht="16.149999999999999" customHeight="1">
      <c r="A3551" s="2790"/>
      <c r="B3551" s="412" t="s">
        <v>1248</v>
      </c>
      <c r="C3551" s="412" t="s">
        <v>505</v>
      </c>
      <c r="D3551" s="1590" t="s">
        <v>1980</v>
      </c>
      <c r="E3551" s="2224" t="s">
        <v>1980</v>
      </c>
      <c r="F3551" s="505">
        <v>2243</v>
      </c>
      <c r="G3551" s="416" t="s">
        <v>5303</v>
      </c>
      <c r="H3551" s="1772"/>
      <c r="I3551" s="1772">
        <v>-220</v>
      </c>
      <c r="J3551" s="1772"/>
      <c r="K3551" s="2777"/>
      <c r="L3551" s="1764"/>
      <c r="M3551" s="1764"/>
      <c r="N3551" s="2847"/>
      <c r="O3551" s="86"/>
      <c r="P3551" s="1817"/>
      <c r="Q3551" s="4"/>
      <c r="R3551" s="4"/>
      <c r="S3551" s="4"/>
      <c r="T3551" s="4"/>
      <c r="U3551" s="4"/>
      <c r="V3551" s="4"/>
      <c r="W3551" s="4"/>
      <c r="X3551" s="4"/>
      <c r="Y3551" s="4"/>
      <c r="Z3551" s="4"/>
      <c r="AA3551" s="4"/>
      <c r="AB3551" s="4"/>
      <c r="AC3551" s="4"/>
      <c r="AD3551" s="4"/>
      <c r="AE3551" s="4"/>
      <c r="AF3551" s="4"/>
      <c r="AG3551" s="4"/>
      <c r="AH3551" s="4"/>
      <c r="AI3551" s="4"/>
      <c r="AJ3551" s="4"/>
      <c r="AK3551" s="4"/>
      <c r="AL3551" s="4"/>
      <c r="AM3551" s="4"/>
      <c r="AN3551" s="4"/>
      <c r="AO3551" s="4"/>
      <c r="AP3551" s="4"/>
      <c r="AQ3551" s="4"/>
      <c r="AR3551" s="4"/>
      <c r="AS3551" s="4"/>
      <c r="AT3551" s="4"/>
      <c r="AU3551" s="4"/>
    </row>
    <row r="3552" spans="1:48" ht="13.9" customHeight="1">
      <c r="A3552" s="506"/>
      <c r="B3552" s="506" t="s">
        <v>1248</v>
      </c>
      <c r="C3552" s="506" t="s">
        <v>505</v>
      </c>
      <c r="D3552" s="1589" t="s">
        <v>1980</v>
      </c>
      <c r="E3552" s="2223" t="s">
        <v>1980</v>
      </c>
      <c r="F3552" s="540">
        <v>2244</v>
      </c>
      <c r="G3552" s="411" t="s">
        <v>280</v>
      </c>
      <c r="H3552" s="572">
        <v>34160</v>
      </c>
      <c r="I3552" s="572"/>
      <c r="J3552" s="572"/>
      <c r="K3552" s="543"/>
      <c r="L3552" s="571">
        <v>32110.199999999997</v>
      </c>
      <c r="M3552" s="571"/>
      <c r="N3552" s="2847"/>
      <c r="O3552" s="1817"/>
      <c r="P3552" s="1817" t="e">
        <f>INDEX(#REF!,MATCH(F3552,#REF!,0),2)</f>
        <v>#REF!</v>
      </c>
      <c r="Q3552" s="43"/>
      <c r="R3552" s="43"/>
      <c r="S3552" s="43"/>
      <c r="T3552" s="43"/>
      <c r="U3552" s="43"/>
      <c r="V3552" s="43"/>
      <c r="W3552" s="43"/>
      <c r="X3552" s="43"/>
      <c r="Y3552" s="43"/>
      <c r="Z3552" s="43"/>
      <c r="AA3552" s="43"/>
      <c r="AB3552" s="43"/>
      <c r="AC3552" s="43"/>
      <c r="AD3552" s="43"/>
      <c r="AE3552" s="43"/>
      <c r="AF3552" s="43"/>
      <c r="AG3552" s="43"/>
      <c r="AH3552" s="43"/>
      <c r="AI3552" s="43"/>
      <c r="AJ3552" s="43"/>
      <c r="AK3552" s="43"/>
      <c r="AL3552" s="43"/>
      <c r="AM3552" s="43"/>
      <c r="AN3552" s="43"/>
      <c r="AO3552" s="4"/>
      <c r="AP3552" s="4"/>
      <c r="AQ3552" s="4"/>
      <c r="AR3552" s="4"/>
      <c r="AS3552" s="4"/>
      <c r="AT3552" s="4"/>
      <c r="AU3552" s="4"/>
      <c r="AV3552" s="4"/>
    </row>
    <row r="3553" spans="1:48" ht="16.899999999999999" customHeight="1">
      <c r="A3553" s="412"/>
      <c r="B3553" s="412" t="s">
        <v>1248</v>
      </c>
      <c r="C3553" s="412" t="s">
        <v>505</v>
      </c>
      <c r="D3553" s="1590" t="s">
        <v>1980</v>
      </c>
      <c r="E3553" s="2224" t="s">
        <v>1980</v>
      </c>
      <c r="F3553" s="505">
        <v>2244</v>
      </c>
      <c r="G3553" s="996" t="s">
        <v>3119</v>
      </c>
      <c r="H3553" s="487"/>
      <c r="I3553" s="1075">
        <v>24120</v>
      </c>
      <c r="J3553" s="487"/>
      <c r="K3553" s="543"/>
      <c r="L3553" s="430"/>
      <c r="M3553" s="3839">
        <v>24110.199999999997</v>
      </c>
      <c r="N3553" s="2847"/>
      <c r="O3553" s="1817"/>
      <c r="P3553" s="1817" t="e">
        <f>INDEX(#REF!,MATCH(F3553,#REF!,0),2)</f>
        <v>#REF!</v>
      </c>
      <c r="Q3553" s="4"/>
      <c r="R3553" s="4"/>
      <c r="S3553" s="4"/>
      <c r="T3553" s="4"/>
      <c r="U3553" s="4"/>
      <c r="V3553" s="4"/>
      <c r="W3553" s="4"/>
      <c r="X3553" s="4"/>
      <c r="Y3553" s="4"/>
      <c r="Z3553" s="4"/>
      <c r="AA3553" s="4"/>
      <c r="AB3553" s="4"/>
      <c r="AC3553" s="4"/>
      <c r="AD3553" s="4"/>
      <c r="AE3553" s="4"/>
      <c r="AF3553" s="4"/>
      <c r="AG3553" s="4"/>
      <c r="AH3553" s="4"/>
      <c r="AI3553" s="4"/>
      <c r="AJ3553" s="4"/>
      <c r="AK3553" s="4"/>
      <c r="AL3553" s="4"/>
      <c r="AM3553" s="4"/>
      <c r="AN3553" s="4"/>
      <c r="AO3553" s="4"/>
      <c r="AP3553" s="4"/>
      <c r="AQ3553" s="4"/>
      <c r="AR3553" s="4"/>
      <c r="AS3553" s="4"/>
      <c r="AT3553" s="4"/>
      <c r="AU3553" s="4"/>
      <c r="AV3553" s="4"/>
    </row>
    <row r="3554" spans="1:48" ht="20.45" customHeight="1">
      <c r="A3554" s="2790"/>
      <c r="B3554" s="412" t="s">
        <v>1248</v>
      </c>
      <c r="C3554" s="412" t="s">
        <v>505</v>
      </c>
      <c r="D3554" s="1590" t="s">
        <v>1980</v>
      </c>
      <c r="E3554" s="2224" t="s">
        <v>1980</v>
      </c>
      <c r="F3554" s="505">
        <v>2244</v>
      </c>
      <c r="G3554" s="2774" t="s">
        <v>5304</v>
      </c>
      <c r="H3554" s="1772"/>
      <c r="I3554" s="1772">
        <v>10040</v>
      </c>
      <c r="J3554" s="1772"/>
      <c r="K3554" s="2777"/>
      <c r="L3554" s="1764"/>
      <c r="M3554" s="1764">
        <v>8000</v>
      </c>
      <c r="N3554" s="2847"/>
      <c r="O3554" s="86"/>
      <c r="P3554" s="1817" t="e">
        <f>INDEX(#REF!,MATCH(F3554,#REF!,0),2)</f>
        <v>#REF!</v>
      </c>
      <c r="Q3554" s="43"/>
      <c r="R3554" s="43"/>
      <c r="S3554" s="43"/>
      <c r="T3554" s="43"/>
      <c r="U3554" s="43"/>
      <c r="V3554" s="43"/>
      <c r="W3554" s="43"/>
      <c r="X3554" s="43"/>
      <c r="Y3554" s="43"/>
      <c r="Z3554" s="43"/>
      <c r="AA3554" s="1782"/>
      <c r="AB3554" s="1783"/>
      <c r="AC3554" s="1800"/>
      <c r="AD3554" s="1800"/>
      <c r="AE3554" s="43"/>
      <c r="AF3554" s="43"/>
      <c r="AG3554" s="4"/>
      <c r="AH3554" s="4"/>
      <c r="AI3554" s="4"/>
      <c r="AJ3554" s="4"/>
      <c r="AL3554" s="4"/>
      <c r="AM3554" s="4"/>
      <c r="AN3554" s="4"/>
      <c r="AO3554" s="4"/>
      <c r="AP3554" s="4"/>
      <c r="AQ3554" s="4"/>
      <c r="AR3554" s="4"/>
      <c r="AS3554" s="4"/>
      <c r="AT3554" s="4"/>
      <c r="AU3554" s="4"/>
      <c r="AV3554" s="4"/>
    </row>
    <row r="3555" spans="1:48">
      <c r="A3555" s="506"/>
      <c r="B3555" s="506" t="s">
        <v>1248</v>
      </c>
      <c r="C3555" s="506" t="s">
        <v>505</v>
      </c>
      <c r="D3555" s="1589" t="s">
        <v>1980</v>
      </c>
      <c r="E3555" s="2223" t="s">
        <v>1980</v>
      </c>
      <c r="F3555" s="540">
        <v>2247</v>
      </c>
      <c r="G3555" s="411" t="s">
        <v>281</v>
      </c>
      <c r="H3555" s="572">
        <v>1070</v>
      </c>
      <c r="I3555" s="572"/>
      <c r="J3555" s="572"/>
      <c r="K3555" s="543"/>
      <c r="L3555" s="571">
        <v>0</v>
      </c>
      <c r="M3555" s="571"/>
      <c r="N3555" s="2847"/>
      <c r="O3555" s="86"/>
      <c r="P3555" s="1817" t="e">
        <f>INDEX(#REF!,MATCH(F3555,#REF!,0),2)</f>
        <v>#REF!</v>
      </c>
      <c r="Q3555" s="43"/>
      <c r="R3555" s="43"/>
      <c r="S3555" s="43"/>
      <c r="T3555" s="43"/>
      <c r="U3555" s="43"/>
      <c r="V3555" s="43"/>
      <c r="W3555" s="43"/>
      <c r="X3555" s="43"/>
      <c r="Y3555" s="43"/>
      <c r="Z3555" s="43"/>
      <c r="AA3555" s="43"/>
      <c r="AB3555" s="43"/>
      <c r="AC3555" s="43"/>
      <c r="AD3555" s="43"/>
      <c r="AE3555" s="43"/>
      <c r="AF3555" s="43"/>
      <c r="AG3555" s="43"/>
      <c r="AH3555" s="43"/>
      <c r="AI3555" s="43"/>
      <c r="AJ3555" s="43"/>
      <c r="AK3555" s="43"/>
      <c r="AL3555" s="43"/>
      <c r="AM3555" s="43"/>
      <c r="AN3555" s="43"/>
      <c r="AO3555" s="43"/>
      <c r="AP3555" s="43"/>
      <c r="AQ3555" s="43"/>
      <c r="AR3555" s="43"/>
      <c r="AS3555" s="43"/>
      <c r="AT3555" s="43"/>
      <c r="AU3555" s="43"/>
      <c r="AV3555" s="43"/>
    </row>
    <row r="3556" spans="1:48" ht="19.149999999999999" customHeight="1">
      <c r="A3556" s="412"/>
      <c r="B3556" s="412" t="s">
        <v>1248</v>
      </c>
      <c r="C3556" s="412" t="s">
        <v>505</v>
      </c>
      <c r="D3556" s="1590" t="s">
        <v>1980</v>
      </c>
      <c r="E3556" s="2224" t="s">
        <v>1980</v>
      </c>
      <c r="F3556" s="505">
        <v>2247</v>
      </c>
      <c r="G3556" s="1013" t="s">
        <v>1551</v>
      </c>
      <c r="H3556" s="575"/>
      <c r="I3556" s="575">
        <v>850</v>
      </c>
      <c r="J3556" s="575"/>
      <c r="K3556" s="543"/>
      <c r="L3556" s="574"/>
      <c r="M3556" s="574"/>
      <c r="N3556" s="2847"/>
      <c r="O3556" s="86"/>
      <c r="P3556" s="1817" t="e">
        <f>INDEX(#REF!,MATCH(F3556,#REF!,0),2)</f>
        <v>#REF!</v>
      </c>
      <c r="Q3556" s="1779"/>
      <c r="R3556" s="1779"/>
      <c r="S3556" s="1779"/>
      <c r="T3556" s="1779"/>
      <c r="U3556" s="1779"/>
      <c r="V3556" s="1779"/>
      <c r="W3556" s="43"/>
      <c r="X3556" s="1779"/>
      <c r="Y3556" s="1779"/>
      <c r="Z3556" s="1779"/>
      <c r="AA3556" s="1779"/>
      <c r="AB3556" s="1779"/>
      <c r="AC3556" s="1779"/>
      <c r="AD3556" s="1779"/>
      <c r="AE3556" s="1779"/>
      <c r="AF3556" s="1779"/>
      <c r="AG3556" s="1779"/>
      <c r="AH3556" s="1779"/>
      <c r="AI3556" s="1779"/>
      <c r="AJ3556" s="1779"/>
      <c r="AL3556" s="11"/>
      <c r="AM3556" s="11"/>
      <c r="AN3556" s="11"/>
      <c r="AO3556" s="11"/>
      <c r="AP3556" s="11"/>
      <c r="AQ3556" s="11"/>
      <c r="AR3556" s="11"/>
      <c r="AS3556" s="11"/>
      <c r="AT3556" s="11"/>
      <c r="AU3556" s="11"/>
      <c r="AV3556" s="11"/>
    </row>
    <row r="3557" spans="1:48" ht="13.9" customHeight="1">
      <c r="A3557" s="2790"/>
      <c r="B3557" s="412" t="s">
        <v>1248</v>
      </c>
      <c r="C3557" s="412" t="s">
        <v>505</v>
      </c>
      <c r="D3557" s="1590" t="s">
        <v>1980</v>
      </c>
      <c r="E3557" s="2224" t="s">
        <v>1980</v>
      </c>
      <c r="F3557" s="505">
        <v>2247</v>
      </c>
      <c r="G3557" s="2761" t="s">
        <v>5303</v>
      </c>
      <c r="H3557" s="1772"/>
      <c r="I3557" s="1772">
        <v>220</v>
      </c>
      <c r="J3557" s="1772"/>
      <c r="K3557" s="2777"/>
      <c r="L3557" s="1764"/>
      <c r="M3557" s="1764"/>
      <c r="N3557" s="2847"/>
      <c r="O3557" s="86"/>
      <c r="P3557" s="1817" t="e">
        <f>INDEX(#REF!,MATCH(F3557,#REF!,0),2)</f>
        <v>#REF!</v>
      </c>
      <c r="Q3557" s="1779"/>
      <c r="R3557" s="1779"/>
      <c r="S3557" s="1779"/>
      <c r="T3557" s="1779"/>
      <c r="U3557" s="1779"/>
      <c r="V3557" s="1779"/>
      <c r="W3557" s="43"/>
      <c r="X3557" s="1779"/>
      <c r="Y3557" s="1779"/>
      <c r="Z3557" s="1779"/>
      <c r="AA3557" s="1779"/>
      <c r="AB3557" s="1779"/>
      <c r="AC3557" s="1779"/>
      <c r="AD3557" s="1779"/>
      <c r="AE3557" s="1779"/>
      <c r="AF3557" s="1779"/>
      <c r="AG3557" s="1779"/>
      <c r="AH3557" s="1779"/>
      <c r="AI3557" s="1779"/>
      <c r="AJ3557" s="1779"/>
      <c r="AL3557" s="11"/>
      <c r="AM3557" s="11"/>
      <c r="AN3557" s="11"/>
      <c r="AO3557" s="11"/>
      <c r="AP3557" s="11"/>
      <c r="AQ3557" s="11"/>
      <c r="AR3557" s="11"/>
      <c r="AS3557" s="11"/>
      <c r="AT3557" s="11"/>
      <c r="AU3557" s="11"/>
      <c r="AV3557" s="11"/>
    </row>
    <row r="3558" spans="1:48" ht="20.45" customHeight="1">
      <c r="A3558" s="506"/>
      <c r="B3558" s="506" t="s">
        <v>1248</v>
      </c>
      <c r="C3558" s="506" t="s">
        <v>505</v>
      </c>
      <c r="D3558" s="1589" t="s">
        <v>1980</v>
      </c>
      <c r="E3558" s="2223" t="s">
        <v>1980</v>
      </c>
      <c r="F3558" s="540">
        <v>2249</v>
      </c>
      <c r="G3558" s="411" t="s">
        <v>329</v>
      </c>
      <c r="H3558" s="572">
        <v>146</v>
      </c>
      <c r="I3558" s="572"/>
      <c r="J3558" s="572"/>
      <c r="K3558" s="543"/>
      <c r="L3558" s="571">
        <v>146</v>
      </c>
      <c r="M3558" s="571"/>
      <c r="N3558" s="2847" t="s">
        <v>2267</v>
      </c>
      <c r="O3558" s="86"/>
      <c r="P3558" s="1817" t="e">
        <f>INDEX(#REF!,MATCH(F3558,#REF!,0),2)</f>
        <v>#REF!</v>
      </c>
      <c r="Q3558" s="1779"/>
      <c r="R3558" s="1779"/>
      <c r="S3558" s="1779"/>
      <c r="T3558" s="1779"/>
      <c r="U3558" s="1779"/>
      <c r="V3558" s="1779"/>
      <c r="W3558" s="43"/>
      <c r="X3558" s="1779"/>
      <c r="Y3558" s="1779"/>
      <c r="Z3558" s="1779"/>
      <c r="AA3558" s="1779"/>
      <c r="AB3558" s="1779"/>
      <c r="AC3558" s="1779"/>
      <c r="AD3558" s="1779"/>
      <c r="AE3558" s="1779"/>
      <c r="AF3558" s="1779"/>
      <c r="AG3558" s="1779"/>
      <c r="AH3558" s="1779"/>
      <c r="AI3558" s="1779"/>
      <c r="AJ3558" s="1779"/>
      <c r="AL3558" s="11"/>
      <c r="AM3558" s="11"/>
      <c r="AN3558" s="11"/>
      <c r="AO3558" s="11"/>
      <c r="AP3558" s="11"/>
      <c r="AQ3558" s="11"/>
      <c r="AR3558" s="11"/>
      <c r="AS3558" s="11"/>
      <c r="AT3558" s="11"/>
      <c r="AU3558" s="11"/>
      <c r="AV3558" s="11"/>
    </row>
    <row r="3559" spans="1:48" ht="19.149999999999999" customHeight="1">
      <c r="A3559" s="412"/>
      <c r="B3559" s="412" t="s">
        <v>1248</v>
      </c>
      <c r="C3559" s="412" t="s">
        <v>505</v>
      </c>
      <c r="D3559" s="1590" t="s">
        <v>1980</v>
      </c>
      <c r="E3559" s="2224" t="s">
        <v>1980</v>
      </c>
      <c r="F3559" s="505">
        <v>2249</v>
      </c>
      <c r="G3559" s="416" t="s">
        <v>3118</v>
      </c>
      <c r="H3559" s="575"/>
      <c r="I3559" s="575">
        <v>146</v>
      </c>
      <c r="J3559" s="575"/>
      <c r="K3559" s="543"/>
      <c r="L3559" s="574"/>
      <c r="M3559" s="574">
        <v>146</v>
      </c>
      <c r="N3559" s="2847" t="s">
        <v>2267</v>
      </c>
      <c r="O3559" s="86"/>
      <c r="P3559" s="1817" t="e">
        <f>INDEX(#REF!,MATCH(F3559,#REF!,0),2)</f>
        <v>#REF!</v>
      </c>
      <c r="Q3559" s="1779"/>
      <c r="R3559" s="1779"/>
      <c r="S3559" s="1779"/>
      <c r="T3559" s="1779"/>
      <c r="U3559" s="1779"/>
      <c r="V3559" s="1779"/>
      <c r="W3559" s="43"/>
      <c r="X3559" s="1779"/>
      <c r="Y3559" s="1779"/>
      <c r="Z3559" s="1779"/>
      <c r="AA3559" s="1779"/>
      <c r="AB3559" s="1779"/>
      <c r="AC3559" s="1779"/>
      <c r="AD3559" s="1779"/>
      <c r="AE3559" s="1779"/>
      <c r="AF3559" s="1779"/>
      <c r="AG3559" s="1779"/>
      <c r="AH3559" s="1779"/>
      <c r="AI3559" s="1779"/>
      <c r="AJ3559" s="1779"/>
      <c r="AL3559" s="11"/>
      <c r="AM3559" s="11"/>
      <c r="AN3559" s="11"/>
      <c r="AO3559" s="11"/>
      <c r="AP3559" s="11"/>
      <c r="AQ3559" s="11"/>
      <c r="AR3559" s="11"/>
      <c r="AS3559" s="11"/>
      <c r="AT3559" s="11"/>
      <c r="AU3559" s="11"/>
      <c r="AV3559" s="11"/>
    </row>
    <row r="3560" spans="1:48" ht="13.9" customHeight="1">
      <c r="A3560" s="506"/>
      <c r="B3560" s="506" t="s">
        <v>1248</v>
      </c>
      <c r="C3560" s="506" t="s">
        <v>507</v>
      </c>
      <c r="D3560" s="1589" t="s">
        <v>1980</v>
      </c>
      <c r="E3560" s="2223" t="s">
        <v>1980</v>
      </c>
      <c r="F3560" s="540">
        <v>2321</v>
      </c>
      <c r="G3560" s="411" t="s">
        <v>1640</v>
      </c>
      <c r="H3560" s="572">
        <v>23091.64</v>
      </c>
      <c r="I3560" s="572"/>
      <c r="J3560" s="572"/>
      <c r="K3560" s="543"/>
      <c r="L3560" s="571">
        <v>25000</v>
      </c>
      <c r="M3560" s="571"/>
      <c r="N3560" s="2847"/>
      <c r="O3560" s="86"/>
      <c r="P3560" s="1817" t="e">
        <f>INDEX(#REF!,MATCH(F3560,#REF!,0),2)</f>
        <v>#REF!</v>
      </c>
      <c r="Q3560" s="1779"/>
      <c r="R3560" s="1779"/>
      <c r="S3560" s="1779"/>
      <c r="T3560" s="1779"/>
      <c r="U3560" s="1779"/>
      <c r="V3560" s="1779"/>
      <c r="W3560" s="43"/>
      <c r="X3560" s="1779"/>
      <c r="Y3560" s="1779"/>
      <c r="Z3560" s="1779"/>
      <c r="AA3560" s="1779"/>
      <c r="AB3560" s="1779"/>
      <c r="AC3560" s="1779"/>
      <c r="AD3560" s="1779"/>
      <c r="AE3560" s="1779"/>
      <c r="AF3560" s="1779"/>
      <c r="AG3560" s="1779"/>
      <c r="AH3560" s="1779"/>
      <c r="AI3560" s="1779"/>
      <c r="AJ3560" s="1779"/>
      <c r="AL3560" s="11"/>
      <c r="AM3560" s="11"/>
      <c r="AN3560" s="11"/>
      <c r="AO3560" s="11"/>
      <c r="AP3560" s="11"/>
      <c r="AQ3560" s="11"/>
      <c r="AR3560" s="11"/>
      <c r="AS3560" s="11"/>
      <c r="AT3560" s="11"/>
      <c r="AU3560" s="11"/>
      <c r="AV3560" s="11"/>
    </row>
    <row r="3561" spans="1:48" ht="20.45" customHeight="1">
      <c r="A3561" s="412"/>
      <c r="B3561" s="412" t="s">
        <v>1248</v>
      </c>
      <c r="C3561" s="412" t="s">
        <v>507</v>
      </c>
      <c r="D3561" s="1590" t="s">
        <v>1980</v>
      </c>
      <c r="E3561" s="2224" t="s">
        <v>1980</v>
      </c>
      <c r="F3561" s="505">
        <v>2321</v>
      </c>
      <c r="G3561" s="410" t="s">
        <v>3048</v>
      </c>
      <c r="H3561" s="575"/>
      <c r="I3561" s="575">
        <v>23091.64</v>
      </c>
      <c r="J3561" s="575"/>
      <c r="K3561" s="543"/>
      <c r="L3561" s="574"/>
      <c r="M3561" s="4220">
        <v>25000</v>
      </c>
      <c r="N3561" s="2847"/>
      <c r="O3561" s="86"/>
      <c r="P3561" s="1817" t="e">
        <f>INDEX(#REF!,MATCH(F3561,#REF!,0),2)</f>
        <v>#REF!</v>
      </c>
      <c r="Q3561" s="1779"/>
      <c r="R3561" s="1779"/>
      <c r="S3561" s="1779"/>
      <c r="T3561" s="1779"/>
      <c r="U3561" s="1779"/>
      <c r="V3561" s="1779"/>
      <c r="W3561" s="43"/>
      <c r="X3561" s="1779"/>
      <c r="Y3561" s="1779"/>
      <c r="Z3561" s="1779"/>
      <c r="AA3561" s="1779"/>
      <c r="AB3561" s="1779"/>
      <c r="AC3561" s="1779"/>
      <c r="AD3561" s="1779"/>
      <c r="AE3561" s="1779"/>
      <c r="AF3561" s="1779"/>
      <c r="AG3561" s="1779"/>
      <c r="AH3561" s="1779"/>
      <c r="AI3561" s="1779"/>
      <c r="AJ3561" s="1779"/>
      <c r="AL3561" s="11"/>
      <c r="AM3561" s="11"/>
      <c r="AN3561" s="11"/>
      <c r="AO3561" s="11"/>
      <c r="AP3561" s="11"/>
      <c r="AQ3561" s="11"/>
      <c r="AR3561" s="11"/>
      <c r="AS3561" s="11"/>
      <c r="AT3561" s="11"/>
      <c r="AU3561" s="11"/>
      <c r="AV3561" s="11"/>
    </row>
    <row r="3562" spans="1:48" ht="19.149999999999999" customHeight="1">
      <c r="A3562" s="5" t="s">
        <v>766</v>
      </c>
      <c r="B3562" s="5" t="s">
        <v>566</v>
      </c>
      <c r="C3562" s="5" t="s">
        <v>508</v>
      </c>
      <c r="D3562" s="1592">
        <v>634</v>
      </c>
      <c r="E3562" s="2218" t="s">
        <v>1979</v>
      </c>
      <c r="F3562" s="6">
        <v>5240</v>
      </c>
      <c r="G3562" s="7" t="s">
        <v>988</v>
      </c>
      <c r="H3562" s="963">
        <v>891139</v>
      </c>
      <c r="I3562" s="964"/>
      <c r="J3562" s="67"/>
      <c r="K3562" s="68"/>
      <c r="L3562" s="67">
        <v>0</v>
      </c>
      <c r="M3562" s="2474"/>
      <c r="N3562" s="2847" t="s">
        <v>4840</v>
      </c>
      <c r="O3562" s="86"/>
      <c r="P3562" s="1817" t="e">
        <f>INDEX(#REF!,MATCH(F3562,#REF!,0),2)</f>
        <v>#REF!</v>
      </c>
      <c r="Q3562" s="1779"/>
      <c r="R3562" s="1779"/>
      <c r="S3562" s="1779"/>
      <c r="T3562" s="1779"/>
      <c r="U3562" s="1779"/>
      <c r="V3562" s="1779"/>
      <c r="W3562" s="43"/>
      <c r="X3562" s="1779"/>
      <c r="Y3562" s="1779"/>
      <c r="Z3562" s="1779"/>
      <c r="AA3562" s="1779"/>
      <c r="AB3562" s="1779"/>
      <c r="AC3562" s="1779"/>
      <c r="AD3562" s="1779"/>
      <c r="AE3562" s="1779"/>
      <c r="AF3562" s="1779"/>
      <c r="AG3562" s="1779"/>
      <c r="AH3562" s="1779"/>
      <c r="AI3562" s="1779"/>
      <c r="AJ3562" s="1779"/>
      <c r="AL3562" s="11"/>
      <c r="AM3562" s="11"/>
      <c r="AN3562" s="11"/>
      <c r="AO3562" s="11"/>
      <c r="AP3562" s="11"/>
      <c r="AQ3562" s="11"/>
      <c r="AR3562" s="11"/>
      <c r="AS3562" s="11"/>
      <c r="AT3562" s="11"/>
      <c r="AU3562" s="11"/>
      <c r="AV3562" s="11"/>
    </row>
    <row r="3563" spans="1:48" ht="11.45" customHeight="1">
      <c r="A3563" s="280"/>
      <c r="B3563" s="205" t="s">
        <v>566</v>
      </c>
      <c r="C3563" s="205" t="s">
        <v>508</v>
      </c>
      <c r="D3563" s="1622"/>
      <c r="E3563" s="2259" t="s">
        <v>1979</v>
      </c>
      <c r="F3563" s="368">
        <v>5240</v>
      </c>
      <c r="G3563" s="309" t="s">
        <v>1557</v>
      </c>
      <c r="H3563" s="965"/>
      <c r="I3563" s="965">
        <v>891139</v>
      </c>
      <c r="J3563" s="281"/>
      <c r="K3563" s="282"/>
      <c r="L3563" s="281"/>
      <c r="M3563" s="296"/>
      <c r="N3563" s="2847"/>
      <c r="O3563" s="86"/>
      <c r="P3563" s="1817" t="e">
        <f>INDEX(#REF!,MATCH(F3563,#REF!,0),2)</f>
        <v>#REF!</v>
      </c>
      <c r="Q3563" s="1779"/>
      <c r="R3563" s="1779"/>
      <c r="S3563" s="1779"/>
      <c r="T3563" s="1779"/>
      <c r="U3563" s="1779"/>
      <c r="V3563" s="1779"/>
      <c r="W3563" s="43"/>
      <c r="X3563" s="1779"/>
      <c r="Y3563" s="1779"/>
      <c r="Z3563" s="1779"/>
      <c r="AA3563" s="1779"/>
      <c r="AB3563" s="1779"/>
      <c r="AC3563" s="1779"/>
      <c r="AD3563" s="1779"/>
      <c r="AE3563" s="1779"/>
      <c r="AF3563" s="1779"/>
      <c r="AG3563" s="1779"/>
      <c r="AH3563" s="1779"/>
      <c r="AI3563" s="1779"/>
      <c r="AJ3563" s="1779"/>
      <c r="AL3563" s="11"/>
      <c r="AM3563" s="11"/>
      <c r="AN3563" s="11"/>
      <c r="AO3563" s="11"/>
      <c r="AP3563" s="11"/>
      <c r="AQ3563" s="11"/>
      <c r="AR3563" s="11"/>
      <c r="AS3563" s="11"/>
      <c r="AT3563" s="11"/>
      <c r="AU3563" s="11"/>
      <c r="AV3563" s="11"/>
    </row>
    <row r="3564" spans="1:48" ht="11.45" customHeight="1">
      <c r="A3564" s="971"/>
      <c r="B3564" s="506" t="s">
        <v>1248</v>
      </c>
      <c r="C3564" s="506" t="s">
        <v>507</v>
      </c>
      <c r="D3564" s="1589" t="s">
        <v>1907</v>
      </c>
      <c r="E3564" s="2223" t="s">
        <v>1907</v>
      </c>
      <c r="F3564" s="540">
        <v>2210</v>
      </c>
      <c r="G3564" s="411" t="s">
        <v>1192</v>
      </c>
      <c r="H3564" s="582">
        <v>938</v>
      </c>
      <c r="I3564" s="582"/>
      <c r="J3564" s="720"/>
      <c r="K3564" s="721"/>
      <c r="L3564" s="582">
        <v>670.56000000000006</v>
      </c>
      <c r="M3564" s="723"/>
      <c r="N3564" s="2847"/>
      <c r="O3564" s="86"/>
      <c r="P3564" s="1817" t="e">
        <f>INDEX(#REF!,MATCH(F3564,#REF!,0),2)</f>
        <v>#REF!</v>
      </c>
      <c r="Q3564" s="1779"/>
      <c r="R3564" s="1779"/>
      <c r="S3564" s="1779"/>
      <c r="T3564" s="1779"/>
      <c r="U3564" s="1779"/>
      <c r="V3564" s="43"/>
      <c r="W3564" s="1779"/>
      <c r="X3564" s="1779"/>
      <c r="Y3564" s="1779"/>
      <c r="Z3564" s="1779"/>
      <c r="AA3564" s="1779"/>
      <c r="AB3564" s="1779"/>
      <c r="AC3564" s="1779"/>
      <c r="AD3564" s="1779"/>
      <c r="AE3564" s="1779"/>
      <c r="AF3564" s="1779"/>
      <c r="AG3564" s="1779"/>
      <c r="AH3564" s="1779"/>
      <c r="AI3564" s="1779"/>
      <c r="AK3564" s="11"/>
      <c r="AL3564" s="11"/>
      <c r="AM3564" s="11"/>
      <c r="AN3564" s="11"/>
      <c r="AO3564" s="11"/>
      <c r="AP3564" s="11"/>
      <c r="AQ3564" s="11"/>
      <c r="AR3564" s="11"/>
      <c r="AS3564" s="11"/>
      <c r="AT3564" s="11"/>
      <c r="AU3564" s="11"/>
    </row>
    <row r="3565" spans="1:48" ht="24" customHeight="1">
      <c r="A3565" s="521" t="s">
        <v>1133</v>
      </c>
      <c r="B3565" s="412" t="s">
        <v>1248</v>
      </c>
      <c r="C3565" s="412" t="s">
        <v>507</v>
      </c>
      <c r="D3565" s="1590" t="s">
        <v>1907</v>
      </c>
      <c r="E3565" s="2224" t="s">
        <v>1907</v>
      </c>
      <c r="F3565" s="505">
        <v>2210</v>
      </c>
      <c r="G3565" s="996" t="s">
        <v>5305</v>
      </c>
      <c r="H3565" s="532"/>
      <c r="I3565" s="532">
        <v>938</v>
      </c>
      <c r="J3565" s="531"/>
      <c r="K3565" s="726"/>
      <c r="L3565" s="530"/>
      <c r="M3565" s="532">
        <v>406.56000000000006</v>
      </c>
      <c r="N3565" s="2847"/>
      <c r="O3565" s="86"/>
      <c r="P3565" s="1817" t="e">
        <f>INDEX(#REF!,MATCH(F3565,#REF!,0),2)</f>
        <v>#REF!</v>
      </c>
      <c r="Q3565" s="1779"/>
      <c r="R3565" s="1779"/>
      <c r="S3565" s="1779"/>
      <c r="T3565" s="1779"/>
      <c r="U3565" s="1779"/>
      <c r="V3565" s="1779"/>
      <c r="W3565" s="43"/>
      <c r="X3565" s="1779"/>
      <c r="Y3565" s="1779"/>
      <c r="Z3565" s="1779"/>
      <c r="AA3565" s="1779"/>
      <c r="AB3565" s="1779"/>
      <c r="AC3565" s="1779"/>
      <c r="AD3565" s="1779"/>
      <c r="AE3565" s="1779"/>
      <c r="AF3565" s="1779"/>
      <c r="AG3565" s="1779"/>
      <c r="AH3565" s="1779"/>
      <c r="AI3565" s="1779"/>
      <c r="AJ3565" s="1779"/>
      <c r="AL3565" s="11"/>
      <c r="AM3565" s="11"/>
      <c r="AN3565" s="11"/>
      <c r="AO3565" s="11"/>
      <c r="AP3565" s="11"/>
      <c r="AQ3565" s="11"/>
      <c r="AR3565" s="11"/>
      <c r="AS3565" s="11"/>
      <c r="AT3565" s="11"/>
      <c r="AU3565" s="11"/>
      <c r="AV3565" s="11"/>
    </row>
    <row r="3566" spans="1:48" ht="15.6" customHeight="1">
      <c r="A3566" s="1897"/>
      <c r="B3566" s="412" t="s">
        <v>1248</v>
      </c>
      <c r="C3566" s="412" t="s">
        <v>507</v>
      </c>
      <c r="D3566" s="1590" t="s">
        <v>1907</v>
      </c>
      <c r="E3566" s="2224" t="s">
        <v>1907</v>
      </c>
      <c r="F3566" s="505">
        <v>2210</v>
      </c>
      <c r="G3566" s="1884" t="s">
        <v>5239</v>
      </c>
      <c r="H3566" s="1744"/>
      <c r="I3566" s="1744"/>
      <c r="J3566" s="1745"/>
      <c r="K3566" s="1944"/>
      <c r="L3566" s="1765"/>
      <c r="M3566" s="1744">
        <v>264</v>
      </c>
      <c r="N3566" s="2847"/>
      <c r="O3566" s="1817"/>
      <c r="P3566" s="1817" t="e">
        <f>INDEX(#REF!,MATCH(F3566,#REF!,0),2)</f>
        <v>#REF!</v>
      </c>
      <c r="Q3566" s="1779"/>
      <c r="R3566" s="1779"/>
      <c r="S3566" s="1779"/>
      <c r="T3566" s="1779"/>
      <c r="U3566" s="1779"/>
      <c r="V3566" s="1779"/>
      <c r="W3566" s="43"/>
      <c r="X3566" s="1779"/>
      <c r="Y3566" s="1779"/>
      <c r="Z3566" s="1779"/>
      <c r="AA3566" s="1779"/>
      <c r="AB3566" s="1779"/>
      <c r="AC3566" s="1779"/>
      <c r="AD3566" s="1779"/>
      <c r="AE3566" s="1779"/>
      <c r="AF3566" s="1779"/>
      <c r="AG3566" s="1779"/>
      <c r="AH3566" s="1779"/>
      <c r="AI3566" s="1779"/>
      <c r="AJ3566" s="1779"/>
      <c r="AK3566" s="1779"/>
      <c r="AL3566" s="1779"/>
      <c r="AM3566" s="1779"/>
      <c r="AN3566" s="1779"/>
      <c r="AO3566" s="1779"/>
      <c r="AP3566" s="1779"/>
      <c r="AQ3566" s="1779"/>
      <c r="AR3566" s="1779"/>
      <c r="AS3566" s="1779"/>
      <c r="AT3566" s="1779"/>
      <c r="AU3566" s="1779"/>
      <c r="AV3566" s="1779"/>
    </row>
    <row r="3567" spans="1:48" s="1799" customFormat="1" ht="11.45" customHeight="1">
      <c r="A3567" s="971"/>
      <c r="B3567" s="506" t="s">
        <v>1248</v>
      </c>
      <c r="C3567" s="506" t="s">
        <v>507</v>
      </c>
      <c r="D3567" s="1589" t="s">
        <v>1907</v>
      </c>
      <c r="E3567" s="2223" t="s">
        <v>1907</v>
      </c>
      <c r="F3567" s="540">
        <v>2223</v>
      </c>
      <c r="G3567" s="411" t="s">
        <v>2692</v>
      </c>
      <c r="H3567" s="582">
        <v>16206</v>
      </c>
      <c r="I3567" s="582"/>
      <c r="J3567" s="720"/>
      <c r="K3567" s="721"/>
      <c r="L3567" s="582">
        <v>16000</v>
      </c>
      <c r="M3567" s="582"/>
      <c r="N3567" s="2847"/>
      <c r="O3567" s="86"/>
      <c r="P3567" s="1817" t="e">
        <f>INDEX(#REF!,MATCH(F3567,#REF!,0),2)</f>
        <v>#REF!</v>
      </c>
      <c r="Q3567" s="1802"/>
      <c r="R3567" s="1802"/>
      <c r="S3567" s="1802"/>
      <c r="T3567" s="1802"/>
      <c r="U3567" s="1802"/>
      <c r="V3567" s="1802"/>
      <c r="W3567" s="1801"/>
      <c r="X3567" s="1802"/>
      <c r="Y3567" s="1802"/>
      <c r="Z3567" s="1802"/>
      <c r="AA3567" s="1802"/>
      <c r="AB3567" s="1802"/>
      <c r="AC3567" s="1802"/>
      <c r="AD3567" s="1802"/>
      <c r="AE3567" s="1802"/>
      <c r="AF3567" s="1802"/>
      <c r="AG3567" s="1802"/>
      <c r="AH3567" s="1802"/>
      <c r="AI3567" s="1802"/>
      <c r="AJ3567" s="1802"/>
      <c r="AK3567" s="1802"/>
      <c r="AL3567" s="1802"/>
      <c r="AM3567" s="1802"/>
      <c r="AN3567" s="1802"/>
      <c r="AO3567" s="1802"/>
      <c r="AP3567" s="1802"/>
      <c r="AQ3567" s="1802"/>
      <c r="AR3567" s="1802"/>
      <c r="AS3567" s="1802"/>
      <c r="AT3567" s="1802"/>
      <c r="AU3567" s="1802"/>
      <c r="AV3567" s="1802"/>
    </row>
    <row r="3568" spans="1:48" s="1799" customFormat="1" ht="18.600000000000001" customHeight="1">
      <c r="A3568" s="521" t="s">
        <v>1133</v>
      </c>
      <c r="B3568" s="412" t="s">
        <v>1248</v>
      </c>
      <c r="C3568" s="412" t="s">
        <v>507</v>
      </c>
      <c r="D3568" s="1590" t="s">
        <v>1907</v>
      </c>
      <c r="E3568" s="2224" t="s">
        <v>1907</v>
      </c>
      <c r="F3568" s="505">
        <v>2223</v>
      </c>
      <c r="G3568" s="996" t="s">
        <v>2693</v>
      </c>
      <c r="H3568" s="532"/>
      <c r="I3568" s="532">
        <v>16206</v>
      </c>
      <c r="J3568" s="531"/>
      <c r="K3568" s="726"/>
      <c r="L3568" s="532"/>
      <c r="M3568" s="532"/>
      <c r="N3568" s="2847"/>
      <c r="O3568" s="86"/>
      <c r="P3568" s="1817" t="e">
        <f>INDEX(#REF!,MATCH(F3568,#REF!,0),2)</f>
        <v>#REF!</v>
      </c>
      <c r="Q3568" s="1802"/>
      <c r="R3568" s="1802"/>
      <c r="S3568" s="1802"/>
      <c r="T3568" s="1802"/>
      <c r="U3568" s="1802"/>
      <c r="V3568" s="1802"/>
      <c r="W3568" s="1801"/>
      <c r="X3568" s="1802"/>
      <c r="Y3568" s="1802"/>
      <c r="Z3568" s="1802"/>
      <c r="AA3568" s="1802"/>
      <c r="AB3568" s="1802"/>
      <c r="AC3568" s="1802"/>
      <c r="AD3568" s="1802"/>
      <c r="AE3568" s="1802"/>
      <c r="AF3568" s="1802"/>
      <c r="AG3568" s="1802"/>
      <c r="AH3568" s="1802"/>
      <c r="AI3568" s="1802"/>
      <c r="AJ3568" s="1802"/>
      <c r="AK3568" s="1802"/>
      <c r="AL3568" s="1802"/>
      <c r="AM3568" s="1802"/>
      <c r="AN3568" s="1802"/>
      <c r="AO3568" s="1802"/>
      <c r="AP3568" s="1802"/>
      <c r="AQ3568" s="1802"/>
      <c r="AR3568" s="1802"/>
      <c r="AS3568" s="1802"/>
      <c r="AT3568" s="1802"/>
      <c r="AU3568" s="1802"/>
      <c r="AV3568" s="1802"/>
    </row>
    <row r="3569" spans="1:16383" s="1799" customFormat="1" ht="21" customHeight="1">
      <c r="A3569" s="1897"/>
      <c r="B3569" s="412" t="s">
        <v>1248</v>
      </c>
      <c r="C3569" s="412" t="s">
        <v>507</v>
      </c>
      <c r="D3569" s="1590" t="s">
        <v>1907</v>
      </c>
      <c r="E3569" s="2224" t="s">
        <v>1907</v>
      </c>
      <c r="F3569" s="505">
        <v>2223</v>
      </c>
      <c r="G3569" s="1884" t="s">
        <v>3228</v>
      </c>
      <c r="H3569" s="1744"/>
      <c r="I3569" s="1744"/>
      <c r="J3569" s="1745"/>
      <c r="K3569" s="1944"/>
      <c r="L3569" s="1744"/>
      <c r="M3569" s="1744">
        <v>16000</v>
      </c>
      <c r="N3569" s="2847"/>
      <c r="O3569" s="86"/>
      <c r="P3569" s="1817" t="e">
        <f>INDEX(#REF!,MATCH(F3569,#REF!,0),2)</f>
        <v>#REF!</v>
      </c>
      <c r="Q3569" s="1779"/>
      <c r="R3569" s="1779"/>
      <c r="S3569" s="1779"/>
      <c r="T3569" s="1779"/>
      <c r="U3569" s="1779"/>
      <c r="V3569" s="43"/>
      <c r="W3569" s="1779"/>
      <c r="X3569" s="1779"/>
      <c r="Y3569" s="1779"/>
      <c r="Z3569" s="1779"/>
      <c r="AA3569" s="1779"/>
      <c r="AB3569" s="1779"/>
      <c r="AC3569" s="1779"/>
      <c r="AD3569" s="1779"/>
      <c r="AE3569" s="1779"/>
      <c r="AF3569" s="1779"/>
      <c r="AG3569" s="1779"/>
      <c r="AH3569" s="1779"/>
      <c r="AI3569" s="1779"/>
      <c r="AJ3569" s="1779"/>
      <c r="AK3569" s="1779"/>
      <c r="AL3569" s="1779"/>
      <c r="AM3569" s="1779"/>
      <c r="AN3569" s="1779"/>
      <c r="AO3569" s="1779"/>
      <c r="AP3569" s="1779"/>
      <c r="AQ3569" s="1779"/>
      <c r="AR3569" s="1779"/>
      <c r="AS3569" s="1779"/>
      <c r="AT3569" s="1779"/>
      <c r="AU3569" s="177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c r="XEN3569"/>
      <c r="XEO3569"/>
      <c r="XEP3569"/>
      <c r="XEQ3569"/>
      <c r="XER3569"/>
      <c r="XES3569"/>
      <c r="XET3569"/>
      <c r="XEU3569"/>
      <c r="XEV3569"/>
      <c r="XEW3569"/>
      <c r="XEX3569"/>
      <c r="XEY3569"/>
      <c r="XEZ3569"/>
      <c r="XFA3569"/>
      <c r="XFB3569"/>
      <c r="XFC3569"/>
    </row>
    <row r="3570" spans="1:16383" s="1799" customFormat="1" ht="21" customHeight="1">
      <c r="A3570" s="971"/>
      <c r="B3570" s="506" t="s">
        <v>1248</v>
      </c>
      <c r="C3570" s="506" t="s">
        <v>507</v>
      </c>
      <c r="D3570" s="1589" t="s">
        <v>1907</v>
      </c>
      <c r="E3570" s="2223" t="s">
        <v>1907</v>
      </c>
      <c r="F3570" s="540">
        <v>2224</v>
      </c>
      <c r="G3570" s="411" t="s">
        <v>2025</v>
      </c>
      <c r="H3570" s="582">
        <v>2851</v>
      </c>
      <c r="I3570" s="582"/>
      <c r="J3570" s="720"/>
      <c r="K3570" s="721"/>
      <c r="L3570" s="582">
        <v>0</v>
      </c>
      <c r="M3570" s="582"/>
      <c r="N3570" s="2847"/>
      <c r="O3570" s="86"/>
      <c r="P3570" s="1817" t="e">
        <f>INDEX(#REF!,MATCH(F3570,#REF!,0),2)</f>
        <v>#REF!</v>
      </c>
      <c r="Q3570" s="1802"/>
      <c r="R3570" s="1802"/>
      <c r="S3570" s="1802"/>
      <c r="T3570" s="1802"/>
      <c r="U3570" s="1802"/>
      <c r="V3570" s="1802"/>
      <c r="W3570" s="1801"/>
      <c r="X3570" s="1802"/>
      <c r="Y3570" s="1802"/>
      <c r="Z3570" s="1802"/>
      <c r="AA3570" s="1802"/>
      <c r="AB3570" s="1802"/>
      <c r="AC3570" s="1802"/>
      <c r="AD3570" s="1802"/>
      <c r="AE3570" s="1802"/>
      <c r="AF3570" s="1802"/>
      <c r="AG3570" s="1802"/>
      <c r="AH3570" s="1802"/>
      <c r="AI3570" s="1802"/>
      <c r="AJ3570" s="1802"/>
      <c r="AK3570" s="1802"/>
      <c r="AL3570" s="1802"/>
      <c r="AM3570" s="1802"/>
      <c r="AN3570" s="1802"/>
      <c r="AO3570" s="1802"/>
      <c r="AP3570" s="1802"/>
      <c r="AQ3570" s="1802"/>
      <c r="AR3570" s="1802"/>
      <c r="AS3570" s="1802"/>
      <c r="AT3570" s="1802"/>
      <c r="AU3570" s="1802"/>
      <c r="AV3570" s="1802"/>
    </row>
    <row r="3571" spans="1:16383" s="1799" customFormat="1" ht="21" customHeight="1">
      <c r="A3571" s="521" t="s">
        <v>1133</v>
      </c>
      <c r="B3571" s="412" t="s">
        <v>1248</v>
      </c>
      <c r="C3571" s="412" t="s">
        <v>507</v>
      </c>
      <c r="D3571" s="1590" t="s">
        <v>1907</v>
      </c>
      <c r="E3571" s="2224" t="s">
        <v>1907</v>
      </c>
      <c r="F3571" s="505">
        <v>2224</v>
      </c>
      <c r="G3571" s="996" t="s">
        <v>3049</v>
      </c>
      <c r="H3571" s="532"/>
      <c r="I3571" s="532"/>
      <c r="J3571" s="531"/>
      <c r="K3571" s="726"/>
      <c r="L3571" s="532"/>
      <c r="M3571" s="3842"/>
      <c r="N3571" s="2847"/>
      <c r="O3571" s="86"/>
      <c r="P3571" s="1817" t="e">
        <f>INDEX(#REF!,MATCH(F3571,#REF!,0),2)</f>
        <v>#REF!</v>
      </c>
      <c r="Q3571" s="1802"/>
      <c r="R3571" s="1802"/>
      <c r="S3571" s="1802"/>
      <c r="T3571" s="1802"/>
      <c r="U3571" s="1802"/>
      <c r="V3571" s="1802"/>
      <c r="W3571" s="1801"/>
      <c r="X3571" s="1802"/>
      <c r="Y3571" s="1802"/>
      <c r="Z3571" s="1802"/>
      <c r="AA3571" s="1802"/>
      <c r="AB3571" s="1802"/>
      <c r="AC3571" s="1802"/>
      <c r="AD3571" s="1802"/>
      <c r="AE3571" s="1802"/>
      <c r="AF3571" s="1802"/>
      <c r="AG3571" s="1802"/>
      <c r="AH3571" s="1802"/>
      <c r="AI3571" s="1802"/>
      <c r="AJ3571" s="1802"/>
      <c r="AK3571" s="1802"/>
      <c r="AL3571" s="1802"/>
      <c r="AM3571" s="1802"/>
      <c r="AN3571" s="1802"/>
      <c r="AO3571" s="1802"/>
      <c r="AP3571" s="1802"/>
      <c r="AQ3571" s="1802"/>
      <c r="AR3571" s="1802"/>
      <c r="AS3571" s="1802"/>
      <c r="AT3571" s="1802"/>
      <c r="AU3571" s="1802"/>
      <c r="AV3571" s="1802"/>
    </row>
    <row r="3572" spans="1:16383" ht="15.6" customHeight="1">
      <c r="A3572" s="971"/>
      <c r="B3572" s="506" t="s">
        <v>1248</v>
      </c>
      <c r="C3572" s="506" t="s">
        <v>507</v>
      </c>
      <c r="D3572" s="1589" t="s">
        <v>1907</v>
      </c>
      <c r="E3572" s="2223" t="s">
        <v>1907</v>
      </c>
      <c r="F3572" s="540">
        <v>2232</v>
      </c>
      <c r="G3572" s="411" t="s">
        <v>3231</v>
      </c>
      <c r="H3572" s="582">
        <v>971</v>
      </c>
      <c r="I3572" s="582"/>
      <c r="J3572" s="720"/>
      <c r="K3572" s="721"/>
      <c r="L3572" s="582">
        <v>0</v>
      </c>
      <c r="M3572" s="582"/>
      <c r="N3572" s="2847"/>
      <c r="O3572" s="86"/>
      <c r="P3572" s="1817" t="e">
        <f>INDEX(#REF!,MATCH(F3572,#REF!,0),2)</f>
        <v>#REF!</v>
      </c>
      <c r="Q3572" s="1779"/>
      <c r="R3572" s="1779"/>
      <c r="S3572" s="1779"/>
      <c r="T3572" s="1779"/>
      <c r="U3572" s="1779"/>
      <c r="V3572" s="1779"/>
      <c r="W3572" s="43"/>
      <c r="X3572" s="1779"/>
      <c r="Y3572" s="1779"/>
      <c r="Z3572" s="1779"/>
      <c r="AA3572" s="1779"/>
      <c r="AB3572" s="1779"/>
      <c r="AC3572" s="1779"/>
      <c r="AD3572" s="1779"/>
      <c r="AE3572" s="1779"/>
      <c r="AF3572" s="1779"/>
      <c r="AG3572" s="1779"/>
      <c r="AH3572" s="1779"/>
      <c r="AI3572" s="1779"/>
      <c r="AJ3572" s="1779"/>
      <c r="AK3572" s="1779"/>
      <c r="AL3572" s="1779"/>
      <c r="AM3572" s="1779"/>
      <c r="AN3572" s="1779"/>
      <c r="AO3572" s="1779"/>
      <c r="AP3572" s="1779"/>
      <c r="AQ3572" s="1779"/>
      <c r="AR3572" s="1779"/>
      <c r="AS3572" s="1779"/>
      <c r="AT3572" s="1779"/>
      <c r="AU3572" s="1779"/>
      <c r="AV3572" s="1779"/>
    </row>
    <row r="3573" spans="1:16383" ht="22.5">
      <c r="A3573" s="1897"/>
      <c r="B3573" s="1882" t="s">
        <v>1248</v>
      </c>
      <c r="C3573" s="1882" t="s">
        <v>507</v>
      </c>
      <c r="D3573" s="1935" t="s">
        <v>1907</v>
      </c>
      <c r="E3573" s="2229" t="s">
        <v>1907</v>
      </c>
      <c r="F3573" s="1936">
        <v>2232</v>
      </c>
      <c r="G3573" s="1884" t="s">
        <v>3230</v>
      </c>
      <c r="H3573" s="1744"/>
      <c r="I3573" s="1744"/>
      <c r="J3573" s="1745"/>
      <c r="K3573" s="1944"/>
      <c r="L3573" s="1744"/>
      <c r="M3573" s="3649"/>
      <c r="N3573" s="2847"/>
      <c r="O3573" s="86"/>
      <c r="P3573" s="1817" t="e">
        <f>INDEX(#REF!,MATCH(F3573,#REF!,0),2)</f>
        <v>#REF!</v>
      </c>
      <c r="Q3573" s="43"/>
      <c r="R3573" s="4"/>
      <c r="S3573" s="4"/>
      <c r="T3573" s="4"/>
      <c r="U3573" s="4"/>
      <c r="V3573" s="4"/>
      <c r="W3573" s="4"/>
      <c r="X3573" s="4"/>
      <c r="Y3573" s="4"/>
      <c r="Z3573" s="4"/>
      <c r="AA3573" s="4"/>
      <c r="AB3573" s="4"/>
      <c r="AC3573" s="4"/>
      <c r="AD3573" s="4"/>
      <c r="AE3573" s="4"/>
      <c r="AF3573" s="4"/>
    </row>
    <row r="3574" spans="1:16383" ht="15.6" customHeight="1">
      <c r="A3574" s="971"/>
      <c r="B3574" s="506" t="s">
        <v>1248</v>
      </c>
      <c r="C3574" s="506" t="s">
        <v>507</v>
      </c>
      <c r="D3574" s="1589" t="s">
        <v>1907</v>
      </c>
      <c r="E3574" s="2223" t="s">
        <v>1907</v>
      </c>
      <c r="F3574" s="540">
        <v>2239</v>
      </c>
      <c r="G3574" s="411" t="s">
        <v>279</v>
      </c>
      <c r="H3574" s="581">
        <v>2342.3999999999996</v>
      </c>
      <c r="I3574" s="581"/>
      <c r="J3574" s="720"/>
      <c r="K3574" s="721"/>
      <c r="L3574" s="582">
        <v>2516.6400000000003</v>
      </c>
      <c r="M3574" s="582"/>
      <c r="N3574" s="2847"/>
      <c r="O3574" s="86"/>
      <c r="P3574" s="1817" t="e">
        <f>INDEX(#REF!,MATCH(F3574,#REF!,0),2)</f>
        <v>#REF!</v>
      </c>
      <c r="Q3574" s="1779"/>
      <c r="R3574" s="1779"/>
      <c r="S3574" s="1779"/>
      <c r="T3574" s="1779"/>
      <c r="U3574" s="1779"/>
      <c r="V3574" s="1779"/>
      <c r="W3574" s="43"/>
      <c r="X3574" s="1779"/>
      <c r="Y3574" s="1779"/>
      <c r="Z3574" s="1779"/>
      <c r="AA3574" s="1779"/>
      <c r="AB3574" s="1779"/>
      <c r="AC3574" s="1779"/>
      <c r="AD3574" s="1779"/>
      <c r="AE3574" s="1779"/>
      <c r="AF3574" s="1779"/>
      <c r="AG3574" s="1779"/>
      <c r="AH3574" s="1779"/>
      <c r="AI3574" s="1779"/>
      <c r="AJ3574" s="1779"/>
      <c r="AK3574" s="1779"/>
      <c r="AL3574" s="1779"/>
      <c r="AM3574" s="1779"/>
      <c r="AN3574" s="1779"/>
      <c r="AO3574" s="1779"/>
      <c r="AP3574" s="1779"/>
      <c r="AQ3574" s="1779"/>
      <c r="AR3574" s="1779"/>
      <c r="AS3574" s="1779"/>
      <c r="AT3574" s="1779"/>
      <c r="AU3574" s="1779"/>
      <c r="AV3574" s="1779"/>
    </row>
    <row r="3575" spans="1:16383" s="1799" customFormat="1" ht="21" customHeight="1">
      <c r="A3575" s="521"/>
      <c r="B3575" s="412" t="s">
        <v>1248</v>
      </c>
      <c r="C3575" s="412" t="s">
        <v>507</v>
      </c>
      <c r="D3575" s="1590" t="s">
        <v>1907</v>
      </c>
      <c r="E3575" s="2224" t="s">
        <v>1907</v>
      </c>
      <c r="F3575" s="505">
        <v>2239</v>
      </c>
      <c r="G3575" s="410" t="s">
        <v>3009</v>
      </c>
      <c r="H3575" s="728"/>
      <c r="I3575" s="728">
        <v>1742.3999999999999</v>
      </c>
      <c r="J3575" s="577"/>
      <c r="K3575" s="725"/>
      <c r="L3575" s="415"/>
      <c r="M3575" s="415">
        <v>1916.64</v>
      </c>
      <c r="N3575" s="2847"/>
      <c r="O3575" s="43"/>
      <c r="P3575" s="1817" t="e">
        <f>INDEX(#REF!,MATCH(F3575,#REF!,0),2)</f>
        <v>#REF!</v>
      </c>
      <c r="Q3575" s="1802"/>
      <c r="R3575" s="1802"/>
      <c r="S3575" s="1802"/>
      <c r="T3575" s="1802"/>
      <c r="U3575" s="1802"/>
      <c r="V3575" s="1802"/>
      <c r="W3575" s="1801"/>
      <c r="X3575" s="1802"/>
      <c r="Y3575" s="1802"/>
      <c r="Z3575" s="1802"/>
      <c r="AA3575" s="1802"/>
      <c r="AB3575" s="1802"/>
      <c r="AC3575" s="1802"/>
      <c r="AD3575" s="1802"/>
      <c r="AE3575" s="1802"/>
      <c r="AF3575" s="1802"/>
      <c r="AG3575" s="1802"/>
      <c r="AH3575" s="1802"/>
      <c r="AI3575" s="1802"/>
      <c r="AJ3575" s="1802"/>
      <c r="AK3575" s="1802"/>
      <c r="AL3575" s="1802"/>
      <c r="AM3575" s="1802"/>
      <c r="AN3575" s="1802"/>
      <c r="AO3575" s="1802"/>
      <c r="AP3575" s="1802"/>
      <c r="AQ3575" s="1802"/>
      <c r="AR3575" s="1802"/>
      <c r="AS3575" s="1802"/>
      <c r="AT3575" s="1802"/>
      <c r="AU3575" s="1802"/>
      <c r="AV3575" s="1802"/>
    </row>
    <row r="3576" spans="1:16383" s="1799" customFormat="1" ht="21" customHeight="1">
      <c r="A3576" s="1897"/>
      <c r="B3576" s="412" t="s">
        <v>1248</v>
      </c>
      <c r="C3576" s="412" t="s">
        <v>507</v>
      </c>
      <c r="D3576" s="1590" t="s">
        <v>1907</v>
      </c>
      <c r="E3576" s="2224" t="s">
        <v>1907</v>
      </c>
      <c r="F3576" s="505">
        <v>2239</v>
      </c>
      <c r="G3576" s="1884" t="s">
        <v>3256</v>
      </c>
      <c r="H3576" s="1943"/>
      <c r="I3576" s="1943">
        <v>600</v>
      </c>
      <c r="J3576" s="1745"/>
      <c r="K3576" s="1944"/>
      <c r="L3576" s="1744"/>
      <c r="M3576" s="1744">
        <v>600</v>
      </c>
      <c r="N3576" s="2847"/>
      <c r="O3576" s="86"/>
      <c r="P3576" s="1817" t="e">
        <f>INDEX(#REF!,MATCH(F3576,#REF!,0),2)</f>
        <v>#REF!</v>
      </c>
      <c r="Q3576" s="1802"/>
      <c r="R3576" s="1802"/>
      <c r="S3576" s="1802"/>
      <c r="T3576" s="1802"/>
      <c r="U3576" s="1802"/>
      <c r="V3576" s="1802"/>
      <c r="W3576" s="1801"/>
      <c r="X3576" s="1802"/>
      <c r="Y3576" s="1802"/>
      <c r="Z3576" s="1802"/>
      <c r="AA3576" s="1802"/>
      <c r="AB3576" s="1802"/>
      <c r="AC3576" s="1802"/>
      <c r="AD3576" s="1802"/>
      <c r="AE3576" s="1802"/>
      <c r="AF3576" s="1802"/>
      <c r="AG3576" s="1802"/>
      <c r="AH3576" s="1802"/>
      <c r="AI3576" s="1802"/>
      <c r="AJ3576" s="1802"/>
      <c r="AK3576" s="1802"/>
      <c r="AL3576" s="1802"/>
      <c r="AM3576" s="1802"/>
      <c r="AN3576" s="1802"/>
      <c r="AO3576" s="1802"/>
      <c r="AP3576" s="1802"/>
      <c r="AQ3576" s="1802"/>
      <c r="AR3576" s="1802"/>
      <c r="AS3576" s="1802"/>
      <c r="AT3576" s="1802"/>
      <c r="AU3576" s="1802"/>
      <c r="AV3576" s="1802"/>
    </row>
    <row r="3577" spans="1:16383" s="1799" customFormat="1" ht="21" customHeight="1">
      <c r="A3577" s="971"/>
      <c r="B3577" s="506" t="s">
        <v>1249</v>
      </c>
      <c r="C3577" s="506" t="s">
        <v>507</v>
      </c>
      <c r="D3577" s="1589" t="s">
        <v>1907</v>
      </c>
      <c r="E3577" s="2223" t="s">
        <v>1907</v>
      </c>
      <c r="F3577" s="540">
        <v>2241</v>
      </c>
      <c r="G3577" s="411" t="s">
        <v>3093</v>
      </c>
      <c r="H3577" s="581">
        <v>6200</v>
      </c>
      <c r="I3577" s="581"/>
      <c r="J3577" s="720"/>
      <c r="K3577" s="721"/>
      <c r="L3577" s="582">
        <v>0</v>
      </c>
      <c r="M3577" s="582"/>
      <c r="N3577" s="2847"/>
      <c r="O3577" s="86"/>
      <c r="P3577" s="1817" t="e">
        <f>INDEX(#REF!,MATCH(F3577,#REF!,0),2)</f>
        <v>#REF!</v>
      </c>
      <c r="Q3577" s="1802"/>
      <c r="R3577" s="1802"/>
      <c r="S3577" s="1802"/>
      <c r="T3577" s="1802"/>
      <c r="U3577" s="1802"/>
      <c r="V3577" s="1802"/>
      <c r="W3577" s="1801"/>
      <c r="X3577" s="1802"/>
      <c r="Y3577" s="1802"/>
      <c r="Z3577" s="1802"/>
      <c r="AA3577" s="1802"/>
      <c r="AB3577" s="1802"/>
      <c r="AC3577" s="1802"/>
      <c r="AD3577" s="1802"/>
      <c r="AE3577" s="1802"/>
      <c r="AF3577" s="1802"/>
      <c r="AG3577" s="1802"/>
      <c r="AH3577" s="1802"/>
      <c r="AI3577" s="1802"/>
      <c r="AJ3577" s="1802"/>
      <c r="AK3577" s="1802"/>
      <c r="AL3577" s="1802"/>
      <c r="AM3577" s="1802"/>
      <c r="AN3577" s="1802"/>
      <c r="AO3577" s="1802"/>
      <c r="AP3577" s="1802"/>
      <c r="AQ3577" s="1802"/>
      <c r="AR3577" s="1802"/>
      <c r="AS3577" s="1802"/>
      <c r="AT3577" s="1802"/>
      <c r="AU3577" s="1802"/>
      <c r="AV3577" s="1802"/>
    </row>
    <row r="3578" spans="1:16383" s="1799" customFormat="1" ht="21" customHeight="1">
      <c r="A3578" s="1897"/>
      <c r="B3578" s="1882" t="s">
        <v>1249</v>
      </c>
      <c r="C3578" s="1882" t="s">
        <v>507</v>
      </c>
      <c r="D3578" s="1935" t="s">
        <v>1907</v>
      </c>
      <c r="E3578" s="2229" t="s">
        <v>1907</v>
      </c>
      <c r="F3578" s="1936">
        <v>2241</v>
      </c>
      <c r="G3578" s="1884" t="s">
        <v>5306</v>
      </c>
      <c r="H3578" s="1943"/>
      <c r="I3578" s="1943">
        <v>6800</v>
      </c>
      <c r="J3578" s="1745"/>
      <c r="K3578" s="1944"/>
      <c r="L3578" s="1744"/>
      <c r="M3578" s="1744"/>
      <c r="N3578" s="2847"/>
      <c r="O3578" s="86"/>
      <c r="P3578" s="1817" t="e">
        <f>INDEX(#REF!,MATCH(F3578,#REF!,0),2)</f>
        <v>#REF!</v>
      </c>
      <c r="Q3578" s="1802"/>
      <c r="R3578" s="1802"/>
      <c r="S3578" s="1802"/>
      <c r="T3578" s="1802"/>
      <c r="U3578" s="1802"/>
      <c r="V3578" s="1802"/>
      <c r="W3578" s="1801"/>
      <c r="X3578" s="1802"/>
      <c r="Y3578" s="1802"/>
      <c r="Z3578" s="1802"/>
      <c r="AA3578" s="1802"/>
      <c r="AB3578" s="1802"/>
      <c r="AC3578" s="1802"/>
      <c r="AD3578" s="1802"/>
      <c r="AE3578" s="1802"/>
      <c r="AF3578" s="1802"/>
      <c r="AG3578" s="1802"/>
      <c r="AH3578" s="1802"/>
      <c r="AI3578" s="1802"/>
      <c r="AJ3578" s="1802"/>
      <c r="AK3578" s="1802"/>
      <c r="AL3578" s="1802"/>
      <c r="AM3578" s="1802"/>
      <c r="AN3578" s="1802"/>
      <c r="AO3578" s="1802"/>
      <c r="AP3578" s="1802"/>
      <c r="AQ3578" s="1802"/>
      <c r="AR3578" s="1802"/>
      <c r="AS3578" s="1802"/>
      <c r="AT3578" s="1802"/>
      <c r="AU3578" s="1802"/>
      <c r="AV3578" s="1802"/>
    </row>
    <row r="3579" spans="1:16383" ht="15.6" customHeight="1">
      <c r="A3579" s="1897"/>
      <c r="B3579" s="1882" t="s">
        <v>1249</v>
      </c>
      <c r="C3579" s="1882" t="s">
        <v>507</v>
      </c>
      <c r="D3579" s="1935" t="s">
        <v>1907</v>
      </c>
      <c r="E3579" s="2229" t="s">
        <v>1907</v>
      </c>
      <c r="F3579" s="1936">
        <v>2241</v>
      </c>
      <c r="G3579" s="1884" t="s">
        <v>3256</v>
      </c>
      <c r="H3579" s="1943"/>
      <c r="I3579" s="1943">
        <v>-600</v>
      </c>
      <c r="J3579" s="1745"/>
      <c r="K3579" s="1944"/>
      <c r="L3579" s="1744"/>
      <c r="M3579" s="1744"/>
      <c r="N3579" s="2847"/>
      <c r="O3579" s="86"/>
      <c r="P3579" s="1817"/>
      <c r="Q3579" s="1779"/>
      <c r="R3579" s="1779"/>
      <c r="S3579" s="1779"/>
      <c r="T3579" s="1779"/>
      <c r="U3579" s="1779"/>
      <c r="V3579" s="1779"/>
      <c r="W3579" s="43"/>
      <c r="X3579" s="1779"/>
      <c r="Y3579" s="1779"/>
      <c r="Z3579" s="1779"/>
      <c r="AA3579" s="1779"/>
      <c r="AB3579" s="1779"/>
      <c r="AC3579" s="1779"/>
      <c r="AD3579" s="1779"/>
      <c r="AE3579" s="1779"/>
      <c r="AF3579" s="1779"/>
      <c r="AG3579" s="1779"/>
      <c r="AH3579" s="1779"/>
      <c r="AI3579" s="1779"/>
      <c r="AJ3579" s="1779"/>
      <c r="AK3579" s="1779"/>
      <c r="AL3579" s="1779"/>
      <c r="AM3579" s="1779"/>
      <c r="AN3579" s="1779"/>
      <c r="AO3579" s="1779"/>
      <c r="AP3579" s="1779"/>
      <c r="AQ3579" s="1779"/>
      <c r="AR3579" s="1779"/>
      <c r="AS3579" s="1779"/>
      <c r="AT3579" s="1779"/>
      <c r="AU3579" s="1779"/>
      <c r="AV3579" s="1779"/>
    </row>
    <row r="3580" spans="1:16383" s="1799" customFormat="1" ht="10.15" customHeight="1">
      <c r="A3580" s="971"/>
      <c r="B3580" s="506" t="s">
        <v>1248</v>
      </c>
      <c r="C3580" s="506" t="s">
        <v>505</v>
      </c>
      <c r="D3580" s="1589" t="s">
        <v>1907</v>
      </c>
      <c r="E3580" s="2223" t="s">
        <v>1907</v>
      </c>
      <c r="F3580" s="540">
        <v>2242</v>
      </c>
      <c r="G3580" s="411" t="s">
        <v>1194</v>
      </c>
      <c r="H3580" s="581">
        <v>1204</v>
      </c>
      <c r="I3580" s="581"/>
      <c r="J3580" s="720"/>
      <c r="K3580" s="721"/>
      <c r="L3580" s="582">
        <v>2000</v>
      </c>
      <c r="M3580" s="723"/>
      <c r="N3580" s="2847"/>
      <c r="O3580" s="86"/>
      <c r="P3580" s="1817"/>
      <c r="Q3580" s="1802"/>
      <c r="R3580" s="1802"/>
      <c r="S3580" s="1802"/>
      <c r="T3580" s="1802"/>
      <c r="U3580" s="1802"/>
      <c r="V3580" s="1802"/>
      <c r="W3580" s="1801"/>
      <c r="X3580" s="1802"/>
      <c r="Y3580" s="1802"/>
      <c r="Z3580" s="1802"/>
      <c r="AA3580" s="1802"/>
      <c r="AB3580" s="1802"/>
      <c r="AC3580" s="1802"/>
      <c r="AD3580" s="1802"/>
      <c r="AE3580" s="1802"/>
      <c r="AF3580" s="1802"/>
      <c r="AG3580" s="1802"/>
      <c r="AH3580" s="1802"/>
      <c r="AI3580" s="1802"/>
      <c r="AJ3580" s="1802"/>
      <c r="AK3580" s="1802"/>
      <c r="AL3580" s="1802"/>
      <c r="AM3580" s="1802"/>
      <c r="AN3580" s="1802"/>
      <c r="AO3580" s="1802"/>
      <c r="AP3580" s="1802"/>
      <c r="AQ3580" s="1802"/>
      <c r="AR3580" s="1802"/>
      <c r="AS3580" s="1802"/>
      <c r="AT3580" s="1802"/>
      <c r="AU3580" s="1802"/>
      <c r="AV3580" s="1802"/>
    </row>
    <row r="3581" spans="1:16383" s="1799" customFormat="1" ht="10.15" customHeight="1">
      <c r="A3581" s="2589"/>
      <c r="B3581" s="1882" t="s">
        <v>1248</v>
      </c>
      <c r="C3581" s="1882" t="s">
        <v>505</v>
      </c>
      <c r="D3581" s="1935"/>
      <c r="E3581" s="2229" t="s">
        <v>1907</v>
      </c>
      <c r="F3581" s="1936">
        <v>2242</v>
      </c>
      <c r="G3581" s="2590" t="s">
        <v>3465</v>
      </c>
      <c r="H3581" s="2591"/>
      <c r="I3581" s="2592">
        <v>1204</v>
      </c>
      <c r="J3581" s="3780"/>
      <c r="K3581" s="2593"/>
      <c r="L3581" s="2594"/>
      <c r="M3581" s="2592">
        <v>2000</v>
      </c>
      <c r="N3581" s="43"/>
      <c r="O3581" s="86"/>
      <c r="P3581" s="1817" t="e">
        <f>INDEX(#REF!,MATCH(F3581,#REF!,0),2)</f>
        <v>#REF!</v>
      </c>
      <c r="Q3581" s="1802"/>
      <c r="R3581" s="1802"/>
      <c r="S3581" s="1802"/>
      <c r="T3581" s="1802"/>
      <c r="U3581" s="1802"/>
      <c r="V3581" s="1802"/>
      <c r="W3581" s="1801"/>
      <c r="X3581" s="1802"/>
      <c r="Y3581" s="1802"/>
      <c r="Z3581" s="1802"/>
      <c r="AA3581" s="1802"/>
      <c r="AB3581" s="1802"/>
      <c r="AC3581" s="1802"/>
      <c r="AD3581" s="1802"/>
      <c r="AE3581" s="1802"/>
      <c r="AF3581" s="1802"/>
      <c r="AG3581" s="1802"/>
      <c r="AH3581" s="1802"/>
      <c r="AI3581" s="1802"/>
      <c r="AJ3581" s="1802"/>
      <c r="AK3581" s="1802"/>
      <c r="AL3581" s="1802"/>
      <c r="AM3581" s="1802"/>
      <c r="AN3581" s="1802"/>
      <c r="AO3581" s="1802"/>
      <c r="AP3581" s="1802"/>
      <c r="AQ3581" s="1802"/>
      <c r="AR3581" s="1802"/>
      <c r="AS3581" s="1802"/>
      <c r="AT3581" s="1802"/>
      <c r="AU3581" s="1802"/>
      <c r="AV3581" s="1802"/>
    </row>
    <row r="3582" spans="1:16383" ht="15.6" customHeight="1">
      <c r="A3582" s="971"/>
      <c r="B3582" s="506" t="s">
        <v>1248</v>
      </c>
      <c r="C3582" s="506" t="s">
        <v>507</v>
      </c>
      <c r="D3582" s="1589" t="s">
        <v>1907</v>
      </c>
      <c r="E3582" s="2223" t="s">
        <v>1907</v>
      </c>
      <c r="F3582" s="540">
        <v>2243</v>
      </c>
      <c r="G3582" s="411" t="s">
        <v>279</v>
      </c>
      <c r="H3582" s="581">
        <v>9991.5396000000001</v>
      </c>
      <c r="I3582" s="581"/>
      <c r="J3582" s="720"/>
      <c r="K3582" s="721"/>
      <c r="L3582" s="582">
        <v>874.53959999999995</v>
      </c>
      <c r="M3582" s="582"/>
      <c r="N3582" s="2847"/>
      <c r="O3582" s="86"/>
      <c r="P3582" s="1817" t="e">
        <f>INDEX(#REF!,MATCH(F3582,#REF!,0),2)</f>
        <v>#REF!</v>
      </c>
      <c r="Q3582" s="1779"/>
      <c r="R3582" s="1779"/>
      <c r="S3582" s="1779"/>
      <c r="T3582" s="1779"/>
      <c r="U3582" s="1779"/>
      <c r="V3582" s="1779"/>
      <c r="W3582" s="43"/>
      <c r="X3582" s="1779"/>
      <c r="Y3582" s="1779"/>
      <c r="Z3582" s="1779"/>
      <c r="AA3582" s="1779"/>
      <c r="AB3582" s="1779"/>
      <c r="AC3582" s="1779"/>
      <c r="AD3582" s="1779"/>
      <c r="AE3582" s="1779"/>
      <c r="AF3582" s="1779"/>
      <c r="AG3582" s="1779"/>
      <c r="AH3582" s="1779"/>
      <c r="AI3582" s="1779"/>
      <c r="AJ3582" s="1779"/>
      <c r="AK3582" s="1779"/>
      <c r="AL3582" s="1779"/>
      <c r="AM3582" s="1779"/>
      <c r="AN3582" s="1779"/>
      <c r="AO3582" s="1779"/>
      <c r="AP3582" s="1779"/>
      <c r="AQ3582" s="1779"/>
      <c r="AR3582" s="1779"/>
      <c r="AS3582" s="1779"/>
      <c r="AT3582" s="1779"/>
      <c r="AU3582" s="1779"/>
      <c r="AV3582" s="1779"/>
    </row>
    <row r="3583" spans="1:16383" s="1799" customFormat="1" ht="10.15" customHeight="1">
      <c r="A3583" s="521"/>
      <c r="B3583" s="412" t="s">
        <v>1248</v>
      </c>
      <c r="C3583" s="412" t="s">
        <v>507</v>
      </c>
      <c r="D3583" s="1590" t="s">
        <v>1907</v>
      </c>
      <c r="E3583" s="2224" t="s">
        <v>1907</v>
      </c>
      <c r="F3583" s="505">
        <v>2243</v>
      </c>
      <c r="G3583" s="410" t="s">
        <v>2948</v>
      </c>
      <c r="H3583" s="728"/>
      <c r="I3583" s="728">
        <v>874.53959999999995</v>
      </c>
      <c r="J3583" s="577"/>
      <c r="K3583" s="725"/>
      <c r="L3583" s="415"/>
      <c r="M3583" s="415">
        <v>874.53959999999995</v>
      </c>
      <c r="N3583" s="2847"/>
      <c r="O3583" s="86"/>
      <c r="P3583" s="1817" t="e">
        <f>INDEX(#REF!,MATCH(F3583,#REF!,0),2)</f>
        <v>#REF!</v>
      </c>
      <c r="Q3583" s="1802"/>
      <c r="R3583" s="1802"/>
      <c r="S3583" s="1802"/>
      <c r="T3583" s="1802"/>
      <c r="U3583" s="1802"/>
      <c r="V3583" s="1802"/>
      <c r="W3583" s="1801"/>
      <c r="X3583" s="1802"/>
      <c r="Y3583" s="1802"/>
      <c r="Z3583" s="1802"/>
      <c r="AA3583" s="1802"/>
      <c r="AB3583" s="1802"/>
      <c r="AC3583" s="1802"/>
      <c r="AD3583" s="1802"/>
      <c r="AE3583" s="1802"/>
      <c r="AF3583" s="1802"/>
      <c r="AG3583" s="1802"/>
      <c r="AH3583" s="1802"/>
      <c r="AI3583" s="1802"/>
      <c r="AJ3583" s="1802"/>
      <c r="AK3583" s="1802"/>
      <c r="AL3583" s="1802"/>
      <c r="AM3583" s="1802"/>
      <c r="AN3583" s="1802"/>
      <c r="AO3583" s="1802"/>
      <c r="AP3583" s="1802"/>
      <c r="AQ3583" s="1802"/>
      <c r="AR3583" s="1802"/>
      <c r="AS3583" s="1802"/>
      <c r="AT3583" s="1802"/>
      <c r="AU3583" s="1802"/>
      <c r="AV3583" s="1802"/>
    </row>
    <row r="3584" spans="1:16383" ht="11.45" customHeight="1">
      <c r="A3584" s="1897"/>
      <c r="B3584" s="412" t="s">
        <v>1248</v>
      </c>
      <c r="C3584" s="412" t="s">
        <v>507</v>
      </c>
      <c r="D3584" s="1590" t="s">
        <v>1907</v>
      </c>
      <c r="E3584" s="2224" t="s">
        <v>1907</v>
      </c>
      <c r="F3584" s="505">
        <v>2243</v>
      </c>
      <c r="G3584" s="1884" t="s">
        <v>3103</v>
      </c>
      <c r="H3584" s="1943"/>
      <c r="I3584" s="1943">
        <v>330</v>
      </c>
      <c r="J3584" s="1745"/>
      <c r="K3584" s="1944"/>
      <c r="L3584" s="1744"/>
      <c r="M3584" s="1744"/>
      <c r="N3584" s="2847"/>
      <c r="O3584" s="86"/>
      <c r="P3584" s="1817" t="e">
        <f>INDEX(#REF!,MATCH(F3584,#REF!,0),2)</f>
        <v>#REF!</v>
      </c>
      <c r="Q3584" s="43"/>
      <c r="R3584" s="43"/>
      <c r="S3584" s="43"/>
      <c r="T3584" s="43"/>
      <c r="U3584" s="43"/>
      <c r="V3584" s="43"/>
      <c r="W3584" s="43"/>
      <c r="X3584" s="43"/>
      <c r="Y3584" s="43"/>
      <c r="Z3584" s="43"/>
      <c r="AA3584" s="43"/>
      <c r="AB3584" s="43"/>
      <c r="AC3584" s="43"/>
      <c r="AD3584" s="43"/>
      <c r="AE3584" s="43"/>
      <c r="AF3584" s="43"/>
      <c r="AG3584" s="43"/>
      <c r="AH3584" s="43"/>
      <c r="AI3584" s="43"/>
      <c r="AJ3584" s="43"/>
      <c r="AK3584" s="43"/>
      <c r="AL3584" s="43"/>
      <c r="AM3584" s="43"/>
      <c r="AN3584" s="43"/>
      <c r="AO3584" s="43"/>
      <c r="AP3584" s="43"/>
      <c r="AQ3584" s="43"/>
      <c r="AR3584" s="43"/>
      <c r="AS3584" s="43"/>
      <c r="AT3584" s="43"/>
      <c r="AU3584" s="43"/>
      <c r="AV3584" s="43"/>
    </row>
    <row r="3585" spans="1:16383" ht="34.9" customHeight="1">
      <c r="A3585" s="3845"/>
      <c r="B3585" s="412" t="s">
        <v>1248</v>
      </c>
      <c r="C3585" s="412" t="s">
        <v>507</v>
      </c>
      <c r="D3585" s="1590" t="s">
        <v>1907</v>
      </c>
      <c r="E3585" s="2224" t="s">
        <v>1907</v>
      </c>
      <c r="F3585" s="505">
        <v>2243</v>
      </c>
      <c r="G3585" s="2774" t="s">
        <v>5322</v>
      </c>
      <c r="H3585" s="1943"/>
      <c r="I3585" s="1943">
        <v>210</v>
      </c>
      <c r="J3585" s="1745"/>
      <c r="K3585" s="1944"/>
      <c r="L3585" s="1744"/>
      <c r="M3585" s="1744"/>
      <c r="N3585" s="2847"/>
      <c r="O3585" s="86"/>
      <c r="P3585" s="1817" t="e">
        <f>INDEX(#REF!,MATCH(F3585,#REF!,0),2)</f>
        <v>#REF!</v>
      </c>
      <c r="Q3585" s="43"/>
      <c r="R3585" s="43"/>
      <c r="S3585" s="43"/>
      <c r="T3585" s="43"/>
      <c r="U3585" s="43"/>
      <c r="V3585" s="43"/>
      <c r="W3585" s="43"/>
      <c r="X3585" s="43"/>
      <c r="Y3585" s="43"/>
      <c r="Z3585" s="43"/>
      <c r="AA3585" s="43"/>
      <c r="AB3585" s="43"/>
      <c r="AC3585" s="43"/>
      <c r="AD3585" s="43"/>
      <c r="AE3585" s="43"/>
      <c r="AF3585" s="43"/>
      <c r="AG3585" s="43"/>
      <c r="AH3585" s="43"/>
      <c r="AI3585" s="43"/>
      <c r="AJ3585" s="43"/>
      <c r="AK3585" s="43"/>
      <c r="AL3585" s="43"/>
      <c r="AM3585" s="43"/>
      <c r="AN3585" s="43"/>
      <c r="AO3585" s="43"/>
      <c r="AP3585" s="43"/>
      <c r="AQ3585" s="43"/>
      <c r="AR3585" s="43"/>
      <c r="AS3585" s="43"/>
      <c r="AT3585" s="43"/>
      <c r="AU3585" s="43"/>
      <c r="AV3585" s="43"/>
    </row>
    <row r="3586" spans="1:16383" ht="21" customHeight="1">
      <c r="A3586" s="3845"/>
      <c r="B3586" s="412" t="s">
        <v>1248</v>
      </c>
      <c r="C3586" s="412" t="s">
        <v>507</v>
      </c>
      <c r="D3586" s="1590" t="s">
        <v>1907</v>
      </c>
      <c r="E3586" s="2224" t="s">
        <v>1907</v>
      </c>
      <c r="F3586" s="505">
        <v>2243</v>
      </c>
      <c r="G3586" s="2774" t="s">
        <v>5323</v>
      </c>
      <c r="H3586" s="1943"/>
      <c r="I3586" s="1943">
        <v>8577</v>
      </c>
      <c r="J3586" s="1745"/>
      <c r="K3586" s="1944"/>
      <c r="L3586" s="1744"/>
      <c r="M3586" s="1744"/>
      <c r="N3586" s="2847"/>
      <c r="O3586" s="86"/>
      <c r="P3586" s="1817" t="e">
        <f>INDEX(#REF!,MATCH(F3586,#REF!,0),2)</f>
        <v>#REF!</v>
      </c>
      <c r="Q3586" s="43"/>
      <c r="R3586" s="43"/>
      <c r="S3586" s="43"/>
      <c r="T3586" s="43"/>
      <c r="U3586" s="43"/>
      <c r="V3586" s="43"/>
      <c r="W3586" s="43"/>
      <c r="X3586" s="43"/>
      <c r="Y3586" s="43"/>
      <c r="Z3586" s="43"/>
      <c r="AA3586" s="43"/>
      <c r="AB3586" s="43"/>
      <c r="AC3586" s="43"/>
      <c r="AD3586" s="43"/>
      <c r="AE3586" s="43"/>
      <c r="AF3586" s="43"/>
      <c r="AG3586" s="43"/>
      <c r="AH3586" s="43"/>
      <c r="AI3586" s="43"/>
      <c r="AJ3586" s="43"/>
      <c r="AK3586" s="43"/>
      <c r="AL3586" s="43"/>
      <c r="AM3586" s="43"/>
      <c r="AN3586" s="43"/>
      <c r="AO3586" s="43"/>
      <c r="AP3586" s="43"/>
      <c r="AQ3586" s="43"/>
      <c r="AR3586" s="43"/>
      <c r="AS3586" s="43"/>
      <c r="AT3586" s="43"/>
      <c r="AU3586" s="43"/>
    </row>
    <row r="3587" spans="1:16383">
      <c r="A3587" s="971"/>
      <c r="B3587" s="506" t="s">
        <v>1248</v>
      </c>
      <c r="C3587" s="506" t="s">
        <v>507</v>
      </c>
      <c r="D3587" s="1589" t="s">
        <v>1907</v>
      </c>
      <c r="E3587" s="2223" t="s">
        <v>1907</v>
      </c>
      <c r="F3587" s="540">
        <v>2247</v>
      </c>
      <c r="G3587" s="411" t="s">
        <v>916</v>
      </c>
      <c r="H3587" s="581">
        <v>1780</v>
      </c>
      <c r="I3587" s="581"/>
      <c r="J3587" s="720"/>
      <c r="K3587" s="721"/>
      <c r="L3587" s="582">
        <v>0</v>
      </c>
      <c r="M3587" s="582"/>
      <c r="N3587" s="2847"/>
      <c r="O3587" s="86"/>
      <c r="P3587" s="1817" t="e">
        <f>INDEX(#REF!,MATCH(F3587,#REF!,0),2)</f>
        <v>#REF!</v>
      </c>
      <c r="Q3587" s="43"/>
      <c r="R3587" s="43"/>
      <c r="S3587" s="43"/>
      <c r="T3587" s="43"/>
      <c r="U3587" s="43"/>
      <c r="V3587" s="43"/>
      <c r="W3587" s="43"/>
      <c r="X3587" s="43"/>
      <c r="Y3587" s="43"/>
      <c r="Z3587" s="43"/>
      <c r="AA3587" s="43"/>
      <c r="AB3587" s="43"/>
      <c r="AC3587" s="43"/>
      <c r="AD3587" s="43"/>
      <c r="AE3587" s="43"/>
      <c r="AF3587" s="43"/>
      <c r="AG3587" s="43"/>
      <c r="AH3587" s="43"/>
      <c r="AI3587" s="43"/>
      <c r="AJ3587" s="43"/>
      <c r="AK3587" s="43"/>
      <c r="AL3587" s="43"/>
      <c r="AM3587" s="43"/>
      <c r="AN3587" s="43"/>
      <c r="AO3587" s="43"/>
      <c r="AP3587" s="43"/>
      <c r="AQ3587" s="43"/>
      <c r="AR3587" s="43"/>
      <c r="AS3587" s="43"/>
      <c r="AT3587" s="43"/>
      <c r="AU3587" s="43"/>
    </row>
    <row r="3588" spans="1:16383" ht="21" customHeight="1">
      <c r="A3588" s="521"/>
      <c r="B3588" s="412" t="s">
        <v>1248</v>
      </c>
      <c r="C3588" s="412" t="s">
        <v>507</v>
      </c>
      <c r="D3588" s="1590" t="s">
        <v>1907</v>
      </c>
      <c r="E3588" s="2224" t="s">
        <v>1907</v>
      </c>
      <c r="F3588" s="505">
        <v>2247</v>
      </c>
      <c r="G3588" s="1884" t="s">
        <v>2694</v>
      </c>
      <c r="H3588" s="1943"/>
      <c r="I3588" s="1943">
        <v>1105</v>
      </c>
      <c r="J3588" s="577"/>
      <c r="K3588" s="725"/>
      <c r="L3588" s="415"/>
      <c r="M3588" s="415"/>
      <c r="N3588" s="2847"/>
      <c r="O3588" s="1817"/>
      <c r="P3588" s="1817" t="e">
        <f>INDEX(#REF!,MATCH(F3588,#REF!,0),2)</f>
        <v>#REF!</v>
      </c>
      <c r="Q3588" s="43"/>
      <c r="R3588" s="43"/>
      <c r="S3588" s="43"/>
      <c r="T3588" s="43"/>
      <c r="U3588" s="43"/>
      <c r="V3588" s="43"/>
      <c r="W3588" s="43"/>
      <c r="X3588" s="43"/>
      <c r="Y3588" s="43"/>
      <c r="Z3588" s="43"/>
      <c r="AA3588" s="43"/>
      <c r="AB3588" s="43"/>
      <c r="AC3588" s="43"/>
      <c r="AD3588" s="43"/>
      <c r="AE3588" s="43"/>
      <c r="AF3588" s="43"/>
      <c r="AG3588" s="43"/>
      <c r="AH3588" s="43"/>
      <c r="AI3588" s="43"/>
      <c r="AJ3588" s="43"/>
      <c r="AK3588" s="43"/>
      <c r="AL3588" s="43"/>
      <c r="AM3588" s="43"/>
      <c r="AN3588" s="43"/>
      <c r="AO3588" s="43"/>
      <c r="AP3588" s="43"/>
      <c r="AQ3588" s="43"/>
      <c r="AR3588" s="43"/>
      <c r="AS3588" s="43"/>
      <c r="AT3588" s="43"/>
      <c r="AU3588" s="43"/>
    </row>
    <row r="3589" spans="1:16383" s="1799" customFormat="1" ht="14.45" customHeight="1">
      <c r="A3589" s="1897"/>
      <c r="B3589" s="412" t="s">
        <v>1248</v>
      </c>
      <c r="C3589" s="412" t="s">
        <v>507</v>
      </c>
      <c r="D3589" s="1590" t="s">
        <v>1907</v>
      </c>
      <c r="E3589" s="2224" t="s">
        <v>1907</v>
      </c>
      <c r="F3589" s="505">
        <v>2247</v>
      </c>
      <c r="G3589" s="1884" t="s">
        <v>5324</v>
      </c>
      <c r="H3589" s="1943"/>
      <c r="I3589" s="1943">
        <v>675</v>
      </c>
      <c r="J3589" s="3841"/>
      <c r="K3589" s="1944"/>
      <c r="L3589" s="1744"/>
      <c r="M3589" s="1744"/>
      <c r="N3589" s="2847"/>
      <c r="O3589" s="1817"/>
      <c r="P3589" s="1817" t="e">
        <f>INDEX(#REF!,MATCH(F3589,#REF!,0),2)</f>
        <v>#REF!</v>
      </c>
      <c r="Q3589" s="1802"/>
      <c r="R3589" s="1802"/>
      <c r="S3589" s="1802"/>
      <c r="T3589" s="1802"/>
      <c r="U3589" s="1802"/>
      <c r="V3589" s="1802"/>
      <c r="W3589" s="1801"/>
      <c r="X3589" s="1802"/>
      <c r="Y3589" s="1802"/>
      <c r="Z3589" s="1802"/>
      <c r="AA3589" s="1802"/>
      <c r="AB3589" s="1802"/>
      <c r="AC3589" s="1802"/>
      <c r="AD3589" s="1802"/>
      <c r="AE3589" s="1802"/>
      <c r="AF3589" s="1802"/>
      <c r="AG3589" s="1802"/>
      <c r="AH3589" s="1802"/>
      <c r="AI3589" s="1802"/>
      <c r="AJ3589" s="1802"/>
      <c r="AK3589" s="1802"/>
      <c r="AL3589" s="1802"/>
      <c r="AM3589" s="1802"/>
      <c r="AN3589" s="1802"/>
      <c r="AO3589" s="1802"/>
      <c r="AP3589" s="1802"/>
      <c r="AQ3589" s="1802"/>
      <c r="AR3589" s="1802"/>
      <c r="AS3589" s="1802"/>
      <c r="AT3589" s="1802"/>
      <c r="AU3589" s="1802"/>
      <c r="AV3589" s="1802"/>
    </row>
    <row r="3590" spans="1:16383" ht="23.45" customHeight="1">
      <c r="A3590" s="971"/>
      <c r="B3590" s="506" t="s">
        <v>1248</v>
      </c>
      <c r="C3590" s="506" t="s">
        <v>507</v>
      </c>
      <c r="D3590" s="1589" t="s">
        <v>1907</v>
      </c>
      <c r="E3590" s="2223" t="s">
        <v>1907</v>
      </c>
      <c r="F3590" s="540">
        <v>2249</v>
      </c>
      <c r="G3590" s="990" t="s">
        <v>453</v>
      </c>
      <c r="H3590" s="581">
        <v>1205.08</v>
      </c>
      <c r="I3590" s="581"/>
      <c r="J3590" s="720"/>
      <c r="K3590" s="721"/>
      <c r="L3590" s="582">
        <v>0</v>
      </c>
      <c r="M3590" s="582"/>
      <c r="N3590" s="2847"/>
      <c r="O3590" s="1817"/>
      <c r="P3590" s="1817" t="e">
        <f>INDEX(#REF!,MATCH(F3590,#REF!,0),2)</f>
        <v>#REF!</v>
      </c>
      <c r="Q3590" s="1779"/>
      <c r="R3590" s="1779"/>
      <c r="S3590" s="1779"/>
      <c r="T3590" s="1779"/>
      <c r="U3590" s="1779"/>
      <c r="V3590" s="1779"/>
      <c r="W3590" s="43"/>
      <c r="X3590" s="1779"/>
      <c r="Y3590" s="1779"/>
      <c r="Z3590" s="1779"/>
      <c r="AA3590" s="1779"/>
      <c r="AB3590" s="1779"/>
      <c r="AC3590" s="1779"/>
      <c r="AD3590" s="1779"/>
      <c r="AE3590" s="1779"/>
      <c r="AF3590" s="1779"/>
      <c r="AG3590" s="1779"/>
      <c r="AH3590" s="1779"/>
      <c r="AI3590" s="1779"/>
      <c r="AJ3590" s="1779"/>
      <c r="AK3590" s="1779"/>
      <c r="AL3590" s="1779"/>
      <c r="AM3590" s="1779"/>
      <c r="AN3590" s="1779"/>
      <c r="AO3590" s="1779"/>
      <c r="AP3590" s="1779"/>
      <c r="AQ3590" s="1779"/>
      <c r="AR3590" s="1779"/>
      <c r="AS3590" s="1779"/>
      <c r="AT3590" s="1779"/>
      <c r="AU3590" s="1779"/>
      <c r="AV3590" s="1779"/>
    </row>
    <row r="3591" spans="1:16383" ht="31.15" customHeight="1">
      <c r="A3591" s="521"/>
      <c r="B3591" s="412" t="s">
        <v>1248</v>
      </c>
      <c r="C3591" s="412" t="s">
        <v>507</v>
      </c>
      <c r="D3591" s="1590" t="s">
        <v>1907</v>
      </c>
      <c r="E3591" s="2224" t="s">
        <v>1907</v>
      </c>
      <c r="F3591" s="505">
        <v>2249</v>
      </c>
      <c r="G3591" s="996" t="s">
        <v>1552</v>
      </c>
      <c r="H3591" s="728"/>
      <c r="I3591" s="728">
        <v>1205.08</v>
      </c>
      <c r="J3591" s="577"/>
      <c r="K3591" s="725"/>
      <c r="L3591" s="415"/>
      <c r="M3591" s="415"/>
      <c r="N3591" s="2847"/>
      <c r="O3591" s="86"/>
      <c r="P3591" s="1817" t="e">
        <f>INDEX(#REF!,MATCH(F3591,#REF!,0),2)</f>
        <v>#REF!</v>
      </c>
      <c r="Q3591" s="43"/>
      <c r="R3591" s="43"/>
      <c r="S3591" s="43"/>
      <c r="T3591" s="43"/>
      <c r="U3591" s="43"/>
      <c r="V3591" s="43"/>
      <c r="W3591" s="43"/>
      <c r="X3591" s="43"/>
      <c r="Y3591" s="43"/>
      <c r="Z3591" s="43"/>
      <c r="AA3591" s="43"/>
      <c r="AB3591" s="43"/>
      <c r="AC3591" s="43"/>
      <c r="AD3591" s="43"/>
      <c r="AE3591" s="43"/>
      <c r="AF3591" s="43"/>
      <c r="AG3591" s="43"/>
      <c r="AH3591" s="43"/>
      <c r="AI3591" s="43"/>
      <c r="AJ3591" s="43"/>
      <c r="AK3591" s="43"/>
      <c r="AL3591" s="43"/>
      <c r="AM3591" s="43"/>
      <c r="AN3591" s="43"/>
      <c r="AO3591" s="43"/>
      <c r="AP3591" s="43"/>
      <c r="AQ3591" s="43"/>
      <c r="AR3591" s="43"/>
      <c r="AS3591" s="43"/>
      <c r="AT3591" s="43"/>
      <c r="AU3591" s="43"/>
      <c r="AV3591" s="43"/>
    </row>
    <row r="3592" spans="1:16383" ht="31.15" customHeight="1">
      <c r="A3592" s="506"/>
      <c r="B3592" s="506" t="s">
        <v>1248</v>
      </c>
      <c r="C3592" s="506" t="s">
        <v>505</v>
      </c>
      <c r="D3592" s="1589" t="s">
        <v>1963</v>
      </c>
      <c r="E3592" s="2223" t="s">
        <v>1907</v>
      </c>
      <c r="F3592" s="540">
        <v>2262</v>
      </c>
      <c r="G3592" s="411" t="s">
        <v>622</v>
      </c>
      <c r="H3592" s="582">
        <v>16660</v>
      </c>
      <c r="I3592" s="582"/>
      <c r="J3592" s="720"/>
      <c r="K3592" s="721"/>
      <c r="L3592" s="582">
        <v>16724.796000000002</v>
      </c>
      <c r="M3592" s="723"/>
      <c r="N3592" s="3506">
        <f>L3592+L3594+L3597-H3592-H3594-H3597</f>
        <v>-25979.203999999998</v>
      </c>
      <c r="O3592" s="86"/>
      <c r="P3592" s="1817" t="e">
        <f>INDEX(#REF!,MATCH(F3592,#REF!,0),2)</f>
        <v>#REF!</v>
      </c>
      <c r="Q3592" s="43"/>
      <c r="R3592" s="43"/>
      <c r="S3592" s="43"/>
      <c r="T3592" s="43"/>
      <c r="U3592" s="43"/>
      <c r="V3592" s="43"/>
      <c r="W3592" s="43"/>
      <c r="X3592" s="43"/>
      <c r="Y3592" s="43"/>
      <c r="Z3592" s="43"/>
      <c r="AA3592" s="43"/>
      <c r="AB3592" s="43"/>
      <c r="AC3592" s="43"/>
      <c r="AD3592" s="43"/>
      <c r="AE3592" s="43"/>
      <c r="AF3592" s="43"/>
      <c r="AG3592" s="43"/>
      <c r="AH3592" s="43"/>
      <c r="AI3592" s="43"/>
      <c r="AJ3592" s="43"/>
      <c r="AK3592" s="43"/>
      <c r="AL3592" s="43"/>
      <c r="AM3592" s="43"/>
      <c r="AN3592" s="43"/>
      <c r="AO3592" s="43"/>
      <c r="AP3592" s="43"/>
      <c r="AQ3592" s="43"/>
      <c r="AR3592" s="43"/>
      <c r="AS3592" s="43"/>
      <c r="AT3592" s="43"/>
      <c r="AU3592" s="43"/>
      <c r="AV3592" s="43"/>
    </row>
    <row r="3593" spans="1:16383" ht="15.6" customHeight="1">
      <c r="A3593" s="529"/>
      <c r="B3593" s="412" t="s">
        <v>1248</v>
      </c>
      <c r="C3593" s="412" t="s">
        <v>505</v>
      </c>
      <c r="D3593" s="1590" t="s">
        <v>1963</v>
      </c>
      <c r="E3593" s="2224" t="s">
        <v>1907</v>
      </c>
      <c r="F3593" s="412">
        <v>2262</v>
      </c>
      <c r="G3593" s="1082" t="s">
        <v>3468</v>
      </c>
      <c r="H3593" s="415"/>
      <c r="I3593" s="415">
        <v>16660</v>
      </c>
      <c r="J3593" s="577"/>
      <c r="K3593" s="721"/>
      <c r="L3593" s="414"/>
      <c r="M3593" s="2597">
        <v>16724.796000000002</v>
      </c>
      <c r="N3593" s="2847" t="s">
        <v>3467</v>
      </c>
      <c r="O3593" s="86"/>
      <c r="P3593" s="1817" t="e">
        <f>INDEX(#REF!,MATCH(F3593,#REF!,0),2)</f>
        <v>#REF!</v>
      </c>
      <c r="Q3593" s="1802"/>
      <c r="R3593" s="1802"/>
      <c r="S3593" s="1802"/>
      <c r="T3593" s="1802"/>
      <c r="U3593" s="1802"/>
      <c r="V3593" s="1801"/>
      <c r="W3593" s="1802"/>
      <c r="X3593" s="1802"/>
      <c r="Y3593" s="1802"/>
      <c r="Z3593" s="1802"/>
      <c r="AA3593" s="1802"/>
      <c r="AB3593" s="1802"/>
      <c r="AC3593" s="1802"/>
      <c r="AD3593" s="1802"/>
      <c r="AE3593" s="1802"/>
      <c r="AF3593" s="1802"/>
      <c r="AG3593" s="1802"/>
      <c r="AH3593" s="1802"/>
      <c r="AI3593" s="1802"/>
      <c r="AJ3593" s="1802"/>
      <c r="AK3593" s="1802"/>
      <c r="AL3593" s="1802"/>
      <c r="AM3593" s="1802"/>
      <c r="AN3593" s="1802"/>
      <c r="AO3593" s="1802"/>
      <c r="AP3593" s="1802"/>
      <c r="AQ3593" s="1802"/>
      <c r="AR3593" s="1802"/>
      <c r="AS3593" s="1802"/>
      <c r="AT3593" s="1802"/>
      <c r="AU3593" s="1802"/>
      <c r="AV3593" s="1799"/>
      <c r="AW3593" s="1799"/>
      <c r="AX3593" s="1799"/>
      <c r="AY3593" s="1799"/>
      <c r="AZ3593" s="1799"/>
      <c r="BA3593" s="1799"/>
      <c r="BB3593" s="1799"/>
      <c r="BC3593" s="1799"/>
      <c r="BD3593" s="1799"/>
      <c r="BE3593" s="1799"/>
      <c r="BF3593" s="1799"/>
      <c r="BG3593" s="1799"/>
      <c r="BH3593" s="1799"/>
      <c r="BI3593" s="1799"/>
      <c r="BJ3593" s="1799"/>
      <c r="BK3593" s="1799"/>
      <c r="BL3593" s="1799"/>
      <c r="BM3593" s="1799"/>
      <c r="BN3593" s="1799"/>
      <c r="BO3593" s="1799"/>
      <c r="BP3593" s="1799"/>
      <c r="BQ3593" s="1799"/>
      <c r="BR3593" s="1799"/>
      <c r="BS3593" s="1799"/>
      <c r="BT3593" s="1799"/>
      <c r="BU3593" s="1799"/>
      <c r="BV3593" s="1799"/>
      <c r="BW3593" s="1799"/>
      <c r="BX3593" s="1799"/>
      <c r="BY3593" s="1799"/>
      <c r="BZ3593" s="1799"/>
      <c r="CA3593" s="1799"/>
      <c r="CB3593" s="1799"/>
      <c r="CC3593" s="1799"/>
      <c r="CD3593" s="1799"/>
      <c r="CE3593" s="1799"/>
      <c r="CF3593" s="1799"/>
      <c r="CG3593" s="1799"/>
      <c r="CH3593" s="1799"/>
      <c r="CI3593" s="1799"/>
      <c r="CJ3593" s="1799"/>
      <c r="CK3593" s="1799"/>
      <c r="CL3593" s="1799"/>
      <c r="CM3593" s="1799"/>
      <c r="CN3593" s="1799"/>
      <c r="CO3593" s="1799"/>
      <c r="CP3593" s="1799"/>
      <c r="CQ3593" s="1799"/>
      <c r="CR3593" s="1799"/>
      <c r="CS3593" s="1799"/>
      <c r="CT3593" s="1799"/>
      <c r="CU3593" s="1799"/>
      <c r="CV3593" s="1799"/>
      <c r="CW3593" s="1799"/>
      <c r="CX3593" s="1799"/>
      <c r="CY3593" s="1799"/>
      <c r="CZ3593" s="1799"/>
      <c r="DA3593" s="1799"/>
      <c r="DB3593" s="1799"/>
      <c r="DC3593" s="1799"/>
      <c r="DD3593" s="1799"/>
      <c r="DE3593" s="1799"/>
      <c r="DF3593" s="1799"/>
      <c r="DG3593" s="1799"/>
      <c r="DH3593" s="1799"/>
      <c r="DI3593" s="1799"/>
      <c r="DJ3593" s="1799"/>
      <c r="DK3593" s="1799"/>
      <c r="DL3593" s="1799"/>
      <c r="DM3593" s="1799"/>
      <c r="DN3593" s="1799"/>
      <c r="DO3593" s="1799"/>
      <c r="DP3593" s="1799"/>
      <c r="DQ3593" s="1799"/>
      <c r="DR3593" s="1799"/>
      <c r="DS3593" s="1799"/>
      <c r="DT3593" s="1799"/>
      <c r="DU3593" s="1799"/>
      <c r="DV3593" s="1799"/>
      <c r="DW3593" s="1799"/>
      <c r="DX3593" s="1799"/>
      <c r="DY3593" s="1799"/>
      <c r="DZ3593" s="1799"/>
      <c r="EA3593" s="1799"/>
      <c r="EB3593" s="1799"/>
      <c r="EC3593" s="1799"/>
      <c r="ED3593" s="1799"/>
      <c r="EE3593" s="1799"/>
      <c r="EF3593" s="1799"/>
      <c r="EG3593" s="1799"/>
      <c r="EH3593" s="1799"/>
      <c r="EI3593" s="1799"/>
      <c r="EJ3593" s="1799"/>
      <c r="EK3593" s="1799"/>
      <c r="EL3593" s="1799"/>
      <c r="EM3593" s="1799"/>
      <c r="EN3593" s="1799"/>
      <c r="EO3593" s="1799"/>
      <c r="EP3593" s="1799"/>
      <c r="EQ3593" s="1799"/>
      <c r="ER3593" s="1799"/>
      <c r="ES3593" s="1799"/>
      <c r="ET3593" s="1799"/>
      <c r="EU3593" s="1799"/>
      <c r="EV3593" s="1799"/>
      <c r="EW3593" s="1799"/>
      <c r="EX3593" s="1799"/>
      <c r="EY3593" s="1799"/>
      <c r="EZ3593" s="1799"/>
      <c r="FA3593" s="1799"/>
      <c r="FB3593" s="1799"/>
      <c r="FC3593" s="1799"/>
      <c r="FD3593" s="1799"/>
      <c r="FE3593" s="1799"/>
      <c r="FF3593" s="1799"/>
      <c r="FG3593" s="1799"/>
      <c r="FH3593" s="1799"/>
      <c r="FI3593" s="1799"/>
      <c r="FJ3593" s="1799"/>
      <c r="FK3593" s="1799"/>
      <c r="FL3593" s="1799"/>
      <c r="FM3593" s="1799"/>
      <c r="FN3593" s="1799"/>
      <c r="FO3593" s="1799"/>
      <c r="FP3593" s="1799"/>
      <c r="FQ3593" s="1799"/>
      <c r="FR3593" s="1799"/>
      <c r="FS3593" s="1799"/>
      <c r="FT3593" s="1799"/>
      <c r="FU3593" s="1799"/>
      <c r="FV3593" s="1799"/>
      <c r="FW3593" s="1799"/>
      <c r="FX3593" s="1799"/>
      <c r="FY3593" s="1799"/>
      <c r="FZ3593" s="1799"/>
      <c r="GA3593" s="1799"/>
      <c r="GB3593" s="1799"/>
      <c r="GC3593" s="1799"/>
      <c r="GD3593" s="1799"/>
      <c r="GE3593" s="1799"/>
      <c r="GF3593" s="1799"/>
      <c r="GG3593" s="1799"/>
      <c r="GH3593" s="1799"/>
      <c r="GI3593" s="1799"/>
      <c r="GJ3593" s="1799"/>
      <c r="GK3593" s="1799"/>
      <c r="GL3593" s="1799"/>
      <c r="GM3593" s="1799"/>
      <c r="GN3593" s="1799"/>
      <c r="GO3593" s="1799"/>
      <c r="GP3593" s="1799"/>
      <c r="GQ3593" s="1799"/>
      <c r="GR3593" s="1799"/>
      <c r="GS3593" s="1799"/>
      <c r="GT3593" s="1799"/>
      <c r="GU3593" s="1799"/>
      <c r="GV3593" s="1799"/>
      <c r="GW3593" s="1799"/>
      <c r="GX3593" s="1799"/>
      <c r="GY3593" s="1799"/>
      <c r="GZ3593" s="1799"/>
      <c r="HA3593" s="1799"/>
      <c r="HB3593" s="1799"/>
      <c r="HC3593" s="1799"/>
      <c r="HD3593" s="1799"/>
      <c r="HE3593" s="1799"/>
      <c r="HF3593" s="1799"/>
      <c r="HG3593" s="1799"/>
      <c r="HH3593" s="1799"/>
      <c r="HI3593" s="1799"/>
      <c r="HJ3593" s="1799"/>
      <c r="HK3593" s="1799"/>
      <c r="HL3593" s="1799"/>
      <c r="HM3593" s="1799"/>
      <c r="HN3593" s="1799"/>
      <c r="HO3593" s="1799"/>
      <c r="HP3593" s="1799"/>
      <c r="HQ3593" s="1799"/>
      <c r="HR3593" s="1799"/>
      <c r="HS3593" s="1799"/>
      <c r="HT3593" s="1799"/>
      <c r="HU3593" s="1799"/>
      <c r="HV3593" s="1799"/>
      <c r="HW3593" s="1799"/>
      <c r="HX3593" s="1799"/>
      <c r="HY3593" s="1799"/>
      <c r="HZ3593" s="1799"/>
      <c r="IA3593" s="1799"/>
      <c r="IB3593" s="1799"/>
      <c r="IC3593" s="1799"/>
      <c r="ID3593" s="1799"/>
      <c r="IE3593" s="1799"/>
      <c r="IF3593" s="1799"/>
      <c r="IG3593" s="1799"/>
      <c r="IH3593" s="1799"/>
      <c r="II3593" s="1799"/>
      <c r="IJ3593" s="1799"/>
      <c r="IK3593" s="1799"/>
      <c r="IL3593" s="1799"/>
      <c r="IM3593" s="1799"/>
      <c r="IN3593" s="1799"/>
      <c r="IO3593" s="1799"/>
      <c r="IP3593" s="1799"/>
      <c r="IQ3593" s="1799"/>
      <c r="IR3593" s="1799"/>
      <c r="IS3593" s="1799"/>
      <c r="IT3593" s="1799"/>
      <c r="IU3593" s="1799"/>
      <c r="IV3593" s="1799"/>
      <c r="IW3593" s="1799"/>
      <c r="IX3593" s="1799"/>
      <c r="IY3593" s="1799"/>
      <c r="IZ3593" s="1799"/>
      <c r="JA3593" s="1799"/>
      <c r="JB3593" s="1799"/>
      <c r="JC3593" s="1799"/>
      <c r="JD3593" s="1799"/>
      <c r="JE3593" s="1799"/>
      <c r="JF3593" s="1799"/>
      <c r="JG3593" s="1799"/>
      <c r="JH3593" s="1799"/>
      <c r="JI3593" s="1799"/>
      <c r="JJ3593" s="1799"/>
      <c r="JK3593" s="1799"/>
      <c r="JL3593" s="1799"/>
      <c r="JM3593" s="1799"/>
      <c r="JN3593" s="1799"/>
      <c r="JO3593" s="1799"/>
      <c r="JP3593" s="1799"/>
      <c r="JQ3593" s="1799"/>
      <c r="JR3593" s="1799"/>
      <c r="JS3593" s="1799"/>
      <c r="JT3593" s="1799"/>
      <c r="JU3593" s="1799"/>
      <c r="JV3593" s="1799"/>
      <c r="JW3593" s="1799"/>
      <c r="JX3593" s="1799"/>
      <c r="JY3593" s="1799"/>
      <c r="JZ3593" s="1799"/>
      <c r="KA3593" s="1799"/>
      <c r="KB3593" s="1799"/>
      <c r="KC3593" s="1799"/>
      <c r="KD3593" s="1799"/>
      <c r="KE3593" s="1799"/>
      <c r="KF3593" s="1799"/>
      <c r="KG3593" s="1799"/>
      <c r="KH3593" s="1799"/>
      <c r="KI3593" s="1799"/>
      <c r="KJ3593" s="1799"/>
      <c r="KK3593" s="1799"/>
      <c r="KL3593" s="1799"/>
      <c r="KM3593" s="1799"/>
      <c r="KN3593" s="1799"/>
      <c r="KO3593" s="1799"/>
      <c r="KP3593" s="1799"/>
      <c r="KQ3593" s="1799"/>
      <c r="KR3593" s="1799"/>
      <c r="KS3593" s="1799"/>
      <c r="KT3593" s="1799"/>
      <c r="KU3593" s="1799"/>
      <c r="KV3593" s="1799"/>
      <c r="KW3593" s="1799"/>
      <c r="KX3593" s="1799"/>
      <c r="KY3593" s="1799"/>
      <c r="KZ3593" s="1799"/>
      <c r="LA3593" s="1799"/>
      <c r="LB3593" s="1799"/>
      <c r="LC3593" s="1799"/>
      <c r="LD3593" s="1799"/>
      <c r="LE3593" s="1799"/>
      <c r="LF3593" s="1799"/>
      <c r="LG3593" s="1799"/>
      <c r="LH3593" s="1799"/>
      <c r="LI3593" s="1799"/>
      <c r="LJ3593" s="1799"/>
      <c r="LK3593" s="1799"/>
      <c r="LL3593" s="1799"/>
      <c r="LM3593" s="1799"/>
      <c r="LN3593" s="1799"/>
      <c r="LO3593" s="1799"/>
      <c r="LP3593" s="1799"/>
      <c r="LQ3593" s="1799"/>
      <c r="LR3593" s="1799"/>
      <c r="LS3593" s="1799"/>
      <c r="LT3593" s="1799"/>
      <c r="LU3593" s="1799"/>
      <c r="LV3593" s="1799"/>
      <c r="LW3593" s="1799"/>
      <c r="LX3593" s="1799"/>
      <c r="LY3593" s="1799"/>
      <c r="LZ3593" s="1799"/>
      <c r="MA3593" s="1799"/>
      <c r="MB3593" s="1799"/>
      <c r="MC3593" s="1799"/>
      <c r="MD3593" s="1799"/>
      <c r="ME3593" s="1799"/>
      <c r="MF3593" s="1799"/>
      <c r="MG3593" s="1799"/>
      <c r="MH3593" s="1799"/>
      <c r="MI3593" s="1799"/>
      <c r="MJ3593" s="1799"/>
      <c r="MK3593" s="1799"/>
      <c r="ML3593" s="1799"/>
      <c r="MM3593" s="1799"/>
      <c r="MN3593" s="1799"/>
      <c r="MO3593" s="1799"/>
      <c r="MP3593" s="1799"/>
      <c r="MQ3593" s="1799"/>
      <c r="MR3593" s="1799"/>
      <c r="MS3593" s="1799"/>
      <c r="MT3593" s="1799"/>
      <c r="MU3593" s="1799"/>
      <c r="MV3593" s="1799"/>
      <c r="MW3593" s="1799"/>
      <c r="MX3593" s="1799"/>
      <c r="MY3593" s="1799"/>
      <c r="MZ3593" s="1799"/>
      <c r="NA3593" s="1799"/>
      <c r="NB3593" s="1799"/>
      <c r="NC3593" s="1799"/>
      <c r="ND3593" s="1799"/>
      <c r="NE3593" s="1799"/>
      <c r="NF3593" s="1799"/>
      <c r="NG3593" s="1799"/>
      <c r="NH3593" s="1799"/>
      <c r="NI3593" s="1799"/>
      <c r="NJ3593" s="1799"/>
      <c r="NK3593" s="1799"/>
      <c r="NL3593" s="1799"/>
      <c r="NM3593" s="1799"/>
      <c r="NN3593" s="1799"/>
      <c r="NO3593" s="1799"/>
      <c r="NP3593" s="1799"/>
      <c r="NQ3593" s="1799"/>
      <c r="NR3593" s="1799"/>
      <c r="NS3593" s="1799"/>
      <c r="NT3593" s="1799"/>
      <c r="NU3593" s="1799"/>
      <c r="NV3593" s="1799"/>
      <c r="NW3593" s="1799"/>
      <c r="NX3593" s="1799"/>
      <c r="NY3593" s="1799"/>
      <c r="NZ3593" s="1799"/>
      <c r="OA3593" s="1799"/>
      <c r="OB3593" s="1799"/>
      <c r="OC3593" s="1799"/>
      <c r="OD3593" s="1799"/>
      <c r="OE3593" s="1799"/>
      <c r="OF3593" s="1799"/>
      <c r="OG3593" s="1799"/>
      <c r="OH3593" s="1799"/>
      <c r="OI3593" s="1799"/>
      <c r="OJ3593" s="1799"/>
      <c r="OK3593" s="1799"/>
      <c r="OL3593" s="1799"/>
      <c r="OM3593" s="1799"/>
      <c r="ON3593" s="1799"/>
      <c r="OO3593" s="1799"/>
      <c r="OP3593" s="1799"/>
      <c r="OQ3593" s="1799"/>
      <c r="OR3593" s="1799"/>
      <c r="OS3593" s="1799"/>
      <c r="OT3593" s="1799"/>
      <c r="OU3593" s="1799"/>
      <c r="OV3593" s="1799"/>
      <c r="OW3593" s="1799"/>
      <c r="OX3593" s="1799"/>
      <c r="OY3593" s="1799"/>
      <c r="OZ3593" s="1799"/>
      <c r="PA3593" s="1799"/>
      <c r="PB3593" s="1799"/>
      <c r="PC3593" s="1799"/>
      <c r="PD3593" s="1799"/>
      <c r="PE3593" s="1799"/>
      <c r="PF3593" s="1799"/>
      <c r="PG3593" s="1799"/>
      <c r="PH3593" s="1799"/>
      <c r="PI3593" s="1799"/>
      <c r="PJ3593" s="1799"/>
      <c r="PK3593" s="1799"/>
      <c r="PL3593" s="1799"/>
      <c r="PM3593" s="1799"/>
      <c r="PN3593" s="1799"/>
      <c r="PO3593" s="1799"/>
      <c r="PP3593" s="1799"/>
      <c r="PQ3593" s="1799"/>
      <c r="PR3593" s="1799"/>
      <c r="PS3593" s="1799"/>
      <c r="PT3593" s="1799"/>
      <c r="PU3593" s="1799"/>
      <c r="PV3593" s="1799"/>
      <c r="PW3593" s="1799"/>
      <c r="PX3593" s="1799"/>
      <c r="PY3593" s="1799"/>
      <c r="PZ3593" s="1799"/>
      <c r="QA3593" s="1799"/>
      <c r="QB3593" s="1799"/>
      <c r="QC3593" s="1799"/>
      <c r="QD3593" s="1799"/>
      <c r="QE3593" s="1799"/>
      <c r="QF3593" s="1799"/>
      <c r="QG3593" s="1799"/>
      <c r="QH3593" s="1799"/>
      <c r="QI3593" s="1799"/>
      <c r="QJ3593" s="1799"/>
      <c r="QK3593" s="1799"/>
      <c r="QL3593" s="1799"/>
      <c r="QM3593" s="1799"/>
      <c r="QN3593" s="1799"/>
      <c r="QO3593" s="1799"/>
      <c r="QP3593" s="1799"/>
      <c r="QQ3593" s="1799"/>
      <c r="QR3593" s="1799"/>
      <c r="QS3593" s="1799"/>
      <c r="QT3593" s="1799"/>
      <c r="QU3593" s="1799"/>
      <c r="QV3593" s="1799"/>
      <c r="QW3593" s="1799"/>
      <c r="QX3593" s="1799"/>
      <c r="QY3593" s="1799"/>
      <c r="QZ3593" s="1799"/>
      <c r="RA3593" s="1799"/>
      <c r="RB3593" s="1799"/>
      <c r="RC3593" s="1799"/>
      <c r="RD3593" s="1799"/>
      <c r="RE3593" s="1799"/>
      <c r="RF3593" s="1799"/>
      <c r="RG3593" s="1799"/>
      <c r="RH3593" s="1799"/>
      <c r="RI3593" s="1799"/>
      <c r="RJ3593" s="1799"/>
      <c r="RK3593" s="1799"/>
      <c r="RL3593" s="1799"/>
      <c r="RM3593" s="1799"/>
      <c r="RN3593" s="1799"/>
      <c r="RO3593" s="1799"/>
      <c r="RP3593" s="1799"/>
      <c r="RQ3593" s="1799"/>
      <c r="RR3593" s="1799"/>
      <c r="RS3593" s="1799"/>
      <c r="RT3593" s="1799"/>
      <c r="RU3593" s="1799"/>
      <c r="RV3593" s="1799"/>
      <c r="RW3593" s="1799"/>
      <c r="RX3593" s="1799"/>
      <c r="RY3593" s="1799"/>
      <c r="RZ3593" s="1799"/>
      <c r="SA3593" s="1799"/>
      <c r="SB3593" s="1799"/>
      <c r="SC3593" s="1799"/>
      <c r="SD3593" s="1799"/>
      <c r="SE3593" s="1799"/>
      <c r="SF3593" s="1799"/>
      <c r="SG3593" s="1799"/>
      <c r="SH3593" s="1799"/>
      <c r="SI3593" s="1799"/>
      <c r="SJ3593" s="1799"/>
      <c r="SK3593" s="1799"/>
      <c r="SL3593" s="1799"/>
      <c r="SM3593" s="1799"/>
      <c r="SN3593" s="1799"/>
      <c r="SO3593" s="1799"/>
      <c r="SP3593" s="1799"/>
      <c r="SQ3593" s="1799"/>
      <c r="SR3593" s="1799"/>
      <c r="SS3593" s="1799"/>
      <c r="ST3593" s="1799"/>
      <c r="SU3593" s="1799"/>
      <c r="SV3593" s="1799"/>
      <c r="SW3593" s="1799"/>
      <c r="SX3593" s="1799"/>
      <c r="SY3593" s="1799"/>
      <c r="SZ3593" s="1799"/>
      <c r="TA3593" s="1799"/>
      <c r="TB3593" s="1799"/>
      <c r="TC3593" s="1799"/>
      <c r="TD3593" s="1799"/>
      <c r="TE3593" s="1799"/>
      <c r="TF3593" s="1799"/>
      <c r="TG3593" s="1799"/>
      <c r="TH3593" s="1799"/>
      <c r="TI3593" s="1799"/>
      <c r="TJ3593" s="1799"/>
      <c r="TK3593" s="1799"/>
      <c r="TL3593" s="1799"/>
      <c r="TM3593" s="1799"/>
      <c r="TN3593" s="1799"/>
      <c r="TO3593" s="1799"/>
      <c r="TP3593" s="1799"/>
      <c r="TQ3593" s="1799"/>
      <c r="TR3593" s="1799"/>
      <c r="TS3593" s="1799"/>
      <c r="TT3593" s="1799"/>
      <c r="TU3593" s="1799"/>
      <c r="TV3593" s="1799"/>
      <c r="TW3593" s="1799"/>
      <c r="TX3593" s="1799"/>
      <c r="TY3593" s="1799"/>
      <c r="TZ3593" s="1799"/>
      <c r="UA3593" s="1799"/>
      <c r="UB3593" s="1799"/>
      <c r="UC3593" s="1799"/>
      <c r="UD3593" s="1799"/>
      <c r="UE3593" s="1799"/>
      <c r="UF3593" s="1799"/>
      <c r="UG3593" s="1799"/>
      <c r="UH3593" s="1799"/>
      <c r="UI3593" s="1799"/>
      <c r="UJ3593" s="1799"/>
      <c r="UK3593" s="1799"/>
      <c r="UL3593" s="1799"/>
      <c r="UM3593" s="1799"/>
      <c r="UN3593" s="1799"/>
      <c r="UO3593" s="1799"/>
      <c r="UP3593" s="1799"/>
      <c r="UQ3593" s="1799"/>
      <c r="UR3593" s="1799"/>
      <c r="US3593" s="1799"/>
      <c r="UT3593" s="1799"/>
      <c r="UU3593" s="1799"/>
      <c r="UV3593" s="1799"/>
      <c r="UW3593" s="1799"/>
      <c r="UX3593" s="1799"/>
      <c r="UY3593" s="1799"/>
      <c r="UZ3593" s="1799"/>
      <c r="VA3593" s="1799"/>
      <c r="VB3593" s="1799"/>
      <c r="VC3593" s="1799"/>
      <c r="VD3593" s="1799"/>
      <c r="VE3593" s="1799"/>
      <c r="VF3593" s="1799"/>
      <c r="VG3593" s="1799"/>
      <c r="VH3593" s="1799"/>
      <c r="VI3593" s="1799"/>
      <c r="VJ3593" s="1799"/>
      <c r="VK3593" s="1799"/>
      <c r="VL3593" s="1799"/>
      <c r="VM3593" s="1799"/>
      <c r="VN3593" s="1799"/>
      <c r="VO3593" s="1799"/>
      <c r="VP3593" s="1799"/>
      <c r="VQ3593" s="1799"/>
      <c r="VR3593" s="1799"/>
      <c r="VS3593" s="1799"/>
      <c r="VT3593" s="1799"/>
      <c r="VU3593" s="1799"/>
      <c r="VV3593" s="1799"/>
      <c r="VW3593" s="1799"/>
      <c r="VX3593" s="1799"/>
      <c r="VY3593" s="1799"/>
      <c r="VZ3593" s="1799"/>
      <c r="WA3593" s="1799"/>
      <c r="WB3593" s="1799"/>
      <c r="WC3593" s="1799"/>
      <c r="WD3593" s="1799"/>
      <c r="WE3593" s="1799"/>
      <c r="WF3593" s="1799"/>
      <c r="WG3593" s="1799"/>
      <c r="WH3593" s="1799"/>
      <c r="WI3593" s="1799"/>
      <c r="WJ3593" s="1799"/>
      <c r="WK3593" s="1799"/>
      <c r="WL3593" s="1799"/>
      <c r="WM3593" s="1799"/>
      <c r="WN3593" s="1799"/>
      <c r="WO3593" s="1799"/>
      <c r="WP3593" s="1799"/>
      <c r="WQ3593" s="1799"/>
      <c r="WR3593" s="1799"/>
      <c r="WS3593" s="1799"/>
      <c r="WT3593" s="1799"/>
      <c r="WU3593" s="1799"/>
      <c r="WV3593" s="1799"/>
      <c r="WW3593" s="1799"/>
      <c r="WX3593" s="1799"/>
      <c r="WY3593" s="1799"/>
      <c r="WZ3593" s="1799"/>
      <c r="XA3593" s="1799"/>
      <c r="XB3593" s="1799"/>
      <c r="XC3593" s="1799"/>
      <c r="XD3593" s="1799"/>
      <c r="XE3593" s="1799"/>
      <c r="XF3593" s="1799"/>
      <c r="XG3593" s="1799"/>
      <c r="XH3593" s="1799"/>
      <c r="XI3593" s="1799"/>
      <c r="XJ3593" s="1799"/>
      <c r="XK3593" s="1799"/>
      <c r="XL3593" s="1799"/>
      <c r="XM3593" s="1799"/>
      <c r="XN3593" s="1799"/>
      <c r="XO3593" s="1799"/>
      <c r="XP3593" s="1799"/>
      <c r="XQ3593" s="1799"/>
      <c r="XR3593" s="1799"/>
      <c r="XS3593" s="1799"/>
      <c r="XT3593" s="1799"/>
      <c r="XU3593" s="1799"/>
      <c r="XV3593" s="1799"/>
      <c r="XW3593" s="1799"/>
      <c r="XX3593" s="1799"/>
      <c r="XY3593" s="1799"/>
      <c r="XZ3593" s="1799"/>
      <c r="YA3593" s="1799"/>
      <c r="YB3593" s="1799"/>
      <c r="YC3593" s="1799"/>
      <c r="YD3593" s="1799"/>
      <c r="YE3593" s="1799"/>
      <c r="YF3593" s="1799"/>
      <c r="YG3593" s="1799"/>
      <c r="YH3593" s="1799"/>
      <c r="YI3593" s="1799"/>
      <c r="YJ3593" s="1799"/>
      <c r="YK3593" s="1799"/>
      <c r="YL3593" s="1799"/>
      <c r="YM3593" s="1799"/>
      <c r="YN3593" s="1799"/>
      <c r="YO3593" s="1799"/>
      <c r="YP3593" s="1799"/>
      <c r="YQ3593" s="1799"/>
      <c r="YR3593" s="1799"/>
      <c r="YS3593" s="1799"/>
      <c r="YT3593" s="1799"/>
      <c r="YU3593" s="1799"/>
      <c r="YV3593" s="1799"/>
      <c r="YW3593" s="1799"/>
      <c r="YX3593" s="1799"/>
      <c r="YY3593" s="1799"/>
      <c r="YZ3593" s="1799"/>
      <c r="ZA3593" s="1799"/>
      <c r="ZB3593" s="1799"/>
      <c r="ZC3593" s="1799"/>
      <c r="ZD3593" s="1799"/>
      <c r="ZE3593" s="1799"/>
      <c r="ZF3593" s="1799"/>
      <c r="ZG3593" s="1799"/>
      <c r="ZH3593" s="1799"/>
      <c r="ZI3593" s="1799"/>
      <c r="ZJ3593" s="1799"/>
      <c r="ZK3593" s="1799"/>
      <c r="ZL3593" s="1799"/>
      <c r="ZM3593" s="1799"/>
      <c r="ZN3593" s="1799"/>
      <c r="ZO3593" s="1799"/>
      <c r="ZP3593" s="1799"/>
      <c r="ZQ3593" s="1799"/>
      <c r="ZR3593" s="1799"/>
      <c r="ZS3593" s="1799"/>
      <c r="ZT3593" s="1799"/>
      <c r="ZU3593" s="1799"/>
      <c r="ZV3593" s="1799"/>
      <c r="ZW3593" s="1799"/>
      <c r="ZX3593" s="1799"/>
      <c r="ZY3593" s="1799"/>
      <c r="ZZ3593" s="1799"/>
      <c r="AAA3593" s="1799"/>
      <c r="AAB3593" s="1799"/>
      <c r="AAC3593" s="1799"/>
      <c r="AAD3593" s="1799"/>
      <c r="AAE3593" s="1799"/>
      <c r="AAF3593" s="1799"/>
      <c r="AAG3593" s="1799"/>
      <c r="AAH3593" s="1799"/>
      <c r="AAI3593" s="1799"/>
      <c r="AAJ3593" s="1799"/>
      <c r="AAK3593" s="1799"/>
      <c r="AAL3593" s="1799"/>
      <c r="AAM3593" s="1799"/>
      <c r="AAN3593" s="1799"/>
      <c r="AAO3593" s="1799"/>
      <c r="AAP3593" s="1799"/>
      <c r="AAQ3593" s="1799"/>
      <c r="AAR3593" s="1799"/>
      <c r="AAS3593" s="1799"/>
      <c r="AAT3593" s="1799"/>
      <c r="AAU3593" s="1799"/>
      <c r="AAV3593" s="1799"/>
      <c r="AAW3593" s="1799"/>
      <c r="AAX3593" s="1799"/>
      <c r="AAY3593" s="1799"/>
      <c r="AAZ3593" s="1799"/>
      <c r="ABA3593" s="1799"/>
      <c r="ABB3593" s="1799"/>
      <c r="ABC3593" s="1799"/>
      <c r="ABD3593" s="1799"/>
      <c r="ABE3593" s="1799"/>
      <c r="ABF3593" s="1799"/>
      <c r="ABG3593" s="1799"/>
      <c r="ABH3593" s="1799"/>
      <c r="ABI3593" s="1799"/>
      <c r="ABJ3593" s="1799"/>
      <c r="ABK3593" s="1799"/>
      <c r="ABL3593" s="1799"/>
      <c r="ABM3593" s="1799"/>
      <c r="ABN3593" s="1799"/>
      <c r="ABO3593" s="1799"/>
      <c r="ABP3593" s="1799"/>
      <c r="ABQ3593" s="1799"/>
      <c r="ABR3593" s="1799"/>
      <c r="ABS3593" s="1799"/>
      <c r="ABT3593" s="1799"/>
      <c r="ABU3593" s="1799"/>
      <c r="ABV3593" s="1799"/>
      <c r="ABW3593" s="1799"/>
      <c r="ABX3593" s="1799"/>
      <c r="ABY3593" s="1799"/>
      <c r="ABZ3593" s="1799"/>
      <c r="ACA3593" s="1799"/>
      <c r="ACB3593" s="1799"/>
      <c r="ACC3593" s="1799"/>
      <c r="ACD3593" s="1799"/>
      <c r="ACE3593" s="1799"/>
      <c r="ACF3593" s="1799"/>
      <c r="ACG3593" s="1799"/>
      <c r="ACH3593" s="1799"/>
      <c r="ACI3593" s="1799"/>
      <c r="ACJ3593" s="1799"/>
      <c r="ACK3593" s="1799"/>
      <c r="ACL3593" s="1799"/>
      <c r="ACM3593" s="1799"/>
      <c r="ACN3593" s="1799"/>
      <c r="ACO3593" s="1799"/>
      <c r="ACP3593" s="1799"/>
      <c r="ACQ3593" s="1799"/>
      <c r="ACR3593" s="1799"/>
      <c r="ACS3593" s="1799"/>
      <c r="ACT3593" s="1799"/>
      <c r="ACU3593" s="1799"/>
      <c r="ACV3593" s="1799"/>
      <c r="ACW3593" s="1799"/>
      <c r="ACX3593" s="1799"/>
      <c r="ACY3593" s="1799"/>
      <c r="ACZ3593" s="1799"/>
      <c r="ADA3593" s="1799"/>
      <c r="ADB3593" s="1799"/>
      <c r="ADC3593" s="1799"/>
      <c r="ADD3593" s="1799"/>
      <c r="ADE3593" s="1799"/>
      <c r="ADF3593" s="1799"/>
      <c r="ADG3593" s="1799"/>
      <c r="ADH3593" s="1799"/>
      <c r="ADI3593" s="1799"/>
      <c r="ADJ3593" s="1799"/>
      <c r="ADK3593" s="1799"/>
      <c r="ADL3593" s="1799"/>
      <c r="ADM3593" s="1799"/>
      <c r="ADN3593" s="1799"/>
      <c r="ADO3593" s="1799"/>
      <c r="ADP3593" s="1799"/>
      <c r="ADQ3593" s="1799"/>
      <c r="ADR3593" s="1799"/>
      <c r="ADS3593" s="1799"/>
      <c r="ADT3593" s="1799"/>
      <c r="ADU3593" s="1799"/>
      <c r="ADV3593" s="1799"/>
      <c r="ADW3593" s="1799"/>
      <c r="ADX3593" s="1799"/>
      <c r="ADY3593" s="1799"/>
      <c r="ADZ3593" s="1799"/>
      <c r="AEA3593" s="1799"/>
      <c r="AEB3593" s="1799"/>
      <c r="AEC3593" s="1799"/>
      <c r="AED3593" s="1799"/>
      <c r="AEE3593" s="1799"/>
      <c r="AEF3593" s="1799"/>
      <c r="AEG3593" s="1799"/>
      <c r="AEH3593" s="1799"/>
      <c r="AEI3593" s="1799"/>
      <c r="AEJ3593" s="1799"/>
      <c r="AEK3593" s="1799"/>
      <c r="AEL3593" s="1799"/>
      <c r="AEM3593" s="1799"/>
      <c r="AEN3593" s="1799"/>
      <c r="AEO3593" s="1799"/>
      <c r="AEP3593" s="1799"/>
      <c r="AEQ3593" s="1799"/>
      <c r="AER3593" s="1799"/>
      <c r="AES3593" s="1799"/>
      <c r="AET3593" s="1799"/>
      <c r="AEU3593" s="1799"/>
      <c r="AEV3593" s="1799"/>
      <c r="AEW3593" s="1799"/>
      <c r="AEX3593" s="1799"/>
      <c r="AEY3593" s="1799"/>
      <c r="AEZ3593" s="1799"/>
      <c r="AFA3593" s="1799"/>
      <c r="AFB3593" s="1799"/>
      <c r="AFC3593" s="1799"/>
      <c r="AFD3593" s="1799"/>
      <c r="AFE3593" s="1799"/>
      <c r="AFF3593" s="1799"/>
      <c r="AFG3593" s="1799"/>
      <c r="AFH3593" s="1799"/>
      <c r="AFI3593" s="1799"/>
      <c r="AFJ3593" s="1799"/>
      <c r="AFK3593" s="1799"/>
      <c r="AFL3593" s="1799"/>
      <c r="AFM3593" s="1799"/>
      <c r="AFN3593" s="1799"/>
      <c r="AFO3593" s="1799"/>
      <c r="AFP3593" s="1799"/>
      <c r="AFQ3593" s="1799"/>
      <c r="AFR3593" s="1799"/>
      <c r="AFS3593" s="1799"/>
      <c r="AFT3593" s="1799"/>
      <c r="AFU3593" s="1799"/>
      <c r="AFV3593" s="1799"/>
      <c r="AFW3593" s="1799"/>
      <c r="AFX3593" s="1799"/>
      <c r="AFY3593" s="1799"/>
      <c r="AFZ3593" s="1799"/>
      <c r="AGA3593" s="1799"/>
      <c r="AGB3593" s="1799"/>
      <c r="AGC3593" s="1799"/>
      <c r="AGD3593" s="1799"/>
      <c r="AGE3593" s="1799"/>
      <c r="AGF3593" s="1799"/>
      <c r="AGG3593" s="1799"/>
      <c r="AGH3593" s="1799"/>
      <c r="AGI3593" s="1799"/>
      <c r="AGJ3593" s="1799"/>
      <c r="AGK3593" s="1799"/>
      <c r="AGL3593" s="1799"/>
      <c r="AGM3593" s="1799"/>
      <c r="AGN3593" s="1799"/>
      <c r="AGO3593" s="1799"/>
      <c r="AGP3593" s="1799"/>
      <c r="AGQ3593" s="1799"/>
      <c r="AGR3593" s="1799"/>
      <c r="AGS3593" s="1799"/>
      <c r="AGT3593" s="1799"/>
      <c r="AGU3593" s="1799"/>
      <c r="AGV3593" s="1799"/>
      <c r="AGW3593" s="1799"/>
      <c r="AGX3593" s="1799"/>
      <c r="AGY3593" s="1799"/>
      <c r="AGZ3593" s="1799"/>
      <c r="AHA3593" s="1799"/>
      <c r="AHB3593" s="1799"/>
      <c r="AHC3593" s="1799"/>
      <c r="AHD3593" s="1799"/>
      <c r="AHE3593" s="1799"/>
      <c r="AHF3593" s="1799"/>
      <c r="AHG3593" s="1799"/>
      <c r="AHH3593" s="1799"/>
      <c r="AHI3593" s="1799"/>
      <c r="AHJ3593" s="1799"/>
      <c r="AHK3593" s="1799"/>
      <c r="AHL3593" s="1799"/>
      <c r="AHM3593" s="1799"/>
      <c r="AHN3593" s="1799"/>
      <c r="AHO3593" s="1799"/>
      <c r="AHP3593" s="1799"/>
      <c r="AHQ3593" s="1799"/>
      <c r="AHR3593" s="1799"/>
      <c r="AHS3593" s="1799"/>
      <c r="AHT3593" s="1799"/>
      <c r="AHU3593" s="1799"/>
      <c r="AHV3593" s="1799"/>
      <c r="AHW3593" s="1799"/>
      <c r="AHX3593" s="1799"/>
      <c r="AHY3593" s="1799"/>
      <c r="AHZ3593" s="1799"/>
      <c r="AIA3593" s="1799"/>
      <c r="AIB3593" s="1799"/>
      <c r="AIC3593" s="1799"/>
      <c r="AID3593" s="1799"/>
      <c r="AIE3593" s="1799"/>
      <c r="AIF3593" s="1799"/>
      <c r="AIG3593" s="1799"/>
      <c r="AIH3593" s="1799"/>
      <c r="AII3593" s="1799"/>
      <c r="AIJ3593" s="1799"/>
      <c r="AIK3593" s="1799"/>
      <c r="AIL3593" s="1799"/>
      <c r="AIM3593" s="1799"/>
      <c r="AIN3593" s="1799"/>
      <c r="AIO3593" s="1799"/>
      <c r="AIP3593" s="1799"/>
      <c r="AIQ3593" s="1799"/>
      <c r="AIR3593" s="1799"/>
      <c r="AIS3593" s="1799"/>
      <c r="AIT3593" s="1799"/>
      <c r="AIU3593" s="1799"/>
      <c r="AIV3593" s="1799"/>
      <c r="AIW3593" s="1799"/>
      <c r="AIX3593" s="1799"/>
      <c r="AIY3593" s="1799"/>
      <c r="AIZ3593" s="1799"/>
      <c r="AJA3593" s="1799"/>
      <c r="AJB3593" s="1799"/>
      <c r="AJC3593" s="1799"/>
      <c r="AJD3593" s="1799"/>
      <c r="AJE3593" s="1799"/>
      <c r="AJF3593" s="1799"/>
      <c r="AJG3593" s="1799"/>
      <c r="AJH3593" s="1799"/>
      <c r="AJI3593" s="1799"/>
      <c r="AJJ3593" s="1799"/>
      <c r="AJK3593" s="1799"/>
      <c r="AJL3593" s="1799"/>
      <c r="AJM3593" s="1799"/>
      <c r="AJN3593" s="1799"/>
      <c r="AJO3593" s="1799"/>
      <c r="AJP3593" s="1799"/>
      <c r="AJQ3593" s="1799"/>
      <c r="AJR3593" s="1799"/>
      <c r="AJS3593" s="1799"/>
      <c r="AJT3593" s="1799"/>
      <c r="AJU3593" s="1799"/>
      <c r="AJV3593" s="1799"/>
      <c r="AJW3593" s="1799"/>
      <c r="AJX3593" s="1799"/>
      <c r="AJY3593" s="1799"/>
      <c r="AJZ3593" s="1799"/>
      <c r="AKA3593" s="1799"/>
      <c r="AKB3593" s="1799"/>
      <c r="AKC3593" s="1799"/>
      <c r="AKD3593" s="1799"/>
      <c r="AKE3593" s="1799"/>
      <c r="AKF3593" s="1799"/>
      <c r="AKG3593" s="1799"/>
      <c r="AKH3593" s="1799"/>
      <c r="AKI3593" s="1799"/>
      <c r="AKJ3593" s="1799"/>
      <c r="AKK3593" s="1799"/>
      <c r="AKL3593" s="1799"/>
      <c r="AKM3593" s="1799"/>
      <c r="AKN3593" s="1799"/>
      <c r="AKO3593" s="1799"/>
      <c r="AKP3593" s="1799"/>
      <c r="AKQ3593" s="1799"/>
      <c r="AKR3593" s="1799"/>
      <c r="AKS3593" s="1799"/>
      <c r="AKT3593" s="1799"/>
      <c r="AKU3593" s="1799"/>
      <c r="AKV3593" s="1799"/>
      <c r="AKW3593" s="1799"/>
      <c r="AKX3593" s="1799"/>
      <c r="AKY3593" s="1799"/>
      <c r="AKZ3593" s="1799"/>
      <c r="ALA3593" s="1799"/>
      <c r="ALB3593" s="1799"/>
      <c r="ALC3593" s="1799"/>
      <c r="ALD3593" s="1799"/>
      <c r="ALE3593" s="1799"/>
      <c r="ALF3593" s="1799"/>
      <c r="ALG3593" s="1799"/>
      <c r="ALH3593" s="1799"/>
      <c r="ALI3593" s="1799"/>
      <c r="ALJ3593" s="1799"/>
      <c r="ALK3593" s="1799"/>
      <c r="ALL3593" s="1799"/>
      <c r="ALM3593" s="1799"/>
      <c r="ALN3593" s="1799"/>
      <c r="ALO3593" s="1799"/>
      <c r="ALP3593" s="1799"/>
      <c r="ALQ3593" s="1799"/>
      <c r="ALR3593" s="1799"/>
      <c r="ALS3593" s="1799"/>
      <c r="ALT3593" s="1799"/>
      <c r="ALU3593" s="1799"/>
      <c r="ALV3593" s="1799"/>
      <c r="ALW3593" s="1799"/>
      <c r="ALX3593" s="1799"/>
      <c r="ALY3593" s="1799"/>
      <c r="ALZ3593" s="1799"/>
      <c r="AMA3593" s="1799"/>
      <c r="AMB3593" s="1799"/>
      <c r="AMC3593" s="1799"/>
      <c r="AMD3593" s="1799"/>
      <c r="AME3593" s="1799"/>
      <c r="AMF3593" s="1799"/>
      <c r="AMG3593" s="1799"/>
      <c r="AMH3593" s="1799"/>
      <c r="AMI3593" s="1799"/>
      <c r="AMJ3593" s="1799"/>
      <c r="AMK3593" s="1799"/>
      <c r="AML3593" s="1799"/>
      <c r="AMM3593" s="1799"/>
      <c r="AMN3593" s="1799"/>
      <c r="AMO3593" s="1799"/>
      <c r="AMP3593" s="1799"/>
      <c r="AMQ3593" s="1799"/>
      <c r="AMR3593" s="1799"/>
      <c r="AMS3593" s="1799"/>
      <c r="AMT3593" s="1799"/>
      <c r="AMU3593" s="1799"/>
      <c r="AMV3593" s="1799"/>
      <c r="AMW3593" s="1799"/>
      <c r="AMX3593" s="1799"/>
      <c r="AMY3593" s="1799"/>
      <c r="AMZ3593" s="1799"/>
      <c r="ANA3593" s="1799"/>
      <c r="ANB3593" s="1799"/>
      <c r="ANC3593" s="1799"/>
      <c r="AND3593" s="1799"/>
      <c r="ANE3593" s="1799"/>
      <c r="ANF3593" s="1799"/>
      <c r="ANG3593" s="1799"/>
      <c r="ANH3593" s="1799"/>
      <c r="ANI3593" s="1799"/>
      <c r="ANJ3593" s="1799"/>
      <c r="ANK3593" s="1799"/>
      <c r="ANL3593" s="1799"/>
      <c r="ANM3593" s="1799"/>
      <c r="ANN3593" s="1799"/>
      <c r="ANO3593" s="1799"/>
      <c r="ANP3593" s="1799"/>
      <c r="ANQ3593" s="1799"/>
      <c r="ANR3593" s="1799"/>
      <c r="ANS3593" s="1799"/>
      <c r="ANT3593" s="1799"/>
      <c r="ANU3593" s="1799"/>
      <c r="ANV3593" s="1799"/>
      <c r="ANW3593" s="1799"/>
      <c r="ANX3593" s="1799"/>
      <c r="ANY3593" s="1799"/>
      <c r="ANZ3593" s="1799"/>
      <c r="AOA3593" s="1799"/>
      <c r="AOB3593" s="1799"/>
      <c r="AOC3593" s="1799"/>
      <c r="AOD3593" s="1799"/>
      <c r="AOE3593" s="1799"/>
      <c r="AOF3593" s="1799"/>
      <c r="AOG3593" s="1799"/>
      <c r="AOH3593" s="1799"/>
      <c r="AOI3593" s="1799"/>
      <c r="AOJ3593" s="1799"/>
      <c r="AOK3593" s="1799"/>
      <c r="AOL3593" s="1799"/>
      <c r="AOM3593" s="1799"/>
      <c r="AON3593" s="1799"/>
      <c r="AOO3593" s="1799"/>
      <c r="AOP3593" s="1799"/>
      <c r="AOQ3593" s="1799"/>
      <c r="AOR3593" s="1799"/>
      <c r="AOS3593" s="1799"/>
      <c r="AOT3593" s="1799"/>
      <c r="AOU3593" s="1799"/>
      <c r="AOV3593" s="1799"/>
      <c r="AOW3593" s="1799"/>
      <c r="AOX3593" s="1799"/>
      <c r="AOY3593" s="1799"/>
      <c r="AOZ3593" s="1799"/>
      <c r="APA3593" s="1799"/>
      <c r="APB3593" s="1799"/>
      <c r="APC3593" s="1799"/>
      <c r="APD3593" s="1799"/>
      <c r="APE3593" s="1799"/>
      <c r="APF3593" s="1799"/>
      <c r="APG3593" s="1799"/>
      <c r="APH3593" s="1799"/>
      <c r="API3593" s="1799"/>
      <c r="APJ3593" s="1799"/>
      <c r="APK3593" s="1799"/>
      <c r="APL3593" s="1799"/>
      <c r="APM3593" s="1799"/>
      <c r="APN3593" s="1799"/>
      <c r="APO3593" s="1799"/>
      <c r="APP3593" s="1799"/>
      <c r="APQ3593" s="1799"/>
      <c r="APR3593" s="1799"/>
      <c r="APS3593" s="1799"/>
      <c r="APT3593" s="1799"/>
      <c r="APU3593" s="1799"/>
      <c r="APV3593" s="1799"/>
      <c r="APW3593" s="1799"/>
      <c r="APX3593" s="1799"/>
      <c r="APY3593" s="1799"/>
      <c r="APZ3593" s="1799"/>
      <c r="AQA3593" s="1799"/>
      <c r="AQB3593" s="1799"/>
      <c r="AQC3593" s="1799"/>
      <c r="AQD3593" s="1799"/>
      <c r="AQE3593" s="1799"/>
      <c r="AQF3593" s="1799"/>
      <c r="AQG3593" s="1799"/>
      <c r="AQH3593" s="1799"/>
      <c r="AQI3593" s="1799"/>
      <c r="AQJ3593" s="1799"/>
      <c r="AQK3593" s="1799"/>
      <c r="AQL3593" s="1799"/>
      <c r="AQM3593" s="1799"/>
      <c r="AQN3593" s="1799"/>
      <c r="AQO3593" s="1799"/>
      <c r="AQP3593" s="1799"/>
      <c r="AQQ3593" s="1799"/>
      <c r="AQR3593" s="1799"/>
      <c r="AQS3593" s="1799"/>
      <c r="AQT3593" s="1799"/>
      <c r="AQU3593" s="1799"/>
      <c r="AQV3593" s="1799"/>
      <c r="AQW3593" s="1799"/>
      <c r="AQX3593" s="1799"/>
      <c r="AQY3593" s="1799"/>
      <c r="AQZ3593" s="1799"/>
      <c r="ARA3593" s="1799"/>
      <c r="ARB3593" s="1799"/>
      <c r="ARC3593" s="1799"/>
      <c r="ARD3593" s="1799"/>
      <c r="ARE3593" s="1799"/>
      <c r="ARF3593" s="1799"/>
      <c r="ARG3593" s="1799"/>
      <c r="ARH3593" s="1799"/>
      <c r="ARI3593" s="1799"/>
      <c r="ARJ3593" s="1799"/>
      <c r="ARK3593" s="1799"/>
      <c r="ARL3593" s="1799"/>
      <c r="ARM3593" s="1799"/>
      <c r="ARN3593" s="1799"/>
      <c r="ARO3593" s="1799"/>
      <c r="ARP3593" s="1799"/>
      <c r="ARQ3593" s="1799"/>
      <c r="ARR3593" s="1799"/>
      <c r="ARS3593" s="1799"/>
      <c r="ART3593" s="1799"/>
      <c r="ARU3593" s="1799"/>
      <c r="ARV3593" s="1799"/>
      <c r="ARW3593" s="1799"/>
      <c r="ARX3593" s="1799"/>
      <c r="ARY3593" s="1799"/>
      <c r="ARZ3593" s="1799"/>
      <c r="ASA3593" s="1799"/>
      <c r="ASB3593" s="1799"/>
      <c r="ASC3593" s="1799"/>
      <c r="ASD3593" s="1799"/>
      <c r="ASE3593" s="1799"/>
      <c r="ASF3593" s="1799"/>
      <c r="ASG3593" s="1799"/>
      <c r="ASH3593" s="1799"/>
      <c r="ASI3593" s="1799"/>
      <c r="ASJ3593" s="1799"/>
      <c r="ASK3593" s="1799"/>
      <c r="ASL3593" s="1799"/>
      <c r="ASM3593" s="1799"/>
      <c r="ASN3593" s="1799"/>
      <c r="ASO3593" s="1799"/>
      <c r="ASP3593" s="1799"/>
      <c r="ASQ3593" s="1799"/>
      <c r="ASR3593" s="1799"/>
      <c r="ASS3593" s="1799"/>
      <c r="AST3593" s="1799"/>
      <c r="ASU3593" s="1799"/>
      <c r="ASV3593" s="1799"/>
      <c r="ASW3593" s="1799"/>
      <c r="ASX3593" s="1799"/>
      <c r="ASY3593" s="1799"/>
      <c r="ASZ3593" s="1799"/>
      <c r="ATA3593" s="1799"/>
      <c r="ATB3593" s="1799"/>
      <c r="ATC3593" s="1799"/>
      <c r="ATD3593" s="1799"/>
      <c r="ATE3593" s="1799"/>
      <c r="ATF3593" s="1799"/>
      <c r="ATG3593" s="1799"/>
      <c r="ATH3593" s="1799"/>
      <c r="ATI3593" s="1799"/>
      <c r="ATJ3593" s="1799"/>
      <c r="ATK3593" s="1799"/>
      <c r="ATL3593" s="1799"/>
      <c r="ATM3593" s="1799"/>
      <c r="ATN3593" s="1799"/>
      <c r="ATO3593" s="1799"/>
      <c r="ATP3593" s="1799"/>
      <c r="ATQ3593" s="1799"/>
      <c r="ATR3593" s="1799"/>
      <c r="ATS3593" s="1799"/>
      <c r="ATT3593" s="1799"/>
      <c r="ATU3593" s="1799"/>
      <c r="ATV3593" s="1799"/>
      <c r="ATW3593" s="1799"/>
      <c r="ATX3593" s="1799"/>
      <c r="ATY3593" s="1799"/>
      <c r="ATZ3593" s="1799"/>
      <c r="AUA3593" s="1799"/>
      <c r="AUB3593" s="1799"/>
      <c r="AUC3593" s="1799"/>
      <c r="AUD3593" s="1799"/>
      <c r="AUE3593" s="1799"/>
      <c r="AUF3593" s="1799"/>
      <c r="AUG3593" s="1799"/>
      <c r="AUH3593" s="1799"/>
      <c r="AUI3593" s="1799"/>
      <c r="AUJ3593" s="1799"/>
      <c r="AUK3593" s="1799"/>
      <c r="AUL3593" s="1799"/>
      <c r="AUM3593" s="1799"/>
      <c r="AUN3593" s="1799"/>
      <c r="AUO3593" s="1799"/>
      <c r="AUP3593" s="1799"/>
      <c r="AUQ3593" s="1799"/>
      <c r="AUR3593" s="1799"/>
      <c r="AUS3593" s="1799"/>
      <c r="AUT3593" s="1799"/>
      <c r="AUU3593" s="1799"/>
      <c r="AUV3593" s="1799"/>
      <c r="AUW3593" s="1799"/>
      <c r="AUX3593" s="1799"/>
      <c r="AUY3593" s="1799"/>
      <c r="AUZ3593" s="1799"/>
      <c r="AVA3593" s="1799"/>
      <c r="AVB3593" s="1799"/>
      <c r="AVC3593" s="1799"/>
      <c r="AVD3593" s="1799"/>
      <c r="AVE3593" s="1799"/>
      <c r="AVF3593" s="1799"/>
      <c r="AVG3593" s="1799"/>
      <c r="AVH3593" s="1799"/>
      <c r="AVI3593" s="1799"/>
      <c r="AVJ3593" s="1799"/>
      <c r="AVK3593" s="1799"/>
      <c r="AVL3593" s="1799"/>
      <c r="AVM3593" s="1799"/>
      <c r="AVN3593" s="1799"/>
      <c r="AVO3593" s="1799"/>
      <c r="AVP3593" s="1799"/>
      <c r="AVQ3593" s="1799"/>
      <c r="AVR3593" s="1799"/>
      <c r="AVS3593" s="1799"/>
      <c r="AVT3593" s="1799"/>
      <c r="AVU3593" s="1799"/>
      <c r="AVV3593" s="1799"/>
      <c r="AVW3593" s="1799"/>
      <c r="AVX3593" s="1799"/>
      <c r="AVY3593" s="1799"/>
      <c r="AVZ3593" s="1799"/>
      <c r="AWA3593" s="1799"/>
      <c r="AWB3593" s="1799"/>
      <c r="AWC3593" s="1799"/>
      <c r="AWD3593" s="1799"/>
      <c r="AWE3593" s="1799"/>
      <c r="AWF3593" s="1799"/>
      <c r="AWG3593" s="1799"/>
      <c r="AWH3593" s="1799"/>
      <c r="AWI3593" s="1799"/>
      <c r="AWJ3593" s="1799"/>
      <c r="AWK3593" s="1799"/>
      <c r="AWL3593" s="1799"/>
      <c r="AWM3593" s="1799"/>
      <c r="AWN3593" s="1799"/>
      <c r="AWO3593" s="1799"/>
      <c r="AWP3593" s="1799"/>
      <c r="AWQ3593" s="1799"/>
      <c r="AWR3593" s="1799"/>
      <c r="AWS3593" s="1799"/>
      <c r="AWT3593" s="1799"/>
      <c r="AWU3593" s="1799"/>
      <c r="AWV3593" s="1799"/>
      <c r="AWW3593" s="1799"/>
      <c r="AWX3593" s="1799"/>
      <c r="AWY3593" s="1799"/>
      <c r="AWZ3593" s="1799"/>
      <c r="AXA3593" s="1799"/>
      <c r="AXB3593" s="1799"/>
      <c r="AXC3593" s="1799"/>
      <c r="AXD3593" s="1799"/>
      <c r="AXE3593" s="1799"/>
      <c r="AXF3593" s="1799"/>
      <c r="AXG3593" s="1799"/>
      <c r="AXH3593" s="1799"/>
      <c r="AXI3593" s="1799"/>
      <c r="AXJ3593" s="1799"/>
      <c r="AXK3593" s="1799"/>
      <c r="AXL3593" s="1799"/>
      <c r="AXM3593" s="1799"/>
      <c r="AXN3593" s="1799"/>
      <c r="AXO3593" s="1799"/>
      <c r="AXP3593" s="1799"/>
      <c r="AXQ3593" s="1799"/>
      <c r="AXR3593" s="1799"/>
      <c r="AXS3593" s="1799"/>
      <c r="AXT3593" s="1799"/>
      <c r="AXU3593" s="1799"/>
      <c r="AXV3593" s="1799"/>
      <c r="AXW3593" s="1799"/>
      <c r="AXX3593" s="1799"/>
      <c r="AXY3593" s="1799"/>
      <c r="AXZ3593" s="1799"/>
      <c r="AYA3593" s="1799"/>
      <c r="AYB3593" s="1799"/>
      <c r="AYC3593" s="1799"/>
      <c r="AYD3593" s="1799"/>
      <c r="AYE3593" s="1799"/>
      <c r="AYF3593" s="1799"/>
      <c r="AYG3593" s="1799"/>
      <c r="AYH3593" s="1799"/>
      <c r="AYI3593" s="1799"/>
      <c r="AYJ3593" s="1799"/>
      <c r="AYK3593" s="1799"/>
      <c r="AYL3593" s="1799"/>
      <c r="AYM3593" s="1799"/>
      <c r="AYN3593" s="1799"/>
      <c r="AYO3593" s="1799"/>
      <c r="AYP3593" s="1799"/>
      <c r="AYQ3593" s="1799"/>
      <c r="AYR3593" s="1799"/>
      <c r="AYS3593" s="1799"/>
      <c r="AYT3593" s="1799"/>
      <c r="AYU3593" s="1799"/>
      <c r="AYV3593" s="1799"/>
      <c r="AYW3593" s="1799"/>
      <c r="AYX3593" s="1799"/>
      <c r="AYY3593" s="1799"/>
      <c r="AYZ3593" s="1799"/>
      <c r="AZA3593" s="1799"/>
      <c r="AZB3593" s="1799"/>
      <c r="AZC3593" s="1799"/>
      <c r="AZD3593" s="1799"/>
      <c r="AZE3593" s="1799"/>
      <c r="AZF3593" s="1799"/>
      <c r="AZG3593" s="1799"/>
      <c r="AZH3593" s="1799"/>
      <c r="AZI3593" s="1799"/>
      <c r="AZJ3593" s="1799"/>
      <c r="AZK3593" s="1799"/>
      <c r="AZL3593" s="1799"/>
      <c r="AZM3593" s="1799"/>
      <c r="AZN3593" s="1799"/>
      <c r="AZO3593" s="1799"/>
      <c r="AZP3593" s="1799"/>
      <c r="AZQ3593" s="1799"/>
      <c r="AZR3593" s="1799"/>
      <c r="AZS3593" s="1799"/>
      <c r="AZT3593" s="1799"/>
      <c r="AZU3593" s="1799"/>
      <c r="AZV3593" s="1799"/>
      <c r="AZW3593" s="1799"/>
      <c r="AZX3593" s="1799"/>
      <c r="AZY3593" s="1799"/>
      <c r="AZZ3593" s="1799"/>
      <c r="BAA3593" s="1799"/>
      <c r="BAB3593" s="1799"/>
      <c r="BAC3593" s="1799"/>
      <c r="BAD3593" s="1799"/>
      <c r="BAE3593" s="1799"/>
      <c r="BAF3593" s="1799"/>
      <c r="BAG3593" s="1799"/>
      <c r="BAH3593" s="1799"/>
      <c r="BAI3593" s="1799"/>
      <c r="BAJ3593" s="1799"/>
      <c r="BAK3593" s="1799"/>
      <c r="BAL3593" s="1799"/>
      <c r="BAM3593" s="1799"/>
      <c r="BAN3593" s="1799"/>
      <c r="BAO3593" s="1799"/>
      <c r="BAP3593" s="1799"/>
      <c r="BAQ3593" s="1799"/>
      <c r="BAR3593" s="1799"/>
      <c r="BAS3593" s="1799"/>
      <c r="BAT3593" s="1799"/>
      <c r="BAU3593" s="1799"/>
      <c r="BAV3593" s="1799"/>
      <c r="BAW3593" s="1799"/>
      <c r="BAX3593" s="1799"/>
      <c r="BAY3593" s="1799"/>
      <c r="BAZ3593" s="1799"/>
      <c r="BBA3593" s="1799"/>
      <c r="BBB3593" s="1799"/>
      <c r="BBC3593" s="1799"/>
      <c r="BBD3593" s="1799"/>
      <c r="BBE3593" s="1799"/>
      <c r="BBF3593" s="1799"/>
      <c r="BBG3593" s="1799"/>
      <c r="BBH3593" s="1799"/>
      <c r="BBI3593" s="1799"/>
      <c r="BBJ3593" s="1799"/>
      <c r="BBK3593" s="1799"/>
      <c r="BBL3593" s="1799"/>
      <c r="BBM3593" s="1799"/>
      <c r="BBN3593" s="1799"/>
      <c r="BBO3593" s="1799"/>
      <c r="BBP3593" s="1799"/>
      <c r="BBQ3593" s="1799"/>
      <c r="BBR3593" s="1799"/>
      <c r="BBS3593" s="1799"/>
      <c r="BBT3593" s="1799"/>
      <c r="BBU3593" s="1799"/>
      <c r="BBV3593" s="1799"/>
      <c r="BBW3593" s="1799"/>
      <c r="BBX3593" s="1799"/>
      <c r="BBY3593" s="1799"/>
      <c r="BBZ3593" s="1799"/>
      <c r="BCA3593" s="1799"/>
      <c r="BCB3593" s="1799"/>
      <c r="BCC3593" s="1799"/>
      <c r="BCD3593" s="1799"/>
      <c r="BCE3593" s="1799"/>
      <c r="BCF3593" s="1799"/>
      <c r="BCG3593" s="1799"/>
      <c r="BCH3593" s="1799"/>
      <c r="BCI3593" s="1799"/>
      <c r="BCJ3593" s="1799"/>
      <c r="BCK3593" s="1799"/>
      <c r="BCL3593" s="1799"/>
      <c r="BCM3593" s="1799"/>
      <c r="BCN3593" s="1799"/>
      <c r="BCO3593" s="1799"/>
      <c r="BCP3593" s="1799"/>
      <c r="BCQ3593" s="1799"/>
      <c r="BCR3593" s="1799"/>
      <c r="BCS3593" s="1799"/>
      <c r="BCT3593" s="1799"/>
      <c r="BCU3593" s="1799"/>
      <c r="BCV3593" s="1799"/>
      <c r="BCW3593" s="1799"/>
      <c r="BCX3593" s="1799"/>
      <c r="BCY3593" s="1799"/>
      <c r="BCZ3593" s="1799"/>
      <c r="BDA3593" s="1799"/>
      <c r="BDB3593" s="1799"/>
      <c r="BDC3593" s="1799"/>
      <c r="BDD3593" s="1799"/>
      <c r="BDE3593" s="1799"/>
      <c r="BDF3593" s="1799"/>
      <c r="BDG3593" s="1799"/>
      <c r="BDH3593" s="1799"/>
      <c r="BDI3593" s="1799"/>
      <c r="BDJ3593" s="1799"/>
      <c r="BDK3593" s="1799"/>
      <c r="BDL3593" s="1799"/>
      <c r="BDM3593" s="1799"/>
      <c r="BDN3593" s="1799"/>
      <c r="BDO3593" s="1799"/>
      <c r="BDP3593" s="1799"/>
      <c r="BDQ3593" s="1799"/>
      <c r="BDR3593" s="1799"/>
      <c r="BDS3593" s="1799"/>
      <c r="BDT3593" s="1799"/>
      <c r="BDU3593" s="1799"/>
      <c r="BDV3593" s="1799"/>
      <c r="BDW3593" s="1799"/>
      <c r="BDX3593" s="1799"/>
      <c r="BDY3593" s="1799"/>
      <c r="BDZ3593" s="1799"/>
      <c r="BEA3593" s="1799"/>
      <c r="BEB3593" s="1799"/>
      <c r="BEC3593" s="1799"/>
      <c r="BED3593" s="1799"/>
      <c r="BEE3593" s="1799"/>
      <c r="BEF3593" s="1799"/>
      <c r="BEG3593" s="1799"/>
      <c r="BEH3593" s="1799"/>
      <c r="BEI3593" s="1799"/>
      <c r="BEJ3593" s="1799"/>
      <c r="BEK3593" s="1799"/>
      <c r="BEL3593" s="1799"/>
      <c r="BEM3593" s="1799"/>
      <c r="BEN3593" s="1799"/>
      <c r="BEO3593" s="1799"/>
      <c r="BEP3593" s="1799"/>
      <c r="BEQ3593" s="1799"/>
      <c r="BER3593" s="1799"/>
      <c r="BES3593" s="1799"/>
      <c r="BET3593" s="1799"/>
      <c r="BEU3593" s="1799"/>
      <c r="BEV3593" s="1799"/>
      <c r="BEW3593" s="1799"/>
      <c r="BEX3593" s="1799"/>
      <c r="BEY3593" s="1799"/>
      <c r="BEZ3593" s="1799"/>
      <c r="BFA3593" s="1799"/>
      <c r="BFB3593" s="1799"/>
      <c r="BFC3593" s="1799"/>
      <c r="BFD3593" s="1799"/>
      <c r="BFE3593" s="1799"/>
      <c r="BFF3593" s="1799"/>
      <c r="BFG3593" s="1799"/>
      <c r="BFH3593" s="1799"/>
      <c r="BFI3593" s="1799"/>
      <c r="BFJ3593" s="1799"/>
      <c r="BFK3593" s="1799"/>
      <c r="BFL3593" s="1799"/>
      <c r="BFM3593" s="1799"/>
      <c r="BFN3593" s="1799"/>
      <c r="BFO3593" s="1799"/>
      <c r="BFP3593" s="1799"/>
      <c r="BFQ3593" s="1799"/>
      <c r="BFR3593" s="1799"/>
      <c r="BFS3593" s="1799"/>
      <c r="BFT3593" s="1799"/>
      <c r="BFU3593" s="1799"/>
      <c r="BFV3593" s="1799"/>
      <c r="BFW3593" s="1799"/>
      <c r="BFX3593" s="1799"/>
      <c r="BFY3593" s="1799"/>
      <c r="BFZ3593" s="1799"/>
      <c r="BGA3593" s="1799"/>
      <c r="BGB3593" s="1799"/>
      <c r="BGC3593" s="1799"/>
      <c r="BGD3593" s="1799"/>
      <c r="BGE3593" s="1799"/>
      <c r="BGF3593" s="1799"/>
      <c r="BGG3593" s="1799"/>
      <c r="BGH3593" s="1799"/>
      <c r="BGI3593" s="1799"/>
      <c r="BGJ3593" s="1799"/>
      <c r="BGK3593" s="1799"/>
      <c r="BGL3593" s="1799"/>
      <c r="BGM3593" s="1799"/>
      <c r="BGN3593" s="1799"/>
      <c r="BGO3593" s="1799"/>
      <c r="BGP3593" s="1799"/>
      <c r="BGQ3593" s="1799"/>
      <c r="BGR3593" s="1799"/>
      <c r="BGS3593" s="1799"/>
      <c r="BGT3593" s="1799"/>
      <c r="BGU3593" s="1799"/>
      <c r="BGV3593" s="1799"/>
      <c r="BGW3593" s="1799"/>
      <c r="BGX3593" s="1799"/>
      <c r="BGY3593" s="1799"/>
      <c r="BGZ3593" s="1799"/>
      <c r="BHA3593" s="1799"/>
      <c r="BHB3593" s="1799"/>
      <c r="BHC3593" s="1799"/>
      <c r="BHD3593" s="1799"/>
      <c r="BHE3593" s="1799"/>
      <c r="BHF3593" s="1799"/>
      <c r="BHG3593" s="1799"/>
      <c r="BHH3593" s="1799"/>
      <c r="BHI3593" s="1799"/>
      <c r="BHJ3593" s="1799"/>
      <c r="BHK3593" s="1799"/>
      <c r="BHL3593" s="1799"/>
      <c r="BHM3593" s="1799"/>
      <c r="BHN3593" s="1799"/>
      <c r="BHO3593" s="1799"/>
      <c r="BHP3593" s="1799"/>
      <c r="BHQ3593" s="1799"/>
      <c r="BHR3593" s="1799"/>
      <c r="BHS3593" s="1799"/>
      <c r="BHT3593" s="1799"/>
      <c r="BHU3593" s="1799"/>
      <c r="BHV3593" s="1799"/>
      <c r="BHW3593" s="1799"/>
      <c r="BHX3593" s="1799"/>
      <c r="BHY3593" s="1799"/>
      <c r="BHZ3593" s="1799"/>
      <c r="BIA3593" s="1799"/>
      <c r="BIB3593" s="1799"/>
      <c r="BIC3593" s="1799"/>
      <c r="BID3593" s="1799"/>
      <c r="BIE3593" s="1799"/>
      <c r="BIF3593" s="1799"/>
      <c r="BIG3593" s="1799"/>
      <c r="BIH3593" s="1799"/>
      <c r="BII3593" s="1799"/>
      <c r="BIJ3593" s="1799"/>
      <c r="BIK3593" s="1799"/>
      <c r="BIL3593" s="1799"/>
      <c r="BIM3593" s="1799"/>
      <c r="BIN3593" s="1799"/>
      <c r="BIO3593" s="1799"/>
      <c r="BIP3593" s="1799"/>
      <c r="BIQ3593" s="1799"/>
      <c r="BIR3593" s="1799"/>
      <c r="BIS3593" s="1799"/>
      <c r="BIT3593" s="1799"/>
      <c r="BIU3593" s="1799"/>
      <c r="BIV3593" s="1799"/>
      <c r="BIW3593" s="1799"/>
      <c r="BIX3593" s="1799"/>
      <c r="BIY3593" s="1799"/>
      <c r="BIZ3593" s="1799"/>
      <c r="BJA3593" s="1799"/>
      <c r="BJB3593" s="1799"/>
      <c r="BJC3593" s="1799"/>
      <c r="BJD3593" s="1799"/>
      <c r="BJE3593" s="1799"/>
      <c r="BJF3593" s="1799"/>
      <c r="BJG3593" s="1799"/>
      <c r="BJH3593" s="1799"/>
      <c r="BJI3593" s="1799"/>
      <c r="BJJ3593" s="1799"/>
      <c r="BJK3593" s="1799"/>
      <c r="BJL3593" s="1799"/>
      <c r="BJM3593" s="1799"/>
      <c r="BJN3593" s="1799"/>
      <c r="BJO3593" s="1799"/>
      <c r="BJP3593" s="1799"/>
      <c r="BJQ3593" s="1799"/>
      <c r="BJR3593" s="1799"/>
      <c r="BJS3593" s="1799"/>
      <c r="BJT3593" s="1799"/>
      <c r="BJU3593" s="1799"/>
      <c r="BJV3593" s="1799"/>
      <c r="BJW3593" s="1799"/>
      <c r="BJX3593" s="1799"/>
      <c r="BJY3593" s="1799"/>
      <c r="BJZ3593" s="1799"/>
      <c r="BKA3593" s="1799"/>
      <c r="BKB3593" s="1799"/>
      <c r="BKC3593" s="1799"/>
      <c r="BKD3593" s="1799"/>
      <c r="BKE3593" s="1799"/>
      <c r="BKF3593" s="1799"/>
      <c r="BKG3593" s="1799"/>
      <c r="BKH3593" s="1799"/>
      <c r="BKI3593" s="1799"/>
      <c r="BKJ3593" s="1799"/>
      <c r="BKK3593" s="1799"/>
      <c r="BKL3593" s="1799"/>
      <c r="BKM3593" s="1799"/>
      <c r="BKN3593" s="1799"/>
      <c r="BKO3593" s="1799"/>
      <c r="BKP3593" s="1799"/>
      <c r="BKQ3593" s="1799"/>
      <c r="BKR3593" s="1799"/>
      <c r="BKS3593" s="1799"/>
      <c r="BKT3593" s="1799"/>
      <c r="BKU3593" s="1799"/>
      <c r="BKV3593" s="1799"/>
      <c r="BKW3593" s="1799"/>
      <c r="BKX3593" s="1799"/>
      <c r="BKY3593" s="1799"/>
      <c r="BKZ3593" s="1799"/>
      <c r="BLA3593" s="1799"/>
      <c r="BLB3593" s="1799"/>
      <c r="BLC3593" s="1799"/>
      <c r="BLD3593" s="1799"/>
      <c r="BLE3593" s="1799"/>
      <c r="BLF3593" s="1799"/>
      <c r="BLG3593" s="1799"/>
      <c r="BLH3593" s="1799"/>
      <c r="BLI3593" s="1799"/>
      <c r="BLJ3593" s="1799"/>
      <c r="BLK3593" s="1799"/>
      <c r="BLL3593" s="1799"/>
      <c r="BLM3593" s="1799"/>
      <c r="BLN3593" s="1799"/>
      <c r="BLO3593" s="1799"/>
      <c r="BLP3593" s="1799"/>
      <c r="BLQ3593" s="1799"/>
      <c r="BLR3593" s="1799"/>
      <c r="BLS3593" s="1799"/>
      <c r="BLT3593" s="1799"/>
      <c r="BLU3593" s="1799"/>
      <c r="BLV3593" s="1799"/>
      <c r="BLW3593" s="1799"/>
      <c r="BLX3593" s="1799"/>
      <c r="BLY3593" s="1799"/>
      <c r="BLZ3593" s="1799"/>
      <c r="BMA3593" s="1799"/>
      <c r="BMB3593" s="1799"/>
      <c r="BMC3593" s="1799"/>
      <c r="BMD3593" s="1799"/>
      <c r="BME3593" s="1799"/>
      <c r="BMF3593" s="1799"/>
      <c r="BMG3593" s="1799"/>
      <c r="BMH3593" s="1799"/>
      <c r="BMI3593" s="1799"/>
      <c r="BMJ3593" s="1799"/>
      <c r="BMK3593" s="1799"/>
      <c r="BML3593" s="1799"/>
      <c r="BMM3593" s="1799"/>
      <c r="BMN3593" s="1799"/>
      <c r="BMO3593" s="1799"/>
      <c r="BMP3593" s="1799"/>
      <c r="BMQ3593" s="1799"/>
      <c r="BMR3593" s="1799"/>
      <c r="BMS3593" s="1799"/>
      <c r="BMT3593" s="1799"/>
      <c r="BMU3593" s="1799"/>
      <c r="BMV3593" s="1799"/>
      <c r="BMW3593" s="1799"/>
      <c r="BMX3593" s="1799"/>
      <c r="BMY3593" s="1799"/>
      <c r="BMZ3593" s="1799"/>
      <c r="BNA3593" s="1799"/>
      <c r="BNB3593" s="1799"/>
      <c r="BNC3593" s="1799"/>
      <c r="BND3593" s="1799"/>
      <c r="BNE3593" s="1799"/>
      <c r="BNF3593" s="1799"/>
      <c r="BNG3593" s="1799"/>
      <c r="BNH3593" s="1799"/>
      <c r="BNI3593" s="1799"/>
      <c r="BNJ3593" s="1799"/>
      <c r="BNK3593" s="1799"/>
      <c r="BNL3593" s="1799"/>
      <c r="BNM3593" s="1799"/>
      <c r="BNN3593" s="1799"/>
      <c r="BNO3593" s="1799"/>
      <c r="BNP3593" s="1799"/>
      <c r="BNQ3593" s="1799"/>
      <c r="BNR3593" s="1799"/>
      <c r="BNS3593" s="1799"/>
      <c r="BNT3593" s="1799"/>
      <c r="BNU3593" s="1799"/>
      <c r="BNV3593" s="1799"/>
      <c r="BNW3593" s="1799"/>
      <c r="BNX3593" s="1799"/>
      <c r="BNY3593" s="1799"/>
      <c r="BNZ3593" s="1799"/>
      <c r="BOA3593" s="1799"/>
      <c r="BOB3593" s="1799"/>
      <c r="BOC3593" s="1799"/>
      <c r="BOD3593" s="1799"/>
      <c r="BOE3593" s="1799"/>
      <c r="BOF3593" s="1799"/>
      <c r="BOG3593" s="1799"/>
      <c r="BOH3593" s="1799"/>
      <c r="BOI3593" s="1799"/>
      <c r="BOJ3593" s="1799"/>
      <c r="BOK3593" s="1799"/>
      <c r="BOL3593" s="1799"/>
      <c r="BOM3593" s="1799"/>
      <c r="BON3593" s="1799"/>
      <c r="BOO3593" s="1799"/>
      <c r="BOP3593" s="1799"/>
      <c r="BOQ3593" s="1799"/>
      <c r="BOR3593" s="1799"/>
      <c r="BOS3593" s="1799"/>
      <c r="BOT3593" s="1799"/>
      <c r="BOU3593" s="1799"/>
      <c r="BOV3593" s="1799"/>
      <c r="BOW3593" s="1799"/>
      <c r="BOX3593" s="1799"/>
      <c r="BOY3593" s="1799"/>
      <c r="BOZ3593" s="1799"/>
      <c r="BPA3593" s="1799"/>
      <c r="BPB3593" s="1799"/>
      <c r="BPC3593" s="1799"/>
      <c r="BPD3593" s="1799"/>
      <c r="BPE3593" s="1799"/>
      <c r="BPF3593" s="1799"/>
      <c r="BPG3593" s="1799"/>
      <c r="BPH3593" s="1799"/>
      <c r="BPI3593" s="1799"/>
      <c r="BPJ3593" s="1799"/>
      <c r="BPK3593" s="1799"/>
      <c r="BPL3593" s="1799"/>
      <c r="BPM3593" s="1799"/>
      <c r="BPN3593" s="1799"/>
      <c r="BPO3593" s="1799"/>
      <c r="BPP3593" s="1799"/>
      <c r="BPQ3593" s="1799"/>
      <c r="BPR3593" s="1799"/>
      <c r="BPS3593" s="1799"/>
      <c r="BPT3593" s="1799"/>
      <c r="BPU3593" s="1799"/>
      <c r="BPV3593" s="1799"/>
      <c r="BPW3593" s="1799"/>
      <c r="BPX3593" s="1799"/>
      <c r="BPY3593" s="1799"/>
      <c r="BPZ3593" s="1799"/>
      <c r="BQA3593" s="1799"/>
      <c r="BQB3593" s="1799"/>
      <c r="BQC3593" s="1799"/>
      <c r="BQD3593" s="1799"/>
      <c r="BQE3593" s="1799"/>
      <c r="BQF3593" s="1799"/>
      <c r="BQG3593" s="1799"/>
      <c r="BQH3593" s="1799"/>
      <c r="BQI3593" s="1799"/>
      <c r="BQJ3593" s="1799"/>
      <c r="BQK3593" s="1799"/>
      <c r="BQL3593" s="1799"/>
      <c r="BQM3593" s="1799"/>
      <c r="BQN3593" s="1799"/>
      <c r="BQO3593" s="1799"/>
      <c r="BQP3593" s="1799"/>
      <c r="BQQ3593" s="1799"/>
      <c r="BQR3593" s="1799"/>
      <c r="BQS3593" s="1799"/>
      <c r="BQT3593" s="1799"/>
      <c r="BQU3593" s="1799"/>
      <c r="BQV3593" s="1799"/>
      <c r="BQW3593" s="1799"/>
      <c r="BQX3593" s="1799"/>
      <c r="BQY3593" s="1799"/>
      <c r="BQZ3593" s="1799"/>
      <c r="BRA3593" s="1799"/>
      <c r="BRB3593" s="1799"/>
      <c r="BRC3593" s="1799"/>
      <c r="BRD3593" s="1799"/>
      <c r="BRE3593" s="1799"/>
      <c r="BRF3593" s="1799"/>
      <c r="BRG3593" s="1799"/>
      <c r="BRH3593" s="1799"/>
      <c r="BRI3593" s="1799"/>
      <c r="BRJ3593" s="1799"/>
      <c r="BRK3593" s="1799"/>
      <c r="BRL3593" s="1799"/>
      <c r="BRM3593" s="1799"/>
      <c r="BRN3593" s="1799"/>
      <c r="BRO3593" s="1799"/>
      <c r="BRP3593" s="1799"/>
      <c r="BRQ3593" s="1799"/>
      <c r="BRR3593" s="1799"/>
      <c r="BRS3593" s="1799"/>
      <c r="BRT3593" s="1799"/>
      <c r="BRU3593" s="1799"/>
      <c r="BRV3593" s="1799"/>
      <c r="BRW3593" s="1799"/>
      <c r="BRX3593" s="1799"/>
      <c r="BRY3593" s="1799"/>
      <c r="BRZ3593" s="1799"/>
      <c r="BSA3593" s="1799"/>
      <c r="BSB3593" s="1799"/>
      <c r="BSC3593" s="1799"/>
      <c r="BSD3593" s="1799"/>
      <c r="BSE3593" s="1799"/>
      <c r="BSF3593" s="1799"/>
      <c r="BSG3593" s="1799"/>
      <c r="BSH3593" s="1799"/>
      <c r="BSI3593" s="1799"/>
      <c r="BSJ3593" s="1799"/>
      <c r="BSK3593" s="1799"/>
      <c r="BSL3593" s="1799"/>
      <c r="BSM3593" s="1799"/>
      <c r="BSN3593" s="1799"/>
      <c r="BSO3593" s="1799"/>
      <c r="BSP3593" s="1799"/>
      <c r="BSQ3593" s="1799"/>
      <c r="BSR3593" s="1799"/>
      <c r="BSS3593" s="1799"/>
      <c r="BST3593" s="1799"/>
      <c r="BSU3593" s="1799"/>
      <c r="BSV3593" s="1799"/>
      <c r="BSW3593" s="1799"/>
      <c r="BSX3593" s="1799"/>
      <c r="BSY3593" s="1799"/>
      <c r="BSZ3593" s="1799"/>
      <c r="BTA3593" s="1799"/>
      <c r="BTB3593" s="1799"/>
      <c r="BTC3593" s="1799"/>
      <c r="BTD3593" s="1799"/>
      <c r="BTE3593" s="1799"/>
      <c r="BTF3593" s="1799"/>
      <c r="BTG3593" s="1799"/>
      <c r="BTH3593" s="1799"/>
      <c r="BTI3593" s="1799"/>
      <c r="BTJ3593" s="1799"/>
      <c r="BTK3593" s="1799"/>
      <c r="BTL3593" s="1799"/>
      <c r="BTM3593" s="1799"/>
      <c r="BTN3593" s="1799"/>
      <c r="BTO3593" s="1799"/>
      <c r="BTP3593" s="1799"/>
      <c r="BTQ3593" s="1799"/>
      <c r="BTR3593" s="1799"/>
      <c r="BTS3593" s="1799"/>
      <c r="BTT3593" s="1799"/>
      <c r="BTU3593" s="1799"/>
      <c r="BTV3593" s="1799"/>
      <c r="BTW3593" s="1799"/>
      <c r="BTX3593" s="1799"/>
      <c r="BTY3593" s="1799"/>
      <c r="BTZ3593" s="1799"/>
      <c r="BUA3593" s="1799"/>
      <c r="BUB3593" s="1799"/>
      <c r="BUC3593" s="1799"/>
      <c r="BUD3593" s="1799"/>
      <c r="BUE3593" s="1799"/>
      <c r="BUF3593" s="1799"/>
      <c r="BUG3593" s="1799"/>
      <c r="BUH3593" s="1799"/>
      <c r="BUI3593" s="1799"/>
      <c r="BUJ3593" s="1799"/>
      <c r="BUK3593" s="1799"/>
      <c r="BUL3593" s="1799"/>
      <c r="BUM3593" s="1799"/>
      <c r="BUN3593" s="1799"/>
      <c r="BUO3593" s="1799"/>
      <c r="BUP3593" s="1799"/>
      <c r="BUQ3593" s="1799"/>
      <c r="BUR3593" s="1799"/>
      <c r="BUS3593" s="1799"/>
      <c r="BUT3593" s="1799"/>
      <c r="BUU3593" s="1799"/>
      <c r="BUV3593" s="1799"/>
      <c r="BUW3593" s="1799"/>
      <c r="BUX3593" s="1799"/>
      <c r="BUY3593" s="1799"/>
      <c r="BUZ3593" s="1799"/>
      <c r="BVA3593" s="1799"/>
      <c r="BVB3593" s="1799"/>
      <c r="BVC3593" s="1799"/>
      <c r="BVD3593" s="1799"/>
      <c r="BVE3593" s="1799"/>
      <c r="BVF3593" s="1799"/>
      <c r="BVG3593" s="1799"/>
      <c r="BVH3593" s="1799"/>
      <c r="BVI3593" s="1799"/>
      <c r="BVJ3593" s="1799"/>
      <c r="BVK3593" s="1799"/>
      <c r="BVL3593" s="1799"/>
      <c r="BVM3593" s="1799"/>
      <c r="BVN3593" s="1799"/>
      <c r="BVO3593" s="1799"/>
      <c r="BVP3593" s="1799"/>
      <c r="BVQ3593" s="1799"/>
      <c r="BVR3593" s="1799"/>
      <c r="BVS3593" s="1799"/>
      <c r="BVT3593" s="1799"/>
      <c r="BVU3593" s="1799"/>
      <c r="BVV3593" s="1799"/>
      <c r="BVW3593" s="1799"/>
      <c r="BVX3593" s="1799"/>
      <c r="BVY3593" s="1799"/>
      <c r="BVZ3593" s="1799"/>
      <c r="BWA3593" s="1799"/>
      <c r="BWB3593" s="1799"/>
      <c r="BWC3593" s="1799"/>
      <c r="BWD3593" s="1799"/>
      <c r="BWE3593" s="1799"/>
      <c r="BWF3593" s="1799"/>
      <c r="BWG3593" s="1799"/>
      <c r="BWH3593" s="1799"/>
      <c r="BWI3593" s="1799"/>
      <c r="BWJ3593" s="1799"/>
      <c r="BWK3593" s="1799"/>
      <c r="BWL3593" s="1799"/>
      <c r="BWM3593" s="1799"/>
      <c r="BWN3593" s="1799"/>
      <c r="BWO3593" s="1799"/>
      <c r="BWP3593" s="1799"/>
      <c r="BWQ3593" s="1799"/>
      <c r="BWR3593" s="1799"/>
      <c r="BWS3593" s="1799"/>
      <c r="BWT3593" s="1799"/>
      <c r="BWU3593" s="1799"/>
      <c r="BWV3593" s="1799"/>
      <c r="BWW3593" s="1799"/>
      <c r="BWX3593" s="1799"/>
      <c r="BWY3593" s="1799"/>
      <c r="BWZ3593" s="1799"/>
      <c r="BXA3593" s="1799"/>
      <c r="BXB3593" s="1799"/>
      <c r="BXC3593" s="1799"/>
      <c r="BXD3593" s="1799"/>
      <c r="BXE3593" s="1799"/>
      <c r="BXF3593" s="1799"/>
      <c r="BXG3593" s="1799"/>
      <c r="BXH3593" s="1799"/>
      <c r="BXI3593" s="1799"/>
      <c r="BXJ3593" s="1799"/>
      <c r="BXK3593" s="1799"/>
      <c r="BXL3593" s="1799"/>
      <c r="BXM3593" s="1799"/>
      <c r="BXN3593" s="1799"/>
      <c r="BXO3593" s="1799"/>
      <c r="BXP3593" s="1799"/>
      <c r="BXQ3593" s="1799"/>
      <c r="BXR3593" s="1799"/>
      <c r="BXS3593" s="1799"/>
      <c r="BXT3593" s="1799"/>
      <c r="BXU3593" s="1799"/>
      <c r="BXV3593" s="1799"/>
      <c r="BXW3593" s="1799"/>
      <c r="BXX3593" s="1799"/>
      <c r="BXY3593" s="1799"/>
      <c r="BXZ3593" s="1799"/>
      <c r="BYA3593" s="1799"/>
      <c r="BYB3593" s="1799"/>
      <c r="BYC3593" s="1799"/>
      <c r="BYD3593" s="1799"/>
      <c r="BYE3593" s="1799"/>
      <c r="BYF3593" s="1799"/>
      <c r="BYG3593" s="1799"/>
      <c r="BYH3593" s="1799"/>
      <c r="BYI3593" s="1799"/>
      <c r="BYJ3593" s="1799"/>
      <c r="BYK3593" s="1799"/>
      <c r="BYL3593" s="1799"/>
      <c r="BYM3593" s="1799"/>
      <c r="BYN3593" s="1799"/>
      <c r="BYO3593" s="1799"/>
      <c r="BYP3593" s="1799"/>
      <c r="BYQ3593" s="1799"/>
      <c r="BYR3593" s="1799"/>
      <c r="BYS3593" s="1799"/>
      <c r="BYT3593" s="1799"/>
      <c r="BYU3593" s="1799"/>
      <c r="BYV3593" s="1799"/>
      <c r="BYW3593" s="1799"/>
      <c r="BYX3593" s="1799"/>
      <c r="BYY3593" s="1799"/>
      <c r="BYZ3593" s="1799"/>
      <c r="BZA3593" s="1799"/>
      <c r="BZB3593" s="1799"/>
      <c r="BZC3593" s="1799"/>
      <c r="BZD3593" s="1799"/>
      <c r="BZE3593" s="1799"/>
      <c r="BZF3593" s="1799"/>
      <c r="BZG3593" s="1799"/>
      <c r="BZH3593" s="1799"/>
      <c r="BZI3593" s="1799"/>
      <c r="BZJ3593" s="1799"/>
      <c r="BZK3593" s="1799"/>
      <c r="BZL3593" s="1799"/>
      <c r="BZM3593" s="1799"/>
      <c r="BZN3593" s="1799"/>
      <c r="BZO3593" s="1799"/>
      <c r="BZP3593" s="1799"/>
      <c r="BZQ3593" s="1799"/>
      <c r="BZR3593" s="1799"/>
      <c r="BZS3593" s="1799"/>
      <c r="BZT3593" s="1799"/>
      <c r="BZU3593" s="1799"/>
      <c r="BZV3593" s="1799"/>
      <c r="BZW3593" s="1799"/>
      <c r="BZX3593" s="1799"/>
      <c r="BZY3593" s="1799"/>
      <c r="BZZ3593" s="1799"/>
      <c r="CAA3593" s="1799"/>
      <c r="CAB3593" s="1799"/>
      <c r="CAC3593" s="1799"/>
      <c r="CAD3593" s="1799"/>
      <c r="CAE3593" s="1799"/>
      <c r="CAF3593" s="1799"/>
      <c r="CAG3593" s="1799"/>
      <c r="CAH3593" s="1799"/>
      <c r="CAI3593" s="1799"/>
      <c r="CAJ3593" s="1799"/>
      <c r="CAK3593" s="1799"/>
      <c r="CAL3593" s="1799"/>
      <c r="CAM3593" s="1799"/>
      <c r="CAN3593" s="1799"/>
      <c r="CAO3593" s="1799"/>
      <c r="CAP3593" s="1799"/>
      <c r="CAQ3593" s="1799"/>
      <c r="CAR3593" s="1799"/>
      <c r="CAS3593" s="1799"/>
      <c r="CAT3593" s="1799"/>
      <c r="CAU3593" s="1799"/>
      <c r="CAV3593" s="1799"/>
      <c r="CAW3593" s="1799"/>
      <c r="CAX3593" s="1799"/>
      <c r="CAY3593" s="1799"/>
      <c r="CAZ3593" s="1799"/>
      <c r="CBA3593" s="1799"/>
      <c r="CBB3593" s="1799"/>
      <c r="CBC3593" s="1799"/>
      <c r="CBD3593" s="1799"/>
      <c r="CBE3593" s="1799"/>
      <c r="CBF3593" s="1799"/>
      <c r="CBG3593" s="1799"/>
      <c r="CBH3593" s="1799"/>
      <c r="CBI3593" s="1799"/>
      <c r="CBJ3593" s="1799"/>
      <c r="CBK3593" s="1799"/>
      <c r="CBL3593" s="1799"/>
      <c r="CBM3593" s="1799"/>
      <c r="CBN3593" s="1799"/>
      <c r="CBO3593" s="1799"/>
      <c r="CBP3593" s="1799"/>
      <c r="CBQ3593" s="1799"/>
      <c r="CBR3593" s="1799"/>
      <c r="CBS3593" s="1799"/>
      <c r="CBT3593" s="1799"/>
      <c r="CBU3593" s="1799"/>
      <c r="CBV3593" s="1799"/>
      <c r="CBW3593" s="1799"/>
      <c r="CBX3593" s="1799"/>
      <c r="CBY3593" s="1799"/>
      <c r="CBZ3593" s="1799"/>
      <c r="CCA3593" s="1799"/>
      <c r="CCB3593" s="1799"/>
      <c r="CCC3593" s="1799"/>
      <c r="CCD3593" s="1799"/>
      <c r="CCE3593" s="1799"/>
      <c r="CCF3593" s="1799"/>
      <c r="CCG3593" s="1799"/>
      <c r="CCH3593" s="1799"/>
      <c r="CCI3593" s="1799"/>
      <c r="CCJ3593" s="1799"/>
      <c r="CCK3593" s="1799"/>
      <c r="CCL3593" s="1799"/>
      <c r="CCM3593" s="1799"/>
      <c r="CCN3593" s="1799"/>
      <c r="CCO3593" s="1799"/>
      <c r="CCP3593" s="1799"/>
      <c r="CCQ3593" s="1799"/>
      <c r="CCR3593" s="1799"/>
      <c r="CCS3593" s="1799"/>
      <c r="CCT3593" s="1799"/>
      <c r="CCU3593" s="1799"/>
      <c r="CCV3593" s="1799"/>
      <c r="CCW3593" s="1799"/>
      <c r="CCX3593" s="1799"/>
      <c r="CCY3593" s="1799"/>
      <c r="CCZ3593" s="1799"/>
      <c r="CDA3593" s="1799"/>
      <c r="CDB3593" s="1799"/>
      <c r="CDC3593" s="1799"/>
      <c r="CDD3593" s="1799"/>
      <c r="CDE3593" s="1799"/>
      <c r="CDF3593" s="1799"/>
      <c r="CDG3593" s="1799"/>
      <c r="CDH3593" s="1799"/>
      <c r="CDI3593" s="1799"/>
      <c r="CDJ3593" s="1799"/>
      <c r="CDK3593" s="1799"/>
      <c r="CDL3593" s="1799"/>
      <c r="CDM3593" s="1799"/>
      <c r="CDN3593" s="1799"/>
      <c r="CDO3593" s="1799"/>
      <c r="CDP3593" s="1799"/>
      <c r="CDQ3593" s="1799"/>
      <c r="CDR3593" s="1799"/>
      <c r="CDS3593" s="1799"/>
      <c r="CDT3593" s="1799"/>
      <c r="CDU3593" s="1799"/>
      <c r="CDV3593" s="1799"/>
      <c r="CDW3593" s="1799"/>
      <c r="CDX3593" s="1799"/>
      <c r="CDY3593" s="1799"/>
      <c r="CDZ3593" s="1799"/>
      <c r="CEA3593" s="1799"/>
      <c r="CEB3593" s="1799"/>
      <c r="CEC3593" s="1799"/>
      <c r="CED3593" s="1799"/>
      <c r="CEE3593" s="1799"/>
      <c r="CEF3593" s="1799"/>
      <c r="CEG3593" s="1799"/>
      <c r="CEH3593" s="1799"/>
      <c r="CEI3593" s="1799"/>
      <c r="CEJ3593" s="1799"/>
      <c r="CEK3593" s="1799"/>
      <c r="CEL3593" s="1799"/>
      <c r="CEM3593" s="1799"/>
      <c r="CEN3593" s="1799"/>
      <c r="CEO3593" s="1799"/>
      <c r="CEP3593" s="1799"/>
      <c r="CEQ3593" s="1799"/>
      <c r="CER3593" s="1799"/>
      <c r="CES3593" s="1799"/>
      <c r="CET3593" s="1799"/>
      <c r="CEU3593" s="1799"/>
      <c r="CEV3593" s="1799"/>
      <c r="CEW3593" s="1799"/>
      <c r="CEX3593" s="1799"/>
      <c r="CEY3593" s="1799"/>
      <c r="CEZ3593" s="1799"/>
      <c r="CFA3593" s="1799"/>
      <c r="CFB3593" s="1799"/>
      <c r="CFC3593" s="1799"/>
      <c r="CFD3593" s="1799"/>
      <c r="CFE3593" s="1799"/>
      <c r="CFF3593" s="1799"/>
      <c r="CFG3593" s="1799"/>
      <c r="CFH3593" s="1799"/>
      <c r="CFI3593" s="1799"/>
      <c r="CFJ3593" s="1799"/>
      <c r="CFK3593" s="1799"/>
      <c r="CFL3593" s="1799"/>
      <c r="CFM3593" s="1799"/>
      <c r="CFN3593" s="1799"/>
      <c r="CFO3593" s="1799"/>
      <c r="CFP3593" s="1799"/>
      <c r="CFQ3593" s="1799"/>
      <c r="CFR3593" s="1799"/>
      <c r="CFS3593" s="1799"/>
      <c r="CFT3593" s="1799"/>
      <c r="CFU3593" s="1799"/>
      <c r="CFV3593" s="1799"/>
      <c r="CFW3593" s="1799"/>
      <c r="CFX3593" s="1799"/>
      <c r="CFY3593" s="1799"/>
      <c r="CFZ3593" s="1799"/>
      <c r="CGA3593" s="1799"/>
      <c r="CGB3593" s="1799"/>
      <c r="CGC3593" s="1799"/>
      <c r="CGD3593" s="1799"/>
      <c r="CGE3593" s="1799"/>
      <c r="CGF3593" s="1799"/>
      <c r="CGG3593" s="1799"/>
      <c r="CGH3593" s="1799"/>
      <c r="CGI3593" s="1799"/>
      <c r="CGJ3593" s="1799"/>
      <c r="CGK3593" s="1799"/>
      <c r="CGL3593" s="1799"/>
      <c r="CGM3593" s="1799"/>
      <c r="CGN3593" s="1799"/>
      <c r="CGO3593" s="1799"/>
      <c r="CGP3593" s="1799"/>
      <c r="CGQ3593" s="1799"/>
      <c r="CGR3593" s="1799"/>
      <c r="CGS3593" s="1799"/>
      <c r="CGT3593" s="1799"/>
      <c r="CGU3593" s="1799"/>
      <c r="CGV3593" s="1799"/>
      <c r="CGW3593" s="1799"/>
      <c r="CGX3593" s="1799"/>
      <c r="CGY3593" s="1799"/>
      <c r="CGZ3593" s="1799"/>
      <c r="CHA3593" s="1799"/>
      <c r="CHB3593" s="1799"/>
      <c r="CHC3593" s="1799"/>
      <c r="CHD3593" s="1799"/>
      <c r="CHE3593" s="1799"/>
      <c r="CHF3593" s="1799"/>
      <c r="CHG3593" s="1799"/>
      <c r="CHH3593" s="1799"/>
      <c r="CHI3593" s="1799"/>
      <c r="CHJ3593" s="1799"/>
      <c r="CHK3593" s="1799"/>
      <c r="CHL3593" s="1799"/>
      <c r="CHM3593" s="1799"/>
      <c r="CHN3593" s="1799"/>
      <c r="CHO3593" s="1799"/>
      <c r="CHP3593" s="1799"/>
      <c r="CHQ3593" s="1799"/>
      <c r="CHR3593" s="1799"/>
      <c r="CHS3593" s="1799"/>
      <c r="CHT3593" s="1799"/>
      <c r="CHU3593" s="1799"/>
      <c r="CHV3593" s="1799"/>
      <c r="CHW3593" s="1799"/>
      <c r="CHX3593" s="1799"/>
      <c r="CHY3593" s="1799"/>
      <c r="CHZ3593" s="1799"/>
      <c r="CIA3593" s="1799"/>
      <c r="CIB3593" s="1799"/>
      <c r="CIC3593" s="1799"/>
      <c r="CID3593" s="1799"/>
      <c r="CIE3593" s="1799"/>
      <c r="CIF3593" s="1799"/>
      <c r="CIG3593" s="1799"/>
      <c r="CIH3593" s="1799"/>
      <c r="CII3593" s="1799"/>
      <c r="CIJ3593" s="1799"/>
      <c r="CIK3593" s="1799"/>
      <c r="CIL3593" s="1799"/>
      <c r="CIM3593" s="1799"/>
      <c r="CIN3593" s="1799"/>
      <c r="CIO3593" s="1799"/>
      <c r="CIP3593" s="1799"/>
      <c r="CIQ3593" s="1799"/>
      <c r="CIR3593" s="1799"/>
      <c r="CIS3593" s="1799"/>
      <c r="CIT3593" s="1799"/>
      <c r="CIU3593" s="1799"/>
      <c r="CIV3593" s="1799"/>
      <c r="CIW3593" s="1799"/>
      <c r="CIX3593" s="1799"/>
      <c r="CIY3593" s="1799"/>
      <c r="CIZ3593" s="1799"/>
      <c r="CJA3593" s="1799"/>
      <c r="CJB3593" s="1799"/>
      <c r="CJC3593" s="1799"/>
      <c r="CJD3593" s="1799"/>
      <c r="CJE3593" s="1799"/>
      <c r="CJF3593" s="1799"/>
      <c r="CJG3593" s="1799"/>
      <c r="CJH3593" s="1799"/>
      <c r="CJI3593" s="1799"/>
      <c r="CJJ3593" s="1799"/>
      <c r="CJK3593" s="1799"/>
      <c r="CJL3593" s="1799"/>
      <c r="CJM3593" s="1799"/>
      <c r="CJN3593" s="1799"/>
      <c r="CJO3593" s="1799"/>
      <c r="CJP3593" s="1799"/>
      <c r="CJQ3593" s="1799"/>
      <c r="CJR3593" s="1799"/>
      <c r="CJS3593" s="1799"/>
      <c r="CJT3593" s="1799"/>
      <c r="CJU3593" s="1799"/>
      <c r="CJV3593" s="1799"/>
      <c r="CJW3593" s="1799"/>
      <c r="CJX3593" s="1799"/>
      <c r="CJY3593" s="1799"/>
      <c r="CJZ3593" s="1799"/>
      <c r="CKA3593" s="1799"/>
      <c r="CKB3593" s="1799"/>
      <c r="CKC3593" s="1799"/>
      <c r="CKD3593" s="1799"/>
      <c r="CKE3593" s="1799"/>
      <c r="CKF3593" s="1799"/>
      <c r="CKG3593" s="1799"/>
      <c r="CKH3593" s="1799"/>
      <c r="CKI3593" s="1799"/>
      <c r="CKJ3593" s="1799"/>
      <c r="CKK3593" s="1799"/>
      <c r="CKL3593" s="1799"/>
      <c r="CKM3593" s="1799"/>
      <c r="CKN3593" s="1799"/>
      <c r="CKO3593" s="1799"/>
      <c r="CKP3593" s="1799"/>
      <c r="CKQ3593" s="1799"/>
      <c r="CKR3593" s="1799"/>
      <c r="CKS3593" s="1799"/>
      <c r="CKT3593" s="1799"/>
      <c r="CKU3593" s="1799"/>
      <c r="CKV3593" s="1799"/>
      <c r="CKW3593" s="1799"/>
      <c r="CKX3593" s="1799"/>
      <c r="CKY3593" s="1799"/>
      <c r="CKZ3593" s="1799"/>
      <c r="CLA3593" s="1799"/>
      <c r="CLB3593" s="1799"/>
      <c r="CLC3593" s="1799"/>
      <c r="CLD3593" s="1799"/>
      <c r="CLE3593" s="1799"/>
      <c r="CLF3593" s="1799"/>
      <c r="CLG3593" s="1799"/>
      <c r="CLH3593" s="1799"/>
      <c r="CLI3593" s="1799"/>
      <c r="CLJ3593" s="1799"/>
      <c r="CLK3593" s="1799"/>
      <c r="CLL3593" s="1799"/>
      <c r="CLM3593" s="1799"/>
      <c r="CLN3593" s="1799"/>
      <c r="CLO3593" s="1799"/>
      <c r="CLP3593" s="1799"/>
      <c r="CLQ3593" s="1799"/>
      <c r="CLR3593" s="1799"/>
      <c r="CLS3593" s="1799"/>
      <c r="CLT3593" s="1799"/>
      <c r="CLU3593" s="1799"/>
      <c r="CLV3593" s="1799"/>
      <c r="CLW3593" s="1799"/>
      <c r="CLX3593" s="1799"/>
      <c r="CLY3593" s="1799"/>
      <c r="CLZ3593" s="1799"/>
      <c r="CMA3593" s="1799"/>
      <c r="CMB3593" s="1799"/>
      <c r="CMC3593" s="1799"/>
      <c r="CMD3593" s="1799"/>
      <c r="CME3593" s="1799"/>
      <c r="CMF3593" s="1799"/>
      <c r="CMG3593" s="1799"/>
      <c r="CMH3593" s="1799"/>
      <c r="CMI3593" s="1799"/>
      <c r="CMJ3593" s="1799"/>
      <c r="CMK3593" s="1799"/>
      <c r="CML3593" s="1799"/>
      <c r="CMM3593" s="1799"/>
      <c r="CMN3593" s="1799"/>
      <c r="CMO3593" s="1799"/>
      <c r="CMP3593" s="1799"/>
      <c r="CMQ3593" s="1799"/>
      <c r="CMR3593" s="1799"/>
      <c r="CMS3593" s="1799"/>
      <c r="CMT3593" s="1799"/>
      <c r="CMU3593" s="1799"/>
      <c r="CMV3593" s="1799"/>
      <c r="CMW3593" s="1799"/>
      <c r="CMX3593" s="1799"/>
      <c r="CMY3593" s="1799"/>
      <c r="CMZ3593" s="1799"/>
      <c r="CNA3593" s="1799"/>
      <c r="CNB3593" s="1799"/>
      <c r="CNC3593" s="1799"/>
      <c r="CND3593" s="1799"/>
      <c r="CNE3593" s="1799"/>
      <c r="CNF3593" s="1799"/>
      <c r="CNG3593" s="1799"/>
      <c r="CNH3593" s="1799"/>
      <c r="CNI3593" s="1799"/>
      <c r="CNJ3593" s="1799"/>
      <c r="CNK3593" s="1799"/>
      <c r="CNL3593" s="1799"/>
      <c r="CNM3593" s="1799"/>
      <c r="CNN3593" s="1799"/>
      <c r="CNO3593" s="1799"/>
      <c r="CNP3593" s="1799"/>
      <c r="CNQ3593" s="1799"/>
      <c r="CNR3593" s="1799"/>
      <c r="CNS3593" s="1799"/>
      <c r="CNT3593" s="1799"/>
      <c r="CNU3593" s="1799"/>
      <c r="CNV3593" s="1799"/>
      <c r="CNW3593" s="1799"/>
      <c r="CNX3593" s="1799"/>
      <c r="CNY3593" s="1799"/>
      <c r="CNZ3593" s="1799"/>
      <c r="COA3593" s="1799"/>
      <c r="COB3593" s="1799"/>
      <c r="COC3593" s="1799"/>
      <c r="COD3593" s="1799"/>
      <c r="COE3593" s="1799"/>
      <c r="COF3593" s="1799"/>
      <c r="COG3593" s="1799"/>
      <c r="COH3593" s="1799"/>
      <c r="COI3593" s="1799"/>
      <c r="COJ3593" s="1799"/>
      <c r="COK3593" s="1799"/>
      <c r="COL3593" s="1799"/>
      <c r="COM3593" s="1799"/>
      <c r="CON3593" s="1799"/>
      <c r="COO3593" s="1799"/>
      <c r="COP3593" s="1799"/>
      <c r="COQ3593" s="1799"/>
      <c r="COR3593" s="1799"/>
      <c r="COS3593" s="1799"/>
      <c r="COT3593" s="1799"/>
      <c r="COU3593" s="1799"/>
      <c r="COV3593" s="1799"/>
      <c r="COW3593" s="1799"/>
      <c r="COX3593" s="1799"/>
      <c r="COY3593" s="1799"/>
      <c r="COZ3593" s="1799"/>
      <c r="CPA3593" s="1799"/>
      <c r="CPB3593" s="1799"/>
      <c r="CPC3593" s="1799"/>
      <c r="CPD3593" s="1799"/>
      <c r="CPE3593" s="1799"/>
      <c r="CPF3593" s="1799"/>
      <c r="CPG3593" s="1799"/>
      <c r="CPH3593" s="1799"/>
      <c r="CPI3593" s="1799"/>
      <c r="CPJ3593" s="1799"/>
      <c r="CPK3593" s="1799"/>
      <c r="CPL3593" s="1799"/>
      <c r="CPM3593" s="1799"/>
      <c r="CPN3593" s="1799"/>
      <c r="CPO3593" s="1799"/>
      <c r="CPP3593" s="1799"/>
      <c r="CPQ3593" s="1799"/>
      <c r="CPR3593" s="1799"/>
      <c r="CPS3593" s="1799"/>
      <c r="CPT3593" s="1799"/>
      <c r="CPU3593" s="1799"/>
      <c r="CPV3593" s="1799"/>
      <c r="CPW3593" s="1799"/>
      <c r="CPX3593" s="1799"/>
      <c r="CPY3593" s="1799"/>
      <c r="CPZ3593" s="1799"/>
      <c r="CQA3593" s="1799"/>
      <c r="CQB3593" s="1799"/>
      <c r="CQC3593" s="1799"/>
      <c r="CQD3593" s="1799"/>
      <c r="CQE3593" s="1799"/>
      <c r="CQF3593" s="1799"/>
      <c r="CQG3593" s="1799"/>
      <c r="CQH3593" s="1799"/>
      <c r="CQI3593" s="1799"/>
      <c r="CQJ3593" s="1799"/>
      <c r="CQK3593" s="1799"/>
      <c r="CQL3593" s="1799"/>
      <c r="CQM3593" s="1799"/>
      <c r="CQN3593" s="1799"/>
      <c r="CQO3593" s="1799"/>
      <c r="CQP3593" s="1799"/>
      <c r="CQQ3593" s="1799"/>
      <c r="CQR3593" s="1799"/>
      <c r="CQS3593" s="1799"/>
      <c r="CQT3593" s="1799"/>
      <c r="CQU3593" s="1799"/>
      <c r="CQV3593" s="1799"/>
      <c r="CQW3593" s="1799"/>
      <c r="CQX3593" s="1799"/>
      <c r="CQY3593" s="1799"/>
      <c r="CQZ3593" s="1799"/>
      <c r="CRA3593" s="1799"/>
      <c r="CRB3593" s="1799"/>
      <c r="CRC3593" s="1799"/>
      <c r="CRD3593" s="1799"/>
      <c r="CRE3593" s="1799"/>
      <c r="CRF3593" s="1799"/>
      <c r="CRG3593" s="1799"/>
      <c r="CRH3593" s="1799"/>
      <c r="CRI3593" s="1799"/>
      <c r="CRJ3593" s="1799"/>
      <c r="CRK3593" s="1799"/>
      <c r="CRL3593" s="1799"/>
      <c r="CRM3593" s="1799"/>
      <c r="CRN3593" s="1799"/>
      <c r="CRO3593" s="1799"/>
      <c r="CRP3593" s="1799"/>
      <c r="CRQ3593" s="1799"/>
      <c r="CRR3593" s="1799"/>
      <c r="CRS3593" s="1799"/>
      <c r="CRT3593" s="1799"/>
      <c r="CRU3593" s="1799"/>
      <c r="CRV3593" s="1799"/>
      <c r="CRW3593" s="1799"/>
      <c r="CRX3593" s="1799"/>
      <c r="CRY3593" s="1799"/>
      <c r="CRZ3593" s="1799"/>
      <c r="CSA3593" s="1799"/>
      <c r="CSB3593" s="1799"/>
      <c r="CSC3593" s="1799"/>
      <c r="CSD3593" s="1799"/>
      <c r="CSE3593" s="1799"/>
      <c r="CSF3593" s="1799"/>
      <c r="CSG3593" s="1799"/>
      <c r="CSH3593" s="1799"/>
      <c r="CSI3593" s="1799"/>
      <c r="CSJ3593" s="1799"/>
      <c r="CSK3593" s="1799"/>
      <c r="CSL3593" s="1799"/>
      <c r="CSM3593" s="1799"/>
      <c r="CSN3593" s="1799"/>
      <c r="CSO3593" s="1799"/>
      <c r="CSP3593" s="1799"/>
      <c r="CSQ3593" s="1799"/>
      <c r="CSR3593" s="1799"/>
      <c r="CSS3593" s="1799"/>
      <c r="CST3593" s="1799"/>
      <c r="CSU3593" s="1799"/>
      <c r="CSV3593" s="1799"/>
      <c r="CSW3593" s="1799"/>
      <c r="CSX3593" s="1799"/>
      <c r="CSY3593" s="1799"/>
      <c r="CSZ3593" s="1799"/>
      <c r="CTA3593" s="1799"/>
      <c r="CTB3593" s="1799"/>
      <c r="CTC3593" s="1799"/>
      <c r="CTD3593" s="1799"/>
      <c r="CTE3593" s="1799"/>
      <c r="CTF3593" s="1799"/>
      <c r="CTG3593" s="1799"/>
      <c r="CTH3593" s="1799"/>
      <c r="CTI3593" s="1799"/>
      <c r="CTJ3593" s="1799"/>
      <c r="CTK3593" s="1799"/>
      <c r="CTL3593" s="1799"/>
      <c r="CTM3593" s="1799"/>
      <c r="CTN3593" s="1799"/>
      <c r="CTO3593" s="1799"/>
      <c r="CTP3593" s="1799"/>
      <c r="CTQ3593" s="1799"/>
      <c r="CTR3593" s="1799"/>
      <c r="CTS3593" s="1799"/>
      <c r="CTT3593" s="1799"/>
      <c r="CTU3593" s="1799"/>
      <c r="CTV3593" s="1799"/>
      <c r="CTW3593" s="1799"/>
      <c r="CTX3593" s="1799"/>
      <c r="CTY3593" s="1799"/>
      <c r="CTZ3593" s="1799"/>
      <c r="CUA3593" s="1799"/>
      <c r="CUB3593" s="1799"/>
      <c r="CUC3593" s="1799"/>
      <c r="CUD3593" s="1799"/>
      <c r="CUE3593" s="1799"/>
      <c r="CUF3593" s="1799"/>
      <c r="CUG3593" s="1799"/>
      <c r="CUH3593" s="1799"/>
      <c r="CUI3593" s="1799"/>
      <c r="CUJ3593" s="1799"/>
      <c r="CUK3593" s="1799"/>
      <c r="CUL3593" s="1799"/>
      <c r="CUM3593" s="1799"/>
      <c r="CUN3593" s="1799"/>
      <c r="CUO3593" s="1799"/>
      <c r="CUP3593" s="1799"/>
      <c r="CUQ3593" s="1799"/>
      <c r="CUR3593" s="1799"/>
      <c r="CUS3593" s="1799"/>
      <c r="CUT3593" s="1799"/>
      <c r="CUU3593" s="1799"/>
      <c r="CUV3593" s="1799"/>
      <c r="CUW3593" s="1799"/>
      <c r="CUX3593" s="1799"/>
      <c r="CUY3593" s="1799"/>
      <c r="CUZ3593" s="1799"/>
      <c r="CVA3593" s="1799"/>
      <c r="CVB3593" s="1799"/>
      <c r="CVC3593" s="1799"/>
      <c r="CVD3593" s="1799"/>
      <c r="CVE3593" s="1799"/>
      <c r="CVF3593" s="1799"/>
      <c r="CVG3593" s="1799"/>
      <c r="CVH3593" s="1799"/>
      <c r="CVI3593" s="1799"/>
      <c r="CVJ3593" s="1799"/>
      <c r="CVK3593" s="1799"/>
      <c r="CVL3593" s="1799"/>
      <c r="CVM3593" s="1799"/>
      <c r="CVN3593" s="1799"/>
      <c r="CVO3593" s="1799"/>
      <c r="CVP3593" s="1799"/>
      <c r="CVQ3593" s="1799"/>
      <c r="CVR3593" s="1799"/>
      <c r="CVS3593" s="1799"/>
      <c r="CVT3593" s="1799"/>
      <c r="CVU3593" s="1799"/>
      <c r="CVV3593" s="1799"/>
      <c r="CVW3593" s="1799"/>
      <c r="CVX3593" s="1799"/>
      <c r="CVY3593" s="1799"/>
      <c r="CVZ3593" s="1799"/>
      <c r="CWA3593" s="1799"/>
      <c r="CWB3593" s="1799"/>
      <c r="CWC3593" s="1799"/>
      <c r="CWD3593" s="1799"/>
      <c r="CWE3593" s="1799"/>
      <c r="CWF3593" s="1799"/>
      <c r="CWG3593" s="1799"/>
      <c r="CWH3593" s="1799"/>
      <c r="CWI3593" s="1799"/>
      <c r="CWJ3593" s="1799"/>
      <c r="CWK3593" s="1799"/>
      <c r="CWL3593" s="1799"/>
      <c r="CWM3593" s="1799"/>
      <c r="CWN3593" s="1799"/>
      <c r="CWO3593" s="1799"/>
      <c r="CWP3593" s="1799"/>
      <c r="CWQ3593" s="1799"/>
      <c r="CWR3593" s="1799"/>
      <c r="CWS3593" s="1799"/>
      <c r="CWT3593" s="1799"/>
      <c r="CWU3593" s="1799"/>
      <c r="CWV3593" s="1799"/>
      <c r="CWW3593" s="1799"/>
      <c r="CWX3593" s="1799"/>
      <c r="CWY3593" s="1799"/>
      <c r="CWZ3593" s="1799"/>
      <c r="CXA3593" s="1799"/>
      <c r="CXB3593" s="1799"/>
      <c r="CXC3593" s="1799"/>
      <c r="CXD3593" s="1799"/>
      <c r="CXE3593" s="1799"/>
      <c r="CXF3593" s="1799"/>
      <c r="CXG3593" s="1799"/>
      <c r="CXH3593" s="1799"/>
      <c r="CXI3593" s="1799"/>
      <c r="CXJ3593" s="1799"/>
      <c r="CXK3593" s="1799"/>
      <c r="CXL3593" s="1799"/>
      <c r="CXM3593" s="1799"/>
      <c r="CXN3593" s="1799"/>
      <c r="CXO3593" s="1799"/>
      <c r="CXP3593" s="1799"/>
      <c r="CXQ3593" s="1799"/>
      <c r="CXR3593" s="1799"/>
      <c r="CXS3593" s="1799"/>
      <c r="CXT3593" s="1799"/>
      <c r="CXU3593" s="1799"/>
      <c r="CXV3593" s="1799"/>
      <c r="CXW3593" s="1799"/>
      <c r="CXX3593" s="1799"/>
      <c r="CXY3593" s="1799"/>
      <c r="CXZ3593" s="1799"/>
      <c r="CYA3593" s="1799"/>
      <c r="CYB3593" s="1799"/>
      <c r="CYC3593" s="1799"/>
      <c r="CYD3593" s="1799"/>
      <c r="CYE3593" s="1799"/>
      <c r="CYF3593" s="1799"/>
      <c r="CYG3593" s="1799"/>
      <c r="CYH3593" s="1799"/>
      <c r="CYI3593" s="1799"/>
      <c r="CYJ3593" s="1799"/>
      <c r="CYK3593" s="1799"/>
      <c r="CYL3593" s="1799"/>
      <c r="CYM3593" s="1799"/>
      <c r="CYN3593" s="1799"/>
      <c r="CYO3593" s="1799"/>
      <c r="CYP3593" s="1799"/>
      <c r="CYQ3593" s="1799"/>
      <c r="CYR3593" s="1799"/>
      <c r="CYS3593" s="1799"/>
      <c r="CYT3593" s="1799"/>
      <c r="CYU3593" s="1799"/>
      <c r="CYV3593" s="1799"/>
      <c r="CYW3593" s="1799"/>
      <c r="CYX3593" s="1799"/>
      <c r="CYY3593" s="1799"/>
      <c r="CYZ3593" s="1799"/>
      <c r="CZA3593" s="1799"/>
      <c r="CZB3593" s="1799"/>
      <c r="CZC3593" s="1799"/>
      <c r="CZD3593" s="1799"/>
      <c r="CZE3593" s="1799"/>
      <c r="CZF3593" s="1799"/>
      <c r="CZG3593" s="1799"/>
      <c r="CZH3593" s="1799"/>
      <c r="CZI3593" s="1799"/>
      <c r="CZJ3593" s="1799"/>
      <c r="CZK3593" s="1799"/>
      <c r="CZL3593" s="1799"/>
      <c r="CZM3593" s="1799"/>
      <c r="CZN3593" s="1799"/>
      <c r="CZO3593" s="1799"/>
      <c r="CZP3593" s="1799"/>
      <c r="CZQ3593" s="1799"/>
      <c r="CZR3593" s="1799"/>
      <c r="CZS3593" s="1799"/>
      <c r="CZT3593" s="1799"/>
      <c r="CZU3593" s="1799"/>
      <c r="CZV3593" s="1799"/>
      <c r="CZW3593" s="1799"/>
      <c r="CZX3593" s="1799"/>
      <c r="CZY3593" s="1799"/>
      <c r="CZZ3593" s="1799"/>
      <c r="DAA3593" s="1799"/>
      <c r="DAB3593" s="1799"/>
      <c r="DAC3593" s="1799"/>
      <c r="DAD3593" s="1799"/>
      <c r="DAE3593" s="1799"/>
      <c r="DAF3593" s="1799"/>
      <c r="DAG3593" s="1799"/>
      <c r="DAH3593" s="1799"/>
      <c r="DAI3593" s="1799"/>
      <c r="DAJ3593" s="1799"/>
      <c r="DAK3593" s="1799"/>
      <c r="DAL3593" s="1799"/>
      <c r="DAM3593" s="1799"/>
      <c r="DAN3593" s="1799"/>
      <c r="DAO3593" s="1799"/>
      <c r="DAP3593" s="1799"/>
      <c r="DAQ3593" s="1799"/>
      <c r="DAR3593" s="1799"/>
      <c r="DAS3593" s="1799"/>
      <c r="DAT3593" s="1799"/>
      <c r="DAU3593" s="1799"/>
      <c r="DAV3593" s="1799"/>
      <c r="DAW3593" s="1799"/>
      <c r="DAX3593" s="1799"/>
      <c r="DAY3593" s="1799"/>
      <c r="DAZ3593" s="1799"/>
      <c r="DBA3593" s="1799"/>
      <c r="DBB3593" s="1799"/>
      <c r="DBC3593" s="1799"/>
      <c r="DBD3593" s="1799"/>
      <c r="DBE3593" s="1799"/>
      <c r="DBF3593" s="1799"/>
      <c r="DBG3593" s="1799"/>
      <c r="DBH3593" s="1799"/>
      <c r="DBI3593" s="1799"/>
      <c r="DBJ3593" s="1799"/>
      <c r="DBK3593" s="1799"/>
      <c r="DBL3593" s="1799"/>
      <c r="DBM3593" s="1799"/>
      <c r="DBN3593" s="1799"/>
      <c r="DBO3593" s="1799"/>
      <c r="DBP3593" s="1799"/>
      <c r="DBQ3593" s="1799"/>
      <c r="DBR3593" s="1799"/>
      <c r="DBS3593" s="1799"/>
      <c r="DBT3593" s="1799"/>
      <c r="DBU3593" s="1799"/>
      <c r="DBV3593" s="1799"/>
      <c r="DBW3593" s="1799"/>
      <c r="DBX3593" s="1799"/>
      <c r="DBY3593" s="1799"/>
      <c r="DBZ3593" s="1799"/>
      <c r="DCA3593" s="1799"/>
      <c r="DCB3593" s="1799"/>
      <c r="DCC3593" s="1799"/>
      <c r="DCD3593" s="1799"/>
      <c r="DCE3593" s="1799"/>
      <c r="DCF3593" s="1799"/>
      <c r="DCG3593" s="1799"/>
      <c r="DCH3593" s="1799"/>
      <c r="DCI3593" s="1799"/>
      <c r="DCJ3593" s="1799"/>
      <c r="DCK3593" s="1799"/>
      <c r="DCL3593" s="1799"/>
      <c r="DCM3593" s="1799"/>
      <c r="DCN3593" s="1799"/>
      <c r="DCO3593" s="1799"/>
      <c r="DCP3593" s="1799"/>
      <c r="DCQ3593" s="1799"/>
      <c r="DCR3593" s="1799"/>
      <c r="DCS3593" s="1799"/>
      <c r="DCT3593" s="1799"/>
      <c r="DCU3593" s="1799"/>
      <c r="DCV3593" s="1799"/>
      <c r="DCW3593" s="1799"/>
      <c r="DCX3593" s="1799"/>
      <c r="DCY3593" s="1799"/>
      <c r="DCZ3593" s="1799"/>
      <c r="DDA3593" s="1799"/>
      <c r="DDB3593" s="1799"/>
      <c r="DDC3593" s="1799"/>
      <c r="DDD3593" s="1799"/>
      <c r="DDE3593" s="1799"/>
      <c r="DDF3593" s="1799"/>
      <c r="DDG3593" s="1799"/>
      <c r="DDH3593" s="1799"/>
      <c r="DDI3593" s="1799"/>
      <c r="DDJ3593" s="1799"/>
      <c r="DDK3593" s="1799"/>
      <c r="DDL3593" s="1799"/>
      <c r="DDM3593" s="1799"/>
      <c r="DDN3593" s="1799"/>
      <c r="DDO3593" s="1799"/>
      <c r="DDP3593" s="1799"/>
      <c r="DDQ3593" s="1799"/>
      <c r="DDR3593" s="1799"/>
      <c r="DDS3593" s="1799"/>
      <c r="DDT3593" s="1799"/>
      <c r="DDU3593" s="1799"/>
      <c r="DDV3593" s="1799"/>
      <c r="DDW3593" s="1799"/>
      <c r="DDX3593" s="1799"/>
      <c r="DDY3593" s="1799"/>
      <c r="DDZ3593" s="1799"/>
      <c r="DEA3593" s="1799"/>
      <c r="DEB3593" s="1799"/>
      <c r="DEC3593" s="1799"/>
      <c r="DED3593" s="1799"/>
      <c r="DEE3593" s="1799"/>
      <c r="DEF3593" s="1799"/>
      <c r="DEG3593" s="1799"/>
      <c r="DEH3593" s="1799"/>
      <c r="DEI3593" s="1799"/>
      <c r="DEJ3593" s="1799"/>
      <c r="DEK3593" s="1799"/>
      <c r="DEL3593" s="1799"/>
      <c r="DEM3593" s="1799"/>
      <c r="DEN3593" s="1799"/>
      <c r="DEO3593" s="1799"/>
      <c r="DEP3593" s="1799"/>
      <c r="DEQ3593" s="1799"/>
      <c r="DER3593" s="1799"/>
      <c r="DES3593" s="1799"/>
      <c r="DET3593" s="1799"/>
      <c r="DEU3593" s="1799"/>
      <c r="DEV3593" s="1799"/>
      <c r="DEW3593" s="1799"/>
      <c r="DEX3593" s="1799"/>
      <c r="DEY3593" s="1799"/>
      <c r="DEZ3593" s="1799"/>
      <c r="DFA3593" s="1799"/>
      <c r="DFB3593" s="1799"/>
      <c r="DFC3593" s="1799"/>
      <c r="DFD3593" s="1799"/>
      <c r="DFE3593" s="1799"/>
      <c r="DFF3593" s="1799"/>
      <c r="DFG3593" s="1799"/>
      <c r="DFH3593" s="1799"/>
      <c r="DFI3593" s="1799"/>
      <c r="DFJ3593" s="1799"/>
      <c r="DFK3593" s="1799"/>
      <c r="DFL3593" s="1799"/>
      <c r="DFM3593" s="1799"/>
      <c r="DFN3593" s="1799"/>
      <c r="DFO3593" s="1799"/>
      <c r="DFP3593" s="1799"/>
      <c r="DFQ3593" s="1799"/>
      <c r="DFR3593" s="1799"/>
      <c r="DFS3593" s="1799"/>
      <c r="DFT3593" s="1799"/>
      <c r="DFU3593" s="1799"/>
      <c r="DFV3593" s="1799"/>
      <c r="DFW3593" s="1799"/>
      <c r="DFX3593" s="1799"/>
      <c r="DFY3593" s="1799"/>
      <c r="DFZ3593" s="1799"/>
      <c r="DGA3593" s="1799"/>
      <c r="DGB3593" s="1799"/>
      <c r="DGC3593" s="1799"/>
      <c r="DGD3593" s="1799"/>
      <c r="DGE3593" s="1799"/>
      <c r="DGF3593" s="1799"/>
      <c r="DGG3593" s="1799"/>
      <c r="DGH3593" s="1799"/>
      <c r="DGI3593" s="1799"/>
      <c r="DGJ3593" s="1799"/>
      <c r="DGK3593" s="1799"/>
      <c r="DGL3593" s="1799"/>
      <c r="DGM3593" s="1799"/>
      <c r="DGN3593" s="1799"/>
      <c r="DGO3593" s="1799"/>
      <c r="DGP3593" s="1799"/>
      <c r="DGQ3593" s="1799"/>
      <c r="DGR3593" s="1799"/>
      <c r="DGS3593" s="1799"/>
      <c r="DGT3593" s="1799"/>
      <c r="DGU3593" s="1799"/>
      <c r="DGV3593" s="1799"/>
      <c r="DGW3593" s="1799"/>
      <c r="DGX3593" s="1799"/>
      <c r="DGY3593" s="1799"/>
      <c r="DGZ3593" s="1799"/>
      <c r="DHA3593" s="1799"/>
      <c r="DHB3593" s="1799"/>
      <c r="DHC3593" s="1799"/>
      <c r="DHD3593" s="1799"/>
      <c r="DHE3593" s="1799"/>
      <c r="DHF3593" s="1799"/>
      <c r="DHG3593" s="1799"/>
      <c r="DHH3593" s="1799"/>
      <c r="DHI3593" s="1799"/>
      <c r="DHJ3593" s="1799"/>
      <c r="DHK3593" s="1799"/>
      <c r="DHL3593" s="1799"/>
      <c r="DHM3593" s="1799"/>
      <c r="DHN3593" s="1799"/>
      <c r="DHO3593" s="1799"/>
      <c r="DHP3593" s="1799"/>
      <c r="DHQ3593" s="1799"/>
      <c r="DHR3593" s="1799"/>
      <c r="DHS3593" s="1799"/>
      <c r="DHT3593" s="1799"/>
      <c r="DHU3593" s="1799"/>
      <c r="DHV3593" s="1799"/>
      <c r="DHW3593" s="1799"/>
      <c r="DHX3593" s="1799"/>
      <c r="DHY3593" s="1799"/>
      <c r="DHZ3593" s="1799"/>
      <c r="DIA3593" s="1799"/>
      <c r="DIB3593" s="1799"/>
      <c r="DIC3593" s="1799"/>
      <c r="DID3593" s="1799"/>
      <c r="DIE3593" s="1799"/>
      <c r="DIF3593" s="1799"/>
      <c r="DIG3593" s="1799"/>
      <c r="DIH3593" s="1799"/>
      <c r="DII3593" s="1799"/>
      <c r="DIJ3593" s="1799"/>
      <c r="DIK3593" s="1799"/>
      <c r="DIL3593" s="1799"/>
      <c r="DIM3593" s="1799"/>
      <c r="DIN3593" s="1799"/>
      <c r="DIO3593" s="1799"/>
      <c r="DIP3593" s="1799"/>
      <c r="DIQ3593" s="1799"/>
      <c r="DIR3593" s="1799"/>
      <c r="DIS3593" s="1799"/>
      <c r="DIT3593" s="1799"/>
      <c r="DIU3593" s="1799"/>
      <c r="DIV3593" s="1799"/>
      <c r="DIW3593" s="1799"/>
      <c r="DIX3593" s="1799"/>
      <c r="DIY3593" s="1799"/>
      <c r="DIZ3593" s="1799"/>
      <c r="DJA3593" s="1799"/>
      <c r="DJB3593" s="1799"/>
      <c r="DJC3593" s="1799"/>
      <c r="DJD3593" s="1799"/>
      <c r="DJE3593" s="1799"/>
      <c r="DJF3593" s="1799"/>
      <c r="DJG3593" s="1799"/>
      <c r="DJH3593" s="1799"/>
      <c r="DJI3593" s="1799"/>
      <c r="DJJ3593" s="1799"/>
      <c r="DJK3593" s="1799"/>
      <c r="DJL3593" s="1799"/>
      <c r="DJM3593" s="1799"/>
      <c r="DJN3593" s="1799"/>
      <c r="DJO3593" s="1799"/>
      <c r="DJP3593" s="1799"/>
      <c r="DJQ3593" s="1799"/>
      <c r="DJR3593" s="1799"/>
      <c r="DJS3593" s="1799"/>
      <c r="DJT3593" s="1799"/>
      <c r="DJU3593" s="1799"/>
      <c r="DJV3593" s="1799"/>
      <c r="DJW3593" s="1799"/>
      <c r="DJX3593" s="1799"/>
      <c r="DJY3593" s="1799"/>
      <c r="DJZ3593" s="1799"/>
      <c r="DKA3593" s="1799"/>
      <c r="DKB3593" s="1799"/>
      <c r="DKC3593" s="1799"/>
      <c r="DKD3593" s="1799"/>
      <c r="DKE3593" s="1799"/>
      <c r="DKF3593" s="1799"/>
      <c r="DKG3593" s="1799"/>
      <c r="DKH3593" s="1799"/>
      <c r="DKI3593" s="1799"/>
      <c r="DKJ3593" s="1799"/>
      <c r="DKK3593" s="1799"/>
      <c r="DKL3593" s="1799"/>
      <c r="DKM3593" s="1799"/>
      <c r="DKN3593" s="1799"/>
      <c r="DKO3593" s="1799"/>
      <c r="DKP3593" s="1799"/>
      <c r="DKQ3593" s="1799"/>
      <c r="DKR3593" s="1799"/>
      <c r="DKS3593" s="1799"/>
      <c r="DKT3593" s="1799"/>
      <c r="DKU3593" s="1799"/>
      <c r="DKV3593" s="1799"/>
      <c r="DKW3593" s="1799"/>
      <c r="DKX3593" s="1799"/>
      <c r="DKY3593" s="1799"/>
      <c r="DKZ3593" s="1799"/>
      <c r="DLA3593" s="1799"/>
      <c r="DLB3593" s="1799"/>
      <c r="DLC3593" s="1799"/>
      <c r="DLD3593" s="1799"/>
      <c r="DLE3593" s="1799"/>
      <c r="DLF3593" s="1799"/>
      <c r="DLG3593" s="1799"/>
      <c r="DLH3593" s="1799"/>
      <c r="DLI3593" s="1799"/>
      <c r="DLJ3593" s="1799"/>
      <c r="DLK3593" s="1799"/>
      <c r="DLL3593" s="1799"/>
      <c r="DLM3593" s="1799"/>
      <c r="DLN3593" s="1799"/>
      <c r="DLO3593" s="1799"/>
      <c r="DLP3593" s="1799"/>
      <c r="DLQ3593" s="1799"/>
      <c r="DLR3593" s="1799"/>
      <c r="DLS3593" s="1799"/>
      <c r="DLT3593" s="1799"/>
      <c r="DLU3593" s="1799"/>
      <c r="DLV3593" s="1799"/>
      <c r="DLW3593" s="1799"/>
      <c r="DLX3593" s="1799"/>
      <c r="DLY3593" s="1799"/>
      <c r="DLZ3593" s="1799"/>
      <c r="DMA3593" s="1799"/>
      <c r="DMB3593" s="1799"/>
      <c r="DMC3593" s="1799"/>
      <c r="DMD3593" s="1799"/>
      <c r="DME3593" s="1799"/>
      <c r="DMF3593" s="1799"/>
      <c r="DMG3593" s="1799"/>
      <c r="DMH3593" s="1799"/>
      <c r="DMI3593" s="1799"/>
      <c r="DMJ3593" s="1799"/>
      <c r="DMK3593" s="1799"/>
      <c r="DML3593" s="1799"/>
      <c r="DMM3593" s="1799"/>
      <c r="DMN3593" s="1799"/>
      <c r="DMO3593" s="1799"/>
      <c r="DMP3593" s="1799"/>
      <c r="DMQ3593" s="1799"/>
      <c r="DMR3593" s="1799"/>
      <c r="DMS3593" s="1799"/>
      <c r="DMT3593" s="1799"/>
      <c r="DMU3593" s="1799"/>
      <c r="DMV3593" s="1799"/>
      <c r="DMW3593" s="1799"/>
      <c r="DMX3593" s="1799"/>
      <c r="DMY3593" s="1799"/>
      <c r="DMZ3593" s="1799"/>
      <c r="DNA3593" s="1799"/>
      <c r="DNB3593" s="1799"/>
      <c r="DNC3593" s="1799"/>
      <c r="DND3593" s="1799"/>
      <c r="DNE3593" s="1799"/>
      <c r="DNF3593" s="1799"/>
      <c r="DNG3593" s="1799"/>
      <c r="DNH3593" s="1799"/>
      <c r="DNI3593" s="1799"/>
      <c r="DNJ3593" s="1799"/>
      <c r="DNK3593" s="1799"/>
      <c r="DNL3593" s="1799"/>
      <c r="DNM3593" s="1799"/>
      <c r="DNN3593" s="1799"/>
      <c r="DNO3593" s="1799"/>
      <c r="DNP3593" s="1799"/>
      <c r="DNQ3593" s="1799"/>
      <c r="DNR3593" s="1799"/>
      <c r="DNS3593" s="1799"/>
      <c r="DNT3593" s="1799"/>
      <c r="DNU3593" s="1799"/>
      <c r="DNV3593" s="1799"/>
      <c r="DNW3593" s="1799"/>
      <c r="DNX3593" s="1799"/>
      <c r="DNY3593" s="1799"/>
      <c r="DNZ3593" s="1799"/>
      <c r="DOA3593" s="1799"/>
      <c r="DOB3593" s="1799"/>
      <c r="DOC3593" s="1799"/>
      <c r="DOD3593" s="1799"/>
      <c r="DOE3593" s="1799"/>
      <c r="DOF3593" s="1799"/>
      <c r="DOG3593" s="1799"/>
      <c r="DOH3593" s="1799"/>
      <c r="DOI3593" s="1799"/>
      <c r="DOJ3593" s="1799"/>
      <c r="DOK3593" s="1799"/>
      <c r="DOL3593" s="1799"/>
      <c r="DOM3593" s="1799"/>
      <c r="DON3593" s="1799"/>
      <c r="DOO3593" s="1799"/>
      <c r="DOP3593" s="1799"/>
      <c r="DOQ3593" s="1799"/>
      <c r="DOR3593" s="1799"/>
      <c r="DOS3593" s="1799"/>
      <c r="DOT3593" s="1799"/>
      <c r="DOU3593" s="1799"/>
      <c r="DOV3593" s="1799"/>
      <c r="DOW3593" s="1799"/>
      <c r="DOX3593" s="1799"/>
      <c r="DOY3593" s="1799"/>
      <c r="DOZ3593" s="1799"/>
      <c r="DPA3593" s="1799"/>
      <c r="DPB3593" s="1799"/>
      <c r="DPC3593" s="1799"/>
      <c r="DPD3593" s="1799"/>
      <c r="DPE3593" s="1799"/>
      <c r="DPF3593" s="1799"/>
      <c r="DPG3593" s="1799"/>
      <c r="DPH3593" s="1799"/>
      <c r="DPI3593" s="1799"/>
      <c r="DPJ3593" s="1799"/>
      <c r="DPK3593" s="1799"/>
      <c r="DPL3593" s="1799"/>
      <c r="DPM3593" s="1799"/>
      <c r="DPN3593" s="1799"/>
      <c r="DPO3593" s="1799"/>
      <c r="DPP3593" s="1799"/>
      <c r="DPQ3593" s="1799"/>
      <c r="DPR3593" s="1799"/>
      <c r="DPS3593" s="1799"/>
      <c r="DPT3593" s="1799"/>
      <c r="DPU3593" s="1799"/>
      <c r="DPV3593" s="1799"/>
      <c r="DPW3593" s="1799"/>
      <c r="DPX3593" s="1799"/>
      <c r="DPY3593" s="1799"/>
      <c r="DPZ3593" s="1799"/>
      <c r="DQA3593" s="1799"/>
      <c r="DQB3593" s="1799"/>
      <c r="DQC3593" s="1799"/>
      <c r="DQD3593" s="1799"/>
      <c r="DQE3593" s="1799"/>
      <c r="DQF3593" s="1799"/>
      <c r="DQG3593" s="1799"/>
      <c r="DQH3593" s="1799"/>
      <c r="DQI3593" s="1799"/>
      <c r="DQJ3593" s="1799"/>
      <c r="DQK3593" s="1799"/>
      <c r="DQL3593" s="1799"/>
      <c r="DQM3593" s="1799"/>
      <c r="DQN3593" s="1799"/>
      <c r="DQO3593" s="1799"/>
      <c r="DQP3593" s="1799"/>
      <c r="DQQ3593" s="1799"/>
      <c r="DQR3593" s="1799"/>
      <c r="DQS3593" s="1799"/>
      <c r="DQT3593" s="1799"/>
      <c r="DQU3593" s="1799"/>
      <c r="DQV3593" s="1799"/>
      <c r="DQW3593" s="1799"/>
      <c r="DQX3593" s="1799"/>
      <c r="DQY3593" s="1799"/>
      <c r="DQZ3593" s="1799"/>
      <c r="DRA3593" s="1799"/>
      <c r="DRB3593" s="1799"/>
      <c r="DRC3593" s="1799"/>
      <c r="DRD3593" s="1799"/>
      <c r="DRE3593" s="1799"/>
      <c r="DRF3593" s="1799"/>
      <c r="DRG3593" s="1799"/>
      <c r="DRH3593" s="1799"/>
      <c r="DRI3593" s="1799"/>
      <c r="DRJ3593" s="1799"/>
      <c r="DRK3593" s="1799"/>
      <c r="DRL3593" s="1799"/>
      <c r="DRM3593" s="1799"/>
      <c r="DRN3593" s="1799"/>
      <c r="DRO3593" s="1799"/>
      <c r="DRP3593" s="1799"/>
      <c r="DRQ3593" s="1799"/>
      <c r="DRR3593" s="1799"/>
      <c r="DRS3593" s="1799"/>
      <c r="DRT3593" s="1799"/>
      <c r="DRU3593" s="1799"/>
      <c r="DRV3593" s="1799"/>
      <c r="DRW3593" s="1799"/>
      <c r="DRX3593" s="1799"/>
      <c r="DRY3593" s="1799"/>
      <c r="DRZ3593" s="1799"/>
      <c r="DSA3593" s="1799"/>
      <c r="DSB3593" s="1799"/>
      <c r="DSC3593" s="1799"/>
      <c r="DSD3593" s="1799"/>
      <c r="DSE3593" s="1799"/>
      <c r="DSF3593" s="1799"/>
      <c r="DSG3593" s="1799"/>
      <c r="DSH3593" s="1799"/>
      <c r="DSI3593" s="1799"/>
      <c r="DSJ3593" s="1799"/>
      <c r="DSK3593" s="1799"/>
      <c r="DSL3593" s="1799"/>
      <c r="DSM3593" s="1799"/>
      <c r="DSN3593" s="1799"/>
      <c r="DSO3593" s="1799"/>
      <c r="DSP3593" s="1799"/>
      <c r="DSQ3593" s="1799"/>
      <c r="DSR3593" s="1799"/>
      <c r="DSS3593" s="1799"/>
      <c r="DST3593" s="1799"/>
      <c r="DSU3593" s="1799"/>
      <c r="DSV3593" s="1799"/>
      <c r="DSW3593" s="1799"/>
      <c r="DSX3593" s="1799"/>
      <c r="DSY3593" s="1799"/>
      <c r="DSZ3593" s="1799"/>
      <c r="DTA3593" s="1799"/>
      <c r="DTB3593" s="1799"/>
      <c r="DTC3593" s="1799"/>
      <c r="DTD3593" s="1799"/>
      <c r="DTE3593" s="1799"/>
      <c r="DTF3593" s="1799"/>
      <c r="DTG3593" s="1799"/>
      <c r="DTH3593" s="1799"/>
      <c r="DTI3593" s="1799"/>
      <c r="DTJ3593" s="1799"/>
      <c r="DTK3593" s="1799"/>
      <c r="DTL3593" s="1799"/>
      <c r="DTM3593" s="1799"/>
      <c r="DTN3593" s="1799"/>
      <c r="DTO3593" s="1799"/>
      <c r="DTP3593" s="1799"/>
      <c r="DTQ3593" s="1799"/>
      <c r="DTR3593" s="1799"/>
      <c r="DTS3593" s="1799"/>
      <c r="DTT3593" s="1799"/>
      <c r="DTU3593" s="1799"/>
      <c r="DTV3593" s="1799"/>
      <c r="DTW3593" s="1799"/>
      <c r="DTX3593" s="1799"/>
      <c r="DTY3593" s="1799"/>
      <c r="DTZ3593" s="1799"/>
      <c r="DUA3593" s="1799"/>
      <c r="DUB3593" s="1799"/>
      <c r="DUC3593" s="1799"/>
      <c r="DUD3593" s="1799"/>
      <c r="DUE3593" s="1799"/>
      <c r="DUF3593" s="1799"/>
      <c r="DUG3593" s="1799"/>
      <c r="DUH3593" s="1799"/>
      <c r="DUI3593" s="1799"/>
      <c r="DUJ3593" s="1799"/>
      <c r="DUK3593" s="1799"/>
      <c r="DUL3593" s="1799"/>
      <c r="DUM3593" s="1799"/>
      <c r="DUN3593" s="1799"/>
      <c r="DUO3593" s="1799"/>
      <c r="DUP3593" s="1799"/>
      <c r="DUQ3593" s="1799"/>
      <c r="DUR3593" s="1799"/>
      <c r="DUS3593" s="1799"/>
      <c r="DUT3593" s="1799"/>
      <c r="DUU3593" s="1799"/>
      <c r="DUV3593" s="1799"/>
      <c r="DUW3593" s="1799"/>
      <c r="DUX3593" s="1799"/>
      <c r="DUY3593" s="1799"/>
      <c r="DUZ3593" s="1799"/>
      <c r="DVA3593" s="1799"/>
      <c r="DVB3593" s="1799"/>
      <c r="DVC3593" s="1799"/>
      <c r="DVD3593" s="1799"/>
      <c r="DVE3593" s="1799"/>
      <c r="DVF3593" s="1799"/>
      <c r="DVG3593" s="1799"/>
      <c r="DVH3593" s="1799"/>
      <c r="DVI3593" s="1799"/>
      <c r="DVJ3593" s="1799"/>
      <c r="DVK3593" s="1799"/>
      <c r="DVL3593" s="1799"/>
      <c r="DVM3593" s="1799"/>
      <c r="DVN3593" s="1799"/>
      <c r="DVO3593" s="1799"/>
      <c r="DVP3593" s="1799"/>
      <c r="DVQ3593" s="1799"/>
      <c r="DVR3593" s="1799"/>
      <c r="DVS3593" s="1799"/>
      <c r="DVT3593" s="1799"/>
      <c r="DVU3593" s="1799"/>
      <c r="DVV3593" s="1799"/>
      <c r="DVW3593" s="1799"/>
      <c r="DVX3593" s="1799"/>
      <c r="DVY3593" s="1799"/>
      <c r="DVZ3593" s="1799"/>
      <c r="DWA3593" s="1799"/>
      <c r="DWB3593" s="1799"/>
      <c r="DWC3593" s="1799"/>
      <c r="DWD3593" s="1799"/>
      <c r="DWE3593" s="1799"/>
      <c r="DWF3593" s="1799"/>
      <c r="DWG3593" s="1799"/>
      <c r="DWH3593" s="1799"/>
      <c r="DWI3593" s="1799"/>
      <c r="DWJ3593" s="1799"/>
      <c r="DWK3593" s="1799"/>
      <c r="DWL3593" s="1799"/>
      <c r="DWM3593" s="1799"/>
      <c r="DWN3593" s="1799"/>
      <c r="DWO3593" s="1799"/>
      <c r="DWP3593" s="1799"/>
      <c r="DWQ3593" s="1799"/>
      <c r="DWR3593" s="1799"/>
      <c r="DWS3593" s="1799"/>
      <c r="DWT3593" s="1799"/>
      <c r="DWU3593" s="1799"/>
      <c r="DWV3593" s="1799"/>
      <c r="DWW3593" s="1799"/>
      <c r="DWX3593" s="1799"/>
      <c r="DWY3593" s="1799"/>
      <c r="DWZ3593" s="1799"/>
      <c r="DXA3593" s="1799"/>
      <c r="DXB3593" s="1799"/>
      <c r="DXC3593" s="1799"/>
      <c r="DXD3593" s="1799"/>
      <c r="DXE3593" s="1799"/>
      <c r="DXF3593" s="1799"/>
      <c r="DXG3593" s="1799"/>
      <c r="DXH3593" s="1799"/>
      <c r="DXI3593" s="1799"/>
      <c r="DXJ3593" s="1799"/>
      <c r="DXK3593" s="1799"/>
      <c r="DXL3593" s="1799"/>
      <c r="DXM3593" s="1799"/>
      <c r="DXN3593" s="1799"/>
      <c r="DXO3593" s="1799"/>
      <c r="DXP3593" s="1799"/>
      <c r="DXQ3593" s="1799"/>
      <c r="DXR3593" s="1799"/>
      <c r="DXS3593" s="1799"/>
      <c r="DXT3593" s="1799"/>
      <c r="DXU3593" s="1799"/>
      <c r="DXV3593" s="1799"/>
      <c r="DXW3593" s="1799"/>
      <c r="DXX3593" s="1799"/>
      <c r="DXY3593" s="1799"/>
      <c r="DXZ3593" s="1799"/>
      <c r="DYA3593" s="1799"/>
      <c r="DYB3593" s="1799"/>
      <c r="DYC3593" s="1799"/>
      <c r="DYD3593" s="1799"/>
      <c r="DYE3593" s="1799"/>
      <c r="DYF3593" s="1799"/>
      <c r="DYG3593" s="1799"/>
      <c r="DYH3593" s="1799"/>
      <c r="DYI3593" s="1799"/>
      <c r="DYJ3593" s="1799"/>
      <c r="DYK3593" s="1799"/>
      <c r="DYL3593" s="1799"/>
      <c r="DYM3593" s="1799"/>
      <c r="DYN3593" s="1799"/>
      <c r="DYO3593" s="1799"/>
      <c r="DYP3593" s="1799"/>
      <c r="DYQ3593" s="1799"/>
      <c r="DYR3593" s="1799"/>
      <c r="DYS3593" s="1799"/>
      <c r="DYT3593" s="1799"/>
      <c r="DYU3593" s="1799"/>
      <c r="DYV3593" s="1799"/>
      <c r="DYW3593" s="1799"/>
      <c r="DYX3593" s="1799"/>
      <c r="DYY3593" s="1799"/>
      <c r="DYZ3593" s="1799"/>
      <c r="DZA3593" s="1799"/>
      <c r="DZB3593" s="1799"/>
      <c r="DZC3593" s="1799"/>
      <c r="DZD3593" s="1799"/>
      <c r="DZE3593" s="1799"/>
      <c r="DZF3593" s="1799"/>
      <c r="DZG3593" s="1799"/>
      <c r="DZH3593" s="1799"/>
      <c r="DZI3593" s="1799"/>
      <c r="DZJ3593" s="1799"/>
      <c r="DZK3593" s="1799"/>
      <c r="DZL3593" s="1799"/>
      <c r="DZM3593" s="1799"/>
      <c r="DZN3593" s="1799"/>
      <c r="DZO3593" s="1799"/>
      <c r="DZP3593" s="1799"/>
      <c r="DZQ3593" s="1799"/>
      <c r="DZR3593" s="1799"/>
      <c r="DZS3593" s="1799"/>
      <c r="DZT3593" s="1799"/>
      <c r="DZU3593" s="1799"/>
      <c r="DZV3593" s="1799"/>
      <c r="DZW3593" s="1799"/>
      <c r="DZX3593" s="1799"/>
      <c r="DZY3593" s="1799"/>
      <c r="DZZ3593" s="1799"/>
      <c r="EAA3593" s="1799"/>
      <c r="EAB3593" s="1799"/>
      <c r="EAC3593" s="1799"/>
      <c r="EAD3593" s="1799"/>
      <c r="EAE3593" s="1799"/>
      <c r="EAF3593" s="1799"/>
      <c r="EAG3593" s="1799"/>
      <c r="EAH3593" s="1799"/>
      <c r="EAI3593" s="1799"/>
      <c r="EAJ3593" s="1799"/>
      <c r="EAK3593" s="1799"/>
      <c r="EAL3593" s="1799"/>
      <c r="EAM3593" s="1799"/>
      <c r="EAN3593" s="1799"/>
      <c r="EAO3593" s="1799"/>
      <c r="EAP3593" s="1799"/>
      <c r="EAQ3593" s="1799"/>
      <c r="EAR3593" s="1799"/>
      <c r="EAS3593" s="1799"/>
      <c r="EAT3593" s="1799"/>
      <c r="EAU3593" s="1799"/>
      <c r="EAV3593" s="1799"/>
      <c r="EAW3593" s="1799"/>
      <c r="EAX3593" s="1799"/>
      <c r="EAY3593" s="1799"/>
      <c r="EAZ3593" s="1799"/>
      <c r="EBA3593" s="1799"/>
      <c r="EBB3593" s="1799"/>
      <c r="EBC3593" s="1799"/>
      <c r="EBD3593" s="1799"/>
      <c r="EBE3593" s="1799"/>
      <c r="EBF3593" s="1799"/>
      <c r="EBG3593" s="1799"/>
      <c r="EBH3593" s="1799"/>
      <c r="EBI3593" s="1799"/>
      <c r="EBJ3593" s="1799"/>
      <c r="EBK3593" s="1799"/>
      <c r="EBL3593" s="1799"/>
      <c r="EBM3593" s="1799"/>
      <c r="EBN3593" s="1799"/>
      <c r="EBO3593" s="1799"/>
      <c r="EBP3593" s="1799"/>
      <c r="EBQ3593" s="1799"/>
      <c r="EBR3593" s="1799"/>
      <c r="EBS3593" s="1799"/>
      <c r="EBT3593" s="1799"/>
      <c r="EBU3593" s="1799"/>
      <c r="EBV3593" s="1799"/>
      <c r="EBW3593" s="1799"/>
      <c r="EBX3593" s="1799"/>
      <c r="EBY3593" s="1799"/>
      <c r="EBZ3593" s="1799"/>
      <c r="ECA3593" s="1799"/>
      <c r="ECB3593" s="1799"/>
      <c r="ECC3593" s="1799"/>
      <c r="ECD3593" s="1799"/>
      <c r="ECE3593" s="1799"/>
      <c r="ECF3593" s="1799"/>
      <c r="ECG3593" s="1799"/>
      <c r="ECH3593" s="1799"/>
      <c r="ECI3593" s="1799"/>
      <c r="ECJ3593" s="1799"/>
      <c r="ECK3593" s="1799"/>
      <c r="ECL3593" s="1799"/>
      <c r="ECM3593" s="1799"/>
      <c r="ECN3593" s="1799"/>
      <c r="ECO3593" s="1799"/>
      <c r="ECP3593" s="1799"/>
      <c r="ECQ3593" s="1799"/>
      <c r="ECR3593" s="1799"/>
      <c r="ECS3593" s="1799"/>
      <c r="ECT3593" s="1799"/>
      <c r="ECU3593" s="1799"/>
      <c r="ECV3593" s="1799"/>
      <c r="ECW3593" s="1799"/>
      <c r="ECX3593" s="1799"/>
      <c r="ECY3593" s="1799"/>
      <c r="ECZ3593" s="1799"/>
      <c r="EDA3593" s="1799"/>
      <c r="EDB3593" s="1799"/>
      <c r="EDC3593" s="1799"/>
      <c r="EDD3593" s="1799"/>
      <c r="EDE3593" s="1799"/>
      <c r="EDF3593" s="1799"/>
      <c r="EDG3593" s="1799"/>
      <c r="EDH3593" s="1799"/>
      <c r="EDI3593" s="1799"/>
      <c r="EDJ3593" s="1799"/>
      <c r="EDK3593" s="1799"/>
      <c r="EDL3593" s="1799"/>
      <c r="EDM3593" s="1799"/>
      <c r="EDN3593" s="1799"/>
      <c r="EDO3593" s="1799"/>
      <c r="EDP3593" s="1799"/>
      <c r="EDQ3593" s="1799"/>
      <c r="EDR3593" s="1799"/>
      <c r="EDS3593" s="1799"/>
      <c r="EDT3593" s="1799"/>
      <c r="EDU3593" s="1799"/>
      <c r="EDV3593" s="1799"/>
      <c r="EDW3593" s="1799"/>
      <c r="EDX3593" s="1799"/>
      <c r="EDY3593" s="1799"/>
      <c r="EDZ3593" s="1799"/>
      <c r="EEA3593" s="1799"/>
      <c r="EEB3593" s="1799"/>
      <c r="EEC3593" s="1799"/>
      <c r="EED3593" s="1799"/>
      <c r="EEE3593" s="1799"/>
      <c r="EEF3593" s="1799"/>
      <c r="EEG3593" s="1799"/>
      <c r="EEH3593" s="1799"/>
      <c r="EEI3593" s="1799"/>
      <c r="EEJ3593" s="1799"/>
      <c r="EEK3593" s="1799"/>
      <c r="EEL3593" s="1799"/>
      <c r="EEM3593" s="1799"/>
      <c r="EEN3593" s="1799"/>
      <c r="EEO3593" s="1799"/>
      <c r="EEP3593" s="1799"/>
      <c r="EEQ3593" s="1799"/>
      <c r="EER3593" s="1799"/>
      <c r="EES3593" s="1799"/>
      <c r="EET3593" s="1799"/>
      <c r="EEU3593" s="1799"/>
      <c r="EEV3593" s="1799"/>
      <c r="EEW3593" s="1799"/>
      <c r="EEX3593" s="1799"/>
      <c r="EEY3593" s="1799"/>
      <c r="EEZ3593" s="1799"/>
      <c r="EFA3593" s="1799"/>
      <c r="EFB3593" s="1799"/>
      <c r="EFC3593" s="1799"/>
      <c r="EFD3593" s="1799"/>
      <c r="EFE3593" s="1799"/>
      <c r="EFF3593" s="1799"/>
      <c r="EFG3593" s="1799"/>
      <c r="EFH3593" s="1799"/>
      <c r="EFI3593" s="1799"/>
      <c r="EFJ3593" s="1799"/>
      <c r="EFK3593" s="1799"/>
      <c r="EFL3593" s="1799"/>
      <c r="EFM3593" s="1799"/>
      <c r="EFN3593" s="1799"/>
      <c r="EFO3593" s="1799"/>
      <c r="EFP3593" s="1799"/>
      <c r="EFQ3593" s="1799"/>
      <c r="EFR3593" s="1799"/>
      <c r="EFS3593" s="1799"/>
      <c r="EFT3593" s="1799"/>
      <c r="EFU3593" s="1799"/>
      <c r="EFV3593" s="1799"/>
      <c r="EFW3593" s="1799"/>
      <c r="EFX3593" s="1799"/>
      <c r="EFY3593" s="1799"/>
      <c r="EFZ3593" s="1799"/>
      <c r="EGA3593" s="1799"/>
      <c r="EGB3593" s="1799"/>
      <c r="EGC3593" s="1799"/>
      <c r="EGD3593" s="1799"/>
      <c r="EGE3593" s="1799"/>
      <c r="EGF3593" s="1799"/>
      <c r="EGG3593" s="1799"/>
      <c r="EGH3593" s="1799"/>
      <c r="EGI3593" s="1799"/>
      <c r="EGJ3593" s="1799"/>
      <c r="EGK3593" s="1799"/>
      <c r="EGL3593" s="1799"/>
      <c r="EGM3593" s="1799"/>
      <c r="EGN3593" s="1799"/>
      <c r="EGO3593" s="1799"/>
      <c r="EGP3593" s="1799"/>
      <c r="EGQ3593" s="1799"/>
      <c r="EGR3593" s="1799"/>
      <c r="EGS3593" s="1799"/>
      <c r="EGT3593" s="1799"/>
      <c r="EGU3593" s="1799"/>
      <c r="EGV3593" s="1799"/>
      <c r="EGW3593" s="1799"/>
      <c r="EGX3593" s="1799"/>
      <c r="EGY3593" s="1799"/>
      <c r="EGZ3593" s="1799"/>
      <c r="EHA3593" s="1799"/>
      <c r="EHB3593" s="1799"/>
      <c r="EHC3593" s="1799"/>
      <c r="EHD3593" s="1799"/>
      <c r="EHE3593" s="1799"/>
      <c r="EHF3593" s="1799"/>
      <c r="EHG3593" s="1799"/>
      <c r="EHH3593" s="1799"/>
      <c r="EHI3593" s="1799"/>
      <c r="EHJ3593" s="1799"/>
      <c r="EHK3593" s="1799"/>
      <c r="EHL3593" s="1799"/>
      <c r="EHM3593" s="1799"/>
      <c r="EHN3593" s="1799"/>
      <c r="EHO3593" s="1799"/>
      <c r="EHP3593" s="1799"/>
      <c r="EHQ3593" s="1799"/>
      <c r="EHR3593" s="1799"/>
      <c r="EHS3593" s="1799"/>
      <c r="EHT3593" s="1799"/>
      <c r="EHU3593" s="1799"/>
      <c r="EHV3593" s="1799"/>
      <c r="EHW3593" s="1799"/>
      <c r="EHX3593" s="1799"/>
      <c r="EHY3593" s="1799"/>
      <c r="EHZ3593" s="1799"/>
      <c r="EIA3593" s="1799"/>
      <c r="EIB3593" s="1799"/>
      <c r="EIC3593" s="1799"/>
      <c r="EID3593" s="1799"/>
      <c r="EIE3593" s="1799"/>
      <c r="EIF3593" s="1799"/>
      <c r="EIG3593" s="1799"/>
      <c r="EIH3593" s="1799"/>
      <c r="EII3593" s="1799"/>
      <c r="EIJ3593" s="1799"/>
      <c r="EIK3593" s="1799"/>
      <c r="EIL3593" s="1799"/>
      <c r="EIM3593" s="1799"/>
      <c r="EIN3593" s="1799"/>
      <c r="EIO3593" s="1799"/>
      <c r="EIP3593" s="1799"/>
      <c r="EIQ3593" s="1799"/>
      <c r="EIR3593" s="1799"/>
      <c r="EIS3593" s="1799"/>
      <c r="EIT3593" s="1799"/>
      <c r="EIU3593" s="1799"/>
      <c r="EIV3593" s="1799"/>
      <c r="EIW3593" s="1799"/>
      <c r="EIX3593" s="1799"/>
      <c r="EIY3593" s="1799"/>
      <c r="EIZ3593" s="1799"/>
      <c r="EJA3593" s="1799"/>
      <c r="EJB3593" s="1799"/>
      <c r="EJC3593" s="1799"/>
      <c r="EJD3593" s="1799"/>
      <c r="EJE3593" s="1799"/>
      <c r="EJF3593" s="1799"/>
      <c r="EJG3593" s="1799"/>
      <c r="EJH3593" s="1799"/>
      <c r="EJI3593" s="1799"/>
      <c r="EJJ3593" s="1799"/>
      <c r="EJK3593" s="1799"/>
      <c r="EJL3593" s="1799"/>
      <c r="EJM3593" s="1799"/>
      <c r="EJN3593" s="1799"/>
      <c r="EJO3593" s="1799"/>
      <c r="EJP3593" s="1799"/>
      <c r="EJQ3593" s="1799"/>
      <c r="EJR3593" s="1799"/>
      <c r="EJS3593" s="1799"/>
      <c r="EJT3593" s="1799"/>
      <c r="EJU3593" s="1799"/>
      <c r="EJV3593" s="1799"/>
      <c r="EJW3593" s="1799"/>
      <c r="EJX3593" s="1799"/>
      <c r="EJY3593" s="1799"/>
      <c r="EJZ3593" s="1799"/>
      <c r="EKA3593" s="1799"/>
      <c r="EKB3593" s="1799"/>
      <c r="EKC3593" s="1799"/>
      <c r="EKD3593" s="1799"/>
      <c r="EKE3593" s="1799"/>
      <c r="EKF3593" s="1799"/>
      <c r="EKG3593" s="1799"/>
      <c r="EKH3593" s="1799"/>
      <c r="EKI3593" s="1799"/>
      <c r="EKJ3593" s="1799"/>
      <c r="EKK3593" s="1799"/>
      <c r="EKL3593" s="1799"/>
      <c r="EKM3593" s="1799"/>
      <c r="EKN3593" s="1799"/>
      <c r="EKO3593" s="1799"/>
      <c r="EKP3593" s="1799"/>
      <c r="EKQ3593" s="1799"/>
      <c r="EKR3593" s="1799"/>
      <c r="EKS3593" s="1799"/>
      <c r="EKT3593" s="1799"/>
      <c r="EKU3593" s="1799"/>
      <c r="EKV3593" s="1799"/>
      <c r="EKW3593" s="1799"/>
      <c r="EKX3593" s="1799"/>
      <c r="EKY3593" s="1799"/>
      <c r="EKZ3593" s="1799"/>
      <c r="ELA3593" s="1799"/>
      <c r="ELB3593" s="1799"/>
      <c r="ELC3593" s="1799"/>
      <c r="ELD3593" s="1799"/>
      <c r="ELE3593" s="1799"/>
      <c r="ELF3593" s="1799"/>
      <c r="ELG3593" s="1799"/>
      <c r="ELH3593" s="1799"/>
      <c r="ELI3593" s="1799"/>
      <c r="ELJ3593" s="1799"/>
      <c r="ELK3593" s="1799"/>
      <c r="ELL3593" s="1799"/>
      <c r="ELM3593" s="1799"/>
      <c r="ELN3593" s="1799"/>
      <c r="ELO3593" s="1799"/>
      <c r="ELP3593" s="1799"/>
      <c r="ELQ3593" s="1799"/>
      <c r="ELR3593" s="1799"/>
      <c r="ELS3593" s="1799"/>
      <c r="ELT3593" s="1799"/>
      <c r="ELU3593" s="1799"/>
      <c r="ELV3593" s="1799"/>
      <c r="ELW3593" s="1799"/>
      <c r="ELX3593" s="1799"/>
      <c r="ELY3593" s="1799"/>
      <c r="ELZ3593" s="1799"/>
      <c r="EMA3593" s="1799"/>
      <c r="EMB3593" s="1799"/>
      <c r="EMC3593" s="1799"/>
      <c r="EMD3593" s="1799"/>
      <c r="EME3593" s="1799"/>
      <c r="EMF3593" s="1799"/>
      <c r="EMG3593" s="1799"/>
      <c r="EMH3593" s="1799"/>
      <c r="EMI3593" s="1799"/>
      <c r="EMJ3593" s="1799"/>
      <c r="EMK3593" s="1799"/>
      <c r="EML3593" s="1799"/>
      <c r="EMM3593" s="1799"/>
      <c r="EMN3593" s="1799"/>
      <c r="EMO3593" s="1799"/>
      <c r="EMP3593" s="1799"/>
      <c r="EMQ3593" s="1799"/>
      <c r="EMR3593" s="1799"/>
      <c r="EMS3593" s="1799"/>
      <c r="EMT3593" s="1799"/>
      <c r="EMU3593" s="1799"/>
      <c r="EMV3593" s="1799"/>
      <c r="EMW3593" s="1799"/>
      <c r="EMX3593" s="1799"/>
      <c r="EMY3593" s="1799"/>
      <c r="EMZ3593" s="1799"/>
      <c r="ENA3593" s="1799"/>
      <c r="ENB3593" s="1799"/>
      <c r="ENC3593" s="1799"/>
      <c r="END3593" s="1799"/>
      <c r="ENE3593" s="1799"/>
      <c r="ENF3593" s="1799"/>
      <c r="ENG3593" s="1799"/>
      <c r="ENH3593" s="1799"/>
      <c r="ENI3593" s="1799"/>
      <c r="ENJ3593" s="1799"/>
      <c r="ENK3593" s="1799"/>
      <c r="ENL3593" s="1799"/>
      <c r="ENM3593" s="1799"/>
      <c r="ENN3593" s="1799"/>
      <c r="ENO3593" s="1799"/>
      <c r="ENP3593" s="1799"/>
      <c r="ENQ3593" s="1799"/>
      <c r="ENR3593" s="1799"/>
      <c r="ENS3593" s="1799"/>
      <c r="ENT3593" s="1799"/>
      <c r="ENU3593" s="1799"/>
      <c r="ENV3593" s="1799"/>
      <c r="ENW3593" s="1799"/>
      <c r="ENX3593" s="1799"/>
      <c r="ENY3593" s="1799"/>
      <c r="ENZ3593" s="1799"/>
      <c r="EOA3593" s="1799"/>
      <c r="EOB3593" s="1799"/>
      <c r="EOC3593" s="1799"/>
      <c r="EOD3593" s="1799"/>
      <c r="EOE3593" s="1799"/>
      <c r="EOF3593" s="1799"/>
      <c r="EOG3593" s="1799"/>
      <c r="EOH3593" s="1799"/>
      <c r="EOI3593" s="1799"/>
      <c r="EOJ3593" s="1799"/>
      <c r="EOK3593" s="1799"/>
      <c r="EOL3593" s="1799"/>
      <c r="EOM3593" s="1799"/>
      <c r="EON3593" s="1799"/>
      <c r="EOO3593" s="1799"/>
      <c r="EOP3593" s="1799"/>
      <c r="EOQ3593" s="1799"/>
      <c r="EOR3593" s="1799"/>
      <c r="EOS3593" s="1799"/>
      <c r="EOT3593" s="1799"/>
      <c r="EOU3593" s="1799"/>
      <c r="EOV3593" s="1799"/>
      <c r="EOW3593" s="1799"/>
      <c r="EOX3593" s="1799"/>
      <c r="EOY3593" s="1799"/>
      <c r="EOZ3593" s="1799"/>
      <c r="EPA3593" s="1799"/>
      <c r="EPB3593" s="1799"/>
      <c r="EPC3593" s="1799"/>
      <c r="EPD3593" s="1799"/>
      <c r="EPE3593" s="1799"/>
      <c r="EPF3593" s="1799"/>
      <c r="EPG3593" s="1799"/>
      <c r="EPH3593" s="1799"/>
      <c r="EPI3593" s="1799"/>
      <c r="EPJ3593" s="1799"/>
      <c r="EPK3593" s="1799"/>
      <c r="EPL3593" s="1799"/>
      <c r="EPM3593" s="1799"/>
      <c r="EPN3593" s="1799"/>
      <c r="EPO3593" s="1799"/>
      <c r="EPP3593" s="1799"/>
      <c r="EPQ3593" s="1799"/>
      <c r="EPR3593" s="1799"/>
      <c r="EPS3593" s="1799"/>
      <c r="EPT3593" s="1799"/>
      <c r="EPU3593" s="1799"/>
      <c r="EPV3593" s="1799"/>
      <c r="EPW3593" s="1799"/>
      <c r="EPX3593" s="1799"/>
      <c r="EPY3593" s="1799"/>
      <c r="EPZ3593" s="1799"/>
      <c r="EQA3593" s="1799"/>
      <c r="EQB3593" s="1799"/>
      <c r="EQC3593" s="1799"/>
      <c r="EQD3593" s="1799"/>
      <c r="EQE3593" s="1799"/>
      <c r="EQF3593" s="1799"/>
      <c r="EQG3593" s="1799"/>
      <c r="EQH3593" s="1799"/>
      <c r="EQI3593" s="1799"/>
      <c r="EQJ3593" s="1799"/>
      <c r="EQK3593" s="1799"/>
      <c r="EQL3593" s="1799"/>
      <c r="EQM3593" s="1799"/>
      <c r="EQN3593" s="1799"/>
      <c r="EQO3593" s="1799"/>
      <c r="EQP3593" s="1799"/>
      <c r="EQQ3593" s="1799"/>
      <c r="EQR3593" s="1799"/>
      <c r="EQS3593" s="1799"/>
      <c r="EQT3593" s="1799"/>
      <c r="EQU3593" s="1799"/>
      <c r="EQV3593" s="1799"/>
      <c r="EQW3593" s="1799"/>
      <c r="EQX3593" s="1799"/>
      <c r="EQY3593" s="1799"/>
      <c r="EQZ3593" s="1799"/>
      <c r="ERA3593" s="1799"/>
      <c r="ERB3593" s="1799"/>
      <c r="ERC3593" s="1799"/>
      <c r="ERD3593" s="1799"/>
      <c r="ERE3593" s="1799"/>
      <c r="ERF3593" s="1799"/>
      <c r="ERG3593" s="1799"/>
      <c r="ERH3593" s="1799"/>
      <c r="ERI3593" s="1799"/>
      <c r="ERJ3593" s="1799"/>
      <c r="ERK3593" s="1799"/>
      <c r="ERL3593" s="1799"/>
      <c r="ERM3593" s="1799"/>
      <c r="ERN3593" s="1799"/>
      <c r="ERO3593" s="1799"/>
      <c r="ERP3593" s="1799"/>
      <c r="ERQ3593" s="1799"/>
      <c r="ERR3593" s="1799"/>
      <c r="ERS3593" s="1799"/>
      <c r="ERT3593" s="1799"/>
      <c r="ERU3593" s="1799"/>
      <c r="ERV3593" s="1799"/>
      <c r="ERW3593" s="1799"/>
      <c r="ERX3593" s="1799"/>
      <c r="ERY3593" s="1799"/>
      <c r="ERZ3593" s="1799"/>
      <c r="ESA3593" s="1799"/>
      <c r="ESB3593" s="1799"/>
      <c r="ESC3593" s="1799"/>
      <c r="ESD3593" s="1799"/>
      <c r="ESE3593" s="1799"/>
      <c r="ESF3593" s="1799"/>
      <c r="ESG3593" s="1799"/>
      <c r="ESH3593" s="1799"/>
      <c r="ESI3593" s="1799"/>
      <c r="ESJ3593" s="1799"/>
      <c r="ESK3593" s="1799"/>
      <c r="ESL3593" s="1799"/>
      <c r="ESM3593" s="1799"/>
      <c r="ESN3593" s="1799"/>
      <c r="ESO3593" s="1799"/>
      <c r="ESP3593" s="1799"/>
      <c r="ESQ3593" s="1799"/>
      <c r="ESR3593" s="1799"/>
      <c r="ESS3593" s="1799"/>
      <c r="EST3593" s="1799"/>
      <c r="ESU3593" s="1799"/>
      <c r="ESV3593" s="1799"/>
      <c r="ESW3593" s="1799"/>
      <c r="ESX3593" s="1799"/>
      <c r="ESY3593" s="1799"/>
      <c r="ESZ3593" s="1799"/>
      <c r="ETA3593" s="1799"/>
      <c r="ETB3593" s="1799"/>
      <c r="ETC3593" s="1799"/>
      <c r="ETD3593" s="1799"/>
      <c r="ETE3593" s="1799"/>
      <c r="ETF3593" s="1799"/>
      <c r="ETG3593" s="1799"/>
      <c r="ETH3593" s="1799"/>
      <c r="ETI3593" s="1799"/>
      <c r="ETJ3593" s="1799"/>
      <c r="ETK3593" s="1799"/>
      <c r="ETL3593" s="1799"/>
      <c r="ETM3593" s="1799"/>
      <c r="ETN3593" s="1799"/>
      <c r="ETO3593" s="1799"/>
      <c r="ETP3593" s="1799"/>
      <c r="ETQ3593" s="1799"/>
      <c r="ETR3593" s="1799"/>
      <c r="ETS3593" s="1799"/>
      <c r="ETT3593" s="1799"/>
      <c r="ETU3593" s="1799"/>
      <c r="ETV3593" s="1799"/>
      <c r="ETW3593" s="1799"/>
      <c r="ETX3593" s="1799"/>
      <c r="ETY3593" s="1799"/>
      <c r="ETZ3593" s="1799"/>
      <c r="EUA3593" s="1799"/>
      <c r="EUB3593" s="1799"/>
      <c r="EUC3593" s="1799"/>
      <c r="EUD3593" s="1799"/>
      <c r="EUE3593" s="1799"/>
      <c r="EUF3593" s="1799"/>
      <c r="EUG3593" s="1799"/>
      <c r="EUH3593" s="1799"/>
      <c r="EUI3593" s="1799"/>
      <c r="EUJ3593" s="1799"/>
      <c r="EUK3593" s="1799"/>
      <c r="EUL3593" s="1799"/>
      <c r="EUM3593" s="1799"/>
      <c r="EUN3593" s="1799"/>
      <c r="EUO3593" s="1799"/>
      <c r="EUP3593" s="1799"/>
      <c r="EUQ3593" s="1799"/>
      <c r="EUR3593" s="1799"/>
      <c r="EUS3593" s="1799"/>
      <c r="EUT3593" s="1799"/>
      <c r="EUU3593" s="1799"/>
      <c r="EUV3593" s="1799"/>
      <c r="EUW3593" s="1799"/>
      <c r="EUX3593" s="1799"/>
      <c r="EUY3593" s="1799"/>
      <c r="EUZ3593" s="1799"/>
      <c r="EVA3593" s="1799"/>
      <c r="EVB3593" s="1799"/>
      <c r="EVC3593" s="1799"/>
      <c r="EVD3593" s="1799"/>
      <c r="EVE3593" s="1799"/>
      <c r="EVF3593" s="1799"/>
      <c r="EVG3593" s="1799"/>
      <c r="EVH3593" s="1799"/>
      <c r="EVI3593" s="1799"/>
      <c r="EVJ3593" s="1799"/>
      <c r="EVK3593" s="1799"/>
      <c r="EVL3593" s="1799"/>
      <c r="EVM3593" s="1799"/>
      <c r="EVN3593" s="1799"/>
      <c r="EVO3593" s="1799"/>
      <c r="EVP3593" s="1799"/>
      <c r="EVQ3593" s="1799"/>
      <c r="EVR3593" s="1799"/>
      <c r="EVS3593" s="1799"/>
      <c r="EVT3593" s="1799"/>
      <c r="EVU3593" s="1799"/>
      <c r="EVV3593" s="1799"/>
      <c r="EVW3593" s="1799"/>
      <c r="EVX3593" s="1799"/>
      <c r="EVY3593" s="1799"/>
      <c r="EVZ3593" s="1799"/>
      <c r="EWA3593" s="1799"/>
      <c r="EWB3593" s="1799"/>
      <c r="EWC3593" s="1799"/>
      <c r="EWD3593" s="1799"/>
      <c r="EWE3593" s="1799"/>
      <c r="EWF3593" s="1799"/>
      <c r="EWG3593" s="1799"/>
      <c r="EWH3593" s="1799"/>
      <c r="EWI3593" s="1799"/>
      <c r="EWJ3593" s="1799"/>
      <c r="EWK3593" s="1799"/>
      <c r="EWL3593" s="1799"/>
      <c r="EWM3593" s="1799"/>
      <c r="EWN3593" s="1799"/>
      <c r="EWO3593" s="1799"/>
      <c r="EWP3593" s="1799"/>
      <c r="EWQ3593" s="1799"/>
      <c r="EWR3593" s="1799"/>
      <c r="EWS3593" s="1799"/>
      <c r="EWT3593" s="1799"/>
      <c r="EWU3593" s="1799"/>
      <c r="EWV3593" s="1799"/>
      <c r="EWW3593" s="1799"/>
      <c r="EWX3593" s="1799"/>
      <c r="EWY3593" s="1799"/>
      <c r="EWZ3593" s="1799"/>
      <c r="EXA3593" s="1799"/>
      <c r="EXB3593" s="1799"/>
      <c r="EXC3593" s="1799"/>
      <c r="EXD3593" s="1799"/>
      <c r="EXE3593" s="1799"/>
      <c r="EXF3593" s="1799"/>
      <c r="EXG3593" s="1799"/>
      <c r="EXH3593" s="1799"/>
      <c r="EXI3593" s="1799"/>
      <c r="EXJ3593" s="1799"/>
      <c r="EXK3593" s="1799"/>
      <c r="EXL3593" s="1799"/>
      <c r="EXM3593" s="1799"/>
      <c r="EXN3593" s="1799"/>
      <c r="EXO3593" s="1799"/>
      <c r="EXP3593" s="1799"/>
      <c r="EXQ3593" s="1799"/>
      <c r="EXR3593" s="1799"/>
      <c r="EXS3593" s="1799"/>
      <c r="EXT3593" s="1799"/>
      <c r="EXU3593" s="1799"/>
      <c r="EXV3593" s="1799"/>
      <c r="EXW3593" s="1799"/>
      <c r="EXX3593" s="1799"/>
      <c r="EXY3593" s="1799"/>
      <c r="EXZ3593" s="1799"/>
      <c r="EYA3593" s="1799"/>
      <c r="EYB3593" s="1799"/>
      <c r="EYC3593" s="1799"/>
      <c r="EYD3593" s="1799"/>
      <c r="EYE3593" s="1799"/>
      <c r="EYF3593" s="1799"/>
      <c r="EYG3593" s="1799"/>
      <c r="EYH3593" s="1799"/>
      <c r="EYI3593" s="1799"/>
      <c r="EYJ3593" s="1799"/>
      <c r="EYK3593" s="1799"/>
      <c r="EYL3593" s="1799"/>
      <c r="EYM3593" s="1799"/>
      <c r="EYN3593" s="1799"/>
      <c r="EYO3593" s="1799"/>
      <c r="EYP3593" s="1799"/>
      <c r="EYQ3593" s="1799"/>
      <c r="EYR3593" s="1799"/>
      <c r="EYS3593" s="1799"/>
      <c r="EYT3593" s="1799"/>
      <c r="EYU3593" s="1799"/>
      <c r="EYV3593" s="1799"/>
      <c r="EYW3593" s="1799"/>
      <c r="EYX3593" s="1799"/>
      <c r="EYY3593" s="1799"/>
      <c r="EYZ3593" s="1799"/>
      <c r="EZA3593" s="1799"/>
      <c r="EZB3593" s="1799"/>
      <c r="EZC3593" s="1799"/>
      <c r="EZD3593" s="1799"/>
      <c r="EZE3593" s="1799"/>
      <c r="EZF3593" s="1799"/>
      <c r="EZG3593" s="1799"/>
      <c r="EZH3593" s="1799"/>
      <c r="EZI3593" s="1799"/>
      <c r="EZJ3593" s="1799"/>
      <c r="EZK3593" s="1799"/>
      <c r="EZL3593" s="1799"/>
      <c r="EZM3593" s="1799"/>
      <c r="EZN3593" s="1799"/>
      <c r="EZO3593" s="1799"/>
      <c r="EZP3593" s="1799"/>
      <c r="EZQ3593" s="1799"/>
      <c r="EZR3593" s="1799"/>
      <c r="EZS3593" s="1799"/>
      <c r="EZT3593" s="1799"/>
      <c r="EZU3593" s="1799"/>
      <c r="EZV3593" s="1799"/>
      <c r="EZW3593" s="1799"/>
      <c r="EZX3593" s="1799"/>
      <c r="EZY3593" s="1799"/>
      <c r="EZZ3593" s="1799"/>
      <c r="FAA3593" s="1799"/>
      <c r="FAB3593" s="1799"/>
      <c r="FAC3593" s="1799"/>
      <c r="FAD3593" s="1799"/>
      <c r="FAE3593" s="1799"/>
      <c r="FAF3593" s="1799"/>
      <c r="FAG3593" s="1799"/>
      <c r="FAH3593" s="1799"/>
      <c r="FAI3593" s="1799"/>
      <c r="FAJ3593" s="1799"/>
      <c r="FAK3593" s="1799"/>
      <c r="FAL3593" s="1799"/>
      <c r="FAM3593" s="1799"/>
      <c r="FAN3593" s="1799"/>
      <c r="FAO3593" s="1799"/>
      <c r="FAP3593" s="1799"/>
      <c r="FAQ3593" s="1799"/>
      <c r="FAR3593" s="1799"/>
      <c r="FAS3593" s="1799"/>
      <c r="FAT3593" s="1799"/>
      <c r="FAU3593" s="1799"/>
      <c r="FAV3593" s="1799"/>
      <c r="FAW3593" s="1799"/>
      <c r="FAX3593" s="1799"/>
      <c r="FAY3593" s="1799"/>
      <c r="FAZ3593" s="1799"/>
      <c r="FBA3593" s="1799"/>
      <c r="FBB3593" s="1799"/>
      <c r="FBC3593" s="1799"/>
      <c r="FBD3593" s="1799"/>
      <c r="FBE3593" s="1799"/>
      <c r="FBF3593" s="1799"/>
      <c r="FBG3593" s="1799"/>
      <c r="FBH3593" s="1799"/>
      <c r="FBI3593" s="1799"/>
      <c r="FBJ3593" s="1799"/>
      <c r="FBK3593" s="1799"/>
      <c r="FBL3593" s="1799"/>
      <c r="FBM3593" s="1799"/>
      <c r="FBN3593" s="1799"/>
      <c r="FBO3593" s="1799"/>
      <c r="FBP3593" s="1799"/>
      <c r="FBQ3593" s="1799"/>
      <c r="FBR3593" s="1799"/>
      <c r="FBS3593" s="1799"/>
      <c r="FBT3593" s="1799"/>
      <c r="FBU3593" s="1799"/>
      <c r="FBV3593" s="1799"/>
      <c r="FBW3593" s="1799"/>
      <c r="FBX3593" s="1799"/>
      <c r="FBY3593" s="1799"/>
      <c r="FBZ3593" s="1799"/>
      <c r="FCA3593" s="1799"/>
      <c r="FCB3593" s="1799"/>
      <c r="FCC3593" s="1799"/>
      <c r="FCD3593" s="1799"/>
      <c r="FCE3593" s="1799"/>
      <c r="FCF3593" s="1799"/>
      <c r="FCG3593" s="1799"/>
      <c r="FCH3593" s="1799"/>
      <c r="FCI3593" s="1799"/>
      <c r="FCJ3593" s="1799"/>
      <c r="FCK3593" s="1799"/>
      <c r="FCL3593" s="1799"/>
      <c r="FCM3593" s="1799"/>
      <c r="FCN3593" s="1799"/>
      <c r="FCO3593" s="1799"/>
      <c r="FCP3593" s="1799"/>
      <c r="FCQ3593" s="1799"/>
      <c r="FCR3593" s="1799"/>
      <c r="FCS3593" s="1799"/>
      <c r="FCT3593" s="1799"/>
      <c r="FCU3593" s="1799"/>
      <c r="FCV3593" s="1799"/>
      <c r="FCW3593" s="1799"/>
      <c r="FCX3593" s="1799"/>
      <c r="FCY3593" s="1799"/>
      <c r="FCZ3593" s="1799"/>
      <c r="FDA3593" s="1799"/>
      <c r="FDB3593" s="1799"/>
      <c r="FDC3593" s="1799"/>
      <c r="FDD3593" s="1799"/>
      <c r="FDE3593" s="1799"/>
      <c r="FDF3593" s="1799"/>
      <c r="FDG3593" s="1799"/>
      <c r="FDH3593" s="1799"/>
      <c r="FDI3593" s="1799"/>
      <c r="FDJ3593" s="1799"/>
      <c r="FDK3593" s="1799"/>
      <c r="FDL3593" s="1799"/>
      <c r="FDM3593" s="1799"/>
      <c r="FDN3593" s="1799"/>
      <c r="FDO3593" s="1799"/>
      <c r="FDP3593" s="1799"/>
      <c r="FDQ3593" s="1799"/>
      <c r="FDR3593" s="1799"/>
      <c r="FDS3593" s="1799"/>
      <c r="FDT3593" s="1799"/>
      <c r="FDU3593" s="1799"/>
      <c r="FDV3593" s="1799"/>
      <c r="FDW3593" s="1799"/>
      <c r="FDX3593" s="1799"/>
      <c r="FDY3593" s="1799"/>
      <c r="FDZ3593" s="1799"/>
      <c r="FEA3593" s="1799"/>
      <c r="FEB3593" s="1799"/>
      <c r="FEC3593" s="1799"/>
      <c r="FED3593" s="1799"/>
      <c r="FEE3593" s="1799"/>
      <c r="FEF3593" s="1799"/>
      <c r="FEG3593" s="1799"/>
      <c r="FEH3593" s="1799"/>
      <c r="FEI3593" s="1799"/>
      <c r="FEJ3593" s="1799"/>
      <c r="FEK3593" s="1799"/>
      <c r="FEL3593" s="1799"/>
      <c r="FEM3593" s="1799"/>
      <c r="FEN3593" s="1799"/>
      <c r="FEO3593" s="1799"/>
      <c r="FEP3593" s="1799"/>
      <c r="FEQ3593" s="1799"/>
      <c r="FER3593" s="1799"/>
      <c r="FES3593" s="1799"/>
      <c r="FET3593" s="1799"/>
      <c r="FEU3593" s="1799"/>
      <c r="FEV3593" s="1799"/>
      <c r="FEW3593" s="1799"/>
      <c r="FEX3593" s="1799"/>
      <c r="FEY3593" s="1799"/>
      <c r="FEZ3593" s="1799"/>
      <c r="FFA3593" s="1799"/>
      <c r="FFB3593" s="1799"/>
      <c r="FFC3593" s="1799"/>
      <c r="FFD3593" s="1799"/>
      <c r="FFE3593" s="1799"/>
      <c r="FFF3593" s="1799"/>
      <c r="FFG3593" s="1799"/>
      <c r="FFH3593" s="1799"/>
      <c r="FFI3593" s="1799"/>
      <c r="FFJ3593" s="1799"/>
      <c r="FFK3593" s="1799"/>
      <c r="FFL3593" s="1799"/>
      <c r="FFM3593" s="1799"/>
      <c r="FFN3593" s="1799"/>
      <c r="FFO3593" s="1799"/>
      <c r="FFP3593" s="1799"/>
      <c r="FFQ3593" s="1799"/>
      <c r="FFR3593" s="1799"/>
      <c r="FFS3593" s="1799"/>
      <c r="FFT3593" s="1799"/>
      <c r="FFU3593" s="1799"/>
      <c r="FFV3593" s="1799"/>
      <c r="FFW3593" s="1799"/>
      <c r="FFX3593" s="1799"/>
      <c r="FFY3593" s="1799"/>
      <c r="FFZ3593" s="1799"/>
      <c r="FGA3593" s="1799"/>
      <c r="FGB3593" s="1799"/>
      <c r="FGC3593" s="1799"/>
      <c r="FGD3593" s="1799"/>
      <c r="FGE3593" s="1799"/>
      <c r="FGF3593" s="1799"/>
      <c r="FGG3593" s="1799"/>
      <c r="FGH3593" s="1799"/>
      <c r="FGI3593" s="1799"/>
      <c r="FGJ3593" s="1799"/>
      <c r="FGK3593" s="1799"/>
      <c r="FGL3593" s="1799"/>
      <c r="FGM3593" s="1799"/>
      <c r="FGN3593" s="1799"/>
      <c r="FGO3593" s="1799"/>
      <c r="FGP3593" s="1799"/>
      <c r="FGQ3593" s="1799"/>
      <c r="FGR3593" s="1799"/>
      <c r="FGS3593" s="1799"/>
      <c r="FGT3593" s="1799"/>
      <c r="FGU3593" s="1799"/>
      <c r="FGV3593" s="1799"/>
      <c r="FGW3593" s="1799"/>
      <c r="FGX3593" s="1799"/>
      <c r="FGY3593" s="1799"/>
      <c r="FGZ3593" s="1799"/>
      <c r="FHA3593" s="1799"/>
      <c r="FHB3593" s="1799"/>
      <c r="FHC3593" s="1799"/>
      <c r="FHD3593" s="1799"/>
      <c r="FHE3593" s="1799"/>
      <c r="FHF3593" s="1799"/>
      <c r="FHG3593" s="1799"/>
      <c r="FHH3593" s="1799"/>
      <c r="FHI3593" s="1799"/>
      <c r="FHJ3593" s="1799"/>
      <c r="FHK3593" s="1799"/>
      <c r="FHL3593" s="1799"/>
      <c r="FHM3593" s="1799"/>
      <c r="FHN3593" s="1799"/>
      <c r="FHO3593" s="1799"/>
      <c r="FHP3593" s="1799"/>
      <c r="FHQ3593" s="1799"/>
      <c r="FHR3593" s="1799"/>
      <c r="FHS3593" s="1799"/>
      <c r="FHT3593" s="1799"/>
      <c r="FHU3593" s="1799"/>
      <c r="FHV3593" s="1799"/>
      <c r="FHW3593" s="1799"/>
      <c r="FHX3593" s="1799"/>
      <c r="FHY3593" s="1799"/>
      <c r="FHZ3593" s="1799"/>
      <c r="FIA3593" s="1799"/>
      <c r="FIB3593" s="1799"/>
      <c r="FIC3593" s="1799"/>
      <c r="FID3593" s="1799"/>
      <c r="FIE3593" s="1799"/>
      <c r="FIF3593" s="1799"/>
      <c r="FIG3593" s="1799"/>
      <c r="FIH3593" s="1799"/>
      <c r="FII3593" s="1799"/>
      <c r="FIJ3593" s="1799"/>
      <c r="FIK3593" s="1799"/>
      <c r="FIL3593" s="1799"/>
      <c r="FIM3593" s="1799"/>
      <c r="FIN3593" s="1799"/>
      <c r="FIO3593" s="1799"/>
      <c r="FIP3593" s="1799"/>
      <c r="FIQ3593" s="1799"/>
      <c r="FIR3593" s="1799"/>
      <c r="FIS3593" s="1799"/>
      <c r="FIT3593" s="1799"/>
      <c r="FIU3593" s="1799"/>
      <c r="FIV3593" s="1799"/>
      <c r="FIW3593" s="1799"/>
      <c r="FIX3593" s="1799"/>
      <c r="FIY3593" s="1799"/>
      <c r="FIZ3593" s="1799"/>
      <c r="FJA3593" s="1799"/>
      <c r="FJB3593" s="1799"/>
      <c r="FJC3593" s="1799"/>
      <c r="FJD3593" s="1799"/>
      <c r="FJE3593" s="1799"/>
      <c r="FJF3593" s="1799"/>
      <c r="FJG3593" s="1799"/>
      <c r="FJH3593" s="1799"/>
      <c r="FJI3593" s="1799"/>
      <c r="FJJ3593" s="1799"/>
      <c r="FJK3593" s="1799"/>
      <c r="FJL3593" s="1799"/>
      <c r="FJM3593" s="1799"/>
      <c r="FJN3593" s="1799"/>
      <c r="FJO3593" s="1799"/>
      <c r="FJP3593" s="1799"/>
      <c r="FJQ3593" s="1799"/>
      <c r="FJR3593" s="1799"/>
      <c r="FJS3593" s="1799"/>
      <c r="FJT3593" s="1799"/>
      <c r="FJU3593" s="1799"/>
      <c r="FJV3593" s="1799"/>
      <c r="FJW3593" s="1799"/>
      <c r="FJX3593" s="1799"/>
      <c r="FJY3593" s="1799"/>
      <c r="FJZ3593" s="1799"/>
      <c r="FKA3593" s="1799"/>
      <c r="FKB3593" s="1799"/>
      <c r="FKC3593" s="1799"/>
      <c r="FKD3593" s="1799"/>
      <c r="FKE3593" s="1799"/>
      <c r="FKF3593" s="1799"/>
      <c r="FKG3593" s="1799"/>
      <c r="FKH3593" s="1799"/>
      <c r="FKI3593" s="1799"/>
      <c r="FKJ3593" s="1799"/>
      <c r="FKK3593" s="1799"/>
      <c r="FKL3593" s="1799"/>
      <c r="FKM3593" s="1799"/>
      <c r="FKN3593" s="1799"/>
      <c r="FKO3593" s="1799"/>
      <c r="FKP3593" s="1799"/>
      <c r="FKQ3593" s="1799"/>
      <c r="FKR3593" s="1799"/>
      <c r="FKS3593" s="1799"/>
      <c r="FKT3593" s="1799"/>
      <c r="FKU3593" s="1799"/>
      <c r="FKV3593" s="1799"/>
      <c r="FKW3593" s="1799"/>
      <c r="FKX3593" s="1799"/>
      <c r="FKY3593" s="1799"/>
      <c r="FKZ3593" s="1799"/>
      <c r="FLA3593" s="1799"/>
      <c r="FLB3593" s="1799"/>
      <c r="FLC3593" s="1799"/>
      <c r="FLD3593" s="1799"/>
      <c r="FLE3593" s="1799"/>
      <c r="FLF3593" s="1799"/>
      <c r="FLG3593" s="1799"/>
      <c r="FLH3593" s="1799"/>
      <c r="FLI3593" s="1799"/>
      <c r="FLJ3593" s="1799"/>
      <c r="FLK3593" s="1799"/>
      <c r="FLL3593" s="1799"/>
      <c r="FLM3593" s="1799"/>
      <c r="FLN3593" s="1799"/>
      <c r="FLO3593" s="1799"/>
      <c r="FLP3593" s="1799"/>
      <c r="FLQ3593" s="1799"/>
      <c r="FLR3593" s="1799"/>
      <c r="FLS3593" s="1799"/>
      <c r="FLT3593" s="1799"/>
      <c r="FLU3593" s="1799"/>
      <c r="FLV3593" s="1799"/>
      <c r="FLW3593" s="1799"/>
      <c r="FLX3593" s="1799"/>
      <c r="FLY3593" s="1799"/>
      <c r="FLZ3593" s="1799"/>
      <c r="FMA3593" s="1799"/>
      <c r="FMB3593" s="1799"/>
      <c r="FMC3593" s="1799"/>
      <c r="FMD3593" s="1799"/>
      <c r="FME3593" s="1799"/>
      <c r="FMF3593" s="1799"/>
      <c r="FMG3593" s="1799"/>
      <c r="FMH3593" s="1799"/>
      <c r="FMI3593" s="1799"/>
      <c r="FMJ3593" s="1799"/>
      <c r="FMK3593" s="1799"/>
      <c r="FML3593" s="1799"/>
      <c r="FMM3593" s="1799"/>
      <c r="FMN3593" s="1799"/>
      <c r="FMO3593" s="1799"/>
      <c r="FMP3593" s="1799"/>
      <c r="FMQ3593" s="1799"/>
      <c r="FMR3593" s="1799"/>
      <c r="FMS3593" s="1799"/>
      <c r="FMT3593" s="1799"/>
      <c r="FMU3593" s="1799"/>
      <c r="FMV3593" s="1799"/>
      <c r="FMW3593" s="1799"/>
      <c r="FMX3593" s="1799"/>
      <c r="FMY3593" s="1799"/>
      <c r="FMZ3593" s="1799"/>
      <c r="FNA3593" s="1799"/>
      <c r="FNB3593" s="1799"/>
      <c r="FNC3593" s="1799"/>
      <c r="FND3593" s="1799"/>
      <c r="FNE3593" s="1799"/>
      <c r="FNF3593" s="1799"/>
      <c r="FNG3593" s="1799"/>
      <c r="FNH3593" s="1799"/>
      <c r="FNI3593" s="1799"/>
      <c r="FNJ3593" s="1799"/>
      <c r="FNK3593" s="1799"/>
      <c r="FNL3593" s="1799"/>
      <c r="FNM3593" s="1799"/>
      <c r="FNN3593" s="1799"/>
      <c r="FNO3593" s="1799"/>
      <c r="FNP3593" s="1799"/>
      <c r="FNQ3593" s="1799"/>
      <c r="FNR3593" s="1799"/>
      <c r="FNS3593" s="1799"/>
      <c r="FNT3593" s="1799"/>
      <c r="FNU3593" s="1799"/>
      <c r="FNV3593" s="1799"/>
      <c r="FNW3593" s="1799"/>
      <c r="FNX3593" s="1799"/>
      <c r="FNY3593" s="1799"/>
      <c r="FNZ3593" s="1799"/>
      <c r="FOA3593" s="1799"/>
      <c r="FOB3593" s="1799"/>
      <c r="FOC3593" s="1799"/>
      <c r="FOD3593" s="1799"/>
      <c r="FOE3593" s="1799"/>
      <c r="FOF3593" s="1799"/>
      <c r="FOG3593" s="1799"/>
      <c r="FOH3593" s="1799"/>
      <c r="FOI3593" s="1799"/>
      <c r="FOJ3593" s="1799"/>
      <c r="FOK3593" s="1799"/>
      <c r="FOL3593" s="1799"/>
      <c r="FOM3593" s="1799"/>
      <c r="FON3593" s="1799"/>
      <c r="FOO3593" s="1799"/>
      <c r="FOP3593" s="1799"/>
      <c r="FOQ3593" s="1799"/>
      <c r="FOR3593" s="1799"/>
      <c r="FOS3593" s="1799"/>
      <c r="FOT3593" s="1799"/>
      <c r="FOU3593" s="1799"/>
      <c r="FOV3593" s="1799"/>
      <c r="FOW3593" s="1799"/>
      <c r="FOX3593" s="1799"/>
      <c r="FOY3593" s="1799"/>
      <c r="FOZ3593" s="1799"/>
      <c r="FPA3593" s="1799"/>
      <c r="FPB3593" s="1799"/>
      <c r="FPC3593" s="1799"/>
      <c r="FPD3593" s="1799"/>
      <c r="FPE3593" s="1799"/>
      <c r="FPF3593" s="1799"/>
      <c r="FPG3593" s="1799"/>
      <c r="FPH3593" s="1799"/>
      <c r="FPI3593" s="1799"/>
      <c r="FPJ3593" s="1799"/>
      <c r="FPK3593" s="1799"/>
      <c r="FPL3593" s="1799"/>
      <c r="FPM3593" s="1799"/>
      <c r="FPN3593" s="1799"/>
      <c r="FPO3593" s="1799"/>
      <c r="FPP3593" s="1799"/>
      <c r="FPQ3593" s="1799"/>
      <c r="FPR3593" s="1799"/>
      <c r="FPS3593" s="1799"/>
      <c r="FPT3593" s="1799"/>
      <c r="FPU3593" s="1799"/>
      <c r="FPV3593" s="1799"/>
      <c r="FPW3593" s="1799"/>
      <c r="FPX3593" s="1799"/>
      <c r="FPY3593" s="1799"/>
      <c r="FPZ3593" s="1799"/>
      <c r="FQA3593" s="1799"/>
      <c r="FQB3593" s="1799"/>
      <c r="FQC3593" s="1799"/>
      <c r="FQD3593" s="1799"/>
      <c r="FQE3593" s="1799"/>
      <c r="FQF3593" s="1799"/>
      <c r="FQG3593" s="1799"/>
      <c r="FQH3593" s="1799"/>
      <c r="FQI3593" s="1799"/>
      <c r="FQJ3593" s="1799"/>
      <c r="FQK3593" s="1799"/>
      <c r="FQL3593" s="1799"/>
      <c r="FQM3593" s="1799"/>
      <c r="FQN3593" s="1799"/>
      <c r="FQO3593" s="1799"/>
      <c r="FQP3593" s="1799"/>
      <c r="FQQ3593" s="1799"/>
      <c r="FQR3593" s="1799"/>
      <c r="FQS3593" s="1799"/>
      <c r="FQT3593" s="1799"/>
      <c r="FQU3593" s="1799"/>
      <c r="FQV3593" s="1799"/>
      <c r="FQW3593" s="1799"/>
      <c r="FQX3593" s="1799"/>
      <c r="FQY3593" s="1799"/>
      <c r="FQZ3593" s="1799"/>
      <c r="FRA3593" s="1799"/>
      <c r="FRB3593" s="1799"/>
      <c r="FRC3593" s="1799"/>
      <c r="FRD3593" s="1799"/>
      <c r="FRE3593" s="1799"/>
      <c r="FRF3593" s="1799"/>
      <c r="FRG3593" s="1799"/>
      <c r="FRH3593" s="1799"/>
      <c r="FRI3593" s="1799"/>
      <c r="FRJ3593" s="1799"/>
      <c r="FRK3593" s="1799"/>
      <c r="FRL3593" s="1799"/>
      <c r="FRM3593" s="1799"/>
      <c r="FRN3593" s="1799"/>
      <c r="FRO3593" s="1799"/>
      <c r="FRP3593" s="1799"/>
      <c r="FRQ3593" s="1799"/>
      <c r="FRR3593" s="1799"/>
      <c r="FRS3593" s="1799"/>
      <c r="FRT3593" s="1799"/>
      <c r="FRU3593" s="1799"/>
      <c r="FRV3593" s="1799"/>
      <c r="FRW3593" s="1799"/>
      <c r="FRX3593" s="1799"/>
      <c r="FRY3593" s="1799"/>
      <c r="FRZ3593" s="1799"/>
      <c r="FSA3593" s="1799"/>
      <c r="FSB3593" s="1799"/>
      <c r="FSC3593" s="1799"/>
      <c r="FSD3593" s="1799"/>
      <c r="FSE3593" s="1799"/>
      <c r="FSF3593" s="1799"/>
      <c r="FSG3593" s="1799"/>
      <c r="FSH3593" s="1799"/>
      <c r="FSI3593" s="1799"/>
      <c r="FSJ3593" s="1799"/>
      <c r="FSK3593" s="1799"/>
      <c r="FSL3593" s="1799"/>
      <c r="FSM3593" s="1799"/>
      <c r="FSN3593" s="1799"/>
      <c r="FSO3593" s="1799"/>
      <c r="FSP3593" s="1799"/>
      <c r="FSQ3593" s="1799"/>
      <c r="FSR3593" s="1799"/>
      <c r="FSS3593" s="1799"/>
      <c r="FST3593" s="1799"/>
      <c r="FSU3593" s="1799"/>
      <c r="FSV3593" s="1799"/>
      <c r="FSW3593" s="1799"/>
      <c r="FSX3593" s="1799"/>
      <c r="FSY3593" s="1799"/>
      <c r="FSZ3593" s="1799"/>
      <c r="FTA3593" s="1799"/>
      <c r="FTB3593" s="1799"/>
      <c r="FTC3593" s="1799"/>
      <c r="FTD3593" s="1799"/>
      <c r="FTE3593" s="1799"/>
      <c r="FTF3593" s="1799"/>
      <c r="FTG3593" s="1799"/>
      <c r="FTH3593" s="1799"/>
      <c r="FTI3593" s="1799"/>
      <c r="FTJ3593" s="1799"/>
      <c r="FTK3593" s="1799"/>
      <c r="FTL3593" s="1799"/>
      <c r="FTM3593" s="1799"/>
      <c r="FTN3593" s="1799"/>
      <c r="FTO3593" s="1799"/>
      <c r="FTP3593" s="1799"/>
      <c r="FTQ3593" s="1799"/>
      <c r="FTR3593" s="1799"/>
      <c r="FTS3593" s="1799"/>
      <c r="FTT3593" s="1799"/>
      <c r="FTU3593" s="1799"/>
      <c r="FTV3593" s="1799"/>
      <c r="FTW3593" s="1799"/>
      <c r="FTX3593" s="1799"/>
      <c r="FTY3593" s="1799"/>
      <c r="FTZ3593" s="1799"/>
      <c r="FUA3593" s="1799"/>
      <c r="FUB3593" s="1799"/>
      <c r="FUC3593" s="1799"/>
      <c r="FUD3593" s="1799"/>
      <c r="FUE3593" s="1799"/>
      <c r="FUF3593" s="1799"/>
      <c r="FUG3593" s="1799"/>
      <c r="FUH3593" s="1799"/>
      <c r="FUI3593" s="1799"/>
      <c r="FUJ3593" s="1799"/>
      <c r="FUK3593" s="1799"/>
      <c r="FUL3593" s="1799"/>
      <c r="FUM3593" s="1799"/>
      <c r="FUN3593" s="1799"/>
      <c r="FUO3593" s="1799"/>
      <c r="FUP3593" s="1799"/>
      <c r="FUQ3593" s="1799"/>
      <c r="FUR3593" s="1799"/>
      <c r="FUS3593" s="1799"/>
      <c r="FUT3593" s="1799"/>
      <c r="FUU3593" s="1799"/>
      <c r="FUV3593" s="1799"/>
      <c r="FUW3593" s="1799"/>
      <c r="FUX3593" s="1799"/>
      <c r="FUY3593" s="1799"/>
      <c r="FUZ3593" s="1799"/>
      <c r="FVA3593" s="1799"/>
      <c r="FVB3593" s="1799"/>
      <c r="FVC3593" s="1799"/>
      <c r="FVD3593" s="1799"/>
      <c r="FVE3593" s="1799"/>
      <c r="FVF3593" s="1799"/>
      <c r="FVG3593" s="1799"/>
      <c r="FVH3593" s="1799"/>
      <c r="FVI3593" s="1799"/>
      <c r="FVJ3593" s="1799"/>
      <c r="FVK3593" s="1799"/>
      <c r="FVL3593" s="1799"/>
      <c r="FVM3593" s="1799"/>
      <c r="FVN3593" s="1799"/>
      <c r="FVO3593" s="1799"/>
      <c r="FVP3593" s="1799"/>
      <c r="FVQ3593" s="1799"/>
      <c r="FVR3593" s="1799"/>
      <c r="FVS3593" s="1799"/>
      <c r="FVT3593" s="1799"/>
      <c r="FVU3593" s="1799"/>
      <c r="FVV3593" s="1799"/>
      <c r="FVW3593" s="1799"/>
      <c r="FVX3593" s="1799"/>
      <c r="FVY3593" s="1799"/>
      <c r="FVZ3593" s="1799"/>
      <c r="FWA3593" s="1799"/>
      <c r="FWB3593" s="1799"/>
      <c r="FWC3593" s="1799"/>
      <c r="FWD3593" s="1799"/>
      <c r="FWE3593" s="1799"/>
      <c r="FWF3593" s="1799"/>
      <c r="FWG3593" s="1799"/>
      <c r="FWH3593" s="1799"/>
      <c r="FWI3593" s="1799"/>
      <c r="FWJ3593" s="1799"/>
      <c r="FWK3593" s="1799"/>
      <c r="FWL3593" s="1799"/>
      <c r="FWM3593" s="1799"/>
      <c r="FWN3593" s="1799"/>
      <c r="FWO3593" s="1799"/>
      <c r="FWP3593" s="1799"/>
      <c r="FWQ3593" s="1799"/>
      <c r="FWR3593" s="1799"/>
      <c r="FWS3593" s="1799"/>
      <c r="FWT3593" s="1799"/>
      <c r="FWU3593" s="1799"/>
      <c r="FWV3593" s="1799"/>
      <c r="FWW3593" s="1799"/>
      <c r="FWX3593" s="1799"/>
      <c r="FWY3593" s="1799"/>
      <c r="FWZ3593" s="1799"/>
      <c r="FXA3593" s="1799"/>
      <c r="FXB3593" s="1799"/>
      <c r="FXC3593" s="1799"/>
      <c r="FXD3593" s="1799"/>
      <c r="FXE3593" s="1799"/>
      <c r="FXF3593" s="1799"/>
      <c r="FXG3593" s="1799"/>
      <c r="FXH3593" s="1799"/>
      <c r="FXI3593" s="1799"/>
      <c r="FXJ3593" s="1799"/>
      <c r="FXK3593" s="1799"/>
      <c r="FXL3593" s="1799"/>
      <c r="FXM3593" s="1799"/>
      <c r="FXN3593" s="1799"/>
      <c r="FXO3593" s="1799"/>
      <c r="FXP3593" s="1799"/>
      <c r="FXQ3593" s="1799"/>
      <c r="FXR3593" s="1799"/>
      <c r="FXS3593" s="1799"/>
      <c r="FXT3593" s="1799"/>
      <c r="FXU3593" s="1799"/>
      <c r="FXV3593" s="1799"/>
      <c r="FXW3593" s="1799"/>
      <c r="FXX3593" s="1799"/>
      <c r="FXY3593" s="1799"/>
      <c r="FXZ3593" s="1799"/>
      <c r="FYA3593" s="1799"/>
      <c r="FYB3593" s="1799"/>
      <c r="FYC3593" s="1799"/>
      <c r="FYD3593" s="1799"/>
      <c r="FYE3593" s="1799"/>
      <c r="FYF3593" s="1799"/>
      <c r="FYG3593" s="1799"/>
      <c r="FYH3593" s="1799"/>
      <c r="FYI3593" s="1799"/>
      <c r="FYJ3593" s="1799"/>
      <c r="FYK3593" s="1799"/>
      <c r="FYL3593" s="1799"/>
      <c r="FYM3593" s="1799"/>
      <c r="FYN3593" s="1799"/>
      <c r="FYO3593" s="1799"/>
      <c r="FYP3593" s="1799"/>
      <c r="FYQ3593" s="1799"/>
      <c r="FYR3593" s="1799"/>
      <c r="FYS3593" s="1799"/>
      <c r="FYT3593" s="1799"/>
      <c r="FYU3593" s="1799"/>
      <c r="FYV3593" s="1799"/>
      <c r="FYW3593" s="1799"/>
      <c r="FYX3593" s="1799"/>
      <c r="FYY3593" s="1799"/>
      <c r="FYZ3593" s="1799"/>
      <c r="FZA3593" s="1799"/>
      <c r="FZB3593" s="1799"/>
      <c r="FZC3593" s="1799"/>
      <c r="FZD3593" s="1799"/>
      <c r="FZE3593" s="1799"/>
      <c r="FZF3593" s="1799"/>
      <c r="FZG3593" s="1799"/>
      <c r="FZH3593" s="1799"/>
      <c r="FZI3593" s="1799"/>
      <c r="FZJ3593" s="1799"/>
      <c r="FZK3593" s="1799"/>
      <c r="FZL3593" s="1799"/>
      <c r="FZM3593" s="1799"/>
      <c r="FZN3593" s="1799"/>
      <c r="FZO3593" s="1799"/>
      <c r="FZP3593" s="1799"/>
      <c r="FZQ3593" s="1799"/>
      <c r="FZR3593" s="1799"/>
      <c r="FZS3593" s="1799"/>
      <c r="FZT3593" s="1799"/>
      <c r="FZU3593" s="1799"/>
      <c r="FZV3593" s="1799"/>
      <c r="FZW3593" s="1799"/>
      <c r="FZX3593" s="1799"/>
      <c r="FZY3593" s="1799"/>
      <c r="FZZ3593" s="1799"/>
      <c r="GAA3593" s="1799"/>
      <c r="GAB3593" s="1799"/>
      <c r="GAC3593" s="1799"/>
      <c r="GAD3593" s="1799"/>
      <c r="GAE3593" s="1799"/>
      <c r="GAF3593" s="1799"/>
      <c r="GAG3593" s="1799"/>
      <c r="GAH3593" s="1799"/>
      <c r="GAI3593" s="1799"/>
      <c r="GAJ3593" s="1799"/>
      <c r="GAK3593" s="1799"/>
      <c r="GAL3593" s="1799"/>
      <c r="GAM3593" s="1799"/>
      <c r="GAN3593" s="1799"/>
      <c r="GAO3593" s="1799"/>
      <c r="GAP3593" s="1799"/>
      <c r="GAQ3593" s="1799"/>
      <c r="GAR3593" s="1799"/>
      <c r="GAS3593" s="1799"/>
      <c r="GAT3593" s="1799"/>
      <c r="GAU3593" s="1799"/>
      <c r="GAV3593" s="1799"/>
      <c r="GAW3593" s="1799"/>
      <c r="GAX3593" s="1799"/>
      <c r="GAY3593" s="1799"/>
      <c r="GAZ3593" s="1799"/>
      <c r="GBA3593" s="1799"/>
      <c r="GBB3593" s="1799"/>
      <c r="GBC3593" s="1799"/>
      <c r="GBD3593" s="1799"/>
      <c r="GBE3593" s="1799"/>
      <c r="GBF3593" s="1799"/>
      <c r="GBG3593" s="1799"/>
      <c r="GBH3593" s="1799"/>
      <c r="GBI3593" s="1799"/>
      <c r="GBJ3593" s="1799"/>
      <c r="GBK3593" s="1799"/>
      <c r="GBL3593" s="1799"/>
      <c r="GBM3593" s="1799"/>
      <c r="GBN3593" s="1799"/>
      <c r="GBO3593" s="1799"/>
      <c r="GBP3593" s="1799"/>
      <c r="GBQ3593" s="1799"/>
      <c r="GBR3593" s="1799"/>
      <c r="GBS3593" s="1799"/>
      <c r="GBT3593" s="1799"/>
      <c r="GBU3593" s="1799"/>
      <c r="GBV3593" s="1799"/>
      <c r="GBW3593" s="1799"/>
      <c r="GBX3593" s="1799"/>
      <c r="GBY3593" s="1799"/>
      <c r="GBZ3593" s="1799"/>
      <c r="GCA3593" s="1799"/>
      <c r="GCB3593" s="1799"/>
      <c r="GCC3593" s="1799"/>
      <c r="GCD3593" s="1799"/>
      <c r="GCE3593" s="1799"/>
      <c r="GCF3593" s="1799"/>
      <c r="GCG3593" s="1799"/>
      <c r="GCH3593" s="1799"/>
      <c r="GCI3593" s="1799"/>
      <c r="GCJ3593" s="1799"/>
      <c r="GCK3593" s="1799"/>
      <c r="GCL3593" s="1799"/>
      <c r="GCM3593" s="1799"/>
      <c r="GCN3593" s="1799"/>
      <c r="GCO3593" s="1799"/>
      <c r="GCP3593" s="1799"/>
      <c r="GCQ3593" s="1799"/>
      <c r="GCR3593" s="1799"/>
      <c r="GCS3593" s="1799"/>
      <c r="GCT3593" s="1799"/>
      <c r="GCU3593" s="1799"/>
      <c r="GCV3593" s="1799"/>
      <c r="GCW3593" s="1799"/>
      <c r="GCX3593" s="1799"/>
      <c r="GCY3593" s="1799"/>
      <c r="GCZ3593" s="1799"/>
      <c r="GDA3593" s="1799"/>
      <c r="GDB3593" s="1799"/>
      <c r="GDC3593" s="1799"/>
      <c r="GDD3593" s="1799"/>
      <c r="GDE3593" s="1799"/>
      <c r="GDF3593" s="1799"/>
      <c r="GDG3593" s="1799"/>
      <c r="GDH3593" s="1799"/>
      <c r="GDI3593" s="1799"/>
      <c r="GDJ3593" s="1799"/>
      <c r="GDK3593" s="1799"/>
      <c r="GDL3593" s="1799"/>
      <c r="GDM3593" s="1799"/>
      <c r="GDN3593" s="1799"/>
      <c r="GDO3593" s="1799"/>
      <c r="GDP3593" s="1799"/>
      <c r="GDQ3593" s="1799"/>
      <c r="GDR3593" s="1799"/>
      <c r="GDS3593" s="1799"/>
      <c r="GDT3593" s="1799"/>
      <c r="GDU3593" s="1799"/>
      <c r="GDV3593" s="1799"/>
      <c r="GDW3593" s="1799"/>
      <c r="GDX3593" s="1799"/>
      <c r="GDY3593" s="1799"/>
      <c r="GDZ3593" s="1799"/>
      <c r="GEA3593" s="1799"/>
      <c r="GEB3593" s="1799"/>
      <c r="GEC3593" s="1799"/>
      <c r="GED3593" s="1799"/>
      <c r="GEE3593" s="1799"/>
      <c r="GEF3593" s="1799"/>
      <c r="GEG3593" s="1799"/>
      <c r="GEH3593" s="1799"/>
      <c r="GEI3593" s="1799"/>
      <c r="GEJ3593" s="1799"/>
      <c r="GEK3593" s="1799"/>
      <c r="GEL3593" s="1799"/>
      <c r="GEM3593" s="1799"/>
      <c r="GEN3593" s="1799"/>
      <c r="GEO3593" s="1799"/>
      <c r="GEP3593" s="1799"/>
      <c r="GEQ3593" s="1799"/>
      <c r="GER3593" s="1799"/>
      <c r="GES3593" s="1799"/>
      <c r="GET3593" s="1799"/>
      <c r="GEU3593" s="1799"/>
      <c r="GEV3593" s="1799"/>
      <c r="GEW3593" s="1799"/>
      <c r="GEX3593" s="1799"/>
      <c r="GEY3593" s="1799"/>
      <c r="GEZ3593" s="1799"/>
      <c r="GFA3593" s="1799"/>
      <c r="GFB3593" s="1799"/>
      <c r="GFC3593" s="1799"/>
      <c r="GFD3593" s="1799"/>
      <c r="GFE3593" s="1799"/>
      <c r="GFF3593" s="1799"/>
      <c r="GFG3593" s="1799"/>
      <c r="GFH3593" s="1799"/>
      <c r="GFI3593" s="1799"/>
      <c r="GFJ3593" s="1799"/>
      <c r="GFK3593" s="1799"/>
      <c r="GFL3593" s="1799"/>
      <c r="GFM3593" s="1799"/>
      <c r="GFN3593" s="1799"/>
      <c r="GFO3593" s="1799"/>
      <c r="GFP3593" s="1799"/>
      <c r="GFQ3593" s="1799"/>
      <c r="GFR3593" s="1799"/>
      <c r="GFS3593" s="1799"/>
      <c r="GFT3593" s="1799"/>
      <c r="GFU3593" s="1799"/>
      <c r="GFV3593" s="1799"/>
      <c r="GFW3593" s="1799"/>
      <c r="GFX3593" s="1799"/>
      <c r="GFY3593" s="1799"/>
      <c r="GFZ3593" s="1799"/>
      <c r="GGA3593" s="1799"/>
      <c r="GGB3593" s="1799"/>
      <c r="GGC3593" s="1799"/>
      <c r="GGD3593" s="1799"/>
      <c r="GGE3593" s="1799"/>
      <c r="GGF3593" s="1799"/>
      <c r="GGG3593" s="1799"/>
      <c r="GGH3593" s="1799"/>
      <c r="GGI3593" s="1799"/>
      <c r="GGJ3593" s="1799"/>
      <c r="GGK3593" s="1799"/>
      <c r="GGL3593" s="1799"/>
      <c r="GGM3593" s="1799"/>
      <c r="GGN3593" s="1799"/>
      <c r="GGO3593" s="1799"/>
      <c r="GGP3593" s="1799"/>
      <c r="GGQ3593" s="1799"/>
      <c r="GGR3593" s="1799"/>
      <c r="GGS3593" s="1799"/>
      <c r="GGT3593" s="1799"/>
      <c r="GGU3593" s="1799"/>
      <c r="GGV3593" s="1799"/>
      <c r="GGW3593" s="1799"/>
      <c r="GGX3593" s="1799"/>
      <c r="GGY3593" s="1799"/>
      <c r="GGZ3593" s="1799"/>
      <c r="GHA3593" s="1799"/>
      <c r="GHB3593" s="1799"/>
      <c r="GHC3593" s="1799"/>
      <c r="GHD3593" s="1799"/>
      <c r="GHE3593" s="1799"/>
      <c r="GHF3593" s="1799"/>
      <c r="GHG3593" s="1799"/>
      <c r="GHH3593" s="1799"/>
      <c r="GHI3593" s="1799"/>
      <c r="GHJ3593" s="1799"/>
      <c r="GHK3593" s="1799"/>
      <c r="GHL3593" s="1799"/>
      <c r="GHM3593" s="1799"/>
      <c r="GHN3593" s="1799"/>
      <c r="GHO3593" s="1799"/>
      <c r="GHP3593" s="1799"/>
      <c r="GHQ3593" s="1799"/>
      <c r="GHR3593" s="1799"/>
      <c r="GHS3593" s="1799"/>
      <c r="GHT3593" s="1799"/>
      <c r="GHU3593" s="1799"/>
      <c r="GHV3593" s="1799"/>
      <c r="GHW3593" s="1799"/>
      <c r="GHX3593" s="1799"/>
      <c r="GHY3593" s="1799"/>
      <c r="GHZ3593" s="1799"/>
      <c r="GIA3593" s="1799"/>
      <c r="GIB3593" s="1799"/>
      <c r="GIC3593" s="1799"/>
      <c r="GID3593" s="1799"/>
      <c r="GIE3593" s="1799"/>
      <c r="GIF3593" s="1799"/>
      <c r="GIG3593" s="1799"/>
      <c r="GIH3593" s="1799"/>
      <c r="GII3593" s="1799"/>
      <c r="GIJ3593" s="1799"/>
      <c r="GIK3593" s="1799"/>
      <c r="GIL3593" s="1799"/>
      <c r="GIM3593" s="1799"/>
      <c r="GIN3593" s="1799"/>
      <c r="GIO3593" s="1799"/>
      <c r="GIP3593" s="1799"/>
      <c r="GIQ3593" s="1799"/>
      <c r="GIR3593" s="1799"/>
      <c r="GIS3593" s="1799"/>
      <c r="GIT3593" s="1799"/>
      <c r="GIU3593" s="1799"/>
      <c r="GIV3593" s="1799"/>
      <c r="GIW3593" s="1799"/>
      <c r="GIX3593" s="1799"/>
      <c r="GIY3593" s="1799"/>
      <c r="GIZ3593" s="1799"/>
      <c r="GJA3593" s="1799"/>
      <c r="GJB3593" s="1799"/>
      <c r="GJC3593" s="1799"/>
      <c r="GJD3593" s="1799"/>
      <c r="GJE3593" s="1799"/>
      <c r="GJF3593" s="1799"/>
      <c r="GJG3593" s="1799"/>
      <c r="GJH3593" s="1799"/>
      <c r="GJI3593" s="1799"/>
      <c r="GJJ3593" s="1799"/>
      <c r="GJK3593" s="1799"/>
      <c r="GJL3593" s="1799"/>
      <c r="GJM3593" s="1799"/>
      <c r="GJN3593" s="1799"/>
      <c r="GJO3593" s="1799"/>
      <c r="GJP3593" s="1799"/>
      <c r="GJQ3593" s="1799"/>
      <c r="GJR3593" s="1799"/>
      <c r="GJS3593" s="1799"/>
      <c r="GJT3593" s="1799"/>
      <c r="GJU3593" s="1799"/>
      <c r="GJV3593" s="1799"/>
      <c r="GJW3593" s="1799"/>
      <c r="GJX3593" s="1799"/>
      <c r="GJY3593" s="1799"/>
      <c r="GJZ3593" s="1799"/>
      <c r="GKA3593" s="1799"/>
      <c r="GKB3593" s="1799"/>
      <c r="GKC3593" s="1799"/>
      <c r="GKD3593" s="1799"/>
      <c r="GKE3593" s="1799"/>
      <c r="GKF3593" s="1799"/>
      <c r="GKG3593" s="1799"/>
      <c r="GKH3593" s="1799"/>
      <c r="GKI3593" s="1799"/>
      <c r="GKJ3593" s="1799"/>
      <c r="GKK3593" s="1799"/>
      <c r="GKL3593" s="1799"/>
      <c r="GKM3593" s="1799"/>
      <c r="GKN3593" s="1799"/>
      <c r="GKO3593" s="1799"/>
      <c r="GKP3593" s="1799"/>
      <c r="GKQ3593" s="1799"/>
      <c r="GKR3593" s="1799"/>
      <c r="GKS3593" s="1799"/>
      <c r="GKT3593" s="1799"/>
      <c r="GKU3593" s="1799"/>
      <c r="GKV3593" s="1799"/>
      <c r="GKW3593" s="1799"/>
      <c r="GKX3593" s="1799"/>
      <c r="GKY3593" s="1799"/>
      <c r="GKZ3593" s="1799"/>
      <c r="GLA3593" s="1799"/>
      <c r="GLB3593" s="1799"/>
      <c r="GLC3593" s="1799"/>
      <c r="GLD3593" s="1799"/>
      <c r="GLE3593" s="1799"/>
      <c r="GLF3593" s="1799"/>
      <c r="GLG3593" s="1799"/>
      <c r="GLH3593" s="1799"/>
      <c r="GLI3593" s="1799"/>
      <c r="GLJ3593" s="1799"/>
      <c r="GLK3593" s="1799"/>
      <c r="GLL3593" s="1799"/>
      <c r="GLM3593" s="1799"/>
      <c r="GLN3593" s="1799"/>
      <c r="GLO3593" s="1799"/>
      <c r="GLP3593" s="1799"/>
      <c r="GLQ3593" s="1799"/>
      <c r="GLR3593" s="1799"/>
      <c r="GLS3593" s="1799"/>
      <c r="GLT3593" s="1799"/>
      <c r="GLU3593" s="1799"/>
      <c r="GLV3593" s="1799"/>
      <c r="GLW3593" s="1799"/>
      <c r="GLX3593" s="1799"/>
      <c r="GLY3593" s="1799"/>
      <c r="GLZ3593" s="1799"/>
      <c r="GMA3593" s="1799"/>
      <c r="GMB3593" s="1799"/>
      <c r="GMC3593" s="1799"/>
      <c r="GMD3593" s="1799"/>
      <c r="GME3593" s="1799"/>
      <c r="GMF3593" s="1799"/>
      <c r="GMG3593" s="1799"/>
      <c r="GMH3593" s="1799"/>
      <c r="GMI3593" s="1799"/>
      <c r="GMJ3593" s="1799"/>
      <c r="GMK3593" s="1799"/>
      <c r="GML3593" s="1799"/>
      <c r="GMM3593" s="1799"/>
      <c r="GMN3593" s="1799"/>
      <c r="GMO3593" s="1799"/>
      <c r="GMP3593" s="1799"/>
      <c r="GMQ3593" s="1799"/>
      <c r="GMR3593" s="1799"/>
      <c r="GMS3593" s="1799"/>
      <c r="GMT3593" s="1799"/>
      <c r="GMU3593" s="1799"/>
      <c r="GMV3593" s="1799"/>
      <c r="GMW3593" s="1799"/>
      <c r="GMX3593" s="1799"/>
      <c r="GMY3593" s="1799"/>
      <c r="GMZ3593" s="1799"/>
      <c r="GNA3593" s="1799"/>
      <c r="GNB3593" s="1799"/>
      <c r="GNC3593" s="1799"/>
      <c r="GND3593" s="1799"/>
      <c r="GNE3593" s="1799"/>
      <c r="GNF3593" s="1799"/>
      <c r="GNG3593" s="1799"/>
      <c r="GNH3593" s="1799"/>
      <c r="GNI3593" s="1799"/>
      <c r="GNJ3593" s="1799"/>
      <c r="GNK3593" s="1799"/>
      <c r="GNL3593" s="1799"/>
      <c r="GNM3593" s="1799"/>
      <c r="GNN3593" s="1799"/>
      <c r="GNO3593" s="1799"/>
      <c r="GNP3593" s="1799"/>
      <c r="GNQ3593" s="1799"/>
      <c r="GNR3593" s="1799"/>
      <c r="GNS3593" s="1799"/>
      <c r="GNT3593" s="1799"/>
      <c r="GNU3593" s="1799"/>
      <c r="GNV3593" s="1799"/>
      <c r="GNW3593" s="1799"/>
      <c r="GNX3593" s="1799"/>
      <c r="GNY3593" s="1799"/>
      <c r="GNZ3593" s="1799"/>
      <c r="GOA3593" s="1799"/>
      <c r="GOB3593" s="1799"/>
      <c r="GOC3593" s="1799"/>
      <c r="GOD3593" s="1799"/>
      <c r="GOE3593" s="1799"/>
      <c r="GOF3593" s="1799"/>
      <c r="GOG3593" s="1799"/>
      <c r="GOH3593" s="1799"/>
      <c r="GOI3593" s="1799"/>
      <c r="GOJ3593" s="1799"/>
      <c r="GOK3593" s="1799"/>
      <c r="GOL3593" s="1799"/>
      <c r="GOM3593" s="1799"/>
      <c r="GON3593" s="1799"/>
      <c r="GOO3593" s="1799"/>
      <c r="GOP3593" s="1799"/>
      <c r="GOQ3593" s="1799"/>
      <c r="GOR3593" s="1799"/>
      <c r="GOS3593" s="1799"/>
      <c r="GOT3593" s="1799"/>
      <c r="GOU3593" s="1799"/>
      <c r="GOV3593" s="1799"/>
      <c r="GOW3593" s="1799"/>
      <c r="GOX3593" s="1799"/>
      <c r="GOY3593" s="1799"/>
      <c r="GOZ3593" s="1799"/>
      <c r="GPA3593" s="1799"/>
      <c r="GPB3593" s="1799"/>
      <c r="GPC3593" s="1799"/>
      <c r="GPD3593" s="1799"/>
      <c r="GPE3593" s="1799"/>
      <c r="GPF3593" s="1799"/>
      <c r="GPG3593" s="1799"/>
      <c r="GPH3593" s="1799"/>
      <c r="GPI3593" s="1799"/>
      <c r="GPJ3593" s="1799"/>
      <c r="GPK3593" s="1799"/>
      <c r="GPL3593" s="1799"/>
      <c r="GPM3593" s="1799"/>
      <c r="GPN3593" s="1799"/>
      <c r="GPO3593" s="1799"/>
      <c r="GPP3593" s="1799"/>
      <c r="GPQ3593" s="1799"/>
      <c r="GPR3593" s="1799"/>
      <c r="GPS3593" s="1799"/>
      <c r="GPT3593" s="1799"/>
      <c r="GPU3593" s="1799"/>
      <c r="GPV3593" s="1799"/>
      <c r="GPW3593" s="1799"/>
      <c r="GPX3593" s="1799"/>
      <c r="GPY3593" s="1799"/>
      <c r="GPZ3593" s="1799"/>
      <c r="GQA3593" s="1799"/>
      <c r="GQB3593" s="1799"/>
      <c r="GQC3593" s="1799"/>
      <c r="GQD3593" s="1799"/>
      <c r="GQE3593" s="1799"/>
      <c r="GQF3593" s="1799"/>
      <c r="GQG3593" s="1799"/>
      <c r="GQH3593" s="1799"/>
      <c r="GQI3593" s="1799"/>
      <c r="GQJ3593" s="1799"/>
      <c r="GQK3593" s="1799"/>
      <c r="GQL3593" s="1799"/>
      <c r="GQM3593" s="1799"/>
      <c r="GQN3593" s="1799"/>
      <c r="GQO3593" s="1799"/>
      <c r="GQP3593" s="1799"/>
      <c r="GQQ3593" s="1799"/>
      <c r="GQR3593" s="1799"/>
      <c r="GQS3593" s="1799"/>
      <c r="GQT3593" s="1799"/>
      <c r="GQU3593" s="1799"/>
      <c r="GQV3593" s="1799"/>
      <c r="GQW3593" s="1799"/>
      <c r="GQX3593" s="1799"/>
      <c r="GQY3593" s="1799"/>
      <c r="GQZ3593" s="1799"/>
      <c r="GRA3593" s="1799"/>
      <c r="GRB3593" s="1799"/>
      <c r="GRC3593" s="1799"/>
      <c r="GRD3593" s="1799"/>
      <c r="GRE3593" s="1799"/>
      <c r="GRF3593" s="1799"/>
      <c r="GRG3593" s="1799"/>
      <c r="GRH3593" s="1799"/>
      <c r="GRI3593" s="1799"/>
      <c r="GRJ3593" s="1799"/>
      <c r="GRK3593" s="1799"/>
      <c r="GRL3593" s="1799"/>
      <c r="GRM3593" s="1799"/>
      <c r="GRN3593" s="1799"/>
      <c r="GRO3593" s="1799"/>
      <c r="GRP3593" s="1799"/>
      <c r="GRQ3593" s="1799"/>
      <c r="GRR3593" s="1799"/>
      <c r="GRS3593" s="1799"/>
      <c r="GRT3593" s="1799"/>
      <c r="GRU3593" s="1799"/>
      <c r="GRV3593" s="1799"/>
      <c r="GRW3593" s="1799"/>
      <c r="GRX3593" s="1799"/>
      <c r="GRY3593" s="1799"/>
      <c r="GRZ3593" s="1799"/>
      <c r="GSA3593" s="1799"/>
      <c r="GSB3593" s="1799"/>
      <c r="GSC3593" s="1799"/>
      <c r="GSD3593" s="1799"/>
      <c r="GSE3593" s="1799"/>
      <c r="GSF3593" s="1799"/>
      <c r="GSG3593" s="1799"/>
      <c r="GSH3593" s="1799"/>
      <c r="GSI3593" s="1799"/>
      <c r="GSJ3593" s="1799"/>
      <c r="GSK3593" s="1799"/>
      <c r="GSL3593" s="1799"/>
      <c r="GSM3593" s="1799"/>
      <c r="GSN3593" s="1799"/>
      <c r="GSO3593" s="1799"/>
      <c r="GSP3593" s="1799"/>
      <c r="GSQ3593" s="1799"/>
      <c r="GSR3593" s="1799"/>
      <c r="GSS3593" s="1799"/>
      <c r="GST3593" s="1799"/>
      <c r="GSU3593" s="1799"/>
      <c r="GSV3593" s="1799"/>
      <c r="GSW3593" s="1799"/>
      <c r="GSX3593" s="1799"/>
      <c r="GSY3593" s="1799"/>
      <c r="GSZ3593" s="1799"/>
      <c r="GTA3593" s="1799"/>
      <c r="GTB3593" s="1799"/>
      <c r="GTC3593" s="1799"/>
      <c r="GTD3593" s="1799"/>
      <c r="GTE3593" s="1799"/>
      <c r="GTF3593" s="1799"/>
      <c r="GTG3593" s="1799"/>
      <c r="GTH3593" s="1799"/>
      <c r="GTI3593" s="1799"/>
      <c r="GTJ3593" s="1799"/>
      <c r="GTK3593" s="1799"/>
      <c r="GTL3593" s="1799"/>
      <c r="GTM3593" s="1799"/>
      <c r="GTN3593" s="1799"/>
      <c r="GTO3593" s="1799"/>
      <c r="GTP3593" s="1799"/>
      <c r="GTQ3593" s="1799"/>
      <c r="GTR3593" s="1799"/>
      <c r="GTS3593" s="1799"/>
      <c r="GTT3593" s="1799"/>
      <c r="GTU3593" s="1799"/>
      <c r="GTV3593" s="1799"/>
      <c r="GTW3593" s="1799"/>
      <c r="GTX3593" s="1799"/>
      <c r="GTY3593" s="1799"/>
      <c r="GTZ3593" s="1799"/>
      <c r="GUA3593" s="1799"/>
      <c r="GUB3593" s="1799"/>
      <c r="GUC3593" s="1799"/>
      <c r="GUD3593" s="1799"/>
      <c r="GUE3593" s="1799"/>
      <c r="GUF3593" s="1799"/>
      <c r="GUG3593" s="1799"/>
      <c r="GUH3593" s="1799"/>
      <c r="GUI3593" s="1799"/>
      <c r="GUJ3593" s="1799"/>
      <c r="GUK3593" s="1799"/>
      <c r="GUL3593" s="1799"/>
      <c r="GUM3593" s="1799"/>
      <c r="GUN3593" s="1799"/>
      <c r="GUO3593" s="1799"/>
      <c r="GUP3593" s="1799"/>
      <c r="GUQ3593" s="1799"/>
      <c r="GUR3593" s="1799"/>
      <c r="GUS3593" s="1799"/>
      <c r="GUT3593" s="1799"/>
      <c r="GUU3593" s="1799"/>
      <c r="GUV3593" s="1799"/>
      <c r="GUW3593" s="1799"/>
      <c r="GUX3593" s="1799"/>
      <c r="GUY3593" s="1799"/>
      <c r="GUZ3593" s="1799"/>
      <c r="GVA3593" s="1799"/>
      <c r="GVB3593" s="1799"/>
      <c r="GVC3593" s="1799"/>
      <c r="GVD3593" s="1799"/>
      <c r="GVE3593" s="1799"/>
      <c r="GVF3593" s="1799"/>
      <c r="GVG3593" s="1799"/>
      <c r="GVH3593" s="1799"/>
      <c r="GVI3593" s="1799"/>
      <c r="GVJ3593" s="1799"/>
      <c r="GVK3593" s="1799"/>
      <c r="GVL3593" s="1799"/>
      <c r="GVM3593" s="1799"/>
      <c r="GVN3593" s="1799"/>
      <c r="GVO3593" s="1799"/>
      <c r="GVP3593" s="1799"/>
      <c r="GVQ3593" s="1799"/>
      <c r="GVR3593" s="1799"/>
      <c r="GVS3593" s="1799"/>
      <c r="GVT3593" s="1799"/>
      <c r="GVU3593" s="1799"/>
      <c r="GVV3593" s="1799"/>
      <c r="GVW3593" s="1799"/>
      <c r="GVX3593" s="1799"/>
      <c r="GVY3593" s="1799"/>
      <c r="GVZ3593" s="1799"/>
      <c r="GWA3593" s="1799"/>
      <c r="GWB3593" s="1799"/>
      <c r="GWC3593" s="1799"/>
      <c r="GWD3593" s="1799"/>
      <c r="GWE3593" s="1799"/>
      <c r="GWF3593" s="1799"/>
      <c r="GWG3593" s="1799"/>
      <c r="GWH3593" s="1799"/>
      <c r="GWI3593" s="1799"/>
      <c r="GWJ3593" s="1799"/>
      <c r="GWK3593" s="1799"/>
      <c r="GWL3593" s="1799"/>
      <c r="GWM3593" s="1799"/>
      <c r="GWN3593" s="1799"/>
      <c r="GWO3593" s="1799"/>
      <c r="GWP3593" s="1799"/>
      <c r="GWQ3593" s="1799"/>
      <c r="GWR3593" s="1799"/>
      <c r="GWS3593" s="1799"/>
      <c r="GWT3593" s="1799"/>
      <c r="GWU3593" s="1799"/>
      <c r="GWV3593" s="1799"/>
      <c r="GWW3593" s="1799"/>
      <c r="GWX3593" s="1799"/>
      <c r="GWY3593" s="1799"/>
      <c r="GWZ3593" s="1799"/>
      <c r="GXA3593" s="1799"/>
      <c r="GXB3593" s="1799"/>
      <c r="GXC3593" s="1799"/>
      <c r="GXD3593" s="1799"/>
      <c r="GXE3593" s="1799"/>
      <c r="GXF3593" s="1799"/>
      <c r="GXG3593" s="1799"/>
      <c r="GXH3593" s="1799"/>
      <c r="GXI3593" s="1799"/>
      <c r="GXJ3593" s="1799"/>
      <c r="GXK3593" s="1799"/>
      <c r="GXL3593" s="1799"/>
      <c r="GXM3593" s="1799"/>
      <c r="GXN3593" s="1799"/>
      <c r="GXO3593" s="1799"/>
      <c r="GXP3593" s="1799"/>
      <c r="GXQ3593" s="1799"/>
      <c r="GXR3593" s="1799"/>
      <c r="GXS3593" s="1799"/>
      <c r="GXT3593" s="1799"/>
      <c r="GXU3593" s="1799"/>
      <c r="GXV3593" s="1799"/>
      <c r="GXW3593" s="1799"/>
      <c r="GXX3593" s="1799"/>
      <c r="GXY3593" s="1799"/>
      <c r="GXZ3593" s="1799"/>
      <c r="GYA3593" s="1799"/>
      <c r="GYB3593" s="1799"/>
      <c r="GYC3593" s="1799"/>
      <c r="GYD3593" s="1799"/>
      <c r="GYE3593" s="1799"/>
      <c r="GYF3593" s="1799"/>
      <c r="GYG3593" s="1799"/>
      <c r="GYH3593" s="1799"/>
      <c r="GYI3593" s="1799"/>
      <c r="GYJ3593" s="1799"/>
      <c r="GYK3593" s="1799"/>
      <c r="GYL3593" s="1799"/>
      <c r="GYM3593" s="1799"/>
      <c r="GYN3593" s="1799"/>
      <c r="GYO3593" s="1799"/>
      <c r="GYP3593" s="1799"/>
      <c r="GYQ3593" s="1799"/>
      <c r="GYR3593" s="1799"/>
      <c r="GYS3593" s="1799"/>
      <c r="GYT3593" s="1799"/>
      <c r="GYU3593" s="1799"/>
      <c r="GYV3593" s="1799"/>
      <c r="GYW3593" s="1799"/>
      <c r="GYX3593" s="1799"/>
      <c r="GYY3593" s="1799"/>
      <c r="GYZ3593" s="1799"/>
      <c r="GZA3593" s="1799"/>
      <c r="GZB3593" s="1799"/>
      <c r="GZC3593" s="1799"/>
      <c r="GZD3593" s="1799"/>
      <c r="GZE3593" s="1799"/>
      <c r="GZF3593" s="1799"/>
      <c r="GZG3593" s="1799"/>
      <c r="GZH3593" s="1799"/>
      <c r="GZI3593" s="1799"/>
      <c r="GZJ3593" s="1799"/>
      <c r="GZK3593" s="1799"/>
      <c r="GZL3593" s="1799"/>
      <c r="GZM3593" s="1799"/>
      <c r="GZN3593" s="1799"/>
      <c r="GZO3593" s="1799"/>
      <c r="GZP3593" s="1799"/>
      <c r="GZQ3593" s="1799"/>
      <c r="GZR3593" s="1799"/>
      <c r="GZS3593" s="1799"/>
      <c r="GZT3593" s="1799"/>
      <c r="GZU3593" s="1799"/>
      <c r="GZV3593" s="1799"/>
      <c r="GZW3593" s="1799"/>
      <c r="GZX3593" s="1799"/>
      <c r="GZY3593" s="1799"/>
      <c r="GZZ3593" s="1799"/>
      <c r="HAA3593" s="1799"/>
      <c r="HAB3593" s="1799"/>
      <c r="HAC3593" s="1799"/>
      <c r="HAD3593" s="1799"/>
      <c r="HAE3593" s="1799"/>
      <c r="HAF3593" s="1799"/>
      <c r="HAG3593" s="1799"/>
      <c r="HAH3593" s="1799"/>
      <c r="HAI3593" s="1799"/>
      <c r="HAJ3593" s="1799"/>
      <c r="HAK3593" s="1799"/>
      <c r="HAL3593" s="1799"/>
      <c r="HAM3593" s="1799"/>
      <c r="HAN3593" s="1799"/>
      <c r="HAO3593" s="1799"/>
      <c r="HAP3593" s="1799"/>
      <c r="HAQ3593" s="1799"/>
      <c r="HAR3593" s="1799"/>
      <c r="HAS3593" s="1799"/>
      <c r="HAT3593" s="1799"/>
      <c r="HAU3593" s="1799"/>
      <c r="HAV3593" s="1799"/>
      <c r="HAW3593" s="1799"/>
      <c r="HAX3593" s="1799"/>
      <c r="HAY3593" s="1799"/>
      <c r="HAZ3593" s="1799"/>
      <c r="HBA3593" s="1799"/>
      <c r="HBB3593" s="1799"/>
      <c r="HBC3593" s="1799"/>
      <c r="HBD3593" s="1799"/>
      <c r="HBE3593" s="1799"/>
      <c r="HBF3593" s="1799"/>
      <c r="HBG3593" s="1799"/>
      <c r="HBH3593" s="1799"/>
      <c r="HBI3593" s="1799"/>
      <c r="HBJ3593" s="1799"/>
      <c r="HBK3593" s="1799"/>
      <c r="HBL3593" s="1799"/>
      <c r="HBM3593" s="1799"/>
      <c r="HBN3593" s="1799"/>
      <c r="HBO3593" s="1799"/>
      <c r="HBP3593" s="1799"/>
      <c r="HBQ3593" s="1799"/>
      <c r="HBR3593" s="1799"/>
      <c r="HBS3593" s="1799"/>
      <c r="HBT3593" s="1799"/>
      <c r="HBU3593" s="1799"/>
      <c r="HBV3593" s="1799"/>
      <c r="HBW3593" s="1799"/>
      <c r="HBX3593" s="1799"/>
      <c r="HBY3593" s="1799"/>
      <c r="HBZ3593" s="1799"/>
      <c r="HCA3593" s="1799"/>
      <c r="HCB3593" s="1799"/>
      <c r="HCC3593" s="1799"/>
      <c r="HCD3593" s="1799"/>
      <c r="HCE3593" s="1799"/>
      <c r="HCF3593" s="1799"/>
      <c r="HCG3593" s="1799"/>
      <c r="HCH3593" s="1799"/>
      <c r="HCI3593" s="1799"/>
      <c r="HCJ3593" s="1799"/>
      <c r="HCK3593" s="1799"/>
      <c r="HCL3593" s="1799"/>
      <c r="HCM3593" s="1799"/>
      <c r="HCN3593" s="1799"/>
      <c r="HCO3593" s="1799"/>
      <c r="HCP3593" s="1799"/>
      <c r="HCQ3593" s="1799"/>
      <c r="HCR3593" s="1799"/>
      <c r="HCS3593" s="1799"/>
      <c r="HCT3593" s="1799"/>
      <c r="HCU3593" s="1799"/>
      <c r="HCV3593" s="1799"/>
      <c r="HCW3593" s="1799"/>
      <c r="HCX3593" s="1799"/>
      <c r="HCY3593" s="1799"/>
      <c r="HCZ3593" s="1799"/>
      <c r="HDA3593" s="1799"/>
      <c r="HDB3593" s="1799"/>
      <c r="HDC3593" s="1799"/>
      <c r="HDD3593" s="1799"/>
      <c r="HDE3593" s="1799"/>
      <c r="HDF3593" s="1799"/>
      <c r="HDG3593" s="1799"/>
      <c r="HDH3593" s="1799"/>
      <c r="HDI3593" s="1799"/>
      <c r="HDJ3593" s="1799"/>
      <c r="HDK3593" s="1799"/>
      <c r="HDL3593" s="1799"/>
      <c r="HDM3593" s="1799"/>
      <c r="HDN3593" s="1799"/>
      <c r="HDO3593" s="1799"/>
      <c r="HDP3593" s="1799"/>
      <c r="HDQ3593" s="1799"/>
      <c r="HDR3593" s="1799"/>
      <c r="HDS3593" s="1799"/>
      <c r="HDT3593" s="1799"/>
      <c r="HDU3593" s="1799"/>
      <c r="HDV3593" s="1799"/>
      <c r="HDW3593" s="1799"/>
      <c r="HDX3593" s="1799"/>
      <c r="HDY3593" s="1799"/>
      <c r="HDZ3593" s="1799"/>
      <c r="HEA3593" s="1799"/>
      <c r="HEB3593" s="1799"/>
      <c r="HEC3593" s="1799"/>
      <c r="HED3593" s="1799"/>
      <c r="HEE3593" s="1799"/>
      <c r="HEF3593" s="1799"/>
      <c r="HEG3593" s="1799"/>
      <c r="HEH3593" s="1799"/>
      <c r="HEI3593" s="1799"/>
      <c r="HEJ3593" s="1799"/>
      <c r="HEK3593" s="1799"/>
      <c r="HEL3593" s="1799"/>
      <c r="HEM3593" s="1799"/>
      <c r="HEN3593" s="1799"/>
      <c r="HEO3593" s="1799"/>
      <c r="HEP3593" s="1799"/>
      <c r="HEQ3593" s="1799"/>
      <c r="HER3593" s="1799"/>
      <c r="HES3593" s="1799"/>
      <c r="HET3593" s="1799"/>
      <c r="HEU3593" s="1799"/>
      <c r="HEV3593" s="1799"/>
      <c r="HEW3593" s="1799"/>
      <c r="HEX3593" s="1799"/>
      <c r="HEY3593" s="1799"/>
      <c r="HEZ3593" s="1799"/>
      <c r="HFA3593" s="1799"/>
      <c r="HFB3593" s="1799"/>
      <c r="HFC3593" s="1799"/>
      <c r="HFD3593" s="1799"/>
      <c r="HFE3593" s="1799"/>
      <c r="HFF3593" s="1799"/>
      <c r="HFG3593" s="1799"/>
      <c r="HFH3593" s="1799"/>
      <c r="HFI3593" s="1799"/>
      <c r="HFJ3593" s="1799"/>
      <c r="HFK3593" s="1799"/>
      <c r="HFL3593" s="1799"/>
      <c r="HFM3593" s="1799"/>
      <c r="HFN3593" s="1799"/>
      <c r="HFO3593" s="1799"/>
      <c r="HFP3593" s="1799"/>
      <c r="HFQ3593" s="1799"/>
      <c r="HFR3593" s="1799"/>
      <c r="HFS3593" s="1799"/>
      <c r="HFT3593" s="1799"/>
      <c r="HFU3593" s="1799"/>
      <c r="HFV3593" s="1799"/>
      <c r="HFW3593" s="1799"/>
      <c r="HFX3593" s="1799"/>
      <c r="HFY3593" s="1799"/>
      <c r="HFZ3593" s="1799"/>
      <c r="HGA3593" s="1799"/>
      <c r="HGB3593" s="1799"/>
      <c r="HGC3593" s="1799"/>
      <c r="HGD3593" s="1799"/>
      <c r="HGE3593" s="1799"/>
      <c r="HGF3593" s="1799"/>
      <c r="HGG3593" s="1799"/>
      <c r="HGH3593" s="1799"/>
      <c r="HGI3593" s="1799"/>
      <c r="HGJ3593" s="1799"/>
      <c r="HGK3593" s="1799"/>
      <c r="HGL3593" s="1799"/>
      <c r="HGM3593" s="1799"/>
      <c r="HGN3593" s="1799"/>
      <c r="HGO3593" s="1799"/>
      <c r="HGP3593" s="1799"/>
      <c r="HGQ3593" s="1799"/>
      <c r="HGR3593" s="1799"/>
      <c r="HGS3593" s="1799"/>
      <c r="HGT3593" s="1799"/>
      <c r="HGU3593" s="1799"/>
      <c r="HGV3593" s="1799"/>
      <c r="HGW3593" s="1799"/>
      <c r="HGX3593" s="1799"/>
      <c r="HGY3593" s="1799"/>
      <c r="HGZ3593" s="1799"/>
      <c r="HHA3593" s="1799"/>
      <c r="HHB3593" s="1799"/>
      <c r="HHC3593" s="1799"/>
      <c r="HHD3593" s="1799"/>
      <c r="HHE3593" s="1799"/>
      <c r="HHF3593" s="1799"/>
      <c r="HHG3593" s="1799"/>
      <c r="HHH3593" s="1799"/>
      <c r="HHI3593" s="1799"/>
      <c r="HHJ3593" s="1799"/>
      <c r="HHK3593" s="1799"/>
      <c r="HHL3593" s="1799"/>
      <c r="HHM3593" s="1799"/>
      <c r="HHN3593" s="1799"/>
      <c r="HHO3593" s="1799"/>
      <c r="HHP3593" s="1799"/>
      <c r="HHQ3593" s="1799"/>
      <c r="HHR3593" s="1799"/>
      <c r="HHS3593" s="1799"/>
      <c r="HHT3593" s="1799"/>
      <c r="HHU3593" s="1799"/>
      <c r="HHV3593" s="1799"/>
      <c r="HHW3593" s="1799"/>
      <c r="HHX3593" s="1799"/>
      <c r="HHY3593" s="1799"/>
      <c r="HHZ3593" s="1799"/>
      <c r="HIA3593" s="1799"/>
      <c r="HIB3593" s="1799"/>
      <c r="HIC3593" s="1799"/>
      <c r="HID3593" s="1799"/>
      <c r="HIE3593" s="1799"/>
      <c r="HIF3593" s="1799"/>
      <c r="HIG3593" s="1799"/>
      <c r="HIH3593" s="1799"/>
      <c r="HII3593" s="1799"/>
      <c r="HIJ3593" s="1799"/>
      <c r="HIK3593" s="1799"/>
      <c r="HIL3593" s="1799"/>
      <c r="HIM3593" s="1799"/>
      <c r="HIN3593" s="1799"/>
      <c r="HIO3593" s="1799"/>
      <c r="HIP3593" s="1799"/>
      <c r="HIQ3593" s="1799"/>
      <c r="HIR3593" s="1799"/>
      <c r="HIS3593" s="1799"/>
      <c r="HIT3593" s="1799"/>
      <c r="HIU3593" s="1799"/>
      <c r="HIV3593" s="1799"/>
      <c r="HIW3593" s="1799"/>
      <c r="HIX3593" s="1799"/>
      <c r="HIY3593" s="1799"/>
      <c r="HIZ3593" s="1799"/>
      <c r="HJA3593" s="1799"/>
      <c r="HJB3593" s="1799"/>
      <c r="HJC3593" s="1799"/>
      <c r="HJD3593" s="1799"/>
      <c r="HJE3593" s="1799"/>
      <c r="HJF3593" s="1799"/>
      <c r="HJG3593" s="1799"/>
      <c r="HJH3593" s="1799"/>
      <c r="HJI3593" s="1799"/>
      <c r="HJJ3593" s="1799"/>
      <c r="HJK3593" s="1799"/>
      <c r="HJL3593" s="1799"/>
      <c r="HJM3593" s="1799"/>
      <c r="HJN3593" s="1799"/>
      <c r="HJO3593" s="1799"/>
      <c r="HJP3593" s="1799"/>
      <c r="HJQ3593" s="1799"/>
      <c r="HJR3593" s="1799"/>
      <c r="HJS3593" s="1799"/>
      <c r="HJT3593" s="1799"/>
      <c r="HJU3593" s="1799"/>
      <c r="HJV3593" s="1799"/>
      <c r="HJW3593" s="1799"/>
      <c r="HJX3593" s="1799"/>
      <c r="HJY3593" s="1799"/>
      <c r="HJZ3593" s="1799"/>
      <c r="HKA3593" s="1799"/>
      <c r="HKB3593" s="1799"/>
      <c r="HKC3593" s="1799"/>
      <c r="HKD3593" s="1799"/>
      <c r="HKE3593" s="1799"/>
      <c r="HKF3593" s="1799"/>
      <c r="HKG3593" s="1799"/>
      <c r="HKH3593" s="1799"/>
      <c r="HKI3593" s="1799"/>
      <c r="HKJ3593" s="1799"/>
      <c r="HKK3593" s="1799"/>
      <c r="HKL3593" s="1799"/>
      <c r="HKM3593" s="1799"/>
      <c r="HKN3593" s="1799"/>
      <c r="HKO3593" s="1799"/>
      <c r="HKP3593" s="1799"/>
      <c r="HKQ3593" s="1799"/>
      <c r="HKR3593" s="1799"/>
      <c r="HKS3593" s="1799"/>
      <c r="HKT3593" s="1799"/>
      <c r="HKU3593" s="1799"/>
      <c r="HKV3593" s="1799"/>
      <c r="HKW3593" s="1799"/>
      <c r="HKX3593" s="1799"/>
      <c r="HKY3593" s="1799"/>
      <c r="HKZ3593" s="1799"/>
      <c r="HLA3593" s="1799"/>
      <c r="HLB3593" s="1799"/>
      <c r="HLC3593" s="1799"/>
      <c r="HLD3593" s="1799"/>
      <c r="HLE3593" s="1799"/>
      <c r="HLF3593" s="1799"/>
      <c r="HLG3593" s="1799"/>
      <c r="HLH3593" s="1799"/>
      <c r="HLI3593" s="1799"/>
      <c r="HLJ3593" s="1799"/>
      <c r="HLK3593" s="1799"/>
      <c r="HLL3593" s="1799"/>
      <c r="HLM3593" s="1799"/>
      <c r="HLN3593" s="1799"/>
      <c r="HLO3593" s="1799"/>
      <c r="HLP3593" s="1799"/>
      <c r="HLQ3593" s="1799"/>
      <c r="HLR3593" s="1799"/>
      <c r="HLS3593" s="1799"/>
      <c r="HLT3593" s="1799"/>
      <c r="HLU3593" s="1799"/>
      <c r="HLV3593" s="1799"/>
      <c r="HLW3593" s="1799"/>
      <c r="HLX3593" s="1799"/>
      <c r="HLY3593" s="1799"/>
      <c r="HLZ3593" s="1799"/>
      <c r="HMA3593" s="1799"/>
      <c r="HMB3593" s="1799"/>
      <c r="HMC3593" s="1799"/>
      <c r="HMD3593" s="1799"/>
      <c r="HME3593" s="1799"/>
      <c r="HMF3593" s="1799"/>
      <c r="HMG3593" s="1799"/>
      <c r="HMH3593" s="1799"/>
      <c r="HMI3593" s="1799"/>
      <c r="HMJ3593" s="1799"/>
      <c r="HMK3593" s="1799"/>
      <c r="HML3593" s="1799"/>
      <c r="HMM3593" s="1799"/>
      <c r="HMN3593" s="1799"/>
      <c r="HMO3593" s="1799"/>
      <c r="HMP3593" s="1799"/>
      <c r="HMQ3593" s="1799"/>
      <c r="HMR3593" s="1799"/>
      <c r="HMS3593" s="1799"/>
      <c r="HMT3593" s="1799"/>
      <c r="HMU3593" s="1799"/>
      <c r="HMV3593" s="1799"/>
      <c r="HMW3593" s="1799"/>
      <c r="HMX3593" s="1799"/>
      <c r="HMY3593" s="1799"/>
      <c r="HMZ3593" s="1799"/>
      <c r="HNA3593" s="1799"/>
      <c r="HNB3593" s="1799"/>
      <c r="HNC3593" s="1799"/>
      <c r="HND3593" s="1799"/>
      <c r="HNE3593" s="1799"/>
      <c r="HNF3593" s="1799"/>
      <c r="HNG3593" s="1799"/>
      <c r="HNH3593" s="1799"/>
      <c r="HNI3593" s="1799"/>
      <c r="HNJ3593" s="1799"/>
      <c r="HNK3593" s="1799"/>
      <c r="HNL3593" s="1799"/>
      <c r="HNM3593" s="1799"/>
      <c r="HNN3593" s="1799"/>
      <c r="HNO3593" s="1799"/>
      <c r="HNP3593" s="1799"/>
      <c r="HNQ3593" s="1799"/>
      <c r="HNR3593" s="1799"/>
      <c r="HNS3593" s="1799"/>
      <c r="HNT3593" s="1799"/>
      <c r="HNU3593" s="1799"/>
      <c r="HNV3593" s="1799"/>
      <c r="HNW3593" s="1799"/>
      <c r="HNX3593" s="1799"/>
      <c r="HNY3593" s="1799"/>
      <c r="HNZ3593" s="1799"/>
      <c r="HOA3593" s="1799"/>
      <c r="HOB3593" s="1799"/>
      <c r="HOC3593" s="1799"/>
      <c r="HOD3593" s="1799"/>
      <c r="HOE3593" s="1799"/>
      <c r="HOF3593" s="1799"/>
      <c r="HOG3593" s="1799"/>
      <c r="HOH3593" s="1799"/>
      <c r="HOI3593" s="1799"/>
      <c r="HOJ3593" s="1799"/>
      <c r="HOK3593" s="1799"/>
      <c r="HOL3593" s="1799"/>
      <c r="HOM3593" s="1799"/>
      <c r="HON3593" s="1799"/>
      <c r="HOO3593" s="1799"/>
      <c r="HOP3593" s="1799"/>
      <c r="HOQ3593" s="1799"/>
      <c r="HOR3593" s="1799"/>
      <c r="HOS3593" s="1799"/>
      <c r="HOT3593" s="1799"/>
      <c r="HOU3593" s="1799"/>
      <c r="HOV3593" s="1799"/>
      <c r="HOW3593" s="1799"/>
      <c r="HOX3593" s="1799"/>
      <c r="HOY3593" s="1799"/>
      <c r="HOZ3593" s="1799"/>
      <c r="HPA3593" s="1799"/>
      <c r="HPB3593" s="1799"/>
      <c r="HPC3593" s="1799"/>
      <c r="HPD3593" s="1799"/>
      <c r="HPE3593" s="1799"/>
      <c r="HPF3593" s="1799"/>
      <c r="HPG3593" s="1799"/>
      <c r="HPH3593" s="1799"/>
      <c r="HPI3593" s="1799"/>
      <c r="HPJ3593" s="1799"/>
      <c r="HPK3593" s="1799"/>
      <c r="HPL3593" s="1799"/>
      <c r="HPM3593" s="1799"/>
      <c r="HPN3593" s="1799"/>
      <c r="HPO3593" s="1799"/>
      <c r="HPP3593" s="1799"/>
      <c r="HPQ3593" s="1799"/>
      <c r="HPR3593" s="1799"/>
      <c r="HPS3593" s="1799"/>
      <c r="HPT3593" s="1799"/>
      <c r="HPU3593" s="1799"/>
      <c r="HPV3593" s="1799"/>
      <c r="HPW3593" s="1799"/>
      <c r="HPX3593" s="1799"/>
      <c r="HPY3593" s="1799"/>
      <c r="HPZ3593" s="1799"/>
      <c r="HQA3593" s="1799"/>
      <c r="HQB3593" s="1799"/>
      <c r="HQC3593" s="1799"/>
      <c r="HQD3593" s="1799"/>
      <c r="HQE3593" s="1799"/>
      <c r="HQF3593" s="1799"/>
      <c r="HQG3593" s="1799"/>
      <c r="HQH3593" s="1799"/>
      <c r="HQI3593" s="1799"/>
      <c r="HQJ3593" s="1799"/>
      <c r="HQK3593" s="1799"/>
      <c r="HQL3593" s="1799"/>
      <c r="HQM3593" s="1799"/>
      <c r="HQN3593" s="1799"/>
      <c r="HQO3593" s="1799"/>
      <c r="HQP3593" s="1799"/>
      <c r="HQQ3593" s="1799"/>
      <c r="HQR3593" s="1799"/>
      <c r="HQS3593" s="1799"/>
      <c r="HQT3593" s="1799"/>
      <c r="HQU3593" s="1799"/>
      <c r="HQV3593" s="1799"/>
      <c r="HQW3593" s="1799"/>
      <c r="HQX3593" s="1799"/>
      <c r="HQY3593" s="1799"/>
      <c r="HQZ3593" s="1799"/>
      <c r="HRA3593" s="1799"/>
      <c r="HRB3593" s="1799"/>
      <c r="HRC3593" s="1799"/>
      <c r="HRD3593" s="1799"/>
      <c r="HRE3593" s="1799"/>
      <c r="HRF3593" s="1799"/>
      <c r="HRG3593" s="1799"/>
      <c r="HRH3593" s="1799"/>
      <c r="HRI3593" s="1799"/>
      <c r="HRJ3593" s="1799"/>
      <c r="HRK3593" s="1799"/>
      <c r="HRL3593" s="1799"/>
      <c r="HRM3593" s="1799"/>
      <c r="HRN3593" s="1799"/>
      <c r="HRO3593" s="1799"/>
      <c r="HRP3593" s="1799"/>
      <c r="HRQ3593" s="1799"/>
      <c r="HRR3593" s="1799"/>
      <c r="HRS3593" s="1799"/>
      <c r="HRT3593" s="1799"/>
      <c r="HRU3593" s="1799"/>
      <c r="HRV3593" s="1799"/>
      <c r="HRW3593" s="1799"/>
      <c r="HRX3593" s="1799"/>
      <c r="HRY3593" s="1799"/>
      <c r="HRZ3593" s="1799"/>
      <c r="HSA3593" s="1799"/>
      <c r="HSB3593" s="1799"/>
      <c r="HSC3593" s="1799"/>
      <c r="HSD3593" s="1799"/>
      <c r="HSE3593" s="1799"/>
      <c r="HSF3593" s="1799"/>
      <c r="HSG3593" s="1799"/>
      <c r="HSH3593" s="1799"/>
      <c r="HSI3593" s="1799"/>
      <c r="HSJ3593" s="1799"/>
      <c r="HSK3593" s="1799"/>
      <c r="HSL3593" s="1799"/>
      <c r="HSM3593" s="1799"/>
      <c r="HSN3593" s="1799"/>
      <c r="HSO3593" s="1799"/>
      <c r="HSP3593" s="1799"/>
      <c r="HSQ3593" s="1799"/>
      <c r="HSR3593" s="1799"/>
      <c r="HSS3593" s="1799"/>
      <c r="HST3593" s="1799"/>
      <c r="HSU3593" s="1799"/>
      <c r="HSV3593" s="1799"/>
      <c r="HSW3593" s="1799"/>
      <c r="HSX3593" s="1799"/>
      <c r="HSY3593" s="1799"/>
      <c r="HSZ3593" s="1799"/>
      <c r="HTA3593" s="1799"/>
      <c r="HTB3593" s="1799"/>
      <c r="HTC3593" s="1799"/>
      <c r="HTD3593" s="1799"/>
      <c r="HTE3593" s="1799"/>
      <c r="HTF3593" s="1799"/>
      <c r="HTG3593" s="1799"/>
      <c r="HTH3593" s="1799"/>
      <c r="HTI3593" s="1799"/>
      <c r="HTJ3593" s="1799"/>
      <c r="HTK3593" s="1799"/>
      <c r="HTL3593" s="1799"/>
      <c r="HTM3593" s="1799"/>
      <c r="HTN3593" s="1799"/>
      <c r="HTO3593" s="1799"/>
      <c r="HTP3593" s="1799"/>
      <c r="HTQ3593" s="1799"/>
      <c r="HTR3593" s="1799"/>
      <c r="HTS3593" s="1799"/>
      <c r="HTT3593" s="1799"/>
      <c r="HTU3593" s="1799"/>
      <c r="HTV3593" s="1799"/>
      <c r="HTW3593" s="1799"/>
      <c r="HTX3593" s="1799"/>
      <c r="HTY3593" s="1799"/>
      <c r="HTZ3593" s="1799"/>
      <c r="HUA3593" s="1799"/>
      <c r="HUB3593" s="1799"/>
      <c r="HUC3593" s="1799"/>
      <c r="HUD3593" s="1799"/>
      <c r="HUE3593" s="1799"/>
      <c r="HUF3593" s="1799"/>
      <c r="HUG3593" s="1799"/>
      <c r="HUH3593" s="1799"/>
      <c r="HUI3593" s="1799"/>
      <c r="HUJ3593" s="1799"/>
      <c r="HUK3593" s="1799"/>
      <c r="HUL3593" s="1799"/>
      <c r="HUM3593" s="1799"/>
      <c r="HUN3593" s="1799"/>
      <c r="HUO3593" s="1799"/>
      <c r="HUP3593" s="1799"/>
      <c r="HUQ3593" s="1799"/>
      <c r="HUR3593" s="1799"/>
      <c r="HUS3593" s="1799"/>
      <c r="HUT3593" s="1799"/>
      <c r="HUU3593" s="1799"/>
      <c r="HUV3593" s="1799"/>
      <c r="HUW3593" s="1799"/>
      <c r="HUX3593" s="1799"/>
      <c r="HUY3593" s="1799"/>
      <c r="HUZ3593" s="1799"/>
      <c r="HVA3593" s="1799"/>
      <c r="HVB3593" s="1799"/>
      <c r="HVC3593" s="1799"/>
      <c r="HVD3593" s="1799"/>
      <c r="HVE3593" s="1799"/>
      <c r="HVF3593" s="1799"/>
      <c r="HVG3593" s="1799"/>
      <c r="HVH3593" s="1799"/>
      <c r="HVI3593" s="1799"/>
      <c r="HVJ3593" s="1799"/>
      <c r="HVK3593" s="1799"/>
      <c r="HVL3593" s="1799"/>
      <c r="HVM3593" s="1799"/>
      <c r="HVN3593" s="1799"/>
      <c r="HVO3593" s="1799"/>
      <c r="HVP3593" s="1799"/>
      <c r="HVQ3593" s="1799"/>
      <c r="HVR3593" s="1799"/>
      <c r="HVS3593" s="1799"/>
      <c r="HVT3593" s="1799"/>
      <c r="HVU3593" s="1799"/>
      <c r="HVV3593" s="1799"/>
      <c r="HVW3593" s="1799"/>
      <c r="HVX3593" s="1799"/>
      <c r="HVY3593" s="1799"/>
      <c r="HVZ3593" s="1799"/>
      <c r="HWA3593" s="1799"/>
      <c r="HWB3593" s="1799"/>
      <c r="HWC3593" s="1799"/>
      <c r="HWD3593" s="1799"/>
      <c r="HWE3593" s="1799"/>
      <c r="HWF3593" s="1799"/>
      <c r="HWG3593" s="1799"/>
      <c r="HWH3593" s="1799"/>
      <c r="HWI3593" s="1799"/>
      <c r="HWJ3593" s="1799"/>
      <c r="HWK3593" s="1799"/>
      <c r="HWL3593" s="1799"/>
      <c r="HWM3593" s="1799"/>
      <c r="HWN3593" s="1799"/>
      <c r="HWO3593" s="1799"/>
      <c r="HWP3593" s="1799"/>
      <c r="HWQ3593" s="1799"/>
      <c r="HWR3593" s="1799"/>
      <c r="HWS3593" s="1799"/>
      <c r="HWT3593" s="1799"/>
      <c r="HWU3593" s="1799"/>
      <c r="HWV3593" s="1799"/>
      <c r="HWW3593" s="1799"/>
      <c r="HWX3593" s="1799"/>
      <c r="HWY3593" s="1799"/>
      <c r="HWZ3593" s="1799"/>
      <c r="HXA3593" s="1799"/>
      <c r="HXB3593" s="1799"/>
      <c r="HXC3593" s="1799"/>
      <c r="HXD3593" s="1799"/>
      <c r="HXE3593" s="1799"/>
      <c r="HXF3593" s="1799"/>
      <c r="HXG3593" s="1799"/>
      <c r="HXH3593" s="1799"/>
      <c r="HXI3593" s="1799"/>
      <c r="HXJ3593" s="1799"/>
      <c r="HXK3593" s="1799"/>
      <c r="HXL3593" s="1799"/>
      <c r="HXM3593" s="1799"/>
      <c r="HXN3593" s="1799"/>
      <c r="HXO3593" s="1799"/>
      <c r="HXP3593" s="1799"/>
      <c r="HXQ3593" s="1799"/>
      <c r="HXR3593" s="1799"/>
      <c r="HXS3593" s="1799"/>
      <c r="HXT3593" s="1799"/>
      <c r="HXU3593" s="1799"/>
      <c r="HXV3593" s="1799"/>
      <c r="HXW3593" s="1799"/>
      <c r="HXX3593" s="1799"/>
      <c r="HXY3593" s="1799"/>
      <c r="HXZ3593" s="1799"/>
      <c r="HYA3593" s="1799"/>
      <c r="HYB3593" s="1799"/>
      <c r="HYC3593" s="1799"/>
      <c r="HYD3593" s="1799"/>
      <c r="HYE3593" s="1799"/>
      <c r="HYF3593" s="1799"/>
      <c r="HYG3593" s="1799"/>
      <c r="HYH3593" s="1799"/>
      <c r="HYI3593" s="1799"/>
      <c r="HYJ3593" s="1799"/>
      <c r="HYK3593" s="1799"/>
      <c r="HYL3593" s="1799"/>
      <c r="HYM3593" s="1799"/>
      <c r="HYN3593" s="1799"/>
      <c r="HYO3593" s="1799"/>
      <c r="HYP3593" s="1799"/>
      <c r="HYQ3593" s="1799"/>
      <c r="HYR3593" s="1799"/>
      <c r="HYS3593" s="1799"/>
      <c r="HYT3593" s="1799"/>
      <c r="HYU3593" s="1799"/>
      <c r="HYV3593" s="1799"/>
      <c r="HYW3593" s="1799"/>
      <c r="HYX3593" s="1799"/>
      <c r="HYY3593" s="1799"/>
      <c r="HYZ3593" s="1799"/>
      <c r="HZA3593" s="1799"/>
      <c r="HZB3593" s="1799"/>
      <c r="HZC3593" s="1799"/>
      <c r="HZD3593" s="1799"/>
      <c r="HZE3593" s="1799"/>
      <c r="HZF3593" s="1799"/>
      <c r="HZG3593" s="1799"/>
      <c r="HZH3593" s="1799"/>
      <c r="HZI3593" s="1799"/>
      <c r="HZJ3593" s="1799"/>
      <c r="HZK3593" s="1799"/>
      <c r="HZL3593" s="1799"/>
      <c r="HZM3593" s="1799"/>
      <c r="HZN3593" s="1799"/>
      <c r="HZO3593" s="1799"/>
      <c r="HZP3593" s="1799"/>
      <c r="HZQ3593" s="1799"/>
      <c r="HZR3593" s="1799"/>
      <c r="HZS3593" s="1799"/>
      <c r="HZT3593" s="1799"/>
      <c r="HZU3593" s="1799"/>
      <c r="HZV3593" s="1799"/>
      <c r="HZW3593" s="1799"/>
      <c r="HZX3593" s="1799"/>
      <c r="HZY3593" s="1799"/>
      <c r="HZZ3593" s="1799"/>
      <c r="IAA3593" s="1799"/>
      <c r="IAB3593" s="1799"/>
      <c r="IAC3593" s="1799"/>
      <c r="IAD3593" s="1799"/>
      <c r="IAE3593" s="1799"/>
      <c r="IAF3593" s="1799"/>
      <c r="IAG3593" s="1799"/>
      <c r="IAH3593" s="1799"/>
      <c r="IAI3593" s="1799"/>
      <c r="IAJ3593" s="1799"/>
      <c r="IAK3593" s="1799"/>
      <c r="IAL3593" s="1799"/>
      <c r="IAM3593" s="1799"/>
      <c r="IAN3593" s="1799"/>
      <c r="IAO3593" s="1799"/>
      <c r="IAP3593" s="1799"/>
      <c r="IAQ3593" s="1799"/>
      <c r="IAR3593" s="1799"/>
      <c r="IAS3593" s="1799"/>
      <c r="IAT3593" s="1799"/>
      <c r="IAU3593" s="1799"/>
      <c r="IAV3593" s="1799"/>
      <c r="IAW3593" s="1799"/>
      <c r="IAX3593" s="1799"/>
      <c r="IAY3593" s="1799"/>
      <c r="IAZ3593" s="1799"/>
      <c r="IBA3593" s="1799"/>
      <c r="IBB3593" s="1799"/>
      <c r="IBC3593" s="1799"/>
      <c r="IBD3593" s="1799"/>
      <c r="IBE3593" s="1799"/>
      <c r="IBF3593" s="1799"/>
      <c r="IBG3593" s="1799"/>
      <c r="IBH3593" s="1799"/>
      <c r="IBI3593" s="1799"/>
      <c r="IBJ3593" s="1799"/>
      <c r="IBK3593" s="1799"/>
      <c r="IBL3593" s="1799"/>
      <c r="IBM3593" s="1799"/>
      <c r="IBN3593" s="1799"/>
      <c r="IBO3593" s="1799"/>
      <c r="IBP3593" s="1799"/>
      <c r="IBQ3593" s="1799"/>
      <c r="IBR3593" s="1799"/>
      <c r="IBS3593" s="1799"/>
      <c r="IBT3593" s="1799"/>
      <c r="IBU3593" s="1799"/>
      <c r="IBV3593" s="1799"/>
      <c r="IBW3593" s="1799"/>
      <c r="IBX3593" s="1799"/>
      <c r="IBY3593" s="1799"/>
      <c r="IBZ3593" s="1799"/>
      <c r="ICA3593" s="1799"/>
      <c r="ICB3593" s="1799"/>
      <c r="ICC3593" s="1799"/>
      <c r="ICD3593" s="1799"/>
      <c r="ICE3593" s="1799"/>
      <c r="ICF3593" s="1799"/>
      <c r="ICG3593" s="1799"/>
      <c r="ICH3593" s="1799"/>
      <c r="ICI3593" s="1799"/>
      <c r="ICJ3593" s="1799"/>
      <c r="ICK3593" s="1799"/>
      <c r="ICL3593" s="1799"/>
      <c r="ICM3593" s="1799"/>
      <c r="ICN3593" s="1799"/>
      <c r="ICO3593" s="1799"/>
      <c r="ICP3593" s="1799"/>
      <c r="ICQ3593" s="1799"/>
      <c r="ICR3593" s="1799"/>
      <c r="ICS3593" s="1799"/>
      <c r="ICT3593" s="1799"/>
      <c r="ICU3593" s="1799"/>
      <c r="ICV3593" s="1799"/>
      <c r="ICW3593" s="1799"/>
      <c r="ICX3593" s="1799"/>
      <c r="ICY3593" s="1799"/>
      <c r="ICZ3593" s="1799"/>
      <c r="IDA3593" s="1799"/>
      <c r="IDB3593" s="1799"/>
      <c r="IDC3593" s="1799"/>
      <c r="IDD3593" s="1799"/>
      <c r="IDE3593" s="1799"/>
      <c r="IDF3593" s="1799"/>
      <c r="IDG3593" s="1799"/>
      <c r="IDH3593" s="1799"/>
      <c r="IDI3593" s="1799"/>
      <c r="IDJ3593" s="1799"/>
      <c r="IDK3593" s="1799"/>
      <c r="IDL3593" s="1799"/>
      <c r="IDM3593" s="1799"/>
      <c r="IDN3593" s="1799"/>
      <c r="IDO3593" s="1799"/>
      <c r="IDP3593" s="1799"/>
      <c r="IDQ3593" s="1799"/>
      <c r="IDR3593" s="1799"/>
      <c r="IDS3593" s="1799"/>
      <c r="IDT3593" s="1799"/>
      <c r="IDU3593" s="1799"/>
      <c r="IDV3593" s="1799"/>
      <c r="IDW3593" s="1799"/>
      <c r="IDX3593" s="1799"/>
      <c r="IDY3593" s="1799"/>
      <c r="IDZ3593" s="1799"/>
      <c r="IEA3593" s="1799"/>
      <c r="IEB3593" s="1799"/>
      <c r="IEC3593" s="1799"/>
      <c r="IED3593" s="1799"/>
      <c r="IEE3593" s="1799"/>
      <c r="IEF3593" s="1799"/>
      <c r="IEG3593" s="1799"/>
      <c r="IEH3593" s="1799"/>
      <c r="IEI3593" s="1799"/>
      <c r="IEJ3593" s="1799"/>
      <c r="IEK3593" s="1799"/>
      <c r="IEL3593" s="1799"/>
      <c r="IEM3593" s="1799"/>
      <c r="IEN3593" s="1799"/>
      <c r="IEO3593" s="1799"/>
      <c r="IEP3593" s="1799"/>
      <c r="IEQ3593" s="1799"/>
      <c r="IER3593" s="1799"/>
      <c r="IES3593" s="1799"/>
      <c r="IET3593" s="1799"/>
      <c r="IEU3593" s="1799"/>
      <c r="IEV3593" s="1799"/>
      <c r="IEW3593" s="1799"/>
      <c r="IEX3593" s="1799"/>
      <c r="IEY3593" s="1799"/>
      <c r="IEZ3593" s="1799"/>
      <c r="IFA3593" s="1799"/>
      <c r="IFB3593" s="1799"/>
      <c r="IFC3593" s="1799"/>
      <c r="IFD3593" s="1799"/>
      <c r="IFE3593" s="1799"/>
      <c r="IFF3593" s="1799"/>
      <c r="IFG3593" s="1799"/>
      <c r="IFH3593" s="1799"/>
      <c r="IFI3593" s="1799"/>
      <c r="IFJ3593" s="1799"/>
      <c r="IFK3593" s="1799"/>
      <c r="IFL3593" s="1799"/>
      <c r="IFM3593" s="1799"/>
      <c r="IFN3593" s="1799"/>
      <c r="IFO3593" s="1799"/>
      <c r="IFP3593" s="1799"/>
      <c r="IFQ3593" s="1799"/>
      <c r="IFR3593" s="1799"/>
      <c r="IFS3593" s="1799"/>
      <c r="IFT3593" s="1799"/>
      <c r="IFU3593" s="1799"/>
      <c r="IFV3593" s="1799"/>
      <c r="IFW3593" s="1799"/>
      <c r="IFX3593" s="1799"/>
      <c r="IFY3593" s="1799"/>
      <c r="IFZ3593" s="1799"/>
      <c r="IGA3593" s="1799"/>
      <c r="IGB3593" s="1799"/>
      <c r="IGC3593" s="1799"/>
      <c r="IGD3593" s="1799"/>
      <c r="IGE3593" s="1799"/>
      <c r="IGF3593" s="1799"/>
      <c r="IGG3593" s="1799"/>
      <c r="IGH3593" s="1799"/>
      <c r="IGI3593" s="1799"/>
      <c r="IGJ3593" s="1799"/>
      <c r="IGK3593" s="1799"/>
      <c r="IGL3593" s="1799"/>
      <c r="IGM3593" s="1799"/>
      <c r="IGN3593" s="1799"/>
      <c r="IGO3593" s="1799"/>
      <c r="IGP3593" s="1799"/>
      <c r="IGQ3593" s="1799"/>
      <c r="IGR3593" s="1799"/>
      <c r="IGS3593" s="1799"/>
      <c r="IGT3593" s="1799"/>
      <c r="IGU3593" s="1799"/>
      <c r="IGV3593" s="1799"/>
      <c r="IGW3593" s="1799"/>
      <c r="IGX3593" s="1799"/>
      <c r="IGY3593" s="1799"/>
      <c r="IGZ3593" s="1799"/>
      <c r="IHA3593" s="1799"/>
      <c r="IHB3593" s="1799"/>
      <c r="IHC3593" s="1799"/>
      <c r="IHD3593" s="1799"/>
      <c r="IHE3593" s="1799"/>
      <c r="IHF3593" s="1799"/>
      <c r="IHG3593" s="1799"/>
      <c r="IHH3593" s="1799"/>
      <c r="IHI3593" s="1799"/>
      <c r="IHJ3593" s="1799"/>
      <c r="IHK3593" s="1799"/>
      <c r="IHL3593" s="1799"/>
      <c r="IHM3593" s="1799"/>
      <c r="IHN3593" s="1799"/>
      <c r="IHO3593" s="1799"/>
      <c r="IHP3593" s="1799"/>
      <c r="IHQ3593" s="1799"/>
      <c r="IHR3593" s="1799"/>
      <c r="IHS3593" s="1799"/>
      <c r="IHT3593" s="1799"/>
      <c r="IHU3593" s="1799"/>
      <c r="IHV3593" s="1799"/>
      <c r="IHW3593" s="1799"/>
      <c r="IHX3593" s="1799"/>
      <c r="IHY3593" s="1799"/>
      <c r="IHZ3593" s="1799"/>
      <c r="IIA3593" s="1799"/>
      <c r="IIB3593" s="1799"/>
      <c r="IIC3593" s="1799"/>
      <c r="IID3593" s="1799"/>
      <c r="IIE3593" s="1799"/>
      <c r="IIF3593" s="1799"/>
      <c r="IIG3593" s="1799"/>
      <c r="IIH3593" s="1799"/>
      <c r="III3593" s="1799"/>
      <c r="IIJ3593" s="1799"/>
      <c r="IIK3593" s="1799"/>
      <c r="IIL3593" s="1799"/>
      <c r="IIM3593" s="1799"/>
      <c r="IIN3593" s="1799"/>
      <c r="IIO3593" s="1799"/>
      <c r="IIP3593" s="1799"/>
      <c r="IIQ3593" s="1799"/>
      <c r="IIR3593" s="1799"/>
      <c r="IIS3593" s="1799"/>
      <c r="IIT3593" s="1799"/>
      <c r="IIU3593" s="1799"/>
      <c r="IIV3593" s="1799"/>
      <c r="IIW3593" s="1799"/>
      <c r="IIX3593" s="1799"/>
      <c r="IIY3593" s="1799"/>
      <c r="IIZ3593" s="1799"/>
      <c r="IJA3593" s="1799"/>
      <c r="IJB3593" s="1799"/>
      <c r="IJC3593" s="1799"/>
      <c r="IJD3593" s="1799"/>
      <c r="IJE3593" s="1799"/>
      <c r="IJF3593" s="1799"/>
      <c r="IJG3593" s="1799"/>
      <c r="IJH3593" s="1799"/>
      <c r="IJI3593" s="1799"/>
      <c r="IJJ3593" s="1799"/>
      <c r="IJK3593" s="1799"/>
      <c r="IJL3593" s="1799"/>
      <c r="IJM3593" s="1799"/>
      <c r="IJN3593" s="1799"/>
      <c r="IJO3593" s="1799"/>
      <c r="IJP3593" s="1799"/>
      <c r="IJQ3593" s="1799"/>
      <c r="IJR3593" s="1799"/>
      <c r="IJS3593" s="1799"/>
      <c r="IJT3593" s="1799"/>
      <c r="IJU3593" s="1799"/>
      <c r="IJV3593" s="1799"/>
      <c r="IJW3593" s="1799"/>
      <c r="IJX3593" s="1799"/>
      <c r="IJY3593" s="1799"/>
      <c r="IJZ3593" s="1799"/>
      <c r="IKA3593" s="1799"/>
      <c r="IKB3593" s="1799"/>
      <c r="IKC3593" s="1799"/>
      <c r="IKD3593" s="1799"/>
      <c r="IKE3593" s="1799"/>
      <c r="IKF3593" s="1799"/>
      <c r="IKG3593" s="1799"/>
      <c r="IKH3593" s="1799"/>
      <c r="IKI3593" s="1799"/>
      <c r="IKJ3593" s="1799"/>
      <c r="IKK3593" s="1799"/>
      <c r="IKL3593" s="1799"/>
      <c r="IKM3593" s="1799"/>
      <c r="IKN3593" s="1799"/>
      <c r="IKO3593" s="1799"/>
      <c r="IKP3593" s="1799"/>
      <c r="IKQ3593" s="1799"/>
      <c r="IKR3593" s="1799"/>
      <c r="IKS3593" s="1799"/>
      <c r="IKT3593" s="1799"/>
      <c r="IKU3593" s="1799"/>
      <c r="IKV3593" s="1799"/>
      <c r="IKW3593" s="1799"/>
      <c r="IKX3593" s="1799"/>
      <c r="IKY3593" s="1799"/>
      <c r="IKZ3593" s="1799"/>
      <c r="ILA3593" s="1799"/>
      <c r="ILB3593" s="1799"/>
      <c r="ILC3593" s="1799"/>
      <c r="ILD3593" s="1799"/>
      <c r="ILE3593" s="1799"/>
      <c r="ILF3593" s="1799"/>
      <c r="ILG3593" s="1799"/>
      <c r="ILH3593" s="1799"/>
      <c r="ILI3593" s="1799"/>
      <c r="ILJ3593" s="1799"/>
      <c r="ILK3593" s="1799"/>
      <c r="ILL3593" s="1799"/>
      <c r="ILM3593" s="1799"/>
      <c r="ILN3593" s="1799"/>
      <c r="ILO3593" s="1799"/>
      <c r="ILP3593" s="1799"/>
      <c r="ILQ3593" s="1799"/>
      <c r="ILR3593" s="1799"/>
      <c r="ILS3593" s="1799"/>
      <c r="ILT3593" s="1799"/>
      <c r="ILU3593" s="1799"/>
      <c r="ILV3593" s="1799"/>
      <c r="ILW3593" s="1799"/>
      <c r="ILX3593" s="1799"/>
      <c r="ILY3593" s="1799"/>
      <c r="ILZ3593" s="1799"/>
      <c r="IMA3593" s="1799"/>
      <c r="IMB3593" s="1799"/>
      <c r="IMC3593" s="1799"/>
      <c r="IMD3593" s="1799"/>
      <c r="IME3593" s="1799"/>
      <c r="IMF3593" s="1799"/>
      <c r="IMG3593" s="1799"/>
      <c r="IMH3593" s="1799"/>
      <c r="IMI3593" s="1799"/>
      <c r="IMJ3593" s="1799"/>
      <c r="IMK3593" s="1799"/>
      <c r="IML3593" s="1799"/>
      <c r="IMM3593" s="1799"/>
      <c r="IMN3593" s="1799"/>
      <c r="IMO3593" s="1799"/>
      <c r="IMP3593" s="1799"/>
      <c r="IMQ3593" s="1799"/>
      <c r="IMR3593" s="1799"/>
      <c r="IMS3593" s="1799"/>
      <c r="IMT3593" s="1799"/>
      <c r="IMU3593" s="1799"/>
      <c r="IMV3593" s="1799"/>
      <c r="IMW3593" s="1799"/>
      <c r="IMX3593" s="1799"/>
      <c r="IMY3593" s="1799"/>
      <c r="IMZ3593" s="1799"/>
      <c r="INA3593" s="1799"/>
      <c r="INB3593" s="1799"/>
      <c r="INC3593" s="1799"/>
      <c r="IND3593" s="1799"/>
      <c r="INE3593" s="1799"/>
      <c r="INF3593" s="1799"/>
      <c r="ING3593" s="1799"/>
      <c r="INH3593" s="1799"/>
      <c r="INI3593" s="1799"/>
      <c r="INJ3593" s="1799"/>
      <c r="INK3593" s="1799"/>
      <c r="INL3593" s="1799"/>
      <c r="INM3593" s="1799"/>
      <c r="INN3593" s="1799"/>
      <c r="INO3593" s="1799"/>
      <c r="INP3593" s="1799"/>
      <c r="INQ3593" s="1799"/>
      <c r="INR3593" s="1799"/>
      <c r="INS3593" s="1799"/>
      <c r="INT3593" s="1799"/>
      <c r="INU3593" s="1799"/>
      <c r="INV3593" s="1799"/>
      <c r="INW3593" s="1799"/>
      <c r="INX3593" s="1799"/>
      <c r="INY3593" s="1799"/>
      <c r="INZ3593" s="1799"/>
      <c r="IOA3593" s="1799"/>
      <c r="IOB3593" s="1799"/>
      <c r="IOC3593" s="1799"/>
      <c r="IOD3593" s="1799"/>
      <c r="IOE3593" s="1799"/>
      <c r="IOF3593" s="1799"/>
      <c r="IOG3593" s="1799"/>
      <c r="IOH3593" s="1799"/>
      <c r="IOI3593" s="1799"/>
      <c r="IOJ3593" s="1799"/>
      <c r="IOK3593" s="1799"/>
      <c r="IOL3593" s="1799"/>
      <c r="IOM3593" s="1799"/>
      <c r="ION3593" s="1799"/>
      <c r="IOO3593" s="1799"/>
      <c r="IOP3593" s="1799"/>
      <c r="IOQ3593" s="1799"/>
      <c r="IOR3593" s="1799"/>
      <c r="IOS3593" s="1799"/>
      <c r="IOT3593" s="1799"/>
      <c r="IOU3593" s="1799"/>
      <c r="IOV3593" s="1799"/>
      <c r="IOW3593" s="1799"/>
      <c r="IOX3593" s="1799"/>
      <c r="IOY3593" s="1799"/>
      <c r="IOZ3593" s="1799"/>
      <c r="IPA3593" s="1799"/>
      <c r="IPB3593" s="1799"/>
      <c r="IPC3593" s="1799"/>
      <c r="IPD3593" s="1799"/>
      <c r="IPE3593" s="1799"/>
      <c r="IPF3593" s="1799"/>
      <c r="IPG3593" s="1799"/>
      <c r="IPH3593" s="1799"/>
      <c r="IPI3593" s="1799"/>
      <c r="IPJ3593" s="1799"/>
      <c r="IPK3593" s="1799"/>
      <c r="IPL3593" s="1799"/>
      <c r="IPM3593" s="1799"/>
      <c r="IPN3593" s="1799"/>
      <c r="IPO3593" s="1799"/>
      <c r="IPP3593" s="1799"/>
      <c r="IPQ3593" s="1799"/>
      <c r="IPR3593" s="1799"/>
      <c r="IPS3593" s="1799"/>
      <c r="IPT3593" s="1799"/>
      <c r="IPU3593" s="1799"/>
      <c r="IPV3593" s="1799"/>
      <c r="IPW3593" s="1799"/>
      <c r="IPX3593" s="1799"/>
      <c r="IPY3593" s="1799"/>
      <c r="IPZ3593" s="1799"/>
      <c r="IQA3593" s="1799"/>
      <c r="IQB3593" s="1799"/>
      <c r="IQC3593" s="1799"/>
      <c r="IQD3593" s="1799"/>
      <c r="IQE3593" s="1799"/>
      <c r="IQF3593" s="1799"/>
      <c r="IQG3593" s="1799"/>
      <c r="IQH3593" s="1799"/>
      <c r="IQI3593" s="1799"/>
      <c r="IQJ3593" s="1799"/>
      <c r="IQK3593" s="1799"/>
      <c r="IQL3593" s="1799"/>
      <c r="IQM3593" s="1799"/>
      <c r="IQN3593" s="1799"/>
      <c r="IQO3593" s="1799"/>
      <c r="IQP3593" s="1799"/>
      <c r="IQQ3593" s="1799"/>
      <c r="IQR3593" s="1799"/>
      <c r="IQS3593" s="1799"/>
      <c r="IQT3593" s="1799"/>
      <c r="IQU3593" s="1799"/>
      <c r="IQV3593" s="1799"/>
      <c r="IQW3593" s="1799"/>
      <c r="IQX3593" s="1799"/>
      <c r="IQY3593" s="1799"/>
      <c r="IQZ3593" s="1799"/>
      <c r="IRA3593" s="1799"/>
      <c r="IRB3593" s="1799"/>
      <c r="IRC3593" s="1799"/>
      <c r="IRD3593" s="1799"/>
      <c r="IRE3593" s="1799"/>
      <c r="IRF3593" s="1799"/>
      <c r="IRG3593" s="1799"/>
      <c r="IRH3593" s="1799"/>
      <c r="IRI3593" s="1799"/>
      <c r="IRJ3593" s="1799"/>
      <c r="IRK3593" s="1799"/>
      <c r="IRL3593" s="1799"/>
      <c r="IRM3593" s="1799"/>
      <c r="IRN3593" s="1799"/>
      <c r="IRO3593" s="1799"/>
      <c r="IRP3593" s="1799"/>
      <c r="IRQ3593" s="1799"/>
      <c r="IRR3593" s="1799"/>
      <c r="IRS3593" s="1799"/>
      <c r="IRT3593" s="1799"/>
      <c r="IRU3593" s="1799"/>
      <c r="IRV3593" s="1799"/>
      <c r="IRW3593" s="1799"/>
      <c r="IRX3593" s="1799"/>
      <c r="IRY3593" s="1799"/>
      <c r="IRZ3593" s="1799"/>
      <c r="ISA3593" s="1799"/>
      <c r="ISB3593" s="1799"/>
      <c r="ISC3593" s="1799"/>
      <c r="ISD3593" s="1799"/>
      <c r="ISE3593" s="1799"/>
      <c r="ISF3593" s="1799"/>
      <c r="ISG3593" s="1799"/>
      <c r="ISH3593" s="1799"/>
      <c r="ISI3593" s="1799"/>
      <c r="ISJ3593" s="1799"/>
      <c r="ISK3593" s="1799"/>
      <c r="ISL3593" s="1799"/>
      <c r="ISM3593" s="1799"/>
      <c r="ISN3593" s="1799"/>
      <c r="ISO3593" s="1799"/>
      <c r="ISP3593" s="1799"/>
      <c r="ISQ3593" s="1799"/>
      <c r="ISR3593" s="1799"/>
      <c r="ISS3593" s="1799"/>
      <c r="IST3593" s="1799"/>
      <c r="ISU3593" s="1799"/>
      <c r="ISV3593" s="1799"/>
      <c r="ISW3593" s="1799"/>
      <c r="ISX3593" s="1799"/>
      <c r="ISY3593" s="1799"/>
      <c r="ISZ3593" s="1799"/>
      <c r="ITA3593" s="1799"/>
      <c r="ITB3593" s="1799"/>
      <c r="ITC3593" s="1799"/>
      <c r="ITD3593" s="1799"/>
      <c r="ITE3593" s="1799"/>
      <c r="ITF3593" s="1799"/>
      <c r="ITG3593" s="1799"/>
      <c r="ITH3593" s="1799"/>
      <c r="ITI3593" s="1799"/>
      <c r="ITJ3593" s="1799"/>
      <c r="ITK3593" s="1799"/>
      <c r="ITL3593" s="1799"/>
      <c r="ITM3593" s="1799"/>
      <c r="ITN3593" s="1799"/>
      <c r="ITO3593" s="1799"/>
      <c r="ITP3593" s="1799"/>
      <c r="ITQ3593" s="1799"/>
      <c r="ITR3593" s="1799"/>
      <c r="ITS3593" s="1799"/>
      <c r="ITT3593" s="1799"/>
      <c r="ITU3593" s="1799"/>
      <c r="ITV3593" s="1799"/>
      <c r="ITW3593" s="1799"/>
      <c r="ITX3593" s="1799"/>
      <c r="ITY3593" s="1799"/>
      <c r="ITZ3593" s="1799"/>
      <c r="IUA3593" s="1799"/>
      <c r="IUB3593" s="1799"/>
      <c r="IUC3593" s="1799"/>
      <c r="IUD3593" s="1799"/>
      <c r="IUE3593" s="1799"/>
      <c r="IUF3593" s="1799"/>
      <c r="IUG3593" s="1799"/>
      <c r="IUH3593" s="1799"/>
      <c r="IUI3593" s="1799"/>
      <c r="IUJ3593" s="1799"/>
      <c r="IUK3593" s="1799"/>
      <c r="IUL3593" s="1799"/>
      <c r="IUM3593" s="1799"/>
      <c r="IUN3593" s="1799"/>
      <c r="IUO3593" s="1799"/>
      <c r="IUP3593" s="1799"/>
      <c r="IUQ3593" s="1799"/>
      <c r="IUR3593" s="1799"/>
      <c r="IUS3593" s="1799"/>
      <c r="IUT3593" s="1799"/>
      <c r="IUU3593" s="1799"/>
      <c r="IUV3593" s="1799"/>
      <c r="IUW3593" s="1799"/>
      <c r="IUX3593" s="1799"/>
      <c r="IUY3593" s="1799"/>
      <c r="IUZ3593" s="1799"/>
      <c r="IVA3593" s="1799"/>
      <c r="IVB3593" s="1799"/>
      <c r="IVC3593" s="1799"/>
      <c r="IVD3593" s="1799"/>
      <c r="IVE3593" s="1799"/>
      <c r="IVF3593" s="1799"/>
      <c r="IVG3593" s="1799"/>
      <c r="IVH3593" s="1799"/>
      <c r="IVI3593" s="1799"/>
      <c r="IVJ3593" s="1799"/>
      <c r="IVK3593" s="1799"/>
      <c r="IVL3593" s="1799"/>
      <c r="IVM3593" s="1799"/>
      <c r="IVN3593" s="1799"/>
      <c r="IVO3593" s="1799"/>
      <c r="IVP3593" s="1799"/>
      <c r="IVQ3593" s="1799"/>
      <c r="IVR3593" s="1799"/>
      <c r="IVS3593" s="1799"/>
      <c r="IVT3593" s="1799"/>
      <c r="IVU3593" s="1799"/>
      <c r="IVV3593" s="1799"/>
      <c r="IVW3593" s="1799"/>
      <c r="IVX3593" s="1799"/>
      <c r="IVY3593" s="1799"/>
      <c r="IVZ3593" s="1799"/>
      <c r="IWA3593" s="1799"/>
      <c r="IWB3593" s="1799"/>
      <c r="IWC3593" s="1799"/>
      <c r="IWD3593" s="1799"/>
      <c r="IWE3593" s="1799"/>
      <c r="IWF3593" s="1799"/>
      <c r="IWG3593" s="1799"/>
      <c r="IWH3593" s="1799"/>
      <c r="IWI3593" s="1799"/>
      <c r="IWJ3593" s="1799"/>
      <c r="IWK3593" s="1799"/>
      <c r="IWL3593" s="1799"/>
      <c r="IWM3593" s="1799"/>
      <c r="IWN3593" s="1799"/>
      <c r="IWO3593" s="1799"/>
      <c r="IWP3593" s="1799"/>
      <c r="IWQ3593" s="1799"/>
      <c r="IWR3593" s="1799"/>
      <c r="IWS3593" s="1799"/>
      <c r="IWT3593" s="1799"/>
      <c r="IWU3593" s="1799"/>
      <c r="IWV3593" s="1799"/>
      <c r="IWW3593" s="1799"/>
      <c r="IWX3593" s="1799"/>
      <c r="IWY3593" s="1799"/>
      <c r="IWZ3593" s="1799"/>
      <c r="IXA3593" s="1799"/>
      <c r="IXB3593" s="1799"/>
      <c r="IXC3593" s="1799"/>
      <c r="IXD3593" s="1799"/>
      <c r="IXE3593" s="1799"/>
      <c r="IXF3593" s="1799"/>
      <c r="IXG3593" s="1799"/>
      <c r="IXH3593" s="1799"/>
      <c r="IXI3593" s="1799"/>
      <c r="IXJ3593" s="1799"/>
      <c r="IXK3593" s="1799"/>
      <c r="IXL3593" s="1799"/>
      <c r="IXM3593" s="1799"/>
      <c r="IXN3593" s="1799"/>
      <c r="IXO3593" s="1799"/>
      <c r="IXP3593" s="1799"/>
      <c r="IXQ3593" s="1799"/>
      <c r="IXR3593" s="1799"/>
      <c r="IXS3593" s="1799"/>
      <c r="IXT3593" s="1799"/>
      <c r="IXU3593" s="1799"/>
      <c r="IXV3593" s="1799"/>
      <c r="IXW3593" s="1799"/>
      <c r="IXX3593" s="1799"/>
      <c r="IXY3593" s="1799"/>
      <c r="IXZ3593" s="1799"/>
      <c r="IYA3593" s="1799"/>
      <c r="IYB3593" s="1799"/>
      <c r="IYC3593" s="1799"/>
      <c r="IYD3593" s="1799"/>
      <c r="IYE3593" s="1799"/>
      <c r="IYF3593" s="1799"/>
      <c r="IYG3593" s="1799"/>
      <c r="IYH3593" s="1799"/>
      <c r="IYI3593" s="1799"/>
      <c r="IYJ3593" s="1799"/>
      <c r="IYK3593" s="1799"/>
      <c r="IYL3593" s="1799"/>
      <c r="IYM3593" s="1799"/>
      <c r="IYN3593" s="1799"/>
      <c r="IYO3593" s="1799"/>
      <c r="IYP3593" s="1799"/>
      <c r="IYQ3593" s="1799"/>
      <c r="IYR3593" s="1799"/>
      <c r="IYS3593" s="1799"/>
      <c r="IYT3593" s="1799"/>
      <c r="IYU3593" s="1799"/>
      <c r="IYV3593" s="1799"/>
      <c r="IYW3593" s="1799"/>
      <c r="IYX3593" s="1799"/>
      <c r="IYY3593" s="1799"/>
      <c r="IYZ3593" s="1799"/>
      <c r="IZA3593" s="1799"/>
      <c r="IZB3593" s="1799"/>
      <c r="IZC3593" s="1799"/>
      <c r="IZD3593" s="1799"/>
      <c r="IZE3593" s="1799"/>
      <c r="IZF3593" s="1799"/>
      <c r="IZG3593" s="1799"/>
      <c r="IZH3593" s="1799"/>
      <c r="IZI3593" s="1799"/>
      <c r="IZJ3593" s="1799"/>
      <c r="IZK3593" s="1799"/>
      <c r="IZL3593" s="1799"/>
      <c r="IZM3593" s="1799"/>
      <c r="IZN3593" s="1799"/>
      <c r="IZO3593" s="1799"/>
      <c r="IZP3593" s="1799"/>
      <c r="IZQ3593" s="1799"/>
      <c r="IZR3593" s="1799"/>
      <c r="IZS3593" s="1799"/>
      <c r="IZT3593" s="1799"/>
      <c r="IZU3593" s="1799"/>
      <c r="IZV3593" s="1799"/>
      <c r="IZW3593" s="1799"/>
      <c r="IZX3593" s="1799"/>
      <c r="IZY3593" s="1799"/>
      <c r="IZZ3593" s="1799"/>
      <c r="JAA3593" s="1799"/>
      <c r="JAB3593" s="1799"/>
      <c r="JAC3593" s="1799"/>
      <c r="JAD3593" s="1799"/>
      <c r="JAE3593" s="1799"/>
      <c r="JAF3593" s="1799"/>
      <c r="JAG3593" s="1799"/>
      <c r="JAH3593" s="1799"/>
      <c r="JAI3593" s="1799"/>
      <c r="JAJ3593" s="1799"/>
      <c r="JAK3593" s="1799"/>
      <c r="JAL3593" s="1799"/>
      <c r="JAM3593" s="1799"/>
      <c r="JAN3593" s="1799"/>
      <c r="JAO3593" s="1799"/>
      <c r="JAP3593" s="1799"/>
      <c r="JAQ3593" s="1799"/>
      <c r="JAR3593" s="1799"/>
      <c r="JAS3593" s="1799"/>
      <c r="JAT3593" s="1799"/>
      <c r="JAU3593" s="1799"/>
      <c r="JAV3593" s="1799"/>
      <c r="JAW3593" s="1799"/>
      <c r="JAX3593" s="1799"/>
      <c r="JAY3593" s="1799"/>
      <c r="JAZ3593" s="1799"/>
      <c r="JBA3593" s="1799"/>
      <c r="JBB3593" s="1799"/>
      <c r="JBC3593" s="1799"/>
      <c r="JBD3593" s="1799"/>
      <c r="JBE3593" s="1799"/>
      <c r="JBF3593" s="1799"/>
      <c r="JBG3593" s="1799"/>
      <c r="JBH3593" s="1799"/>
      <c r="JBI3593" s="1799"/>
      <c r="JBJ3593" s="1799"/>
      <c r="JBK3593" s="1799"/>
      <c r="JBL3593" s="1799"/>
      <c r="JBM3593" s="1799"/>
      <c r="JBN3593" s="1799"/>
      <c r="JBO3593" s="1799"/>
      <c r="JBP3593" s="1799"/>
      <c r="JBQ3593" s="1799"/>
      <c r="JBR3593" s="1799"/>
      <c r="JBS3593" s="1799"/>
      <c r="JBT3593" s="1799"/>
      <c r="JBU3593" s="1799"/>
      <c r="JBV3593" s="1799"/>
      <c r="JBW3593" s="1799"/>
      <c r="JBX3593" s="1799"/>
      <c r="JBY3593" s="1799"/>
      <c r="JBZ3593" s="1799"/>
      <c r="JCA3593" s="1799"/>
      <c r="JCB3593" s="1799"/>
      <c r="JCC3593" s="1799"/>
      <c r="JCD3593" s="1799"/>
      <c r="JCE3593" s="1799"/>
      <c r="JCF3593" s="1799"/>
      <c r="JCG3593" s="1799"/>
      <c r="JCH3593" s="1799"/>
      <c r="JCI3593" s="1799"/>
      <c r="JCJ3593" s="1799"/>
      <c r="JCK3593" s="1799"/>
      <c r="JCL3593" s="1799"/>
      <c r="JCM3593" s="1799"/>
      <c r="JCN3593" s="1799"/>
      <c r="JCO3593" s="1799"/>
      <c r="JCP3593" s="1799"/>
      <c r="JCQ3593" s="1799"/>
      <c r="JCR3593" s="1799"/>
      <c r="JCS3593" s="1799"/>
      <c r="JCT3593" s="1799"/>
      <c r="JCU3593" s="1799"/>
      <c r="JCV3593" s="1799"/>
      <c r="JCW3593" s="1799"/>
      <c r="JCX3593" s="1799"/>
      <c r="JCY3593" s="1799"/>
      <c r="JCZ3593" s="1799"/>
      <c r="JDA3593" s="1799"/>
      <c r="JDB3593" s="1799"/>
      <c r="JDC3593" s="1799"/>
      <c r="JDD3593" s="1799"/>
      <c r="JDE3593" s="1799"/>
      <c r="JDF3593" s="1799"/>
      <c r="JDG3593" s="1799"/>
      <c r="JDH3593" s="1799"/>
      <c r="JDI3593" s="1799"/>
      <c r="JDJ3593" s="1799"/>
      <c r="JDK3593" s="1799"/>
      <c r="JDL3593" s="1799"/>
      <c r="JDM3593" s="1799"/>
      <c r="JDN3593" s="1799"/>
      <c r="JDO3593" s="1799"/>
      <c r="JDP3593" s="1799"/>
      <c r="JDQ3593" s="1799"/>
      <c r="JDR3593" s="1799"/>
      <c r="JDS3593" s="1799"/>
      <c r="JDT3593" s="1799"/>
      <c r="JDU3593" s="1799"/>
      <c r="JDV3593" s="1799"/>
      <c r="JDW3593" s="1799"/>
      <c r="JDX3593" s="1799"/>
      <c r="JDY3593" s="1799"/>
      <c r="JDZ3593" s="1799"/>
      <c r="JEA3593" s="1799"/>
      <c r="JEB3593" s="1799"/>
      <c r="JEC3593" s="1799"/>
      <c r="JED3593" s="1799"/>
      <c r="JEE3593" s="1799"/>
      <c r="JEF3593" s="1799"/>
      <c r="JEG3593" s="1799"/>
      <c r="JEH3593" s="1799"/>
      <c r="JEI3593" s="1799"/>
      <c r="JEJ3593" s="1799"/>
      <c r="JEK3593" s="1799"/>
      <c r="JEL3593" s="1799"/>
      <c r="JEM3593" s="1799"/>
      <c r="JEN3593" s="1799"/>
      <c r="JEO3593" s="1799"/>
      <c r="JEP3593" s="1799"/>
      <c r="JEQ3593" s="1799"/>
      <c r="JER3593" s="1799"/>
      <c r="JES3593" s="1799"/>
      <c r="JET3593" s="1799"/>
      <c r="JEU3593" s="1799"/>
      <c r="JEV3593" s="1799"/>
      <c r="JEW3593" s="1799"/>
      <c r="JEX3593" s="1799"/>
      <c r="JEY3593" s="1799"/>
      <c r="JEZ3593" s="1799"/>
      <c r="JFA3593" s="1799"/>
      <c r="JFB3593" s="1799"/>
      <c r="JFC3593" s="1799"/>
      <c r="JFD3593" s="1799"/>
      <c r="JFE3593" s="1799"/>
      <c r="JFF3593" s="1799"/>
      <c r="JFG3593" s="1799"/>
      <c r="JFH3593" s="1799"/>
      <c r="JFI3593" s="1799"/>
      <c r="JFJ3593" s="1799"/>
      <c r="JFK3593" s="1799"/>
      <c r="JFL3593" s="1799"/>
      <c r="JFM3593" s="1799"/>
      <c r="JFN3593" s="1799"/>
      <c r="JFO3593" s="1799"/>
      <c r="JFP3593" s="1799"/>
      <c r="JFQ3593" s="1799"/>
      <c r="JFR3593" s="1799"/>
      <c r="JFS3593" s="1799"/>
      <c r="JFT3593" s="1799"/>
      <c r="JFU3593" s="1799"/>
      <c r="JFV3593" s="1799"/>
      <c r="JFW3593" s="1799"/>
      <c r="JFX3593" s="1799"/>
      <c r="JFY3593" s="1799"/>
      <c r="JFZ3593" s="1799"/>
      <c r="JGA3593" s="1799"/>
      <c r="JGB3593" s="1799"/>
      <c r="JGC3593" s="1799"/>
      <c r="JGD3593" s="1799"/>
      <c r="JGE3593" s="1799"/>
      <c r="JGF3593" s="1799"/>
      <c r="JGG3593" s="1799"/>
      <c r="JGH3593" s="1799"/>
      <c r="JGI3593" s="1799"/>
      <c r="JGJ3593" s="1799"/>
      <c r="JGK3593" s="1799"/>
      <c r="JGL3593" s="1799"/>
      <c r="JGM3593" s="1799"/>
      <c r="JGN3593" s="1799"/>
      <c r="JGO3593" s="1799"/>
      <c r="JGP3593" s="1799"/>
      <c r="JGQ3593" s="1799"/>
      <c r="JGR3593" s="1799"/>
      <c r="JGS3593" s="1799"/>
      <c r="JGT3593" s="1799"/>
      <c r="JGU3593" s="1799"/>
      <c r="JGV3593" s="1799"/>
      <c r="JGW3593" s="1799"/>
      <c r="JGX3593" s="1799"/>
      <c r="JGY3593" s="1799"/>
      <c r="JGZ3593" s="1799"/>
      <c r="JHA3593" s="1799"/>
      <c r="JHB3593" s="1799"/>
      <c r="JHC3593" s="1799"/>
      <c r="JHD3593" s="1799"/>
      <c r="JHE3593" s="1799"/>
      <c r="JHF3593" s="1799"/>
      <c r="JHG3593" s="1799"/>
      <c r="JHH3593" s="1799"/>
      <c r="JHI3593" s="1799"/>
      <c r="JHJ3593" s="1799"/>
      <c r="JHK3593" s="1799"/>
      <c r="JHL3593" s="1799"/>
      <c r="JHM3593" s="1799"/>
      <c r="JHN3593" s="1799"/>
      <c r="JHO3593" s="1799"/>
      <c r="JHP3593" s="1799"/>
      <c r="JHQ3593" s="1799"/>
      <c r="JHR3593" s="1799"/>
      <c r="JHS3593" s="1799"/>
      <c r="JHT3593" s="1799"/>
      <c r="JHU3593" s="1799"/>
      <c r="JHV3593" s="1799"/>
      <c r="JHW3593" s="1799"/>
      <c r="JHX3593" s="1799"/>
      <c r="JHY3593" s="1799"/>
      <c r="JHZ3593" s="1799"/>
      <c r="JIA3593" s="1799"/>
      <c r="JIB3593" s="1799"/>
      <c r="JIC3593" s="1799"/>
      <c r="JID3593" s="1799"/>
      <c r="JIE3593" s="1799"/>
      <c r="JIF3593" s="1799"/>
      <c r="JIG3593" s="1799"/>
      <c r="JIH3593" s="1799"/>
      <c r="JII3593" s="1799"/>
      <c r="JIJ3593" s="1799"/>
      <c r="JIK3593" s="1799"/>
      <c r="JIL3593" s="1799"/>
      <c r="JIM3593" s="1799"/>
      <c r="JIN3593" s="1799"/>
      <c r="JIO3593" s="1799"/>
      <c r="JIP3593" s="1799"/>
      <c r="JIQ3593" s="1799"/>
      <c r="JIR3593" s="1799"/>
      <c r="JIS3593" s="1799"/>
      <c r="JIT3593" s="1799"/>
      <c r="JIU3593" s="1799"/>
      <c r="JIV3593" s="1799"/>
      <c r="JIW3593" s="1799"/>
      <c r="JIX3593" s="1799"/>
      <c r="JIY3593" s="1799"/>
      <c r="JIZ3593" s="1799"/>
      <c r="JJA3593" s="1799"/>
      <c r="JJB3593" s="1799"/>
      <c r="JJC3593" s="1799"/>
      <c r="JJD3593" s="1799"/>
      <c r="JJE3593" s="1799"/>
      <c r="JJF3593" s="1799"/>
      <c r="JJG3593" s="1799"/>
      <c r="JJH3593" s="1799"/>
      <c r="JJI3593" s="1799"/>
      <c r="JJJ3593" s="1799"/>
      <c r="JJK3593" s="1799"/>
      <c r="JJL3593" s="1799"/>
      <c r="JJM3593" s="1799"/>
      <c r="JJN3593" s="1799"/>
      <c r="JJO3593" s="1799"/>
      <c r="JJP3593" s="1799"/>
      <c r="JJQ3593" s="1799"/>
      <c r="JJR3593" s="1799"/>
      <c r="JJS3593" s="1799"/>
      <c r="JJT3593" s="1799"/>
      <c r="JJU3593" s="1799"/>
      <c r="JJV3593" s="1799"/>
      <c r="JJW3593" s="1799"/>
      <c r="JJX3593" s="1799"/>
      <c r="JJY3593" s="1799"/>
      <c r="JJZ3593" s="1799"/>
      <c r="JKA3593" s="1799"/>
      <c r="JKB3593" s="1799"/>
      <c r="JKC3593" s="1799"/>
      <c r="JKD3593" s="1799"/>
      <c r="JKE3593" s="1799"/>
      <c r="JKF3593" s="1799"/>
      <c r="JKG3593" s="1799"/>
      <c r="JKH3593" s="1799"/>
      <c r="JKI3593" s="1799"/>
      <c r="JKJ3593" s="1799"/>
      <c r="JKK3593" s="1799"/>
      <c r="JKL3593" s="1799"/>
      <c r="JKM3593" s="1799"/>
      <c r="JKN3593" s="1799"/>
      <c r="JKO3593" s="1799"/>
      <c r="JKP3593" s="1799"/>
      <c r="JKQ3593" s="1799"/>
      <c r="JKR3593" s="1799"/>
      <c r="JKS3593" s="1799"/>
      <c r="JKT3593" s="1799"/>
      <c r="JKU3593" s="1799"/>
      <c r="JKV3593" s="1799"/>
      <c r="JKW3593" s="1799"/>
      <c r="JKX3593" s="1799"/>
      <c r="JKY3593" s="1799"/>
      <c r="JKZ3593" s="1799"/>
      <c r="JLA3593" s="1799"/>
      <c r="JLB3593" s="1799"/>
      <c r="JLC3593" s="1799"/>
      <c r="JLD3593" s="1799"/>
      <c r="JLE3593" s="1799"/>
      <c r="JLF3593" s="1799"/>
      <c r="JLG3593" s="1799"/>
      <c r="JLH3593" s="1799"/>
      <c r="JLI3593" s="1799"/>
      <c r="JLJ3593" s="1799"/>
      <c r="JLK3593" s="1799"/>
      <c r="JLL3593" s="1799"/>
      <c r="JLM3593" s="1799"/>
      <c r="JLN3593" s="1799"/>
      <c r="JLO3593" s="1799"/>
      <c r="JLP3593" s="1799"/>
      <c r="JLQ3593" s="1799"/>
      <c r="JLR3593" s="1799"/>
      <c r="JLS3593" s="1799"/>
      <c r="JLT3593" s="1799"/>
      <c r="JLU3593" s="1799"/>
      <c r="JLV3593" s="1799"/>
      <c r="JLW3593" s="1799"/>
      <c r="JLX3593" s="1799"/>
      <c r="JLY3593" s="1799"/>
      <c r="JLZ3593" s="1799"/>
      <c r="JMA3593" s="1799"/>
      <c r="JMB3593" s="1799"/>
      <c r="JMC3593" s="1799"/>
      <c r="JMD3593" s="1799"/>
      <c r="JME3593" s="1799"/>
      <c r="JMF3593" s="1799"/>
      <c r="JMG3593" s="1799"/>
      <c r="JMH3593" s="1799"/>
      <c r="JMI3593" s="1799"/>
      <c r="JMJ3593" s="1799"/>
      <c r="JMK3593" s="1799"/>
      <c r="JML3593" s="1799"/>
      <c r="JMM3593" s="1799"/>
      <c r="JMN3593" s="1799"/>
      <c r="JMO3593" s="1799"/>
      <c r="JMP3593" s="1799"/>
      <c r="JMQ3593" s="1799"/>
      <c r="JMR3593" s="1799"/>
      <c r="JMS3593" s="1799"/>
      <c r="JMT3593" s="1799"/>
      <c r="JMU3593" s="1799"/>
      <c r="JMV3593" s="1799"/>
      <c r="JMW3593" s="1799"/>
      <c r="JMX3593" s="1799"/>
      <c r="JMY3593" s="1799"/>
      <c r="JMZ3593" s="1799"/>
      <c r="JNA3593" s="1799"/>
      <c r="JNB3593" s="1799"/>
      <c r="JNC3593" s="1799"/>
      <c r="JND3593" s="1799"/>
      <c r="JNE3593" s="1799"/>
      <c r="JNF3593" s="1799"/>
      <c r="JNG3593" s="1799"/>
      <c r="JNH3593" s="1799"/>
      <c r="JNI3593" s="1799"/>
      <c r="JNJ3593" s="1799"/>
      <c r="JNK3593" s="1799"/>
      <c r="JNL3593" s="1799"/>
      <c r="JNM3593" s="1799"/>
      <c r="JNN3593" s="1799"/>
      <c r="JNO3593" s="1799"/>
      <c r="JNP3593" s="1799"/>
      <c r="JNQ3593" s="1799"/>
      <c r="JNR3593" s="1799"/>
      <c r="JNS3593" s="1799"/>
      <c r="JNT3593" s="1799"/>
      <c r="JNU3593" s="1799"/>
      <c r="JNV3593" s="1799"/>
      <c r="JNW3593" s="1799"/>
      <c r="JNX3593" s="1799"/>
      <c r="JNY3593" s="1799"/>
      <c r="JNZ3593" s="1799"/>
      <c r="JOA3593" s="1799"/>
      <c r="JOB3593" s="1799"/>
      <c r="JOC3593" s="1799"/>
      <c r="JOD3593" s="1799"/>
      <c r="JOE3593" s="1799"/>
      <c r="JOF3593" s="1799"/>
      <c r="JOG3593" s="1799"/>
      <c r="JOH3593" s="1799"/>
      <c r="JOI3593" s="1799"/>
      <c r="JOJ3593" s="1799"/>
      <c r="JOK3593" s="1799"/>
      <c r="JOL3593" s="1799"/>
      <c r="JOM3593" s="1799"/>
      <c r="JON3593" s="1799"/>
      <c r="JOO3593" s="1799"/>
      <c r="JOP3593" s="1799"/>
      <c r="JOQ3593" s="1799"/>
      <c r="JOR3593" s="1799"/>
      <c r="JOS3593" s="1799"/>
      <c r="JOT3593" s="1799"/>
      <c r="JOU3593" s="1799"/>
      <c r="JOV3593" s="1799"/>
      <c r="JOW3593" s="1799"/>
      <c r="JOX3593" s="1799"/>
      <c r="JOY3593" s="1799"/>
      <c r="JOZ3593" s="1799"/>
      <c r="JPA3593" s="1799"/>
      <c r="JPB3593" s="1799"/>
      <c r="JPC3593" s="1799"/>
      <c r="JPD3593" s="1799"/>
      <c r="JPE3593" s="1799"/>
      <c r="JPF3593" s="1799"/>
      <c r="JPG3593" s="1799"/>
      <c r="JPH3593" s="1799"/>
      <c r="JPI3593" s="1799"/>
      <c r="JPJ3593" s="1799"/>
      <c r="JPK3593" s="1799"/>
      <c r="JPL3593" s="1799"/>
      <c r="JPM3593" s="1799"/>
      <c r="JPN3593" s="1799"/>
      <c r="JPO3593" s="1799"/>
      <c r="JPP3593" s="1799"/>
      <c r="JPQ3593" s="1799"/>
      <c r="JPR3593" s="1799"/>
      <c r="JPS3593" s="1799"/>
      <c r="JPT3593" s="1799"/>
      <c r="JPU3593" s="1799"/>
      <c r="JPV3593" s="1799"/>
      <c r="JPW3593" s="1799"/>
      <c r="JPX3593" s="1799"/>
      <c r="JPY3593" s="1799"/>
      <c r="JPZ3593" s="1799"/>
      <c r="JQA3593" s="1799"/>
      <c r="JQB3593" s="1799"/>
      <c r="JQC3593" s="1799"/>
      <c r="JQD3593" s="1799"/>
      <c r="JQE3593" s="1799"/>
      <c r="JQF3593" s="1799"/>
      <c r="JQG3593" s="1799"/>
      <c r="JQH3593" s="1799"/>
      <c r="JQI3593" s="1799"/>
      <c r="JQJ3593" s="1799"/>
      <c r="JQK3593" s="1799"/>
      <c r="JQL3593" s="1799"/>
      <c r="JQM3593" s="1799"/>
      <c r="JQN3593" s="1799"/>
      <c r="JQO3593" s="1799"/>
      <c r="JQP3593" s="1799"/>
      <c r="JQQ3593" s="1799"/>
      <c r="JQR3593" s="1799"/>
      <c r="JQS3593" s="1799"/>
      <c r="JQT3593" s="1799"/>
      <c r="JQU3593" s="1799"/>
      <c r="JQV3593" s="1799"/>
      <c r="JQW3593" s="1799"/>
      <c r="JQX3593" s="1799"/>
      <c r="JQY3593" s="1799"/>
      <c r="JQZ3593" s="1799"/>
      <c r="JRA3593" s="1799"/>
      <c r="JRB3593" s="1799"/>
      <c r="JRC3593" s="1799"/>
      <c r="JRD3593" s="1799"/>
      <c r="JRE3593" s="1799"/>
      <c r="JRF3593" s="1799"/>
      <c r="JRG3593" s="1799"/>
      <c r="JRH3593" s="1799"/>
      <c r="JRI3593" s="1799"/>
      <c r="JRJ3593" s="1799"/>
      <c r="JRK3593" s="1799"/>
      <c r="JRL3593" s="1799"/>
      <c r="JRM3593" s="1799"/>
      <c r="JRN3593" s="1799"/>
      <c r="JRO3593" s="1799"/>
      <c r="JRP3593" s="1799"/>
      <c r="JRQ3593" s="1799"/>
      <c r="JRR3593" s="1799"/>
      <c r="JRS3593" s="1799"/>
      <c r="JRT3593" s="1799"/>
      <c r="JRU3593" s="1799"/>
      <c r="JRV3593" s="1799"/>
      <c r="JRW3593" s="1799"/>
      <c r="JRX3593" s="1799"/>
      <c r="JRY3593" s="1799"/>
      <c r="JRZ3593" s="1799"/>
      <c r="JSA3593" s="1799"/>
      <c r="JSB3593" s="1799"/>
      <c r="JSC3593" s="1799"/>
      <c r="JSD3593" s="1799"/>
      <c r="JSE3593" s="1799"/>
      <c r="JSF3593" s="1799"/>
      <c r="JSG3593" s="1799"/>
      <c r="JSH3593" s="1799"/>
      <c r="JSI3593" s="1799"/>
      <c r="JSJ3593" s="1799"/>
      <c r="JSK3593" s="1799"/>
      <c r="JSL3593" s="1799"/>
      <c r="JSM3593" s="1799"/>
      <c r="JSN3593" s="1799"/>
      <c r="JSO3593" s="1799"/>
      <c r="JSP3593" s="1799"/>
      <c r="JSQ3593" s="1799"/>
      <c r="JSR3593" s="1799"/>
      <c r="JSS3593" s="1799"/>
      <c r="JST3593" s="1799"/>
      <c r="JSU3593" s="1799"/>
      <c r="JSV3593" s="1799"/>
      <c r="JSW3593" s="1799"/>
      <c r="JSX3593" s="1799"/>
      <c r="JSY3593" s="1799"/>
      <c r="JSZ3593" s="1799"/>
      <c r="JTA3593" s="1799"/>
      <c r="JTB3593" s="1799"/>
      <c r="JTC3593" s="1799"/>
      <c r="JTD3593" s="1799"/>
      <c r="JTE3593" s="1799"/>
      <c r="JTF3593" s="1799"/>
      <c r="JTG3593" s="1799"/>
      <c r="JTH3593" s="1799"/>
      <c r="JTI3593" s="1799"/>
      <c r="JTJ3593" s="1799"/>
      <c r="JTK3593" s="1799"/>
      <c r="JTL3593" s="1799"/>
      <c r="JTM3593" s="1799"/>
      <c r="JTN3593" s="1799"/>
      <c r="JTO3593" s="1799"/>
      <c r="JTP3593" s="1799"/>
      <c r="JTQ3593" s="1799"/>
      <c r="JTR3593" s="1799"/>
      <c r="JTS3593" s="1799"/>
      <c r="JTT3593" s="1799"/>
      <c r="JTU3593" s="1799"/>
      <c r="JTV3593" s="1799"/>
      <c r="JTW3593" s="1799"/>
      <c r="JTX3593" s="1799"/>
      <c r="JTY3593" s="1799"/>
      <c r="JTZ3593" s="1799"/>
      <c r="JUA3593" s="1799"/>
      <c r="JUB3593" s="1799"/>
      <c r="JUC3593" s="1799"/>
      <c r="JUD3593" s="1799"/>
      <c r="JUE3593" s="1799"/>
      <c r="JUF3593" s="1799"/>
      <c r="JUG3593" s="1799"/>
      <c r="JUH3593" s="1799"/>
      <c r="JUI3593" s="1799"/>
      <c r="JUJ3593" s="1799"/>
      <c r="JUK3593" s="1799"/>
      <c r="JUL3593" s="1799"/>
      <c r="JUM3593" s="1799"/>
      <c r="JUN3593" s="1799"/>
      <c r="JUO3593" s="1799"/>
      <c r="JUP3593" s="1799"/>
      <c r="JUQ3593" s="1799"/>
      <c r="JUR3593" s="1799"/>
      <c r="JUS3593" s="1799"/>
      <c r="JUT3593" s="1799"/>
      <c r="JUU3593" s="1799"/>
      <c r="JUV3593" s="1799"/>
      <c r="JUW3593" s="1799"/>
      <c r="JUX3593" s="1799"/>
      <c r="JUY3593" s="1799"/>
      <c r="JUZ3593" s="1799"/>
      <c r="JVA3593" s="1799"/>
      <c r="JVB3593" s="1799"/>
      <c r="JVC3593" s="1799"/>
      <c r="JVD3593" s="1799"/>
      <c r="JVE3593" s="1799"/>
      <c r="JVF3593" s="1799"/>
      <c r="JVG3593" s="1799"/>
      <c r="JVH3593" s="1799"/>
      <c r="JVI3593" s="1799"/>
      <c r="JVJ3593" s="1799"/>
      <c r="JVK3593" s="1799"/>
      <c r="JVL3593" s="1799"/>
      <c r="JVM3593" s="1799"/>
      <c r="JVN3593" s="1799"/>
      <c r="JVO3593" s="1799"/>
      <c r="JVP3593" s="1799"/>
      <c r="JVQ3593" s="1799"/>
      <c r="JVR3593" s="1799"/>
      <c r="JVS3593" s="1799"/>
      <c r="JVT3593" s="1799"/>
      <c r="JVU3593" s="1799"/>
      <c r="JVV3593" s="1799"/>
      <c r="JVW3593" s="1799"/>
      <c r="JVX3593" s="1799"/>
      <c r="JVY3593" s="1799"/>
      <c r="JVZ3593" s="1799"/>
      <c r="JWA3593" s="1799"/>
      <c r="JWB3593" s="1799"/>
      <c r="JWC3593" s="1799"/>
      <c r="JWD3593" s="1799"/>
      <c r="JWE3593" s="1799"/>
      <c r="JWF3593" s="1799"/>
      <c r="JWG3593" s="1799"/>
      <c r="JWH3593" s="1799"/>
      <c r="JWI3593" s="1799"/>
      <c r="JWJ3593" s="1799"/>
      <c r="JWK3593" s="1799"/>
      <c r="JWL3593" s="1799"/>
      <c r="JWM3593" s="1799"/>
      <c r="JWN3593" s="1799"/>
      <c r="JWO3593" s="1799"/>
      <c r="JWP3593" s="1799"/>
      <c r="JWQ3593" s="1799"/>
      <c r="JWR3593" s="1799"/>
      <c r="JWS3593" s="1799"/>
      <c r="JWT3593" s="1799"/>
      <c r="JWU3593" s="1799"/>
      <c r="JWV3593" s="1799"/>
      <c r="JWW3593" s="1799"/>
      <c r="JWX3593" s="1799"/>
      <c r="JWY3593" s="1799"/>
      <c r="JWZ3593" s="1799"/>
      <c r="JXA3593" s="1799"/>
      <c r="JXB3593" s="1799"/>
      <c r="JXC3593" s="1799"/>
      <c r="JXD3593" s="1799"/>
      <c r="JXE3593" s="1799"/>
      <c r="JXF3593" s="1799"/>
      <c r="JXG3593" s="1799"/>
      <c r="JXH3593" s="1799"/>
      <c r="JXI3593" s="1799"/>
      <c r="JXJ3593" s="1799"/>
      <c r="JXK3593" s="1799"/>
      <c r="JXL3593" s="1799"/>
      <c r="JXM3593" s="1799"/>
      <c r="JXN3593" s="1799"/>
      <c r="JXO3593" s="1799"/>
      <c r="JXP3593" s="1799"/>
      <c r="JXQ3593" s="1799"/>
      <c r="JXR3593" s="1799"/>
      <c r="JXS3593" s="1799"/>
      <c r="JXT3593" s="1799"/>
      <c r="JXU3593" s="1799"/>
      <c r="JXV3593" s="1799"/>
      <c r="JXW3593" s="1799"/>
      <c r="JXX3593" s="1799"/>
      <c r="JXY3593" s="1799"/>
      <c r="JXZ3593" s="1799"/>
      <c r="JYA3593" s="1799"/>
      <c r="JYB3593" s="1799"/>
      <c r="JYC3593" s="1799"/>
      <c r="JYD3593" s="1799"/>
      <c r="JYE3593" s="1799"/>
      <c r="JYF3593" s="1799"/>
      <c r="JYG3593" s="1799"/>
      <c r="JYH3593" s="1799"/>
      <c r="JYI3593" s="1799"/>
      <c r="JYJ3593" s="1799"/>
      <c r="JYK3593" s="1799"/>
      <c r="JYL3593" s="1799"/>
      <c r="JYM3593" s="1799"/>
      <c r="JYN3593" s="1799"/>
      <c r="JYO3593" s="1799"/>
      <c r="JYP3593" s="1799"/>
      <c r="JYQ3593" s="1799"/>
      <c r="JYR3593" s="1799"/>
      <c r="JYS3593" s="1799"/>
      <c r="JYT3593" s="1799"/>
      <c r="JYU3593" s="1799"/>
      <c r="JYV3593" s="1799"/>
      <c r="JYW3593" s="1799"/>
      <c r="JYX3593" s="1799"/>
      <c r="JYY3593" s="1799"/>
      <c r="JYZ3593" s="1799"/>
      <c r="JZA3593" s="1799"/>
      <c r="JZB3593" s="1799"/>
      <c r="JZC3593" s="1799"/>
      <c r="JZD3593" s="1799"/>
      <c r="JZE3593" s="1799"/>
      <c r="JZF3593" s="1799"/>
      <c r="JZG3593" s="1799"/>
      <c r="JZH3593" s="1799"/>
      <c r="JZI3593" s="1799"/>
      <c r="JZJ3593" s="1799"/>
      <c r="JZK3593" s="1799"/>
      <c r="JZL3593" s="1799"/>
      <c r="JZM3593" s="1799"/>
      <c r="JZN3593" s="1799"/>
      <c r="JZO3593" s="1799"/>
      <c r="JZP3593" s="1799"/>
      <c r="JZQ3593" s="1799"/>
      <c r="JZR3593" s="1799"/>
      <c r="JZS3593" s="1799"/>
      <c r="JZT3593" s="1799"/>
      <c r="JZU3593" s="1799"/>
      <c r="JZV3593" s="1799"/>
      <c r="JZW3593" s="1799"/>
      <c r="JZX3593" s="1799"/>
      <c r="JZY3593" s="1799"/>
      <c r="JZZ3593" s="1799"/>
      <c r="KAA3593" s="1799"/>
      <c r="KAB3593" s="1799"/>
      <c r="KAC3593" s="1799"/>
      <c r="KAD3593" s="1799"/>
      <c r="KAE3593" s="1799"/>
      <c r="KAF3593" s="1799"/>
      <c r="KAG3593" s="1799"/>
      <c r="KAH3593" s="1799"/>
      <c r="KAI3593" s="1799"/>
      <c r="KAJ3593" s="1799"/>
      <c r="KAK3593" s="1799"/>
      <c r="KAL3593" s="1799"/>
      <c r="KAM3593" s="1799"/>
      <c r="KAN3593" s="1799"/>
      <c r="KAO3593" s="1799"/>
      <c r="KAP3593" s="1799"/>
      <c r="KAQ3593" s="1799"/>
      <c r="KAR3593" s="1799"/>
      <c r="KAS3593" s="1799"/>
      <c r="KAT3593" s="1799"/>
      <c r="KAU3593" s="1799"/>
      <c r="KAV3593" s="1799"/>
      <c r="KAW3593" s="1799"/>
      <c r="KAX3593" s="1799"/>
      <c r="KAY3593" s="1799"/>
      <c r="KAZ3593" s="1799"/>
      <c r="KBA3593" s="1799"/>
      <c r="KBB3593" s="1799"/>
      <c r="KBC3593" s="1799"/>
      <c r="KBD3593" s="1799"/>
      <c r="KBE3593" s="1799"/>
      <c r="KBF3593" s="1799"/>
      <c r="KBG3593" s="1799"/>
      <c r="KBH3593" s="1799"/>
      <c r="KBI3593" s="1799"/>
      <c r="KBJ3593" s="1799"/>
      <c r="KBK3593" s="1799"/>
      <c r="KBL3593" s="1799"/>
      <c r="KBM3593" s="1799"/>
      <c r="KBN3593" s="1799"/>
      <c r="KBO3593" s="1799"/>
      <c r="KBP3593" s="1799"/>
      <c r="KBQ3593" s="1799"/>
      <c r="KBR3593" s="1799"/>
      <c r="KBS3593" s="1799"/>
      <c r="KBT3593" s="1799"/>
      <c r="KBU3593" s="1799"/>
      <c r="KBV3593" s="1799"/>
      <c r="KBW3593" s="1799"/>
      <c r="KBX3593" s="1799"/>
      <c r="KBY3593" s="1799"/>
      <c r="KBZ3593" s="1799"/>
      <c r="KCA3593" s="1799"/>
      <c r="KCB3593" s="1799"/>
      <c r="KCC3593" s="1799"/>
      <c r="KCD3593" s="1799"/>
      <c r="KCE3593" s="1799"/>
      <c r="KCF3593" s="1799"/>
      <c r="KCG3593" s="1799"/>
      <c r="KCH3593" s="1799"/>
      <c r="KCI3593" s="1799"/>
      <c r="KCJ3593" s="1799"/>
      <c r="KCK3593" s="1799"/>
      <c r="KCL3593" s="1799"/>
      <c r="KCM3593" s="1799"/>
      <c r="KCN3593" s="1799"/>
      <c r="KCO3593" s="1799"/>
      <c r="KCP3593" s="1799"/>
      <c r="KCQ3593" s="1799"/>
      <c r="KCR3593" s="1799"/>
      <c r="KCS3593" s="1799"/>
      <c r="KCT3593" s="1799"/>
      <c r="KCU3593" s="1799"/>
      <c r="KCV3593" s="1799"/>
      <c r="KCW3593" s="1799"/>
      <c r="KCX3593" s="1799"/>
      <c r="KCY3593" s="1799"/>
      <c r="KCZ3593" s="1799"/>
      <c r="KDA3593" s="1799"/>
      <c r="KDB3593" s="1799"/>
      <c r="KDC3593" s="1799"/>
      <c r="KDD3593" s="1799"/>
      <c r="KDE3593" s="1799"/>
      <c r="KDF3593" s="1799"/>
      <c r="KDG3593" s="1799"/>
      <c r="KDH3593" s="1799"/>
      <c r="KDI3593" s="1799"/>
      <c r="KDJ3593" s="1799"/>
      <c r="KDK3593" s="1799"/>
      <c r="KDL3593" s="1799"/>
      <c r="KDM3593" s="1799"/>
      <c r="KDN3593" s="1799"/>
      <c r="KDO3593" s="1799"/>
      <c r="KDP3593" s="1799"/>
      <c r="KDQ3593" s="1799"/>
      <c r="KDR3593" s="1799"/>
      <c r="KDS3593" s="1799"/>
      <c r="KDT3593" s="1799"/>
      <c r="KDU3593" s="1799"/>
      <c r="KDV3593" s="1799"/>
      <c r="KDW3593" s="1799"/>
      <c r="KDX3593" s="1799"/>
      <c r="KDY3593" s="1799"/>
      <c r="KDZ3593" s="1799"/>
      <c r="KEA3593" s="1799"/>
      <c r="KEB3593" s="1799"/>
      <c r="KEC3593" s="1799"/>
      <c r="KED3593" s="1799"/>
      <c r="KEE3593" s="1799"/>
      <c r="KEF3593" s="1799"/>
      <c r="KEG3593" s="1799"/>
      <c r="KEH3593" s="1799"/>
      <c r="KEI3593" s="1799"/>
      <c r="KEJ3593" s="1799"/>
      <c r="KEK3593" s="1799"/>
      <c r="KEL3593" s="1799"/>
      <c r="KEM3593" s="1799"/>
      <c r="KEN3593" s="1799"/>
      <c r="KEO3593" s="1799"/>
      <c r="KEP3593" s="1799"/>
      <c r="KEQ3593" s="1799"/>
      <c r="KER3593" s="1799"/>
      <c r="KES3593" s="1799"/>
      <c r="KET3593" s="1799"/>
      <c r="KEU3593" s="1799"/>
      <c r="KEV3593" s="1799"/>
      <c r="KEW3593" s="1799"/>
      <c r="KEX3593" s="1799"/>
      <c r="KEY3593" s="1799"/>
      <c r="KEZ3593" s="1799"/>
      <c r="KFA3593" s="1799"/>
      <c r="KFB3593" s="1799"/>
      <c r="KFC3593" s="1799"/>
      <c r="KFD3593" s="1799"/>
      <c r="KFE3593" s="1799"/>
      <c r="KFF3593" s="1799"/>
      <c r="KFG3593" s="1799"/>
      <c r="KFH3593" s="1799"/>
      <c r="KFI3593" s="1799"/>
      <c r="KFJ3593" s="1799"/>
      <c r="KFK3593" s="1799"/>
      <c r="KFL3593" s="1799"/>
      <c r="KFM3593" s="1799"/>
      <c r="KFN3593" s="1799"/>
      <c r="KFO3593" s="1799"/>
      <c r="KFP3593" s="1799"/>
      <c r="KFQ3593" s="1799"/>
      <c r="KFR3593" s="1799"/>
      <c r="KFS3593" s="1799"/>
      <c r="KFT3593" s="1799"/>
      <c r="KFU3593" s="1799"/>
      <c r="KFV3593" s="1799"/>
      <c r="KFW3593" s="1799"/>
      <c r="KFX3593" s="1799"/>
      <c r="KFY3593" s="1799"/>
      <c r="KFZ3593" s="1799"/>
      <c r="KGA3593" s="1799"/>
      <c r="KGB3593" s="1799"/>
      <c r="KGC3593" s="1799"/>
      <c r="KGD3593" s="1799"/>
      <c r="KGE3593" s="1799"/>
      <c r="KGF3593" s="1799"/>
      <c r="KGG3593" s="1799"/>
      <c r="KGH3593" s="1799"/>
      <c r="KGI3593" s="1799"/>
      <c r="KGJ3593" s="1799"/>
      <c r="KGK3593" s="1799"/>
      <c r="KGL3593" s="1799"/>
      <c r="KGM3593" s="1799"/>
      <c r="KGN3593" s="1799"/>
      <c r="KGO3593" s="1799"/>
      <c r="KGP3593" s="1799"/>
      <c r="KGQ3593" s="1799"/>
      <c r="KGR3593" s="1799"/>
      <c r="KGS3593" s="1799"/>
      <c r="KGT3593" s="1799"/>
      <c r="KGU3593" s="1799"/>
      <c r="KGV3593" s="1799"/>
      <c r="KGW3593" s="1799"/>
      <c r="KGX3593" s="1799"/>
      <c r="KGY3593" s="1799"/>
      <c r="KGZ3593" s="1799"/>
      <c r="KHA3593" s="1799"/>
      <c r="KHB3593" s="1799"/>
      <c r="KHC3593" s="1799"/>
      <c r="KHD3593" s="1799"/>
      <c r="KHE3593" s="1799"/>
      <c r="KHF3593" s="1799"/>
      <c r="KHG3593" s="1799"/>
      <c r="KHH3593" s="1799"/>
      <c r="KHI3593" s="1799"/>
      <c r="KHJ3593" s="1799"/>
      <c r="KHK3593" s="1799"/>
      <c r="KHL3593" s="1799"/>
      <c r="KHM3593" s="1799"/>
      <c r="KHN3593" s="1799"/>
      <c r="KHO3593" s="1799"/>
      <c r="KHP3593" s="1799"/>
      <c r="KHQ3593" s="1799"/>
      <c r="KHR3593" s="1799"/>
      <c r="KHS3593" s="1799"/>
      <c r="KHT3593" s="1799"/>
      <c r="KHU3593" s="1799"/>
      <c r="KHV3593" s="1799"/>
      <c r="KHW3593" s="1799"/>
      <c r="KHX3593" s="1799"/>
      <c r="KHY3593" s="1799"/>
      <c r="KHZ3593" s="1799"/>
      <c r="KIA3593" s="1799"/>
      <c r="KIB3593" s="1799"/>
      <c r="KIC3593" s="1799"/>
      <c r="KID3593" s="1799"/>
      <c r="KIE3593" s="1799"/>
      <c r="KIF3593" s="1799"/>
      <c r="KIG3593" s="1799"/>
      <c r="KIH3593" s="1799"/>
      <c r="KII3593" s="1799"/>
      <c r="KIJ3593" s="1799"/>
      <c r="KIK3593" s="1799"/>
      <c r="KIL3593" s="1799"/>
      <c r="KIM3593" s="1799"/>
      <c r="KIN3593" s="1799"/>
      <c r="KIO3593" s="1799"/>
      <c r="KIP3593" s="1799"/>
      <c r="KIQ3593" s="1799"/>
      <c r="KIR3593" s="1799"/>
      <c r="KIS3593" s="1799"/>
      <c r="KIT3593" s="1799"/>
      <c r="KIU3593" s="1799"/>
      <c r="KIV3593" s="1799"/>
      <c r="KIW3593" s="1799"/>
      <c r="KIX3593" s="1799"/>
      <c r="KIY3593" s="1799"/>
      <c r="KIZ3593" s="1799"/>
      <c r="KJA3593" s="1799"/>
      <c r="KJB3593" s="1799"/>
      <c r="KJC3593" s="1799"/>
      <c r="KJD3593" s="1799"/>
      <c r="KJE3593" s="1799"/>
      <c r="KJF3593" s="1799"/>
      <c r="KJG3593" s="1799"/>
      <c r="KJH3593" s="1799"/>
      <c r="KJI3593" s="1799"/>
      <c r="KJJ3593" s="1799"/>
      <c r="KJK3593" s="1799"/>
      <c r="KJL3593" s="1799"/>
      <c r="KJM3593" s="1799"/>
      <c r="KJN3593" s="1799"/>
      <c r="KJO3593" s="1799"/>
      <c r="KJP3593" s="1799"/>
      <c r="KJQ3593" s="1799"/>
      <c r="KJR3593" s="1799"/>
      <c r="KJS3593" s="1799"/>
      <c r="KJT3593" s="1799"/>
      <c r="KJU3593" s="1799"/>
      <c r="KJV3593" s="1799"/>
      <c r="KJW3593" s="1799"/>
      <c r="KJX3593" s="1799"/>
      <c r="KJY3593" s="1799"/>
      <c r="KJZ3593" s="1799"/>
      <c r="KKA3593" s="1799"/>
      <c r="KKB3593" s="1799"/>
      <c r="KKC3593" s="1799"/>
      <c r="KKD3593" s="1799"/>
      <c r="KKE3593" s="1799"/>
      <c r="KKF3593" s="1799"/>
      <c r="KKG3593" s="1799"/>
      <c r="KKH3593" s="1799"/>
      <c r="KKI3593" s="1799"/>
      <c r="KKJ3593" s="1799"/>
      <c r="KKK3593" s="1799"/>
      <c r="KKL3593" s="1799"/>
      <c r="KKM3593" s="1799"/>
      <c r="KKN3593" s="1799"/>
      <c r="KKO3593" s="1799"/>
      <c r="KKP3593" s="1799"/>
      <c r="KKQ3593" s="1799"/>
      <c r="KKR3593" s="1799"/>
      <c r="KKS3593" s="1799"/>
      <c r="KKT3593" s="1799"/>
      <c r="KKU3593" s="1799"/>
      <c r="KKV3593" s="1799"/>
      <c r="KKW3593" s="1799"/>
      <c r="KKX3593" s="1799"/>
      <c r="KKY3593" s="1799"/>
      <c r="KKZ3593" s="1799"/>
      <c r="KLA3593" s="1799"/>
      <c r="KLB3593" s="1799"/>
      <c r="KLC3593" s="1799"/>
      <c r="KLD3593" s="1799"/>
      <c r="KLE3593" s="1799"/>
      <c r="KLF3593" s="1799"/>
      <c r="KLG3593" s="1799"/>
      <c r="KLH3593" s="1799"/>
      <c r="KLI3593" s="1799"/>
      <c r="KLJ3593" s="1799"/>
      <c r="KLK3593" s="1799"/>
      <c r="KLL3593" s="1799"/>
      <c r="KLM3593" s="1799"/>
      <c r="KLN3593" s="1799"/>
      <c r="KLO3593" s="1799"/>
      <c r="KLP3593" s="1799"/>
      <c r="KLQ3593" s="1799"/>
      <c r="KLR3593" s="1799"/>
      <c r="KLS3593" s="1799"/>
      <c r="KLT3593" s="1799"/>
      <c r="KLU3593" s="1799"/>
      <c r="KLV3593" s="1799"/>
      <c r="KLW3593" s="1799"/>
      <c r="KLX3593" s="1799"/>
      <c r="KLY3593" s="1799"/>
      <c r="KLZ3593" s="1799"/>
      <c r="KMA3593" s="1799"/>
      <c r="KMB3593" s="1799"/>
      <c r="KMC3593" s="1799"/>
      <c r="KMD3593" s="1799"/>
      <c r="KME3593" s="1799"/>
      <c r="KMF3593" s="1799"/>
      <c r="KMG3593" s="1799"/>
      <c r="KMH3593" s="1799"/>
      <c r="KMI3593" s="1799"/>
      <c r="KMJ3593" s="1799"/>
      <c r="KMK3593" s="1799"/>
      <c r="KML3593" s="1799"/>
      <c r="KMM3593" s="1799"/>
      <c r="KMN3593" s="1799"/>
      <c r="KMO3593" s="1799"/>
      <c r="KMP3593" s="1799"/>
      <c r="KMQ3593" s="1799"/>
      <c r="KMR3593" s="1799"/>
      <c r="KMS3593" s="1799"/>
      <c r="KMT3593" s="1799"/>
      <c r="KMU3593" s="1799"/>
      <c r="KMV3593" s="1799"/>
      <c r="KMW3593" s="1799"/>
      <c r="KMX3593" s="1799"/>
      <c r="KMY3593" s="1799"/>
      <c r="KMZ3593" s="1799"/>
      <c r="KNA3593" s="1799"/>
      <c r="KNB3593" s="1799"/>
      <c r="KNC3593" s="1799"/>
      <c r="KND3593" s="1799"/>
      <c r="KNE3593" s="1799"/>
      <c r="KNF3593" s="1799"/>
      <c r="KNG3593" s="1799"/>
      <c r="KNH3593" s="1799"/>
      <c r="KNI3593" s="1799"/>
      <c r="KNJ3593" s="1799"/>
      <c r="KNK3593" s="1799"/>
      <c r="KNL3593" s="1799"/>
      <c r="KNM3593" s="1799"/>
      <c r="KNN3593" s="1799"/>
      <c r="KNO3593" s="1799"/>
      <c r="KNP3593" s="1799"/>
      <c r="KNQ3593" s="1799"/>
      <c r="KNR3593" s="1799"/>
      <c r="KNS3593" s="1799"/>
      <c r="KNT3593" s="1799"/>
      <c r="KNU3593" s="1799"/>
      <c r="KNV3593" s="1799"/>
      <c r="KNW3593" s="1799"/>
      <c r="KNX3593" s="1799"/>
      <c r="KNY3593" s="1799"/>
      <c r="KNZ3593" s="1799"/>
      <c r="KOA3593" s="1799"/>
      <c r="KOB3593" s="1799"/>
      <c r="KOC3593" s="1799"/>
      <c r="KOD3593" s="1799"/>
      <c r="KOE3593" s="1799"/>
      <c r="KOF3593" s="1799"/>
      <c r="KOG3593" s="1799"/>
      <c r="KOH3593" s="1799"/>
      <c r="KOI3593" s="1799"/>
      <c r="KOJ3593" s="1799"/>
      <c r="KOK3593" s="1799"/>
      <c r="KOL3593" s="1799"/>
      <c r="KOM3593" s="1799"/>
      <c r="KON3593" s="1799"/>
      <c r="KOO3593" s="1799"/>
      <c r="KOP3593" s="1799"/>
      <c r="KOQ3593" s="1799"/>
      <c r="KOR3593" s="1799"/>
      <c r="KOS3593" s="1799"/>
      <c r="KOT3593" s="1799"/>
      <c r="KOU3593" s="1799"/>
      <c r="KOV3593" s="1799"/>
      <c r="KOW3593" s="1799"/>
      <c r="KOX3593" s="1799"/>
      <c r="KOY3593" s="1799"/>
      <c r="KOZ3593" s="1799"/>
      <c r="KPA3593" s="1799"/>
      <c r="KPB3593" s="1799"/>
      <c r="KPC3593" s="1799"/>
      <c r="KPD3593" s="1799"/>
      <c r="KPE3593" s="1799"/>
      <c r="KPF3593" s="1799"/>
      <c r="KPG3593" s="1799"/>
      <c r="KPH3593" s="1799"/>
      <c r="KPI3593" s="1799"/>
      <c r="KPJ3593" s="1799"/>
      <c r="KPK3593" s="1799"/>
      <c r="KPL3593" s="1799"/>
      <c r="KPM3593" s="1799"/>
      <c r="KPN3593" s="1799"/>
      <c r="KPO3593" s="1799"/>
      <c r="KPP3593" s="1799"/>
      <c r="KPQ3593" s="1799"/>
      <c r="KPR3593" s="1799"/>
      <c r="KPS3593" s="1799"/>
      <c r="KPT3593" s="1799"/>
      <c r="KPU3593" s="1799"/>
      <c r="KPV3593" s="1799"/>
      <c r="KPW3593" s="1799"/>
      <c r="KPX3593" s="1799"/>
      <c r="KPY3593" s="1799"/>
      <c r="KPZ3593" s="1799"/>
      <c r="KQA3593" s="1799"/>
      <c r="KQB3593" s="1799"/>
      <c r="KQC3593" s="1799"/>
      <c r="KQD3593" s="1799"/>
      <c r="KQE3593" s="1799"/>
      <c r="KQF3593" s="1799"/>
      <c r="KQG3593" s="1799"/>
      <c r="KQH3593" s="1799"/>
      <c r="KQI3593" s="1799"/>
      <c r="KQJ3593" s="1799"/>
      <c r="KQK3593" s="1799"/>
      <c r="KQL3593" s="1799"/>
      <c r="KQM3593" s="1799"/>
      <c r="KQN3593" s="1799"/>
      <c r="KQO3593" s="1799"/>
      <c r="KQP3593" s="1799"/>
      <c r="KQQ3593" s="1799"/>
      <c r="KQR3593" s="1799"/>
      <c r="KQS3593" s="1799"/>
      <c r="KQT3593" s="1799"/>
      <c r="KQU3593" s="1799"/>
      <c r="KQV3593" s="1799"/>
      <c r="KQW3593" s="1799"/>
      <c r="KQX3593" s="1799"/>
      <c r="KQY3593" s="1799"/>
      <c r="KQZ3593" s="1799"/>
      <c r="KRA3593" s="1799"/>
      <c r="KRB3593" s="1799"/>
      <c r="KRC3593" s="1799"/>
      <c r="KRD3593" s="1799"/>
      <c r="KRE3593" s="1799"/>
      <c r="KRF3593" s="1799"/>
      <c r="KRG3593" s="1799"/>
      <c r="KRH3593" s="1799"/>
      <c r="KRI3593" s="1799"/>
      <c r="KRJ3593" s="1799"/>
      <c r="KRK3593" s="1799"/>
      <c r="KRL3593" s="1799"/>
      <c r="KRM3593" s="1799"/>
      <c r="KRN3593" s="1799"/>
      <c r="KRO3593" s="1799"/>
      <c r="KRP3593" s="1799"/>
      <c r="KRQ3593" s="1799"/>
      <c r="KRR3593" s="1799"/>
      <c r="KRS3593" s="1799"/>
      <c r="KRT3593" s="1799"/>
      <c r="KRU3593" s="1799"/>
      <c r="KRV3593" s="1799"/>
      <c r="KRW3593" s="1799"/>
      <c r="KRX3593" s="1799"/>
      <c r="KRY3593" s="1799"/>
      <c r="KRZ3593" s="1799"/>
      <c r="KSA3593" s="1799"/>
      <c r="KSB3593" s="1799"/>
      <c r="KSC3593" s="1799"/>
      <c r="KSD3593" s="1799"/>
      <c r="KSE3593" s="1799"/>
      <c r="KSF3593" s="1799"/>
      <c r="KSG3593" s="1799"/>
      <c r="KSH3593" s="1799"/>
      <c r="KSI3593" s="1799"/>
      <c r="KSJ3593" s="1799"/>
      <c r="KSK3593" s="1799"/>
      <c r="KSL3593" s="1799"/>
      <c r="KSM3593" s="1799"/>
      <c r="KSN3593" s="1799"/>
      <c r="KSO3593" s="1799"/>
      <c r="KSP3593" s="1799"/>
      <c r="KSQ3593" s="1799"/>
      <c r="KSR3593" s="1799"/>
      <c r="KSS3593" s="1799"/>
      <c r="KST3593" s="1799"/>
      <c r="KSU3593" s="1799"/>
      <c r="KSV3593" s="1799"/>
      <c r="KSW3593" s="1799"/>
      <c r="KSX3593" s="1799"/>
      <c r="KSY3593" s="1799"/>
      <c r="KSZ3593" s="1799"/>
      <c r="KTA3593" s="1799"/>
      <c r="KTB3593" s="1799"/>
      <c r="KTC3593" s="1799"/>
      <c r="KTD3593" s="1799"/>
      <c r="KTE3593" s="1799"/>
      <c r="KTF3593" s="1799"/>
      <c r="KTG3593" s="1799"/>
      <c r="KTH3593" s="1799"/>
      <c r="KTI3593" s="1799"/>
      <c r="KTJ3593" s="1799"/>
      <c r="KTK3593" s="1799"/>
      <c r="KTL3593" s="1799"/>
      <c r="KTM3593" s="1799"/>
      <c r="KTN3593" s="1799"/>
      <c r="KTO3593" s="1799"/>
      <c r="KTP3593" s="1799"/>
      <c r="KTQ3593" s="1799"/>
      <c r="KTR3593" s="1799"/>
      <c r="KTS3593" s="1799"/>
      <c r="KTT3593" s="1799"/>
      <c r="KTU3593" s="1799"/>
      <c r="KTV3593" s="1799"/>
      <c r="KTW3593" s="1799"/>
      <c r="KTX3593" s="1799"/>
      <c r="KTY3593" s="1799"/>
      <c r="KTZ3593" s="1799"/>
      <c r="KUA3593" s="1799"/>
      <c r="KUB3593" s="1799"/>
      <c r="KUC3593" s="1799"/>
      <c r="KUD3593" s="1799"/>
      <c r="KUE3593" s="1799"/>
      <c r="KUF3593" s="1799"/>
      <c r="KUG3593" s="1799"/>
      <c r="KUH3593" s="1799"/>
      <c r="KUI3593" s="1799"/>
      <c r="KUJ3593" s="1799"/>
      <c r="KUK3593" s="1799"/>
      <c r="KUL3593" s="1799"/>
      <c r="KUM3593" s="1799"/>
      <c r="KUN3593" s="1799"/>
      <c r="KUO3593" s="1799"/>
      <c r="KUP3593" s="1799"/>
      <c r="KUQ3593" s="1799"/>
      <c r="KUR3593" s="1799"/>
      <c r="KUS3593" s="1799"/>
      <c r="KUT3593" s="1799"/>
      <c r="KUU3593" s="1799"/>
      <c r="KUV3593" s="1799"/>
      <c r="KUW3593" s="1799"/>
      <c r="KUX3593" s="1799"/>
      <c r="KUY3593" s="1799"/>
      <c r="KUZ3593" s="1799"/>
      <c r="KVA3593" s="1799"/>
      <c r="KVB3593" s="1799"/>
      <c r="KVC3593" s="1799"/>
      <c r="KVD3593" s="1799"/>
      <c r="KVE3593" s="1799"/>
      <c r="KVF3593" s="1799"/>
      <c r="KVG3593" s="1799"/>
      <c r="KVH3593" s="1799"/>
      <c r="KVI3593" s="1799"/>
      <c r="KVJ3593" s="1799"/>
      <c r="KVK3593" s="1799"/>
      <c r="KVL3593" s="1799"/>
      <c r="KVM3593" s="1799"/>
      <c r="KVN3593" s="1799"/>
      <c r="KVO3593" s="1799"/>
      <c r="KVP3593" s="1799"/>
      <c r="KVQ3593" s="1799"/>
      <c r="KVR3593" s="1799"/>
      <c r="KVS3593" s="1799"/>
      <c r="KVT3593" s="1799"/>
      <c r="KVU3593" s="1799"/>
      <c r="KVV3593" s="1799"/>
      <c r="KVW3593" s="1799"/>
      <c r="KVX3593" s="1799"/>
      <c r="KVY3593" s="1799"/>
      <c r="KVZ3593" s="1799"/>
      <c r="KWA3593" s="1799"/>
      <c r="KWB3593" s="1799"/>
      <c r="KWC3593" s="1799"/>
      <c r="KWD3593" s="1799"/>
      <c r="KWE3593" s="1799"/>
      <c r="KWF3593" s="1799"/>
      <c r="KWG3593" s="1799"/>
      <c r="KWH3593" s="1799"/>
      <c r="KWI3593" s="1799"/>
      <c r="KWJ3593" s="1799"/>
      <c r="KWK3593" s="1799"/>
      <c r="KWL3593" s="1799"/>
      <c r="KWM3593" s="1799"/>
      <c r="KWN3593" s="1799"/>
      <c r="KWO3593" s="1799"/>
      <c r="KWP3593" s="1799"/>
      <c r="KWQ3593" s="1799"/>
      <c r="KWR3593" s="1799"/>
      <c r="KWS3593" s="1799"/>
      <c r="KWT3593" s="1799"/>
      <c r="KWU3593" s="1799"/>
      <c r="KWV3593" s="1799"/>
      <c r="KWW3593" s="1799"/>
      <c r="KWX3593" s="1799"/>
      <c r="KWY3593" s="1799"/>
      <c r="KWZ3593" s="1799"/>
      <c r="KXA3593" s="1799"/>
      <c r="KXB3593" s="1799"/>
      <c r="KXC3593" s="1799"/>
      <c r="KXD3593" s="1799"/>
      <c r="KXE3593" s="1799"/>
      <c r="KXF3593" s="1799"/>
      <c r="KXG3593" s="1799"/>
      <c r="KXH3593" s="1799"/>
      <c r="KXI3593" s="1799"/>
      <c r="KXJ3593" s="1799"/>
      <c r="KXK3593" s="1799"/>
      <c r="KXL3593" s="1799"/>
      <c r="KXM3593" s="1799"/>
      <c r="KXN3593" s="1799"/>
      <c r="KXO3593" s="1799"/>
      <c r="KXP3593" s="1799"/>
      <c r="KXQ3593" s="1799"/>
      <c r="KXR3593" s="1799"/>
      <c r="KXS3593" s="1799"/>
      <c r="KXT3593" s="1799"/>
      <c r="KXU3593" s="1799"/>
      <c r="KXV3593" s="1799"/>
      <c r="KXW3593" s="1799"/>
      <c r="KXX3593" s="1799"/>
      <c r="KXY3593" s="1799"/>
      <c r="KXZ3593" s="1799"/>
      <c r="KYA3593" s="1799"/>
      <c r="KYB3593" s="1799"/>
      <c r="KYC3593" s="1799"/>
      <c r="KYD3593" s="1799"/>
      <c r="KYE3593" s="1799"/>
      <c r="KYF3593" s="1799"/>
      <c r="KYG3593" s="1799"/>
      <c r="KYH3593" s="1799"/>
      <c r="KYI3593" s="1799"/>
      <c r="KYJ3593" s="1799"/>
      <c r="KYK3593" s="1799"/>
      <c r="KYL3593" s="1799"/>
      <c r="KYM3593" s="1799"/>
      <c r="KYN3593" s="1799"/>
      <c r="KYO3593" s="1799"/>
      <c r="KYP3593" s="1799"/>
      <c r="KYQ3593" s="1799"/>
      <c r="KYR3593" s="1799"/>
      <c r="KYS3593" s="1799"/>
      <c r="KYT3593" s="1799"/>
      <c r="KYU3593" s="1799"/>
      <c r="KYV3593" s="1799"/>
      <c r="KYW3593" s="1799"/>
      <c r="KYX3593" s="1799"/>
      <c r="KYY3593" s="1799"/>
      <c r="KYZ3593" s="1799"/>
      <c r="KZA3593" s="1799"/>
      <c r="KZB3593" s="1799"/>
      <c r="KZC3593" s="1799"/>
      <c r="KZD3593" s="1799"/>
      <c r="KZE3593" s="1799"/>
      <c r="KZF3593" s="1799"/>
      <c r="KZG3593" s="1799"/>
      <c r="KZH3593" s="1799"/>
      <c r="KZI3593" s="1799"/>
      <c r="KZJ3593" s="1799"/>
      <c r="KZK3593" s="1799"/>
      <c r="KZL3593" s="1799"/>
      <c r="KZM3593" s="1799"/>
      <c r="KZN3593" s="1799"/>
      <c r="KZO3593" s="1799"/>
      <c r="KZP3593" s="1799"/>
      <c r="KZQ3593" s="1799"/>
      <c r="KZR3593" s="1799"/>
      <c r="KZS3593" s="1799"/>
      <c r="KZT3593" s="1799"/>
      <c r="KZU3593" s="1799"/>
      <c r="KZV3593" s="1799"/>
      <c r="KZW3593" s="1799"/>
      <c r="KZX3593" s="1799"/>
      <c r="KZY3593" s="1799"/>
      <c r="KZZ3593" s="1799"/>
      <c r="LAA3593" s="1799"/>
      <c r="LAB3593" s="1799"/>
      <c r="LAC3593" s="1799"/>
      <c r="LAD3593" s="1799"/>
      <c r="LAE3593" s="1799"/>
      <c r="LAF3593" s="1799"/>
      <c r="LAG3593" s="1799"/>
      <c r="LAH3593" s="1799"/>
      <c r="LAI3593" s="1799"/>
      <c r="LAJ3593" s="1799"/>
      <c r="LAK3593" s="1799"/>
      <c r="LAL3593" s="1799"/>
      <c r="LAM3593" s="1799"/>
      <c r="LAN3593" s="1799"/>
      <c r="LAO3593" s="1799"/>
      <c r="LAP3593" s="1799"/>
      <c r="LAQ3593" s="1799"/>
      <c r="LAR3593" s="1799"/>
      <c r="LAS3593" s="1799"/>
      <c r="LAT3593" s="1799"/>
      <c r="LAU3593" s="1799"/>
      <c r="LAV3593" s="1799"/>
      <c r="LAW3593" s="1799"/>
      <c r="LAX3593" s="1799"/>
      <c r="LAY3593" s="1799"/>
      <c r="LAZ3593" s="1799"/>
      <c r="LBA3593" s="1799"/>
      <c r="LBB3593" s="1799"/>
      <c r="LBC3593" s="1799"/>
      <c r="LBD3593" s="1799"/>
      <c r="LBE3593" s="1799"/>
      <c r="LBF3593" s="1799"/>
      <c r="LBG3593" s="1799"/>
      <c r="LBH3593" s="1799"/>
      <c r="LBI3593" s="1799"/>
      <c r="LBJ3593" s="1799"/>
      <c r="LBK3593" s="1799"/>
      <c r="LBL3593" s="1799"/>
      <c r="LBM3593" s="1799"/>
      <c r="LBN3593" s="1799"/>
      <c r="LBO3593" s="1799"/>
      <c r="LBP3593" s="1799"/>
      <c r="LBQ3593" s="1799"/>
      <c r="LBR3593" s="1799"/>
      <c r="LBS3593" s="1799"/>
      <c r="LBT3593" s="1799"/>
      <c r="LBU3593" s="1799"/>
      <c r="LBV3593" s="1799"/>
      <c r="LBW3593" s="1799"/>
      <c r="LBX3593" s="1799"/>
      <c r="LBY3593" s="1799"/>
      <c r="LBZ3593" s="1799"/>
      <c r="LCA3593" s="1799"/>
      <c r="LCB3593" s="1799"/>
      <c r="LCC3593" s="1799"/>
      <c r="LCD3593" s="1799"/>
      <c r="LCE3593" s="1799"/>
      <c r="LCF3593" s="1799"/>
      <c r="LCG3593" s="1799"/>
      <c r="LCH3593" s="1799"/>
      <c r="LCI3593" s="1799"/>
      <c r="LCJ3593" s="1799"/>
      <c r="LCK3593" s="1799"/>
      <c r="LCL3593" s="1799"/>
      <c r="LCM3593" s="1799"/>
      <c r="LCN3593" s="1799"/>
      <c r="LCO3593" s="1799"/>
      <c r="LCP3593" s="1799"/>
      <c r="LCQ3593" s="1799"/>
      <c r="LCR3593" s="1799"/>
      <c r="LCS3593" s="1799"/>
      <c r="LCT3593" s="1799"/>
      <c r="LCU3593" s="1799"/>
      <c r="LCV3593" s="1799"/>
      <c r="LCW3593" s="1799"/>
      <c r="LCX3593" s="1799"/>
      <c r="LCY3593" s="1799"/>
      <c r="LCZ3593" s="1799"/>
      <c r="LDA3593" s="1799"/>
      <c r="LDB3593" s="1799"/>
      <c r="LDC3593" s="1799"/>
      <c r="LDD3593" s="1799"/>
      <c r="LDE3593" s="1799"/>
      <c r="LDF3593" s="1799"/>
      <c r="LDG3593" s="1799"/>
      <c r="LDH3593" s="1799"/>
      <c r="LDI3593" s="1799"/>
      <c r="LDJ3593" s="1799"/>
      <c r="LDK3593" s="1799"/>
      <c r="LDL3593" s="1799"/>
      <c r="LDM3593" s="1799"/>
      <c r="LDN3593" s="1799"/>
      <c r="LDO3593" s="1799"/>
      <c r="LDP3593" s="1799"/>
      <c r="LDQ3593" s="1799"/>
      <c r="LDR3593" s="1799"/>
      <c r="LDS3593" s="1799"/>
      <c r="LDT3593" s="1799"/>
      <c r="LDU3593" s="1799"/>
      <c r="LDV3593" s="1799"/>
      <c r="LDW3593" s="1799"/>
      <c r="LDX3593" s="1799"/>
      <c r="LDY3593" s="1799"/>
      <c r="LDZ3593" s="1799"/>
      <c r="LEA3593" s="1799"/>
      <c r="LEB3593" s="1799"/>
      <c r="LEC3593" s="1799"/>
      <c r="LED3593" s="1799"/>
      <c r="LEE3593" s="1799"/>
      <c r="LEF3593" s="1799"/>
      <c r="LEG3593" s="1799"/>
      <c r="LEH3593" s="1799"/>
      <c r="LEI3593" s="1799"/>
      <c r="LEJ3593" s="1799"/>
      <c r="LEK3593" s="1799"/>
      <c r="LEL3593" s="1799"/>
      <c r="LEM3593" s="1799"/>
      <c r="LEN3593" s="1799"/>
      <c r="LEO3593" s="1799"/>
      <c r="LEP3593" s="1799"/>
      <c r="LEQ3593" s="1799"/>
      <c r="LER3593" s="1799"/>
      <c r="LES3593" s="1799"/>
      <c r="LET3593" s="1799"/>
      <c r="LEU3593" s="1799"/>
      <c r="LEV3593" s="1799"/>
      <c r="LEW3593" s="1799"/>
      <c r="LEX3593" s="1799"/>
      <c r="LEY3593" s="1799"/>
      <c r="LEZ3593" s="1799"/>
      <c r="LFA3593" s="1799"/>
      <c r="LFB3593" s="1799"/>
      <c r="LFC3593" s="1799"/>
      <c r="LFD3593" s="1799"/>
      <c r="LFE3593" s="1799"/>
      <c r="LFF3593" s="1799"/>
      <c r="LFG3593" s="1799"/>
      <c r="LFH3593" s="1799"/>
      <c r="LFI3593" s="1799"/>
      <c r="LFJ3593" s="1799"/>
      <c r="LFK3593" s="1799"/>
      <c r="LFL3593" s="1799"/>
      <c r="LFM3593" s="1799"/>
      <c r="LFN3593" s="1799"/>
      <c r="LFO3593" s="1799"/>
      <c r="LFP3593" s="1799"/>
      <c r="LFQ3593" s="1799"/>
      <c r="LFR3593" s="1799"/>
      <c r="LFS3593" s="1799"/>
      <c r="LFT3593" s="1799"/>
      <c r="LFU3593" s="1799"/>
      <c r="LFV3593" s="1799"/>
      <c r="LFW3593" s="1799"/>
      <c r="LFX3593" s="1799"/>
      <c r="LFY3593" s="1799"/>
      <c r="LFZ3593" s="1799"/>
      <c r="LGA3593" s="1799"/>
      <c r="LGB3593" s="1799"/>
      <c r="LGC3593" s="1799"/>
      <c r="LGD3593" s="1799"/>
      <c r="LGE3593" s="1799"/>
      <c r="LGF3593" s="1799"/>
      <c r="LGG3593" s="1799"/>
      <c r="LGH3593" s="1799"/>
      <c r="LGI3593" s="1799"/>
      <c r="LGJ3593" s="1799"/>
      <c r="LGK3593" s="1799"/>
      <c r="LGL3593" s="1799"/>
      <c r="LGM3593" s="1799"/>
      <c r="LGN3593" s="1799"/>
      <c r="LGO3593" s="1799"/>
      <c r="LGP3593" s="1799"/>
      <c r="LGQ3593" s="1799"/>
      <c r="LGR3593" s="1799"/>
      <c r="LGS3593" s="1799"/>
      <c r="LGT3593" s="1799"/>
      <c r="LGU3593" s="1799"/>
      <c r="LGV3593" s="1799"/>
      <c r="LGW3593" s="1799"/>
      <c r="LGX3593" s="1799"/>
      <c r="LGY3593" s="1799"/>
      <c r="LGZ3593" s="1799"/>
      <c r="LHA3593" s="1799"/>
      <c r="LHB3593" s="1799"/>
      <c r="LHC3593" s="1799"/>
      <c r="LHD3593" s="1799"/>
      <c r="LHE3593" s="1799"/>
      <c r="LHF3593" s="1799"/>
      <c r="LHG3593" s="1799"/>
      <c r="LHH3593" s="1799"/>
      <c r="LHI3593" s="1799"/>
      <c r="LHJ3593" s="1799"/>
      <c r="LHK3593" s="1799"/>
      <c r="LHL3593" s="1799"/>
      <c r="LHM3593" s="1799"/>
      <c r="LHN3593" s="1799"/>
      <c r="LHO3593" s="1799"/>
      <c r="LHP3593" s="1799"/>
      <c r="LHQ3593" s="1799"/>
      <c r="LHR3593" s="1799"/>
      <c r="LHS3593" s="1799"/>
      <c r="LHT3593" s="1799"/>
      <c r="LHU3593" s="1799"/>
      <c r="LHV3593" s="1799"/>
      <c r="LHW3593" s="1799"/>
      <c r="LHX3593" s="1799"/>
      <c r="LHY3593" s="1799"/>
      <c r="LHZ3593" s="1799"/>
      <c r="LIA3593" s="1799"/>
      <c r="LIB3593" s="1799"/>
      <c r="LIC3593" s="1799"/>
      <c r="LID3593" s="1799"/>
      <c r="LIE3593" s="1799"/>
      <c r="LIF3593" s="1799"/>
      <c r="LIG3593" s="1799"/>
      <c r="LIH3593" s="1799"/>
      <c r="LII3593" s="1799"/>
      <c r="LIJ3593" s="1799"/>
      <c r="LIK3593" s="1799"/>
      <c r="LIL3593" s="1799"/>
      <c r="LIM3593" s="1799"/>
      <c r="LIN3593" s="1799"/>
      <c r="LIO3593" s="1799"/>
      <c r="LIP3593" s="1799"/>
      <c r="LIQ3593" s="1799"/>
      <c r="LIR3593" s="1799"/>
      <c r="LIS3593" s="1799"/>
      <c r="LIT3593" s="1799"/>
      <c r="LIU3593" s="1799"/>
      <c r="LIV3593" s="1799"/>
      <c r="LIW3593" s="1799"/>
      <c r="LIX3593" s="1799"/>
      <c r="LIY3593" s="1799"/>
      <c r="LIZ3593" s="1799"/>
      <c r="LJA3593" s="1799"/>
      <c r="LJB3593" s="1799"/>
      <c r="LJC3593" s="1799"/>
      <c r="LJD3593" s="1799"/>
      <c r="LJE3593" s="1799"/>
      <c r="LJF3593" s="1799"/>
      <c r="LJG3593" s="1799"/>
      <c r="LJH3593" s="1799"/>
      <c r="LJI3593" s="1799"/>
      <c r="LJJ3593" s="1799"/>
      <c r="LJK3593" s="1799"/>
      <c r="LJL3593" s="1799"/>
      <c r="LJM3593" s="1799"/>
      <c r="LJN3593" s="1799"/>
      <c r="LJO3593" s="1799"/>
      <c r="LJP3593" s="1799"/>
      <c r="LJQ3593" s="1799"/>
      <c r="LJR3593" s="1799"/>
      <c r="LJS3593" s="1799"/>
      <c r="LJT3593" s="1799"/>
      <c r="LJU3593" s="1799"/>
      <c r="LJV3593" s="1799"/>
      <c r="LJW3593" s="1799"/>
      <c r="LJX3593" s="1799"/>
      <c r="LJY3593" s="1799"/>
      <c r="LJZ3593" s="1799"/>
      <c r="LKA3593" s="1799"/>
      <c r="LKB3593" s="1799"/>
      <c r="LKC3593" s="1799"/>
      <c r="LKD3593" s="1799"/>
      <c r="LKE3593" s="1799"/>
      <c r="LKF3593" s="1799"/>
      <c r="LKG3593" s="1799"/>
      <c r="LKH3593" s="1799"/>
      <c r="LKI3593" s="1799"/>
      <c r="LKJ3593" s="1799"/>
      <c r="LKK3593" s="1799"/>
      <c r="LKL3593" s="1799"/>
      <c r="LKM3593" s="1799"/>
      <c r="LKN3593" s="1799"/>
      <c r="LKO3593" s="1799"/>
      <c r="LKP3593" s="1799"/>
      <c r="LKQ3593" s="1799"/>
      <c r="LKR3593" s="1799"/>
      <c r="LKS3593" s="1799"/>
      <c r="LKT3593" s="1799"/>
      <c r="LKU3593" s="1799"/>
      <c r="LKV3593" s="1799"/>
      <c r="LKW3593" s="1799"/>
      <c r="LKX3593" s="1799"/>
      <c r="LKY3593" s="1799"/>
      <c r="LKZ3593" s="1799"/>
      <c r="LLA3593" s="1799"/>
      <c r="LLB3593" s="1799"/>
      <c r="LLC3593" s="1799"/>
      <c r="LLD3593" s="1799"/>
      <c r="LLE3593" s="1799"/>
      <c r="LLF3593" s="1799"/>
      <c r="LLG3593" s="1799"/>
      <c r="LLH3593" s="1799"/>
      <c r="LLI3593" s="1799"/>
      <c r="LLJ3593" s="1799"/>
      <c r="LLK3593" s="1799"/>
      <c r="LLL3593" s="1799"/>
      <c r="LLM3593" s="1799"/>
      <c r="LLN3593" s="1799"/>
      <c r="LLO3593" s="1799"/>
      <c r="LLP3593" s="1799"/>
      <c r="LLQ3593" s="1799"/>
      <c r="LLR3593" s="1799"/>
      <c r="LLS3593" s="1799"/>
      <c r="LLT3593" s="1799"/>
      <c r="LLU3593" s="1799"/>
      <c r="LLV3593" s="1799"/>
      <c r="LLW3593" s="1799"/>
      <c r="LLX3593" s="1799"/>
      <c r="LLY3593" s="1799"/>
      <c r="LLZ3593" s="1799"/>
      <c r="LMA3593" s="1799"/>
      <c r="LMB3593" s="1799"/>
      <c r="LMC3593" s="1799"/>
      <c r="LMD3593" s="1799"/>
      <c r="LME3593" s="1799"/>
      <c r="LMF3593" s="1799"/>
      <c r="LMG3593" s="1799"/>
      <c r="LMH3593" s="1799"/>
      <c r="LMI3593" s="1799"/>
      <c r="LMJ3593" s="1799"/>
      <c r="LMK3593" s="1799"/>
      <c r="LML3593" s="1799"/>
      <c r="LMM3593" s="1799"/>
      <c r="LMN3593" s="1799"/>
      <c r="LMO3593" s="1799"/>
      <c r="LMP3593" s="1799"/>
      <c r="LMQ3593" s="1799"/>
      <c r="LMR3593" s="1799"/>
      <c r="LMS3593" s="1799"/>
      <c r="LMT3593" s="1799"/>
      <c r="LMU3593" s="1799"/>
      <c r="LMV3593" s="1799"/>
      <c r="LMW3593" s="1799"/>
      <c r="LMX3593" s="1799"/>
      <c r="LMY3593" s="1799"/>
      <c r="LMZ3593" s="1799"/>
      <c r="LNA3593" s="1799"/>
      <c r="LNB3593" s="1799"/>
      <c r="LNC3593" s="1799"/>
      <c r="LND3593" s="1799"/>
      <c r="LNE3593" s="1799"/>
      <c r="LNF3593" s="1799"/>
      <c r="LNG3593" s="1799"/>
      <c r="LNH3593" s="1799"/>
      <c r="LNI3593" s="1799"/>
      <c r="LNJ3593" s="1799"/>
      <c r="LNK3593" s="1799"/>
      <c r="LNL3593" s="1799"/>
      <c r="LNM3593" s="1799"/>
      <c r="LNN3593" s="1799"/>
      <c r="LNO3593" s="1799"/>
      <c r="LNP3593" s="1799"/>
      <c r="LNQ3593" s="1799"/>
      <c r="LNR3593" s="1799"/>
      <c r="LNS3593" s="1799"/>
      <c r="LNT3593" s="1799"/>
      <c r="LNU3593" s="1799"/>
      <c r="LNV3593" s="1799"/>
      <c r="LNW3593" s="1799"/>
      <c r="LNX3593" s="1799"/>
      <c r="LNY3593" s="1799"/>
      <c r="LNZ3593" s="1799"/>
      <c r="LOA3593" s="1799"/>
      <c r="LOB3593" s="1799"/>
      <c r="LOC3593" s="1799"/>
      <c r="LOD3593" s="1799"/>
      <c r="LOE3593" s="1799"/>
      <c r="LOF3593" s="1799"/>
      <c r="LOG3593" s="1799"/>
      <c r="LOH3593" s="1799"/>
      <c r="LOI3593" s="1799"/>
      <c r="LOJ3593" s="1799"/>
      <c r="LOK3593" s="1799"/>
      <c r="LOL3593" s="1799"/>
      <c r="LOM3593" s="1799"/>
      <c r="LON3593" s="1799"/>
      <c r="LOO3593" s="1799"/>
      <c r="LOP3593" s="1799"/>
      <c r="LOQ3593" s="1799"/>
      <c r="LOR3593" s="1799"/>
      <c r="LOS3593" s="1799"/>
      <c r="LOT3593" s="1799"/>
      <c r="LOU3593" s="1799"/>
      <c r="LOV3593" s="1799"/>
      <c r="LOW3593" s="1799"/>
      <c r="LOX3593" s="1799"/>
      <c r="LOY3593" s="1799"/>
      <c r="LOZ3593" s="1799"/>
      <c r="LPA3593" s="1799"/>
      <c r="LPB3593" s="1799"/>
      <c r="LPC3593" s="1799"/>
      <c r="LPD3593" s="1799"/>
      <c r="LPE3593" s="1799"/>
      <c r="LPF3593" s="1799"/>
      <c r="LPG3593" s="1799"/>
      <c r="LPH3593" s="1799"/>
      <c r="LPI3593" s="1799"/>
      <c r="LPJ3593" s="1799"/>
      <c r="LPK3593" s="1799"/>
      <c r="LPL3593" s="1799"/>
      <c r="LPM3593" s="1799"/>
      <c r="LPN3593" s="1799"/>
      <c r="LPO3593" s="1799"/>
      <c r="LPP3593" s="1799"/>
      <c r="LPQ3593" s="1799"/>
      <c r="LPR3593" s="1799"/>
      <c r="LPS3593" s="1799"/>
      <c r="LPT3593" s="1799"/>
      <c r="LPU3593" s="1799"/>
      <c r="LPV3593" s="1799"/>
      <c r="LPW3593" s="1799"/>
      <c r="LPX3593" s="1799"/>
      <c r="LPY3593" s="1799"/>
      <c r="LPZ3593" s="1799"/>
      <c r="LQA3593" s="1799"/>
      <c r="LQB3593" s="1799"/>
      <c r="LQC3593" s="1799"/>
      <c r="LQD3593" s="1799"/>
      <c r="LQE3593" s="1799"/>
      <c r="LQF3593" s="1799"/>
      <c r="LQG3593" s="1799"/>
      <c r="LQH3593" s="1799"/>
      <c r="LQI3593" s="1799"/>
      <c r="LQJ3593" s="1799"/>
      <c r="LQK3593" s="1799"/>
      <c r="LQL3593" s="1799"/>
      <c r="LQM3593" s="1799"/>
      <c r="LQN3593" s="1799"/>
      <c r="LQO3593" s="1799"/>
      <c r="LQP3593" s="1799"/>
      <c r="LQQ3593" s="1799"/>
      <c r="LQR3593" s="1799"/>
      <c r="LQS3593" s="1799"/>
      <c r="LQT3593" s="1799"/>
      <c r="LQU3593" s="1799"/>
      <c r="LQV3593" s="1799"/>
      <c r="LQW3593" s="1799"/>
      <c r="LQX3593" s="1799"/>
      <c r="LQY3593" s="1799"/>
      <c r="LQZ3593" s="1799"/>
      <c r="LRA3593" s="1799"/>
      <c r="LRB3593" s="1799"/>
      <c r="LRC3593" s="1799"/>
      <c r="LRD3593" s="1799"/>
      <c r="LRE3593" s="1799"/>
      <c r="LRF3593" s="1799"/>
      <c r="LRG3593" s="1799"/>
      <c r="LRH3593" s="1799"/>
      <c r="LRI3593" s="1799"/>
      <c r="LRJ3593" s="1799"/>
      <c r="LRK3593" s="1799"/>
      <c r="LRL3593" s="1799"/>
      <c r="LRM3593" s="1799"/>
      <c r="LRN3593" s="1799"/>
      <c r="LRO3593" s="1799"/>
      <c r="LRP3593" s="1799"/>
      <c r="LRQ3593" s="1799"/>
      <c r="LRR3593" s="1799"/>
      <c r="LRS3593" s="1799"/>
      <c r="LRT3593" s="1799"/>
      <c r="LRU3593" s="1799"/>
      <c r="LRV3593" s="1799"/>
      <c r="LRW3593" s="1799"/>
      <c r="LRX3593" s="1799"/>
      <c r="LRY3593" s="1799"/>
      <c r="LRZ3593" s="1799"/>
      <c r="LSA3593" s="1799"/>
      <c r="LSB3593" s="1799"/>
      <c r="LSC3593" s="1799"/>
      <c r="LSD3593" s="1799"/>
      <c r="LSE3593" s="1799"/>
      <c r="LSF3593" s="1799"/>
      <c r="LSG3593" s="1799"/>
      <c r="LSH3593" s="1799"/>
      <c r="LSI3593" s="1799"/>
      <c r="LSJ3593" s="1799"/>
      <c r="LSK3593" s="1799"/>
      <c r="LSL3593" s="1799"/>
      <c r="LSM3593" s="1799"/>
      <c r="LSN3593" s="1799"/>
      <c r="LSO3593" s="1799"/>
      <c r="LSP3593" s="1799"/>
      <c r="LSQ3593" s="1799"/>
      <c r="LSR3593" s="1799"/>
      <c r="LSS3593" s="1799"/>
      <c r="LST3593" s="1799"/>
      <c r="LSU3593" s="1799"/>
      <c r="LSV3593" s="1799"/>
      <c r="LSW3593" s="1799"/>
      <c r="LSX3593" s="1799"/>
      <c r="LSY3593" s="1799"/>
      <c r="LSZ3593" s="1799"/>
      <c r="LTA3593" s="1799"/>
      <c r="LTB3593" s="1799"/>
      <c r="LTC3593" s="1799"/>
      <c r="LTD3593" s="1799"/>
      <c r="LTE3593" s="1799"/>
      <c r="LTF3593" s="1799"/>
      <c r="LTG3593" s="1799"/>
      <c r="LTH3593" s="1799"/>
      <c r="LTI3593" s="1799"/>
      <c r="LTJ3593" s="1799"/>
      <c r="LTK3593" s="1799"/>
      <c r="LTL3593" s="1799"/>
      <c r="LTM3593" s="1799"/>
      <c r="LTN3593" s="1799"/>
      <c r="LTO3593" s="1799"/>
      <c r="LTP3593" s="1799"/>
      <c r="LTQ3593" s="1799"/>
      <c r="LTR3593" s="1799"/>
      <c r="LTS3593" s="1799"/>
      <c r="LTT3593" s="1799"/>
      <c r="LTU3593" s="1799"/>
      <c r="LTV3593" s="1799"/>
      <c r="LTW3593" s="1799"/>
      <c r="LTX3593" s="1799"/>
      <c r="LTY3593" s="1799"/>
      <c r="LTZ3593" s="1799"/>
      <c r="LUA3593" s="1799"/>
      <c r="LUB3593" s="1799"/>
      <c r="LUC3593" s="1799"/>
      <c r="LUD3593" s="1799"/>
      <c r="LUE3593" s="1799"/>
      <c r="LUF3593" s="1799"/>
      <c r="LUG3593" s="1799"/>
      <c r="LUH3593" s="1799"/>
      <c r="LUI3593" s="1799"/>
      <c r="LUJ3593" s="1799"/>
      <c r="LUK3593" s="1799"/>
      <c r="LUL3593" s="1799"/>
      <c r="LUM3593" s="1799"/>
      <c r="LUN3593" s="1799"/>
      <c r="LUO3593" s="1799"/>
      <c r="LUP3593" s="1799"/>
      <c r="LUQ3593" s="1799"/>
      <c r="LUR3593" s="1799"/>
      <c r="LUS3593" s="1799"/>
      <c r="LUT3593" s="1799"/>
      <c r="LUU3593" s="1799"/>
      <c r="LUV3593" s="1799"/>
      <c r="LUW3593" s="1799"/>
      <c r="LUX3593" s="1799"/>
      <c r="LUY3593" s="1799"/>
      <c r="LUZ3593" s="1799"/>
      <c r="LVA3593" s="1799"/>
      <c r="LVB3593" s="1799"/>
      <c r="LVC3593" s="1799"/>
      <c r="LVD3593" s="1799"/>
      <c r="LVE3593" s="1799"/>
      <c r="LVF3593" s="1799"/>
      <c r="LVG3593" s="1799"/>
      <c r="LVH3593" s="1799"/>
      <c r="LVI3593" s="1799"/>
      <c r="LVJ3593" s="1799"/>
      <c r="LVK3593" s="1799"/>
      <c r="LVL3593" s="1799"/>
      <c r="LVM3593" s="1799"/>
      <c r="LVN3593" s="1799"/>
      <c r="LVO3593" s="1799"/>
      <c r="LVP3593" s="1799"/>
      <c r="LVQ3593" s="1799"/>
      <c r="LVR3593" s="1799"/>
      <c r="LVS3593" s="1799"/>
      <c r="LVT3593" s="1799"/>
      <c r="LVU3593" s="1799"/>
      <c r="LVV3593" s="1799"/>
      <c r="LVW3593" s="1799"/>
      <c r="LVX3593" s="1799"/>
      <c r="LVY3593" s="1799"/>
      <c r="LVZ3593" s="1799"/>
      <c r="LWA3593" s="1799"/>
      <c r="LWB3593" s="1799"/>
      <c r="LWC3593" s="1799"/>
      <c r="LWD3593" s="1799"/>
      <c r="LWE3593" s="1799"/>
      <c r="LWF3593" s="1799"/>
      <c r="LWG3593" s="1799"/>
      <c r="LWH3593" s="1799"/>
      <c r="LWI3593" s="1799"/>
      <c r="LWJ3593" s="1799"/>
      <c r="LWK3593" s="1799"/>
      <c r="LWL3593" s="1799"/>
      <c r="LWM3593" s="1799"/>
      <c r="LWN3593" s="1799"/>
      <c r="LWO3593" s="1799"/>
      <c r="LWP3593" s="1799"/>
      <c r="LWQ3593" s="1799"/>
      <c r="LWR3593" s="1799"/>
      <c r="LWS3593" s="1799"/>
      <c r="LWT3593" s="1799"/>
      <c r="LWU3593" s="1799"/>
      <c r="LWV3593" s="1799"/>
      <c r="LWW3593" s="1799"/>
      <c r="LWX3593" s="1799"/>
      <c r="LWY3593" s="1799"/>
      <c r="LWZ3593" s="1799"/>
      <c r="LXA3593" s="1799"/>
      <c r="LXB3593" s="1799"/>
      <c r="LXC3593" s="1799"/>
      <c r="LXD3593" s="1799"/>
      <c r="LXE3593" s="1799"/>
      <c r="LXF3593" s="1799"/>
      <c r="LXG3593" s="1799"/>
      <c r="LXH3593" s="1799"/>
      <c r="LXI3593" s="1799"/>
      <c r="LXJ3593" s="1799"/>
      <c r="LXK3593" s="1799"/>
      <c r="LXL3593" s="1799"/>
      <c r="LXM3593" s="1799"/>
      <c r="LXN3593" s="1799"/>
      <c r="LXO3593" s="1799"/>
      <c r="LXP3593" s="1799"/>
      <c r="LXQ3593" s="1799"/>
      <c r="LXR3593" s="1799"/>
      <c r="LXS3593" s="1799"/>
      <c r="LXT3593" s="1799"/>
      <c r="LXU3593" s="1799"/>
      <c r="LXV3593" s="1799"/>
      <c r="LXW3593" s="1799"/>
      <c r="LXX3593" s="1799"/>
      <c r="LXY3593" s="1799"/>
      <c r="LXZ3593" s="1799"/>
      <c r="LYA3593" s="1799"/>
      <c r="LYB3593" s="1799"/>
      <c r="LYC3593" s="1799"/>
      <c r="LYD3593" s="1799"/>
      <c r="LYE3593" s="1799"/>
      <c r="LYF3593" s="1799"/>
      <c r="LYG3593" s="1799"/>
      <c r="LYH3593" s="1799"/>
      <c r="LYI3593" s="1799"/>
      <c r="LYJ3593" s="1799"/>
      <c r="LYK3593" s="1799"/>
      <c r="LYL3593" s="1799"/>
      <c r="LYM3593" s="1799"/>
      <c r="LYN3593" s="1799"/>
      <c r="LYO3593" s="1799"/>
      <c r="LYP3593" s="1799"/>
      <c r="LYQ3593" s="1799"/>
      <c r="LYR3593" s="1799"/>
      <c r="LYS3593" s="1799"/>
      <c r="LYT3593" s="1799"/>
      <c r="LYU3593" s="1799"/>
      <c r="LYV3593" s="1799"/>
      <c r="LYW3593" s="1799"/>
      <c r="LYX3593" s="1799"/>
      <c r="LYY3593" s="1799"/>
      <c r="LYZ3593" s="1799"/>
      <c r="LZA3593" s="1799"/>
      <c r="LZB3593" s="1799"/>
      <c r="LZC3593" s="1799"/>
      <c r="LZD3593" s="1799"/>
      <c r="LZE3593" s="1799"/>
      <c r="LZF3593" s="1799"/>
      <c r="LZG3593" s="1799"/>
      <c r="LZH3593" s="1799"/>
      <c r="LZI3593" s="1799"/>
      <c r="LZJ3593" s="1799"/>
      <c r="LZK3593" s="1799"/>
      <c r="LZL3593" s="1799"/>
      <c r="LZM3593" s="1799"/>
      <c r="LZN3593" s="1799"/>
      <c r="LZO3593" s="1799"/>
      <c r="LZP3593" s="1799"/>
      <c r="LZQ3593" s="1799"/>
      <c r="LZR3593" s="1799"/>
      <c r="LZS3593" s="1799"/>
      <c r="LZT3593" s="1799"/>
      <c r="LZU3593" s="1799"/>
      <c r="LZV3593" s="1799"/>
      <c r="LZW3593" s="1799"/>
      <c r="LZX3593" s="1799"/>
      <c r="LZY3593" s="1799"/>
      <c r="LZZ3593" s="1799"/>
      <c r="MAA3593" s="1799"/>
      <c r="MAB3593" s="1799"/>
      <c r="MAC3593" s="1799"/>
      <c r="MAD3593" s="1799"/>
      <c r="MAE3593" s="1799"/>
      <c r="MAF3593" s="1799"/>
      <c r="MAG3593" s="1799"/>
      <c r="MAH3593" s="1799"/>
      <c r="MAI3593" s="1799"/>
      <c r="MAJ3593" s="1799"/>
      <c r="MAK3593" s="1799"/>
      <c r="MAL3593" s="1799"/>
      <c r="MAM3593" s="1799"/>
      <c r="MAN3593" s="1799"/>
      <c r="MAO3593" s="1799"/>
      <c r="MAP3593" s="1799"/>
      <c r="MAQ3593" s="1799"/>
      <c r="MAR3593" s="1799"/>
      <c r="MAS3593" s="1799"/>
      <c r="MAT3593" s="1799"/>
      <c r="MAU3593" s="1799"/>
      <c r="MAV3593" s="1799"/>
      <c r="MAW3593" s="1799"/>
      <c r="MAX3593" s="1799"/>
      <c r="MAY3593" s="1799"/>
      <c r="MAZ3593" s="1799"/>
      <c r="MBA3593" s="1799"/>
      <c r="MBB3593" s="1799"/>
      <c r="MBC3593" s="1799"/>
      <c r="MBD3593" s="1799"/>
      <c r="MBE3593" s="1799"/>
      <c r="MBF3593" s="1799"/>
      <c r="MBG3593" s="1799"/>
      <c r="MBH3593" s="1799"/>
      <c r="MBI3593" s="1799"/>
      <c r="MBJ3593" s="1799"/>
      <c r="MBK3593" s="1799"/>
      <c r="MBL3593" s="1799"/>
      <c r="MBM3593" s="1799"/>
      <c r="MBN3593" s="1799"/>
      <c r="MBO3593" s="1799"/>
      <c r="MBP3593" s="1799"/>
      <c r="MBQ3593" s="1799"/>
      <c r="MBR3593" s="1799"/>
      <c r="MBS3593" s="1799"/>
      <c r="MBT3593" s="1799"/>
      <c r="MBU3593" s="1799"/>
      <c r="MBV3593" s="1799"/>
      <c r="MBW3593" s="1799"/>
      <c r="MBX3593" s="1799"/>
      <c r="MBY3593" s="1799"/>
      <c r="MBZ3593" s="1799"/>
      <c r="MCA3593" s="1799"/>
      <c r="MCB3593" s="1799"/>
      <c r="MCC3593" s="1799"/>
      <c r="MCD3593" s="1799"/>
      <c r="MCE3593" s="1799"/>
      <c r="MCF3593" s="1799"/>
      <c r="MCG3593" s="1799"/>
      <c r="MCH3593" s="1799"/>
      <c r="MCI3593" s="1799"/>
      <c r="MCJ3593" s="1799"/>
      <c r="MCK3593" s="1799"/>
      <c r="MCL3593" s="1799"/>
      <c r="MCM3593" s="1799"/>
      <c r="MCN3593" s="1799"/>
      <c r="MCO3593" s="1799"/>
      <c r="MCP3593" s="1799"/>
      <c r="MCQ3593" s="1799"/>
      <c r="MCR3593" s="1799"/>
      <c r="MCS3593" s="1799"/>
      <c r="MCT3593" s="1799"/>
      <c r="MCU3593" s="1799"/>
      <c r="MCV3593" s="1799"/>
      <c r="MCW3593" s="1799"/>
      <c r="MCX3593" s="1799"/>
      <c r="MCY3593" s="1799"/>
      <c r="MCZ3593" s="1799"/>
      <c r="MDA3593" s="1799"/>
      <c r="MDB3593" s="1799"/>
      <c r="MDC3593" s="1799"/>
      <c r="MDD3593" s="1799"/>
      <c r="MDE3593" s="1799"/>
      <c r="MDF3593" s="1799"/>
      <c r="MDG3593" s="1799"/>
      <c r="MDH3593" s="1799"/>
      <c r="MDI3593" s="1799"/>
      <c r="MDJ3593" s="1799"/>
      <c r="MDK3593" s="1799"/>
      <c r="MDL3593" s="1799"/>
      <c r="MDM3593" s="1799"/>
      <c r="MDN3593" s="1799"/>
      <c r="MDO3593" s="1799"/>
      <c r="MDP3593" s="1799"/>
      <c r="MDQ3593" s="1799"/>
      <c r="MDR3593" s="1799"/>
      <c r="MDS3593" s="1799"/>
      <c r="MDT3593" s="1799"/>
      <c r="MDU3593" s="1799"/>
      <c r="MDV3593" s="1799"/>
      <c r="MDW3593" s="1799"/>
      <c r="MDX3593" s="1799"/>
      <c r="MDY3593" s="1799"/>
      <c r="MDZ3593" s="1799"/>
      <c r="MEA3593" s="1799"/>
      <c r="MEB3593" s="1799"/>
      <c r="MEC3593" s="1799"/>
      <c r="MED3593" s="1799"/>
      <c r="MEE3593" s="1799"/>
      <c r="MEF3593" s="1799"/>
      <c r="MEG3593" s="1799"/>
      <c r="MEH3593" s="1799"/>
      <c r="MEI3593" s="1799"/>
      <c r="MEJ3593" s="1799"/>
      <c r="MEK3593" s="1799"/>
      <c r="MEL3593" s="1799"/>
      <c r="MEM3593" s="1799"/>
      <c r="MEN3593" s="1799"/>
      <c r="MEO3593" s="1799"/>
      <c r="MEP3593" s="1799"/>
      <c r="MEQ3593" s="1799"/>
      <c r="MER3593" s="1799"/>
      <c r="MES3593" s="1799"/>
      <c r="MET3593" s="1799"/>
      <c r="MEU3593" s="1799"/>
      <c r="MEV3593" s="1799"/>
      <c r="MEW3593" s="1799"/>
      <c r="MEX3593" s="1799"/>
      <c r="MEY3593" s="1799"/>
      <c r="MEZ3593" s="1799"/>
      <c r="MFA3593" s="1799"/>
      <c r="MFB3593" s="1799"/>
      <c r="MFC3593" s="1799"/>
      <c r="MFD3593" s="1799"/>
      <c r="MFE3593" s="1799"/>
      <c r="MFF3593" s="1799"/>
      <c r="MFG3593" s="1799"/>
      <c r="MFH3593" s="1799"/>
      <c r="MFI3593" s="1799"/>
      <c r="MFJ3593" s="1799"/>
      <c r="MFK3593" s="1799"/>
      <c r="MFL3593" s="1799"/>
      <c r="MFM3593" s="1799"/>
      <c r="MFN3593" s="1799"/>
      <c r="MFO3593" s="1799"/>
      <c r="MFP3593" s="1799"/>
      <c r="MFQ3593" s="1799"/>
      <c r="MFR3593" s="1799"/>
      <c r="MFS3593" s="1799"/>
      <c r="MFT3593" s="1799"/>
      <c r="MFU3593" s="1799"/>
      <c r="MFV3593" s="1799"/>
      <c r="MFW3593" s="1799"/>
      <c r="MFX3593" s="1799"/>
      <c r="MFY3593" s="1799"/>
      <c r="MFZ3593" s="1799"/>
      <c r="MGA3593" s="1799"/>
      <c r="MGB3593" s="1799"/>
      <c r="MGC3593" s="1799"/>
      <c r="MGD3593" s="1799"/>
      <c r="MGE3593" s="1799"/>
      <c r="MGF3593" s="1799"/>
      <c r="MGG3593" s="1799"/>
      <c r="MGH3593" s="1799"/>
      <c r="MGI3593" s="1799"/>
      <c r="MGJ3593" s="1799"/>
      <c r="MGK3593" s="1799"/>
      <c r="MGL3593" s="1799"/>
      <c r="MGM3593" s="1799"/>
      <c r="MGN3593" s="1799"/>
      <c r="MGO3593" s="1799"/>
      <c r="MGP3593" s="1799"/>
      <c r="MGQ3593" s="1799"/>
      <c r="MGR3593" s="1799"/>
      <c r="MGS3593" s="1799"/>
      <c r="MGT3593" s="1799"/>
      <c r="MGU3593" s="1799"/>
      <c r="MGV3593" s="1799"/>
      <c r="MGW3593" s="1799"/>
      <c r="MGX3593" s="1799"/>
      <c r="MGY3593" s="1799"/>
      <c r="MGZ3593" s="1799"/>
      <c r="MHA3593" s="1799"/>
      <c r="MHB3593" s="1799"/>
      <c r="MHC3593" s="1799"/>
      <c r="MHD3593" s="1799"/>
      <c r="MHE3593" s="1799"/>
      <c r="MHF3593" s="1799"/>
      <c r="MHG3593" s="1799"/>
      <c r="MHH3593" s="1799"/>
      <c r="MHI3593" s="1799"/>
      <c r="MHJ3593" s="1799"/>
      <c r="MHK3593" s="1799"/>
      <c r="MHL3593" s="1799"/>
      <c r="MHM3593" s="1799"/>
      <c r="MHN3593" s="1799"/>
      <c r="MHO3593" s="1799"/>
      <c r="MHP3593" s="1799"/>
      <c r="MHQ3593" s="1799"/>
      <c r="MHR3593" s="1799"/>
      <c r="MHS3593" s="1799"/>
      <c r="MHT3593" s="1799"/>
      <c r="MHU3593" s="1799"/>
      <c r="MHV3593" s="1799"/>
      <c r="MHW3593" s="1799"/>
      <c r="MHX3593" s="1799"/>
      <c r="MHY3593" s="1799"/>
      <c r="MHZ3593" s="1799"/>
      <c r="MIA3593" s="1799"/>
      <c r="MIB3593" s="1799"/>
      <c r="MIC3593" s="1799"/>
      <c r="MID3593" s="1799"/>
      <c r="MIE3593" s="1799"/>
      <c r="MIF3593" s="1799"/>
      <c r="MIG3593" s="1799"/>
      <c r="MIH3593" s="1799"/>
      <c r="MII3593" s="1799"/>
      <c r="MIJ3593" s="1799"/>
      <c r="MIK3593" s="1799"/>
      <c r="MIL3593" s="1799"/>
      <c r="MIM3593" s="1799"/>
      <c r="MIN3593" s="1799"/>
      <c r="MIO3593" s="1799"/>
      <c r="MIP3593" s="1799"/>
      <c r="MIQ3593" s="1799"/>
      <c r="MIR3593" s="1799"/>
      <c r="MIS3593" s="1799"/>
      <c r="MIT3593" s="1799"/>
      <c r="MIU3593" s="1799"/>
      <c r="MIV3593" s="1799"/>
      <c r="MIW3593" s="1799"/>
      <c r="MIX3593" s="1799"/>
      <c r="MIY3593" s="1799"/>
      <c r="MIZ3593" s="1799"/>
      <c r="MJA3593" s="1799"/>
      <c r="MJB3593" s="1799"/>
      <c r="MJC3593" s="1799"/>
      <c r="MJD3593" s="1799"/>
      <c r="MJE3593" s="1799"/>
      <c r="MJF3593" s="1799"/>
      <c r="MJG3593" s="1799"/>
      <c r="MJH3593" s="1799"/>
      <c r="MJI3593" s="1799"/>
      <c r="MJJ3593" s="1799"/>
      <c r="MJK3593" s="1799"/>
      <c r="MJL3593" s="1799"/>
      <c r="MJM3593" s="1799"/>
      <c r="MJN3593" s="1799"/>
      <c r="MJO3593" s="1799"/>
      <c r="MJP3593" s="1799"/>
      <c r="MJQ3593" s="1799"/>
      <c r="MJR3593" s="1799"/>
      <c r="MJS3593" s="1799"/>
      <c r="MJT3593" s="1799"/>
      <c r="MJU3593" s="1799"/>
      <c r="MJV3593" s="1799"/>
      <c r="MJW3593" s="1799"/>
      <c r="MJX3593" s="1799"/>
      <c r="MJY3593" s="1799"/>
      <c r="MJZ3593" s="1799"/>
      <c r="MKA3593" s="1799"/>
      <c r="MKB3593" s="1799"/>
      <c r="MKC3593" s="1799"/>
      <c r="MKD3593" s="1799"/>
      <c r="MKE3593" s="1799"/>
      <c r="MKF3593" s="1799"/>
      <c r="MKG3593" s="1799"/>
      <c r="MKH3593" s="1799"/>
      <c r="MKI3593" s="1799"/>
      <c r="MKJ3593" s="1799"/>
      <c r="MKK3593" s="1799"/>
      <c r="MKL3593" s="1799"/>
      <c r="MKM3593" s="1799"/>
      <c r="MKN3593" s="1799"/>
      <c r="MKO3593" s="1799"/>
      <c r="MKP3593" s="1799"/>
      <c r="MKQ3593" s="1799"/>
      <c r="MKR3593" s="1799"/>
      <c r="MKS3593" s="1799"/>
      <c r="MKT3593" s="1799"/>
      <c r="MKU3593" s="1799"/>
      <c r="MKV3593" s="1799"/>
      <c r="MKW3593" s="1799"/>
      <c r="MKX3593" s="1799"/>
      <c r="MKY3593" s="1799"/>
      <c r="MKZ3593" s="1799"/>
      <c r="MLA3593" s="1799"/>
      <c r="MLB3593" s="1799"/>
      <c r="MLC3593" s="1799"/>
      <c r="MLD3593" s="1799"/>
      <c r="MLE3593" s="1799"/>
      <c r="MLF3593" s="1799"/>
      <c r="MLG3593" s="1799"/>
      <c r="MLH3593" s="1799"/>
      <c r="MLI3593" s="1799"/>
      <c r="MLJ3593" s="1799"/>
      <c r="MLK3593" s="1799"/>
      <c r="MLL3593" s="1799"/>
      <c r="MLM3593" s="1799"/>
      <c r="MLN3593" s="1799"/>
      <c r="MLO3593" s="1799"/>
      <c r="MLP3593" s="1799"/>
      <c r="MLQ3593" s="1799"/>
      <c r="MLR3593" s="1799"/>
      <c r="MLS3593" s="1799"/>
      <c r="MLT3593" s="1799"/>
      <c r="MLU3593" s="1799"/>
      <c r="MLV3593" s="1799"/>
      <c r="MLW3593" s="1799"/>
      <c r="MLX3593" s="1799"/>
      <c r="MLY3593" s="1799"/>
      <c r="MLZ3593" s="1799"/>
      <c r="MMA3593" s="1799"/>
      <c r="MMB3593" s="1799"/>
      <c r="MMC3593" s="1799"/>
      <c r="MMD3593" s="1799"/>
      <c r="MME3593" s="1799"/>
      <c r="MMF3593" s="1799"/>
      <c r="MMG3593" s="1799"/>
      <c r="MMH3593" s="1799"/>
      <c r="MMI3593" s="1799"/>
      <c r="MMJ3593" s="1799"/>
      <c r="MMK3593" s="1799"/>
      <c r="MML3593" s="1799"/>
      <c r="MMM3593" s="1799"/>
      <c r="MMN3593" s="1799"/>
      <c r="MMO3593" s="1799"/>
      <c r="MMP3593" s="1799"/>
      <c r="MMQ3593" s="1799"/>
      <c r="MMR3593" s="1799"/>
      <c r="MMS3593" s="1799"/>
      <c r="MMT3593" s="1799"/>
      <c r="MMU3593" s="1799"/>
      <c r="MMV3593" s="1799"/>
      <c r="MMW3593" s="1799"/>
      <c r="MMX3593" s="1799"/>
      <c r="MMY3593" s="1799"/>
      <c r="MMZ3593" s="1799"/>
      <c r="MNA3593" s="1799"/>
      <c r="MNB3593" s="1799"/>
      <c r="MNC3593" s="1799"/>
      <c r="MND3593" s="1799"/>
      <c r="MNE3593" s="1799"/>
      <c r="MNF3593" s="1799"/>
      <c r="MNG3593" s="1799"/>
      <c r="MNH3593" s="1799"/>
      <c r="MNI3593" s="1799"/>
      <c r="MNJ3593" s="1799"/>
      <c r="MNK3593" s="1799"/>
      <c r="MNL3593" s="1799"/>
      <c r="MNM3593" s="1799"/>
      <c r="MNN3593" s="1799"/>
      <c r="MNO3593" s="1799"/>
      <c r="MNP3593" s="1799"/>
      <c r="MNQ3593" s="1799"/>
      <c r="MNR3593" s="1799"/>
      <c r="MNS3593" s="1799"/>
      <c r="MNT3593" s="1799"/>
      <c r="MNU3593" s="1799"/>
      <c r="MNV3593" s="1799"/>
      <c r="MNW3593" s="1799"/>
      <c r="MNX3593" s="1799"/>
      <c r="MNY3593" s="1799"/>
      <c r="MNZ3593" s="1799"/>
      <c r="MOA3593" s="1799"/>
      <c r="MOB3593" s="1799"/>
      <c r="MOC3593" s="1799"/>
      <c r="MOD3593" s="1799"/>
      <c r="MOE3593" s="1799"/>
      <c r="MOF3593" s="1799"/>
      <c r="MOG3593" s="1799"/>
      <c r="MOH3593" s="1799"/>
      <c r="MOI3593" s="1799"/>
      <c r="MOJ3593" s="1799"/>
      <c r="MOK3593" s="1799"/>
      <c r="MOL3593" s="1799"/>
      <c r="MOM3593" s="1799"/>
      <c r="MON3593" s="1799"/>
      <c r="MOO3593" s="1799"/>
      <c r="MOP3593" s="1799"/>
      <c r="MOQ3593" s="1799"/>
      <c r="MOR3593" s="1799"/>
      <c r="MOS3593" s="1799"/>
      <c r="MOT3593" s="1799"/>
      <c r="MOU3593" s="1799"/>
      <c r="MOV3593" s="1799"/>
      <c r="MOW3593" s="1799"/>
      <c r="MOX3593" s="1799"/>
      <c r="MOY3593" s="1799"/>
      <c r="MOZ3593" s="1799"/>
      <c r="MPA3593" s="1799"/>
      <c r="MPB3593" s="1799"/>
      <c r="MPC3593" s="1799"/>
      <c r="MPD3593" s="1799"/>
      <c r="MPE3593" s="1799"/>
      <c r="MPF3593" s="1799"/>
      <c r="MPG3593" s="1799"/>
      <c r="MPH3593" s="1799"/>
      <c r="MPI3593" s="1799"/>
      <c r="MPJ3593" s="1799"/>
      <c r="MPK3593" s="1799"/>
      <c r="MPL3593" s="1799"/>
      <c r="MPM3593" s="1799"/>
      <c r="MPN3593" s="1799"/>
      <c r="MPO3593" s="1799"/>
      <c r="MPP3593" s="1799"/>
      <c r="MPQ3593" s="1799"/>
      <c r="MPR3593" s="1799"/>
      <c r="MPS3593" s="1799"/>
      <c r="MPT3593" s="1799"/>
      <c r="MPU3593" s="1799"/>
      <c r="MPV3593" s="1799"/>
      <c r="MPW3593" s="1799"/>
      <c r="MPX3593" s="1799"/>
      <c r="MPY3593" s="1799"/>
      <c r="MPZ3593" s="1799"/>
      <c r="MQA3593" s="1799"/>
      <c r="MQB3593" s="1799"/>
      <c r="MQC3593" s="1799"/>
      <c r="MQD3593" s="1799"/>
      <c r="MQE3593" s="1799"/>
      <c r="MQF3593" s="1799"/>
      <c r="MQG3593" s="1799"/>
      <c r="MQH3593" s="1799"/>
      <c r="MQI3593" s="1799"/>
      <c r="MQJ3593" s="1799"/>
      <c r="MQK3593" s="1799"/>
      <c r="MQL3593" s="1799"/>
      <c r="MQM3593" s="1799"/>
      <c r="MQN3593" s="1799"/>
      <c r="MQO3593" s="1799"/>
      <c r="MQP3593" s="1799"/>
      <c r="MQQ3593" s="1799"/>
      <c r="MQR3593" s="1799"/>
      <c r="MQS3593" s="1799"/>
      <c r="MQT3593" s="1799"/>
      <c r="MQU3593" s="1799"/>
      <c r="MQV3593" s="1799"/>
      <c r="MQW3593" s="1799"/>
      <c r="MQX3593" s="1799"/>
      <c r="MQY3593" s="1799"/>
      <c r="MQZ3593" s="1799"/>
      <c r="MRA3593" s="1799"/>
      <c r="MRB3593" s="1799"/>
      <c r="MRC3593" s="1799"/>
      <c r="MRD3593" s="1799"/>
      <c r="MRE3593" s="1799"/>
      <c r="MRF3593" s="1799"/>
      <c r="MRG3593" s="1799"/>
      <c r="MRH3593" s="1799"/>
      <c r="MRI3593" s="1799"/>
      <c r="MRJ3593" s="1799"/>
      <c r="MRK3593" s="1799"/>
      <c r="MRL3593" s="1799"/>
      <c r="MRM3593" s="1799"/>
      <c r="MRN3593" s="1799"/>
      <c r="MRO3593" s="1799"/>
      <c r="MRP3593" s="1799"/>
      <c r="MRQ3593" s="1799"/>
      <c r="MRR3593" s="1799"/>
      <c r="MRS3593" s="1799"/>
      <c r="MRT3593" s="1799"/>
      <c r="MRU3593" s="1799"/>
      <c r="MRV3593" s="1799"/>
      <c r="MRW3593" s="1799"/>
      <c r="MRX3593" s="1799"/>
      <c r="MRY3593" s="1799"/>
      <c r="MRZ3593" s="1799"/>
      <c r="MSA3593" s="1799"/>
      <c r="MSB3593" s="1799"/>
      <c r="MSC3593" s="1799"/>
      <c r="MSD3593" s="1799"/>
      <c r="MSE3593" s="1799"/>
      <c r="MSF3593" s="1799"/>
      <c r="MSG3593" s="1799"/>
      <c r="MSH3593" s="1799"/>
      <c r="MSI3593" s="1799"/>
      <c r="MSJ3593" s="1799"/>
      <c r="MSK3593" s="1799"/>
      <c r="MSL3593" s="1799"/>
      <c r="MSM3593" s="1799"/>
      <c r="MSN3593" s="1799"/>
      <c r="MSO3593" s="1799"/>
      <c r="MSP3593" s="1799"/>
      <c r="MSQ3593" s="1799"/>
      <c r="MSR3593" s="1799"/>
      <c r="MSS3593" s="1799"/>
      <c r="MST3593" s="1799"/>
      <c r="MSU3593" s="1799"/>
      <c r="MSV3593" s="1799"/>
      <c r="MSW3593" s="1799"/>
      <c r="MSX3593" s="1799"/>
      <c r="MSY3593" s="1799"/>
      <c r="MSZ3593" s="1799"/>
      <c r="MTA3593" s="1799"/>
      <c r="MTB3593" s="1799"/>
      <c r="MTC3593" s="1799"/>
      <c r="MTD3593" s="1799"/>
      <c r="MTE3593" s="1799"/>
      <c r="MTF3593" s="1799"/>
      <c r="MTG3593" s="1799"/>
      <c r="MTH3593" s="1799"/>
      <c r="MTI3593" s="1799"/>
      <c r="MTJ3593" s="1799"/>
      <c r="MTK3593" s="1799"/>
      <c r="MTL3593" s="1799"/>
      <c r="MTM3593" s="1799"/>
      <c r="MTN3593" s="1799"/>
      <c r="MTO3593" s="1799"/>
      <c r="MTP3593" s="1799"/>
      <c r="MTQ3593" s="1799"/>
      <c r="MTR3593" s="1799"/>
      <c r="MTS3593" s="1799"/>
      <c r="MTT3593" s="1799"/>
      <c r="MTU3593" s="1799"/>
      <c r="MTV3593" s="1799"/>
      <c r="MTW3593" s="1799"/>
      <c r="MTX3593" s="1799"/>
      <c r="MTY3593" s="1799"/>
      <c r="MTZ3593" s="1799"/>
      <c r="MUA3593" s="1799"/>
      <c r="MUB3593" s="1799"/>
      <c r="MUC3593" s="1799"/>
      <c r="MUD3593" s="1799"/>
      <c r="MUE3593" s="1799"/>
      <c r="MUF3593" s="1799"/>
      <c r="MUG3593" s="1799"/>
      <c r="MUH3593" s="1799"/>
      <c r="MUI3593" s="1799"/>
      <c r="MUJ3593" s="1799"/>
      <c r="MUK3593" s="1799"/>
      <c r="MUL3593" s="1799"/>
      <c r="MUM3593" s="1799"/>
      <c r="MUN3593" s="1799"/>
      <c r="MUO3593" s="1799"/>
      <c r="MUP3593" s="1799"/>
      <c r="MUQ3593" s="1799"/>
      <c r="MUR3593" s="1799"/>
      <c r="MUS3593" s="1799"/>
      <c r="MUT3593" s="1799"/>
      <c r="MUU3593" s="1799"/>
      <c r="MUV3593" s="1799"/>
      <c r="MUW3593" s="1799"/>
      <c r="MUX3593" s="1799"/>
      <c r="MUY3593" s="1799"/>
      <c r="MUZ3593" s="1799"/>
      <c r="MVA3593" s="1799"/>
      <c r="MVB3593" s="1799"/>
      <c r="MVC3593" s="1799"/>
      <c r="MVD3593" s="1799"/>
      <c r="MVE3593" s="1799"/>
      <c r="MVF3593" s="1799"/>
      <c r="MVG3593" s="1799"/>
      <c r="MVH3593" s="1799"/>
      <c r="MVI3593" s="1799"/>
      <c r="MVJ3593" s="1799"/>
      <c r="MVK3593" s="1799"/>
      <c r="MVL3593" s="1799"/>
      <c r="MVM3593" s="1799"/>
      <c r="MVN3593" s="1799"/>
      <c r="MVO3593" s="1799"/>
      <c r="MVP3593" s="1799"/>
      <c r="MVQ3593" s="1799"/>
      <c r="MVR3593" s="1799"/>
      <c r="MVS3593" s="1799"/>
      <c r="MVT3593" s="1799"/>
      <c r="MVU3593" s="1799"/>
      <c r="MVV3593" s="1799"/>
      <c r="MVW3593" s="1799"/>
      <c r="MVX3593" s="1799"/>
      <c r="MVY3593" s="1799"/>
      <c r="MVZ3593" s="1799"/>
      <c r="MWA3593" s="1799"/>
      <c r="MWB3593" s="1799"/>
      <c r="MWC3593" s="1799"/>
      <c r="MWD3593" s="1799"/>
      <c r="MWE3593" s="1799"/>
      <c r="MWF3593" s="1799"/>
      <c r="MWG3593" s="1799"/>
      <c r="MWH3593" s="1799"/>
      <c r="MWI3593" s="1799"/>
      <c r="MWJ3593" s="1799"/>
      <c r="MWK3593" s="1799"/>
      <c r="MWL3593" s="1799"/>
      <c r="MWM3593" s="1799"/>
      <c r="MWN3593" s="1799"/>
      <c r="MWO3593" s="1799"/>
      <c r="MWP3593" s="1799"/>
      <c r="MWQ3593" s="1799"/>
      <c r="MWR3593" s="1799"/>
      <c r="MWS3593" s="1799"/>
      <c r="MWT3593" s="1799"/>
      <c r="MWU3593" s="1799"/>
      <c r="MWV3593" s="1799"/>
      <c r="MWW3593" s="1799"/>
      <c r="MWX3593" s="1799"/>
      <c r="MWY3593" s="1799"/>
      <c r="MWZ3593" s="1799"/>
      <c r="MXA3593" s="1799"/>
      <c r="MXB3593" s="1799"/>
      <c r="MXC3593" s="1799"/>
      <c r="MXD3593" s="1799"/>
      <c r="MXE3593" s="1799"/>
      <c r="MXF3593" s="1799"/>
      <c r="MXG3593" s="1799"/>
      <c r="MXH3593" s="1799"/>
      <c r="MXI3593" s="1799"/>
      <c r="MXJ3593" s="1799"/>
      <c r="MXK3593" s="1799"/>
      <c r="MXL3593" s="1799"/>
      <c r="MXM3593" s="1799"/>
      <c r="MXN3593" s="1799"/>
      <c r="MXO3593" s="1799"/>
      <c r="MXP3593" s="1799"/>
      <c r="MXQ3593" s="1799"/>
      <c r="MXR3593" s="1799"/>
      <c r="MXS3593" s="1799"/>
      <c r="MXT3593" s="1799"/>
      <c r="MXU3593" s="1799"/>
      <c r="MXV3593" s="1799"/>
      <c r="MXW3593" s="1799"/>
      <c r="MXX3593" s="1799"/>
      <c r="MXY3593" s="1799"/>
      <c r="MXZ3593" s="1799"/>
      <c r="MYA3593" s="1799"/>
      <c r="MYB3593" s="1799"/>
      <c r="MYC3593" s="1799"/>
      <c r="MYD3593" s="1799"/>
      <c r="MYE3593" s="1799"/>
      <c r="MYF3593" s="1799"/>
      <c r="MYG3593" s="1799"/>
      <c r="MYH3593" s="1799"/>
      <c r="MYI3593" s="1799"/>
      <c r="MYJ3593" s="1799"/>
      <c r="MYK3593" s="1799"/>
      <c r="MYL3593" s="1799"/>
      <c r="MYM3593" s="1799"/>
      <c r="MYN3593" s="1799"/>
      <c r="MYO3593" s="1799"/>
      <c r="MYP3593" s="1799"/>
      <c r="MYQ3593" s="1799"/>
      <c r="MYR3593" s="1799"/>
      <c r="MYS3593" s="1799"/>
      <c r="MYT3593" s="1799"/>
      <c r="MYU3593" s="1799"/>
      <c r="MYV3593" s="1799"/>
      <c r="MYW3593" s="1799"/>
      <c r="MYX3593" s="1799"/>
      <c r="MYY3593" s="1799"/>
      <c r="MYZ3593" s="1799"/>
      <c r="MZA3593" s="1799"/>
      <c r="MZB3593" s="1799"/>
      <c r="MZC3593" s="1799"/>
      <c r="MZD3593" s="1799"/>
      <c r="MZE3593" s="1799"/>
      <c r="MZF3593" s="1799"/>
      <c r="MZG3593" s="1799"/>
      <c r="MZH3593" s="1799"/>
      <c r="MZI3593" s="1799"/>
      <c r="MZJ3593" s="1799"/>
      <c r="MZK3593" s="1799"/>
      <c r="MZL3593" s="1799"/>
      <c r="MZM3593" s="1799"/>
      <c r="MZN3593" s="1799"/>
      <c r="MZO3593" s="1799"/>
      <c r="MZP3593" s="1799"/>
      <c r="MZQ3593" s="1799"/>
      <c r="MZR3593" s="1799"/>
      <c r="MZS3593" s="1799"/>
      <c r="MZT3593" s="1799"/>
      <c r="MZU3593" s="1799"/>
      <c r="MZV3593" s="1799"/>
      <c r="MZW3593" s="1799"/>
      <c r="MZX3593" s="1799"/>
      <c r="MZY3593" s="1799"/>
      <c r="MZZ3593" s="1799"/>
      <c r="NAA3593" s="1799"/>
      <c r="NAB3593" s="1799"/>
      <c r="NAC3593" s="1799"/>
      <c r="NAD3593" s="1799"/>
      <c r="NAE3593" s="1799"/>
      <c r="NAF3593" s="1799"/>
      <c r="NAG3593" s="1799"/>
      <c r="NAH3593" s="1799"/>
      <c r="NAI3593" s="1799"/>
      <c r="NAJ3593" s="1799"/>
      <c r="NAK3593" s="1799"/>
      <c r="NAL3593" s="1799"/>
      <c r="NAM3593" s="1799"/>
      <c r="NAN3593" s="1799"/>
      <c r="NAO3593" s="1799"/>
      <c r="NAP3593" s="1799"/>
      <c r="NAQ3593" s="1799"/>
      <c r="NAR3593" s="1799"/>
      <c r="NAS3593" s="1799"/>
      <c r="NAT3593" s="1799"/>
      <c r="NAU3593" s="1799"/>
      <c r="NAV3593" s="1799"/>
      <c r="NAW3593" s="1799"/>
      <c r="NAX3593" s="1799"/>
      <c r="NAY3593" s="1799"/>
      <c r="NAZ3593" s="1799"/>
      <c r="NBA3593" s="1799"/>
      <c r="NBB3593" s="1799"/>
      <c r="NBC3593" s="1799"/>
      <c r="NBD3593" s="1799"/>
      <c r="NBE3593" s="1799"/>
      <c r="NBF3593" s="1799"/>
      <c r="NBG3593" s="1799"/>
      <c r="NBH3593" s="1799"/>
      <c r="NBI3593" s="1799"/>
      <c r="NBJ3593" s="1799"/>
      <c r="NBK3593" s="1799"/>
      <c r="NBL3593" s="1799"/>
      <c r="NBM3593" s="1799"/>
      <c r="NBN3593" s="1799"/>
      <c r="NBO3593" s="1799"/>
      <c r="NBP3593" s="1799"/>
      <c r="NBQ3593" s="1799"/>
      <c r="NBR3593" s="1799"/>
      <c r="NBS3593" s="1799"/>
      <c r="NBT3593" s="1799"/>
      <c r="NBU3593" s="1799"/>
      <c r="NBV3593" s="1799"/>
      <c r="NBW3593" s="1799"/>
      <c r="NBX3593" s="1799"/>
      <c r="NBY3593" s="1799"/>
      <c r="NBZ3593" s="1799"/>
      <c r="NCA3593" s="1799"/>
      <c r="NCB3593" s="1799"/>
      <c r="NCC3593" s="1799"/>
      <c r="NCD3593" s="1799"/>
      <c r="NCE3593" s="1799"/>
      <c r="NCF3593" s="1799"/>
      <c r="NCG3593" s="1799"/>
      <c r="NCH3593" s="1799"/>
      <c r="NCI3593" s="1799"/>
      <c r="NCJ3593" s="1799"/>
      <c r="NCK3593" s="1799"/>
      <c r="NCL3593" s="1799"/>
      <c r="NCM3593" s="1799"/>
      <c r="NCN3593" s="1799"/>
      <c r="NCO3593" s="1799"/>
      <c r="NCP3593" s="1799"/>
      <c r="NCQ3593" s="1799"/>
      <c r="NCR3593" s="1799"/>
      <c r="NCS3593" s="1799"/>
      <c r="NCT3593" s="1799"/>
      <c r="NCU3593" s="1799"/>
      <c r="NCV3593" s="1799"/>
      <c r="NCW3593" s="1799"/>
      <c r="NCX3593" s="1799"/>
      <c r="NCY3593" s="1799"/>
      <c r="NCZ3593" s="1799"/>
      <c r="NDA3593" s="1799"/>
      <c r="NDB3593" s="1799"/>
      <c r="NDC3593" s="1799"/>
      <c r="NDD3593" s="1799"/>
      <c r="NDE3593" s="1799"/>
      <c r="NDF3593" s="1799"/>
      <c r="NDG3593" s="1799"/>
      <c r="NDH3593" s="1799"/>
      <c r="NDI3593" s="1799"/>
      <c r="NDJ3593" s="1799"/>
      <c r="NDK3593" s="1799"/>
      <c r="NDL3593" s="1799"/>
      <c r="NDM3593" s="1799"/>
      <c r="NDN3593" s="1799"/>
      <c r="NDO3593" s="1799"/>
      <c r="NDP3593" s="1799"/>
      <c r="NDQ3593" s="1799"/>
      <c r="NDR3593" s="1799"/>
      <c r="NDS3593" s="1799"/>
      <c r="NDT3593" s="1799"/>
      <c r="NDU3593" s="1799"/>
      <c r="NDV3593" s="1799"/>
      <c r="NDW3593" s="1799"/>
      <c r="NDX3593" s="1799"/>
      <c r="NDY3593" s="1799"/>
      <c r="NDZ3593" s="1799"/>
      <c r="NEA3593" s="1799"/>
      <c r="NEB3593" s="1799"/>
      <c r="NEC3593" s="1799"/>
      <c r="NED3593" s="1799"/>
      <c r="NEE3593" s="1799"/>
      <c r="NEF3593" s="1799"/>
      <c r="NEG3593" s="1799"/>
      <c r="NEH3593" s="1799"/>
      <c r="NEI3593" s="1799"/>
      <c r="NEJ3593" s="1799"/>
      <c r="NEK3593" s="1799"/>
      <c r="NEL3593" s="1799"/>
      <c r="NEM3593" s="1799"/>
      <c r="NEN3593" s="1799"/>
      <c r="NEO3593" s="1799"/>
      <c r="NEP3593" s="1799"/>
      <c r="NEQ3593" s="1799"/>
      <c r="NER3593" s="1799"/>
      <c r="NES3593" s="1799"/>
      <c r="NET3593" s="1799"/>
      <c r="NEU3593" s="1799"/>
      <c r="NEV3593" s="1799"/>
      <c r="NEW3593" s="1799"/>
      <c r="NEX3593" s="1799"/>
      <c r="NEY3593" s="1799"/>
      <c r="NEZ3593" s="1799"/>
      <c r="NFA3593" s="1799"/>
      <c r="NFB3593" s="1799"/>
      <c r="NFC3593" s="1799"/>
      <c r="NFD3593" s="1799"/>
      <c r="NFE3593" s="1799"/>
      <c r="NFF3593" s="1799"/>
      <c r="NFG3593" s="1799"/>
      <c r="NFH3593" s="1799"/>
      <c r="NFI3593" s="1799"/>
      <c r="NFJ3593" s="1799"/>
      <c r="NFK3593" s="1799"/>
      <c r="NFL3593" s="1799"/>
      <c r="NFM3593" s="1799"/>
      <c r="NFN3593" s="1799"/>
      <c r="NFO3593" s="1799"/>
      <c r="NFP3593" s="1799"/>
      <c r="NFQ3593" s="1799"/>
      <c r="NFR3593" s="1799"/>
      <c r="NFS3593" s="1799"/>
      <c r="NFT3593" s="1799"/>
      <c r="NFU3593" s="1799"/>
      <c r="NFV3593" s="1799"/>
      <c r="NFW3593" s="1799"/>
      <c r="NFX3593" s="1799"/>
      <c r="NFY3593" s="1799"/>
      <c r="NFZ3593" s="1799"/>
      <c r="NGA3593" s="1799"/>
      <c r="NGB3593" s="1799"/>
      <c r="NGC3593" s="1799"/>
      <c r="NGD3593" s="1799"/>
      <c r="NGE3593" s="1799"/>
      <c r="NGF3593" s="1799"/>
      <c r="NGG3593" s="1799"/>
      <c r="NGH3593" s="1799"/>
      <c r="NGI3593" s="1799"/>
      <c r="NGJ3593" s="1799"/>
      <c r="NGK3593" s="1799"/>
      <c r="NGL3593" s="1799"/>
      <c r="NGM3593" s="1799"/>
      <c r="NGN3593" s="1799"/>
      <c r="NGO3593" s="1799"/>
      <c r="NGP3593" s="1799"/>
      <c r="NGQ3593" s="1799"/>
      <c r="NGR3593" s="1799"/>
      <c r="NGS3593" s="1799"/>
      <c r="NGT3593" s="1799"/>
      <c r="NGU3593" s="1799"/>
      <c r="NGV3593" s="1799"/>
      <c r="NGW3593" s="1799"/>
      <c r="NGX3593" s="1799"/>
      <c r="NGY3593" s="1799"/>
      <c r="NGZ3593" s="1799"/>
      <c r="NHA3593" s="1799"/>
      <c r="NHB3593" s="1799"/>
      <c r="NHC3593" s="1799"/>
      <c r="NHD3593" s="1799"/>
      <c r="NHE3593" s="1799"/>
      <c r="NHF3593" s="1799"/>
      <c r="NHG3593" s="1799"/>
      <c r="NHH3593" s="1799"/>
      <c r="NHI3593" s="1799"/>
      <c r="NHJ3593" s="1799"/>
      <c r="NHK3593" s="1799"/>
      <c r="NHL3593" s="1799"/>
      <c r="NHM3593" s="1799"/>
      <c r="NHN3593" s="1799"/>
      <c r="NHO3593" s="1799"/>
      <c r="NHP3593" s="1799"/>
      <c r="NHQ3593" s="1799"/>
      <c r="NHR3593" s="1799"/>
      <c r="NHS3593" s="1799"/>
      <c r="NHT3593" s="1799"/>
      <c r="NHU3593" s="1799"/>
      <c r="NHV3593" s="1799"/>
      <c r="NHW3593" s="1799"/>
      <c r="NHX3593" s="1799"/>
      <c r="NHY3593" s="1799"/>
      <c r="NHZ3593" s="1799"/>
      <c r="NIA3593" s="1799"/>
      <c r="NIB3593" s="1799"/>
      <c r="NIC3593" s="1799"/>
      <c r="NID3593" s="1799"/>
      <c r="NIE3593" s="1799"/>
      <c r="NIF3593" s="1799"/>
      <c r="NIG3593" s="1799"/>
      <c r="NIH3593" s="1799"/>
      <c r="NII3593" s="1799"/>
      <c r="NIJ3593" s="1799"/>
      <c r="NIK3593" s="1799"/>
      <c r="NIL3593" s="1799"/>
      <c r="NIM3593" s="1799"/>
      <c r="NIN3593" s="1799"/>
      <c r="NIO3593" s="1799"/>
      <c r="NIP3593" s="1799"/>
      <c r="NIQ3593" s="1799"/>
      <c r="NIR3593" s="1799"/>
      <c r="NIS3593" s="1799"/>
      <c r="NIT3593" s="1799"/>
      <c r="NIU3593" s="1799"/>
      <c r="NIV3593" s="1799"/>
      <c r="NIW3593" s="1799"/>
      <c r="NIX3593" s="1799"/>
      <c r="NIY3593" s="1799"/>
      <c r="NIZ3593" s="1799"/>
      <c r="NJA3593" s="1799"/>
      <c r="NJB3593" s="1799"/>
      <c r="NJC3593" s="1799"/>
      <c r="NJD3593" s="1799"/>
      <c r="NJE3593" s="1799"/>
      <c r="NJF3593" s="1799"/>
      <c r="NJG3593" s="1799"/>
      <c r="NJH3593" s="1799"/>
      <c r="NJI3593" s="1799"/>
      <c r="NJJ3593" s="1799"/>
      <c r="NJK3593" s="1799"/>
      <c r="NJL3593" s="1799"/>
      <c r="NJM3593" s="1799"/>
      <c r="NJN3593" s="1799"/>
      <c r="NJO3593" s="1799"/>
      <c r="NJP3593" s="1799"/>
      <c r="NJQ3593" s="1799"/>
      <c r="NJR3593" s="1799"/>
      <c r="NJS3593" s="1799"/>
      <c r="NJT3593" s="1799"/>
      <c r="NJU3593" s="1799"/>
      <c r="NJV3593" s="1799"/>
      <c r="NJW3593" s="1799"/>
      <c r="NJX3593" s="1799"/>
      <c r="NJY3593" s="1799"/>
      <c r="NJZ3593" s="1799"/>
      <c r="NKA3593" s="1799"/>
      <c r="NKB3593" s="1799"/>
      <c r="NKC3593" s="1799"/>
      <c r="NKD3593" s="1799"/>
      <c r="NKE3593" s="1799"/>
      <c r="NKF3593" s="1799"/>
      <c r="NKG3593" s="1799"/>
      <c r="NKH3593" s="1799"/>
      <c r="NKI3593" s="1799"/>
      <c r="NKJ3593" s="1799"/>
      <c r="NKK3593" s="1799"/>
      <c r="NKL3593" s="1799"/>
      <c r="NKM3593" s="1799"/>
      <c r="NKN3593" s="1799"/>
      <c r="NKO3593" s="1799"/>
      <c r="NKP3593" s="1799"/>
      <c r="NKQ3593" s="1799"/>
      <c r="NKR3593" s="1799"/>
      <c r="NKS3593" s="1799"/>
      <c r="NKT3593" s="1799"/>
      <c r="NKU3593" s="1799"/>
      <c r="NKV3593" s="1799"/>
      <c r="NKW3593" s="1799"/>
      <c r="NKX3593" s="1799"/>
      <c r="NKY3593" s="1799"/>
      <c r="NKZ3593" s="1799"/>
      <c r="NLA3593" s="1799"/>
      <c r="NLB3593" s="1799"/>
      <c r="NLC3593" s="1799"/>
      <c r="NLD3593" s="1799"/>
      <c r="NLE3593" s="1799"/>
      <c r="NLF3593" s="1799"/>
      <c r="NLG3593" s="1799"/>
      <c r="NLH3593" s="1799"/>
      <c r="NLI3593" s="1799"/>
      <c r="NLJ3593" s="1799"/>
      <c r="NLK3593" s="1799"/>
      <c r="NLL3593" s="1799"/>
      <c r="NLM3593" s="1799"/>
      <c r="NLN3593" s="1799"/>
      <c r="NLO3593" s="1799"/>
      <c r="NLP3593" s="1799"/>
      <c r="NLQ3593" s="1799"/>
      <c r="NLR3593" s="1799"/>
      <c r="NLS3593" s="1799"/>
      <c r="NLT3593" s="1799"/>
      <c r="NLU3593" s="1799"/>
      <c r="NLV3593" s="1799"/>
      <c r="NLW3593" s="1799"/>
      <c r="NLX3593" s="1799"/>
      <c r="NLY3593" s="1799"/>
      <c r="NLZ3593" s="1799"/>
      <c r="NMA3593" s="1799"/>
      <c r="NMB3593" s="1799"/>
      <c r="NMC3593" s="1799"/>
      <c r="NMD3593" s="1799"/>
      <c r="NME3593" s="1799"/>
      <c r="NMF3593" s="1799"/>
      <c r="NMG3593" s="1799"/>
      <c r="NMH3593" s="1799"/>
      <c r="NMI3593" s="1799"/>
      <c r="NMJ3593" s="1799"/>
      <c r="NMK3593" s="1799"/>
      <c r="NML3593" s="1799"/>
      <c r="NMM3593" s="1799"/>
      <c r="NMN3593" s="1799"/>
      <c r="NMO3593" s="1799"/>
      <c r="NMP3593" s="1799"/>
      <c r="NMQ3593" s="1799"/>
      <c r="NMR3593" s="1799"/>
      <c r="NMS3593" s="1799"/>
      <c r="NMT3593" s="1799"/>
      <c r="NMU3593" s="1799"/>
      <c r="NMV3593" s="1799"/>
      <c r="NMW3593" s="1799"/>
      <c r="NMX3593" s="1799"/>
      <c r="NMY3593" s="1799"/>
      <c r="NMZ3593" s="1799"/>
      <c r="NNA3593" s="1799"/>
      <c r="NNB3593" s="1799"/>
      <c r="NNC3593" s="1799"/>
      <c r="NND3593" s="1799"/>
      <c r="NNE3593" s="1799"/>
      <c r="NNF3593" s="1799"/>
      <c r="NNG3593" s="1799"/>
      <c r="NNH3593" s="1799"/>
      <c r="NNI3593" s="1799"/>
      <c r="NNJ3593" s="1799"/>
      <c r="NNK3593" s="1799"/>
      <c r="NNL3593" s="1799"/>
      <c r="NNM3593" s="1799"/>
      <c r="NNN3593" s="1799"/>
      <c r="NNO3593" s="1799"/>
      <c r="NNP3593" s="1799"/>
      <c r="NNQ3593" s="1799"/>
      <c r="NNR3593" s="1799"/>
      <c r="NNS3593" s="1799"/>
      <c r="NNT3593" s="1799"/>
      <c r="NNU3593" s="1799"/>
      <c r="NNV3593" s="1799"/>
      <c r="NNW3593" s="1799"/>
      <c r="NNX3593" s="1799"/>
      <c r="NNY3593" s="1799"/>
      <c r="NNZ3593" s="1799"/>
      <c r="NOA3593" s="1799"/>
      <c r="NOB3593" s="1799"/>
      <c r="NOC3593" s="1799"/>
      <c r="NOD3593" s="1799"/>
      <c r="NOE3593" s="1799"/>
      <c r="NOF3593" s="1799"/>
      <c r="NOG3593" s="1799"/>
      <c r="NOH3593" s="1799"/>
      <c r="NOI3593" s="1799"/>
      <c r="NOJ3593" s="1799"/>
      <c r="NOK3593" s="1799"/>
      <c r="NOL3593" s="1799"/>
      <c r="NOM3593" s="1799"/>
      <c r="NON3593" s="1799"/>
      <c r="NOO3593" s="1799"/>
      <c r="NOP3593" s="1799"/>
      <c r="NOQ3593" s="1799"/>
      <c r="NOR3593" s="1799"/>
      <c r="NOS3593" s="1799"/>
      <c r="NOT3593" s="1799"/>
      <c r="NOU3593" s="1799"/>
      <c r="NOV3593" s="1799"/>
      <c r="NOW3593" s="1799"/>
      <c r="NOX3593" s="1799"/>
      <c r="NOY3593" s="1799"/>
      <c r="NOZ3593" s="1799"/>
      <c r="NPA3593" s="1799"/>
      <c r="NPB3593" s="1799"/>
      <c r="NPC3593" s="1799"/>
      <c r="NPD3593" s="1799"/>
      <c r="NPE3593" s="1799"/>
      <c r="NPF3593" s="1799"/>
      <c r="NPG3593" s="1799"/>
      <c r="NPH3593" s="1799"/>
      <c r="NPI3593" s="1799"/>
      <c r="NPJ3593" s="1799"/>
      <c r="NPK3593" s="1799"/>
      <c r="NPL3593" s="1799"/>
      <c r="NPM3593" s="1799"/>
      <c r="NPN3593" s="1799"/>
      <c r="NPO3593" s="1799"/>
      <c r="NPP3593" s="1799"/>
      <c r="NPQ3593" s="1799"/>
      <c r="NPR3593" s="1799"/>
      <c r="NPS3593" s="1799"/>
      <c r="NPT3593" s="1799"/>
      <c r="NPU3593" s="1799"/>
      <c r="NPV3593" s="1799"/>
      <c r="NPW3593" s="1799"/>
      <c r="NPX3593" s="1799"/>
      <c r="NPY3593" s="1799"/>
      <c r="NPZ3593" s="1799"/>
      <c r="NQA3593" s="1799"/>
      <c r="NQB3593" s="1799"/>
      <c r="NQC3593" s="1799"/>
      <c r="NQD3593" s="1799"/>
      <c r="NQE3593" s="1799"/>
      <c r="NQF3593" s="1799"/>
      <c r="NQG3593" s="1799"/>
      <c r="NQH3593" s="1799"/>
      <c r="NQI3593" s="1799"/>
      <c r="NQJ3593" s="1799"/>
      <c r="NQK3593" s="1799"/>
      <c r="NQL3593" s="1799"/>
      <c r="NQM3593" s="1799"/>
      <c r="NQN3593" s="1799"/>
      <c r="NQO3593" s="1799"/>
      <c r="NQP3593" s="1799"/>
      <c r="NQQ3593" s="1799"/>
      <c r="NQR3593" s="1799"/>
      <c r="NQS3593" s="1799"/>
      <c r="NQT3593" s="1799"/>
      <c r="NQU3593" s="1799"/>
      <c r="NQV3593" s="1799"/>
      <c r="NQW3593" s="1799"/>
      <c r="NQX3593" s="1799"/>
      <c r="NQY3593" s="1799"/>
      <c r="NQZ3593" s="1799"/>
      <c r="NRA3593" s="1799"/>
      <c r="NRB3593" s="1799"/>
      <c r="NRC3593" s="1799"/>
      <c r="NRD3593" s="1799"/>
      <c r="NRE3593" s="1799"/>
      <c r="NRF3593" s="1799"/>
      <c r="NRG3593" s="1799"/>
      <c r="NRH3593" s="1799"/>
      <c r="NRI3593" s="1799"/>
      <c r="NRJ3593" s="1799"/>
      <c r="NRK3593" s="1799"/>
      <c r="NRL3593" s="1799"/>
      <c r="NRM3593" s="1799"/>
      <c r="NRN3593" s="1799"/>
      <c r="NRO3593" s="1799"/>
      <c r="NRP3593" s="1799"/>
      <c r="NRQ3593" s="1799"/>
      <c r="NRR3593" s="1799"/>
      <c r="NRS3593" s="1799"/>
      <c r="NRT3593" s="1799"/>
      <c r="NRU3593" s="1799"/>
      <c r="NRV3593" s="1799"/>
      <c r="NRW3593" s="1799"/>
      <c r="NRX3593" s="1799"/>
      <c r="NRY3593" s="1799"/>
      <c r="NRZ3593" s="1799"/>
      <c r="NSA3593" s="1799"/>
      <c r="NSB3593" s="1799"/>
      <c r="NSC3593" s="1799"/>
      <c r="NSD3593" s="1799"/>
      <c r="NSE3593" s="1799"/>
      <c r="NSF3593" s="1799"/>
      <c r="NSG3593" s="1799"/>
      <c r="NSH3593" s="1799"/>
      <c r="NSI3593" s="1799"/>
      <c r="NSJ3593" s="1799"/>
      <c r="NSK3593" s="1799"/>
      <c r="NSL3593" s="1799"/>
      <c r="NSM3593" s="1799"/>
      <c r="NSN3593" s="1799"/>
      <c r="NSO3593" s="1799"/>
      <c r="NSP3593" s="1799"/>
      <c r="NSQ3593" s="1799"/>
      <c r="NSR3593" s="1799"/>
      <c r="NSS3593" s="1799"/>
      <c r="NST3593" s="1799"/>
      <c r="NSU3593" s="1799"/>
      <c r="NSV3593" s="1799"/>
      <c r="NSW3593" s="1799"/>
      <c r="NSX3593" s="1799"/>
      <c r="NSY3593" s="1799"/>
      <c r="NSZ3593" s="1799"/>
      <c r="NTA3593" s="1799"/>
      <c r="NTB3593" s="1799"/>
      <c r="NTC3593" s="1799"/>
      <c r="NTD3593" s="1799"/>
      <c r="NTE3593" s="1799"/>
      <c r="NTF3593" s="1799"/>
      <c r="NTG3593" s="1799"/>
      <c r="NTH3593" s="1799"/>
      <c r="NTI3593" s="1799"/>
      <c r="NTJ3593" s="1799"/>
      <c r="NTK3593" s="1799"/>
      <c r="NTL3593" s="1799"/>
      <c r="NTM3593" s="1799"/>
      <c r="NTN3593" s="1799"/>
      <c r="NTO3593" s="1799"/>
      <c r="NTP3593" s="1799"/>
      <c r="NTQ3593" s="1799"/>
      <c r="NTR3593" s="1799"/>
      <c r="NTS3593" s="1799"/>
      <c r="NTT3593" s="1799"/>
      <c r="NTU3593" s="1799"/>
      <c r="NTV3593" s="1799"/>
      <c r="NTW3593" s="1799"/>
      <c r="NTX3593" s="1799"/>
      <c r="NTY3593" s="1799"/>
      <c r="NTZ3593" s="1799"/>
      <c r="NUA3593" s="1799"/>
      <c r="NUB3593" s="1799"/>
      <c r="NUC3593" s="1799"/>
      <c r="NUD3593" s="1799"/>
      <c r="NUE3593" s="1799"/>
      <c r="NUF3593" s="1799"/>
      <c r="NUG3593" s="1799"/>
      <c r="NUH3593" s="1799"/>
      <c r="NUI3593" s="1799"/>
      <c r="NUJ3593" s="1799"/>
      <c r="NUK3593" s="1799"/>
      <c r="NUL3593" s="1799"/>
      <c r="NUM3593" s="1799"/>
      <c r="NUN3593" s="1799"/>
      <c r="NUO3593" s="1799"/>
      <c r="NUP3593" s="1799"/>
      <c r="NUQ3593" s="1799"/>
      <c r="NUR3593" s="1799"/>
      <c r="NUS3593" s="1799"/>
      <c r="NUT3593" s="1799"/>
      <c r="NUU3593" s="1799"/>
      <c r="NUV3593" s="1799"/>
      <c r="NUW3593" s="1799"/>
      <c r="NUX3593" s="1799"/>
      <c r="NUY3593" s="1799"/>
      <c r="NUZ3593" s="1799"/>
      <c r="NVA3593" s="1799"/>
      <c r="NVB3593" s="1799"/>
      <c r="NVC3593" s="1799"/>
      <c r="NVD3593" s="1799"/>
      <c r="NVE3593" s="1799"/>
      <c r="NVF3593" s="1799"/>
      <c r="NVG3593" s="1799"/>
      <c r="NVH3593" s="1799"/>
      <c r="NVI3593" s="1799"/>
      <c r="NVJ3593" s="1799"/>
      <c r="NVK3593" s="1799"/>
      <c r="NVL3593" s="1799"/>
      <c r="NVM3593" s="1799"/>
      <c r="NVN3593" s="1799"/>
      <c r="NVO3593" s="1799"/>
      <c r="NVP3593" s="1799"/>
      <c r="NVQ3593" s="1799"/>
      <c r="NVR3593" s="1799"/>
      <c r="NVS3593" s="1799"/>
      <c r="NVT3593" s="1799"/>
      <c r="NVU3593" s="1799"/>
      <c r="NVV3593" s="1799"/>
      <c r="NVW3593" s="1799"/>
      <c r="NVX3593" s="1799"/>
      <c r="NVY3593" s="1799"/>
      <c r="NVZ3593" s="1799"/>
      <c r="NWA3593" s="1799"/>
      <c r="NWB3593" s="1799"/>
      <c r="NWC3593" s="1799"/>
      <c r="NWD3593" s="1799"/>
      <c r="NWE3593" s="1799"/>
      <c r="NWF3593" s="1799"/>
      <c r="NWG3593" s="1799"/>
      <c r="NWH3593" s="1799"/>
      <c r="NWI3593" s="1799"/>
      <c r="NWJ3593" s="1799"/>
      <c r="NWK3593" s="1799"/>
      <c r="NWL3593" s="1799"/>
      <c r="NWM3593" s="1799"/>
      <c r="NWN3593" s="1799"/>
      <c r="NWO3593" s="1799"/>
      <c r="NWP3593" s="1799"/>
      <c r="NWQ3593" s="1799"/>
      <c r="NWR3593" s="1799"/>
      <c r="NWS3593" s="1799"/>
      <c r="NWT3593" s="1799"/>
      <c r="NWU3593" s="1799"/>
      <c r="NWV3593" s="1799"/>
      <c r="NWW3593" s="1799"/>
      <c r="NWX3593" s="1799"/>
      <c r="NWY3593" s="1799"/>
      <c r="NWZ3593" s="1799"/>
      <c r="NXA3593" s="1799"/>
      <c r="NXB3593" s="1799"/>
      <c r="NXC3593" s="1799"/>
      <c r="NXD3593" s="1799"/>
      <c r="NXE3593" s="1799"/>
      <c r="NXF3593" s="1799"/>
      <c r="NXG3593" s="1799"/>
      <c r="NXH3593" s="1799"/>
      <c r="NXI3593" s="1799"/>
      <c r="NXJ3593" s="1799"/>
      <c r="NXK3593" s="1799"/>
      <c r="NXL3593" s="1799"/>
      <c r="NXM3593" s="1799"/>
      <c r="NXN3593" s="1799"/>
      <c r="NXO3593" s="1799"/>
      <c r="NXP3593" s="1799"/>
      <c r="NXQ3593" s="1799"/>
      <c r="NXR3593" s="1799"/>
      <c r="NXS3593" s="1799"/>
      <c r="NXT3593" s="1799"/>
      <c r="NXU3593" s="1799"/>
      <c r="NXV3593" s="1799"/>
      <c r="NXW3593" s="1799"/>
      <c r="NXX3593" s="1799"/>
      <c r="NXY3593" s="1799"/>
      <c r="NXZ3593" s="1799"/>
      <c r="NYA3593" s="1799"/>
      <c r="NYB3593" s="1799"/>
      <c r="NYC3593" s="1799"/>
      <c r="NYD3593" s="1799"/>
      <c r="NYE3593" s="1799"/>
      <c r="NYF3593" s="1799"/>
      <c r="NYG3593" s="1799"/>
      <c r="NYH3593" s="1799"/>
      <c r="NYI3593" s="1799"/>
      <c r="NYJ3593" s="1799"/>
      <c r="NYK3593" s="1799"/>
      <c r="NYL3593" s="1799"/>
      <c r="NYM3593" s="1799"/>
      <c r="NYN3593" s="1799"/>
      <c r="NYO3593" s="1799"/>
      <c r="NYP3593" s="1799"/>
      <c r="NYQ3593" s="1799"/>
      <c r="NYR3593" s="1799"/>
      <c r="NYS3593" s="1799"/>
      <c r="NYT3593" s="1799"/>
      <c r="NYU3593" s="1799"/>
      <c r="NYV3593" s="1799"/>
      <c r="NYW3593" s="1799"/>
      <c r="NYX3593" s="1799"/>
      <c r="NYY3593" s="1799"/>
      <c r="NYZ3593" s="1799"/>
      <c r="NZA3593" s="1799"/>
      <c r="NZB3593" s="1799"/>
      <c r="NZC3593" s="1799"/>
      <c r="NZD3593" s="1799"/>
      <c r="NZE3593" s="1799"/>
      <c r="NZF3593" s="1799"/>
      <c r="NZG3593" s="1799"/>
      <c r="NZH3593" s="1799"/>
      <c r="NZI3593" s="1799"/>
      <c r="NZJ3593" s="1799"/>
      <c r="NZK3593" s="1799"/>
      <c r="NZL3593" s="1799"/>
      <c r="NZM3593" s="1799"/>
      <c r="NZN3593" s="1799"/>
      <c r="NZO3593" s="1799"/>
      <c r="NZP3593" s="1799"/>
      <c r="NZQ3593" s="1799"/>
      <c r="NZR3593" s="1799"/>
      <c r="NZS3593" s="1799"/>
      <c r="NZT3593" s="1799"/>
      <c r="NZU3593" s="1799"/>
      <c r="NZV3593" s="1799"/>
      <c r="NZW3593" s="1799"/>
      <c r="NZX3593" s="1799"/>
      <c r="NZY3593" s="1799"/>
      <c r="NZZ3593" s="1799"/>
      <c r="OAA3593" s="1799"/>
      <c r="OAB3593" s="1799"/>
      <c r="OAC3593" s="1799"/>
      <c r="OAD3593" s="1799"/>
      <c r="OAE3593" s="1799"/>
      <c r="OAF3593" s="1799"/>
      <c r="OAG3593" s="1799"/>
      <c r="OAH3593" s="1799"/>
      <c r="OAI3593" s="1799"/>
      <c r="OAJ3593" s="1799"/>
      <c r="OAK3593" s="1799"/>
      <c r="OAL3593" s="1799"/>
      <c r="OAM3593" s="1799"/>
      <c r="OAN3593" s="1799"/>
      <c r="OAO3593" s="1799"/>
      <c r="OAP3593" s="1799"/>
      <c r="OAQ3593" s="1799"/>
      <c r="OAR3593" s="1799"/>
      <c r="OAS3593" s="1799"/>
      <c r="OAT3593" s="1799"/>
      <c r="OAU3593" s="1799"/>
      <c r="OAV3593" s="1799"/>
      <c r="OAW3593" s="1799"/>
      <c r="OAX3593" s="1799"/>
      <c r="OAY3593" s="1799"/>
      <c r="OAZ3593" s="1799"/>
      <c r="OBA3593" s="1799"/>
      <c r="OBB3593" s="1799"/>
      <c r="OBC3593" s="1799"/>
      <c r="OBD3593" s="1799"/>
      <c r="OBE3593" s="1799"/>
      <c r="OBF3593" s="1799"/>
      <c r="OBG3593" s="1799"/>
      <c r="OBH3593" s="1799"/>
      <c r="OBI3593" s="1799"/>
      <c r="OBJ3593" s="1799"/>
      <c r="OBK3593" s="1799"/>
      <c r="OBL3593" s="1799"/>
      <c r="OBM3593" s="1799"/>
      <c r="OBN3593" s="1799"/>
      <c r="OBO3593" s="1799"/>
      <c r="OBP3593" s="1799"/>
      <c r="OBQ3593" s="1799"/>
      <c r="OBR3593" s="1799"/>
      <c r="OBS3593" s="1799"/>
      <c r="OBT3593" s="1799"/>
      <c r="OBU3593" s="1799"/>
      <c r="OBV3593" s="1799"/>
      <c r="OBW3593" s="1799"/>
      <c r="OBX3593" s="1799"/>
      <c r="OBY3593" s="1799"/>
      <c r="OBZ3593" s="1799"/>
      <c r="OCA3593" s="1799"/>
      <c r="OCB3593" s="1799"/>
      <c r="OCC3593" s="1799"/>
      <c r="OCD3593" s="1799"/>
      <c r="OCE3593" s="1799"/>
      <c r="OCF3593" s="1799"/>
      <c r="OCG3593" s="1799"/>
      <c r="OCH3593" s="1799"/>
      <c r="OCI3593" s="1799"/>
      <c r="OCJ3593" s="1799"/>
      <c r="OCK3593" s="1799"/>
      <c r="OCL3593" s="1799"/>
      <c r="OCM3593" s="1799"/>
      <c r="OCN3593" s="1799"/>
      <c r="OCO3593" s="1799"/>
      <c r="OCP3593" s="1799"/>
      <c r="OCQ3593" s="1799"/>
      <c r="OCR3593" s="1799"/>
      <c r="OCS3593" s="1799"/>
      <c r="OCT3593" s="1799"/>
      <c r="OCU3593" s="1799"/>
      <c r="OCV3593" s="1799"/>
      <c r="OCW3593" s="1799"/>
      <c r="OCX3593" s="1799"/>
      <c r="OCY3593" s="1799"/>
      <c r="OCZ3593" s="1799"/>
      <c r="ODA3593" s="1799"/>
      <c r="ODB3593" s="1799"/>
      <c r="ODC3593" s="1799"/>
      <c r="ODD3593" s="1799"/>
      <c r="ODE3593" s="1799"/>
      <c r="ODF3593" s="1799"/>
      <c r="ODG3593" s="1799"/>
      <c r="ODH3593" s="1799"/>
      <c r="ODI3593" s="1799"/>
      <c r="ODJ3593" s="1799"/>
      <c r="ODK3593" s="1799"/>
      <c r="ODL3593" s="1799"/>
      <c r="ODM3593" s="1799"/>
      <c r="ODN3593" s="1799"/>
      <c r="ODO3593" s="1799"/>
      <c r="ODP3593" s="1799"/>
      <c r="ODQ3593" s="1799"/>
      <c r="ODR3593" s="1799"/>
      <c r="ODS3593" s="1799"/>
      <c r="ODT3593" s="1799"/>
      <c r="ODU3593" s="1799"/>
      <c r="ODV3593" s="1799"/>
      <c r="ODW3593" s="1799"/>
      <c r="ODX3593" s="1799"/>
      <c r="ODY3593" s="1799"/>
      <c r="ODZ3593" s="1799"/>
      <c r="OEA3593" s="1799"/>
      <c r="OEB3593" s="1799"/>
      <c r="OEC3593" s="1799"/>
      <c r="OED3593" s="1799"/>
      <c r="OEE3593" s="1799"/>
      <c r="OEF3593" s="1799"/>
      <c r="OEG3593" s="1799"/>
      <c r="OEH3593" s="1799"/>
      <c r="OEI3593" s="1799"/>
      <c r="OEJ3593" s="1799"/>
      <c r="OEK3593" s="1799"/>
      <c r="OEL3593" s="1799"/>
      <c r="OEM3593" s="1799"/>
      <c r="OEN3593" s="1799"/>
      <c r="OEO3593" s="1799"/>
      <c r="OEP3593" s="1799"/>
      <c r="OEQ3593" s="1799"/>
      <c r="OER3593" s="1799"/>
      <c r="OES3593" s="1799"/>
      <c r="OET3593" s="1799"/>
      <c r="OEU3593" s="1799"/>
      <c r="OEV3593" s="1799"/>
      <c r="OEW3593" s="1799"/>
      <c r="OEX3593" s="1799"/>
      <c r="OEY3593" s="1799"/>
      <c r="OEZ3593" s="1799"/>
      <c r="OFA3593" s="1799"/>
      <c r="OFB3593" s="1799"/>
      <c r="OFC3593" s="1799"/>
      <c r="OFD3593" s="1799"/>
      <c r="OFE3593" s="1799"/>
      <c r="OFF3593" s="1799"/>
      <c r="OFG3593" s="1799"/>
      <c r="OFH3593" s="1799"/>
      <c r="OFI3593" s="1799"/>
      <c r="OFJ3593" s="1799"/>
      <c r="OFK3593" s="1799"/>
      <c r="OFL3593" s="1799"/>
      <c r="OFM3593" s="1799"/>
      <c r="OFN3593" s="1799"/>
      <c r="OFO3593" s="1799"/>
      <c r="OFP3593" s="1799"/>
      <c r="OFQ3593" s="1799"/>
      <c r="OFR3593" s="1799"/>
      <c r="OFS3593" s="1799"/>
      <c r="OFT3593" s="1799"/>
      <c r="OFU3593" s="1799"/>
      <c r="OFV3593" s="1799"/>
      <c r="OFW3593" s="1799"/>
      <c r="OFX3593" s="1799"/>
      <c r="OFY3593" s="1799"/>
      <c r="OFZ3593" s="1799"/>
      <c r="OGA3593" s="1799"/>
      <c r="OGB3593" s="1799"/>
      <c r="OGC3593" s="1799"/>
      <c r="OGD3593" s="1799"/>
      <c r="OGE3593" s="1799"/>
      <c r="OGF3593" s="1799"/>
      <c r="OGG3593" s="1799"/>
      <c r="OGH3593" s="1799"/>
      <c r="OGI3593" s="1799"/>
      <c r="OGJ3593" s="1799"/>
      <c r="OGK3593" s="1799"/>
      <c r="OGL3593" s="1799"/>
      <c r="OGM3593" s="1799"/>
      <c r="OGN3593" s="1799"/>
      <c r="OGO3593" s="1799"/>
      <c r="OGP3593" s="1799"/>
      <c r="OGQ3593" s="1799"/>
      <c r="OGR3593" s="1799"/>
      <c r="OGS3593" s="1799"/>
      <c r="OGT3593" s="1799"/>
      <c r="OGU3593" s="1799"/>
      <c r="OGV3593" s="1799"/>
      <c r="OGW3593" s="1799"/>
      <c r="OGX3593" s="1799"/>
      <c r="OGY3593" s="1799"/>
      <c r="OGZ3593" s="1799"/>
      <c r="OHA3593" s="1799"/>
      <c r="OHB3593" s="1799"/>
      <c r="OHC3593" s="1799"/>
      <c r="OHD3593" s="1799"/>
      <c r="OHE3593" s="1799"/>
      <c r="OHF3593" s="1799"/>
      <c r="OHG3593" s="1799"/>
      <c r="OHH3593" s="1799"/>
      <c r="OHI3593" s="1799"/>
      <c r="OHJ3593" s="1799"/>
      <c r="OHK3593" s="1799"/>
      <c r="OHL3593" s="1799"/>
      <c r="OHM3593" s="1799"/>
      <c r="OHN3593" s="1799"/>
      <c r="OHO3593" s="1799"/>
      <c r="OHP3593" s="1799"/>
      <c r="OHQ3593" s="1799"/>
      <c r="OHR3593" s="1799"/>
      <c r="OHS3593" s="1799"/>
      <c r="OHT3593" s="1799"/>
      <c r="OHU3593" s="1799"/>
      <c r="OHV3593" s="1799"/>
      <c r="OHW3593" s="1799"/>
      <c r="OHX3593" s="1799"/>
      <c r="OHY3593" s="1799"/>
      <c r="OHZ3593" s="1799"/>
      <c r="OIA3593" s="1799"/>
      <c r="OIB3593" s="1799"/>
      <c r="OIC3593" s="1799"/>
      <c r="OID3593" s="1799"/>
      <c r="OIE3593" s="1799"/>
      <c r="OIF3593" s="1799"/>
      <c r="OIG3593" s="1799"/>
      <c r="OIH3593" s="1799"/>
      <c r="OII3593" s="1799"/>
      <c r="OIJ3593" s="1799"/>
      <c r="OIK3593" s="1799"/>
      <c r="OIL3593" s="1799"/>
      <c r="OIM3593" s="1799"/>
      <c r="OIN3593" s="1799"/>
      <c r="OIO3593" s="1799"/>
      <c r="OIP3593" s="1799"/>
      <c r="OIQ3593" s="1799"/>
      <c r="OIR3593" s="1799"/>
      <c r="OIS3593" s="1799"/>
      <c r="OIT3593" s="1799"/>
      <c r="OIU3593" s="1799"/>
      <c r="OIV3593" s="1799"/>
      <c r="OIW3593" s="1799"/>
      <c r="OIX3593" s="1799"/>
      <c r="OIY3593" s="1799"/>
      <c r="OIZ3593" s="1799"/>
      <c r="OJA3593" s="1799"/>
      <c r="OJB3593" s="1799"/>
      <c r="OJC3593" s="1799"/>
      <c r="OJD3593" s="1799"/>
      <c r="OJE3593" s="1799"/>
      <c r="OJF3593" s="1799"/>
      <c r="OJG3593" s="1799"/>
      <c r="OJH3593" s="1799"/>
      <c r="OJI3593" s="1799"/>
      <c r="OJJ3593" s="1799"/>
      <c r="OJK3593" s="1799"/>
      <c r="OJL3593" s="1799"/>
      <c r="OJM3593" s="1799"/>
      <c r="OJN3593" s="1799"/>
      <c r="OJO3593" s="1799"/>
      <c r="OJP3593" s="1799"/>
      <c r="OJQ3593" s="1799"/>
      <c r="OJR3593" s="1799"/>
      <c r="OJS3593" s="1799"/>
      <c r="OJT3593" s="1799"/>
      <c r="OJU3593" s="1799"/>
      <c r="OJV3593" s="1799"/>
      <c r="OJW3593" s="1799"/>
      <c r="OJX3593" s="1799"/>
      <c r="OJY3593" s="1799"/>
      <c r="OJZ3593" s="1799"/>
      <c r="OKA3593" s="1799"/>
      <c r="OKB3593" s="1799"/>
      <c r="OKC3593" s="1799"/>
      <c r="OKD3593" s="1799"/>
      <c r="OKE3593" s="1799"/>
      <c r="OKF3593" s="1799"/>
      <c r="OKG3593" s="1799"/>
      <c r="OKH3593" s="1799"/>
      <c r="OKI3593" s="1799"/>
      <c r="OKJ3593" s="1799"/>
      <c r="OKK3593" s="1799"/>
      <c r="OKL3593" s="1799"/>
      <c r="OKM3593" s="1799"/>
      <c r="OKN3593" s="1799"/>
      <c r="OKO3593" s="1799"/>
      <c r="OKP3593" s="1799"/>
      <c r="OKQ3593" s="1799"/>
      <c r="OKR3593" s="1799"/>
      <c r="OKS3593" s="1799"/>
      <c r="OKT3593" s="1799"/>
      <c r="OKU3593" s="1799"/>
      <c r="OKV3593" s="1799"/>
      <c r="OKW3593" s="1799"/>
      <c r="OKX3593" s="1799"/>
      <c r="OKY3593" s="1799"/>
      <c r="OKZ3593" s="1799"/>
      <c r="OLA3593" s="1799"/>
      <c r="OLB3593" s="1799"/>
      <c r="OLC3593" s="1799"/>
      <c r="OLD3593" s="1799"/>
      <c r="OLE3593" s="1799"/>
      <c r="OLF3593" s="1799"/>
      <c r="OLG3593" s="1799"/>
      <c r="OLH3593" s="1799"/>
      <c r="OLI3593" s="1799"/>
      <c r="OLJ3593" s="1799"/>
      <c r="OLK3593" s="1799"/>
      <c r="OLL3593" s="1799"/>
      <c r="OLM3593" s="1799"/>
      <c r="OLN3593" s="1799"/>
      <c r="OLO3593" s="1799"/>
      <c r="OLP3593" s="1799"/>
      <c r="OLQ3593" s="1799"/>
      <c r="OLR3593" s="1799"/>
      <c r="OLS3593" s="1799"/>
      <c r="OLT3593" s="1799"/>
      <c r="OLU3593" s="1799"/>
      <c r="OLV3593" s="1799"/>
      <c r="OLW3593" s="1799"/>
      <c r="OLX3593" s="1799"/>
      <c r="OLY3593" s="1799"/>
      <c r="OLZ3593" s="1799"/>
      <c r="OMA3593" s="1799"/>
      <c r="OMB3593" s="1799"/>
      <c r="OMC3593" s="1799"/>
      <c r="OMD3593" s="1799"/>
      <c r="OME3593" s="1799"/>
      <c r="OMF3593" s="1799"/>
      <c r="OMG3593" s="1799"/>
      <c r="OMH3593" s="1799"/>
      <c r="OMI3593" s="1799"/>
      <c r="OMJ3593" s="1799"/>
      <c r="OMK3593" s="1799"/>
      <c r="OML3593" s="1799"/>
      <c r="OMM3593" s="1799"/>
      <c r="OMN3593" s="1799"/>
      <c r="OMO3593" s="1799"/>
      <c r="OMP3593" s="1799"/>
      <c r="OMQ3593" s="1799"/>
      <c r="OMR3593" s="1799"/>
      <c r="OMS3593" s="1799"/>
      <c r="OMT3593" s="1799"/>
      <c r="OMU3593" s="1799"/>
      <c r="OMV3593" s="1799"/>
      <c r="OMW3593" s="1799"/>
      <c r="OMX3593" s="1799"/>
      <c r="OMY3593" s="1799"/>
      <c r="OMZ3593" s="1799"/>
      <c r="ONA3593" s="1799"/>
      <c r="ONB3593" s="1799"/>
      <c r="ONC3593" s="1799"/>
      <c r="OND3593" s="1799"/>
      <c r="ONE3593" s="1799"/>
      <c r="ONF3593" s="1799"/>
      <c r="ONG3593" s="1799"/>
      <c r="ONH3593" s="1799"/>
      <c r="ONI3593" s="1799"/>
      <c r="ONJ3593" s="1799"/>
      <c r="ONK3593" s="1799"/>
      <c r="ONL3593" s="1799"/>
      <c r="ONM3593" s="1799"/>
      <c r="ONN3593" s="1799"/>
      <c r="ONO3593" s="1799"/>
      <c r="ONP3593" s="1799"/>
      <c r="ONQ3593" s="1799"/>
      <c r="ONR3593" s="1799"/>
      <c r="ONS3593" s="1799"/>
      <c r="ONT3593" s="1799"/>
      <c r="ONU3593" s="1799"/>
      <c r="ONV3593" s="1799"/>
      <c r="ONW3593" s="1799"/>
      <c r="ONX3593" s="1799"/>
      <c r="ONY3593" s="1799"/>
      <c r="ONZ3593" s="1799"/>
      <c r="OOA3593" s="1799"/>
      <c r="OOB3593" s="1799"/>
      <c r="OOC3593" s="1799"/>
      <c r="OOD3593" s="1799"/>
      <c r="OOE3593" s="1799"/>
      <c r="OOF3593" s="1799"/>
      <c r="OOG3593" s="1799"/>
      <c r="OOH3593" s="1799"/>
      <c r="OOI3593" s="1799"/>
      <c r="OOJ3593" s="1799"/>
      <c r="OOK3593" s="1799"/>
      <c r="OOL3593" s="1799"/>
      <c r="OOM3593" s="1799"/>
      <c r="OON3593" s="1799"/>
      <c r="OOO3593" s="1799"/>
      <c r="OOP3593" s="1799"/>
      <c r="OOQ3593" s="1799"/>
      <c r="OOR3593" s="1799"/>
      <c r="OOS3593" s="1799"/>
      <c r="OOT3593" s="1799"/>
      <c r="OOU3593" s="1799"/>
      <c r="OOV3593" s="1799"/>
      <c r="OOW3593" s="1799"/>
      <c r="OOX3593" s="1799"/>
      <c r="OOY3593" s="1799"/>
      <c r="OOZ3593" s="1799"/>
      <c r="OPA3593" s="1799"/>
      <c r="OPB3593" s="1799"/>
      <c r="OPC3593" s="1799"/>
      <c r="OPD3593" s="1799"/>
      <c r="OPE3593" s="1799"/>
      <c r="OPF3593" s="1799"/>
      <c r="OPG3593" s="1799"/>
      <c r="OPH3593" s="1799"/>
      <c r="OPI3593" s="1799"/>
      <c r="OPJ3593" s="1799"/>
      <c r="OPK3593" s="1799"/>
      <c r="OPL3593" s="1799"/>
      <c r="OPM3593" s="1799"/>
      <c r="OPN3593" s="1799"/>
      <c r="OPO3593" s="1799"/>
      <c r="OPP3593" s="1799"/>
      <c r="OPQ3593" s="1799"/>
      <c r="OPR3593" s="1799"/>
      <c r="OPS3593" s="1799"/>
      <c r="OPT3593" s="1799"/>
      <c r="OPU3593" s="1799"/>
      <c r="OPV3593" s="1799"/>
      <c r="OPW3593" s="1799"/>
      <c r="OPX3593" s="1799"/>
      <c r="OPY3593" s="1799"/>
      <c r="OPZ3593" s="1799"/>
      <c r="OQA3593" s="1799"/>
      <c r="OQB3593" s="1799"/>
      <c r="OQC3593" s="1799"/>
      <c r="OQD3593" s="1799"/>
      <c r="OQE3593" s="1799"/>
      <c r="OQF3593" s="1799"/>
      <c r="OQG3593" s="1799"/>
      <c r="OQH3593" s="1799"/>
      <c r="OQI3593" s="1799"/>
      <c r="OQJ3593" s="1799"/>
      <c r="OQK3593" s="1799"/>
      <c r="OQL3593" s="1799"/>
      <c r="OQM3593" s="1799"/>
      <c r="OQN3593" s="1799"/>
      <c r="OQO3593" s="1799"/>
      <c r="OQP3593" s="1799"/>
      <c r="OQQ3593" s="1799"/>
      <c r="OQR3593" s="1799"/>
      <c r="OQS3593" s="1799"/>
      <c r="OQT3593" s="1799"/>
      <c r="OQU3593" s="1799"/>
      <c r="OQV3593" s="1799"/>
      <c r="OQW3593" s="1799"/>
      <c r="OQX3593" s="1799"/>
      <c r="OQY3593" s="1799"/>
      <c r="OQZ3593" s="1799"/>
      <c r="ORA3593" s="1799"/>
      <c r="ORB3593" s="1799"/>
      <c r="ORC3593" s="1799"/>
      <c r="ORD3593" s="1799"/>
      <c r="ORE3593" s="1799"/>
      <c r="ORF3593" s="1799"/>
      <c r="ORG3593" s="1799"/>
      <c r="ORH3593" s="1799"/>
      <c r="ORI3593" s="1799"/>
      <c r="ORJ3593" s="1799"/>
      <c r="ORK3593" s="1799"/>
      <c r="ORL3593" s="1799"/>
      <c r="ORM3593" s="1799"/>
      <c r="ORN3593" s="1799"/>
      <c r="ORO3593" s="1799"/>
      <c r="ORP3593" s="1799"/>
      <c r="ORQ3593" s="1799"/>
      <c r="ORR3593" s="1799"/>
      <c r="ORS3593" s="1799"/>
      <c r="ORT3593" s="1799"/>
      <c r="ORU3593" s="1799"/>
      <c r="ORV3593" s="1799"/>
      <c r="ORW3593" s="1799"/>
      <c r="ORX3593" s="1799"/>
      <c r="ORY3593" s="1799"/>
      <c r="ORZ3593" s="1799"/>
      <c r="OSA3593" s="1799"/>
      <c r="OSB3593" s="1799"/>
      <c r="OSC3593" s="1799"/>
      <c r="OSD3593" s="1799"/>
      <c r="OSE3593" s="1799"/>
      <c r="OSF3593" s="1799"/>
      <c r="OSG3593" s="1799"/>
      <c r="OSH3593" s="1799"/>
      <c r="OSI3593" s="1799"/>
      <c r="OSJ3593" s="1799"/>
      <c r="OSK3593" s="1799"/>
      <c r="OSL3593" s="1799"/>
      <c r="OSM3593" s="1799"/>
      <c r="OSN3593" s="1799"/>
      <c r="OSO3593" s="1799"/>
      <c r="OSP3593" s="1799"/>
      <c r="OSQ3593" s="1799"/>
      <c r="OSR3593" s="1799"/>
      <c r="OSS3593" s="1799"/>
      <c r="OST3593" s="1799"/>
      <c r="OSU3593" s="1799"/>
      <c r="OSV3593" s="1799"/>
      <c r="OSW3593" s="1799"/>
      <c r="OSX3593" s="1799"/>
      <c r="OSY3593" s="1799"/>
      <c r="OSZ3593" s="1799"/>
      <c r="OTA3593" s="1799"/>
      <c r="OTB3593" s="1799"/>
      <c r="OTC3593" s="1799"/>
      <c r="OTD3593" s="1799"/>
      <c r="OTE3593" s="1799"/>
      <c r="OTF3593" s="1799"/>
      <c r="OTG3593" s="1799"/>
      <c r="OTH3593" s="1799"/>
      <c r="OTI3593" s="1799"/>
      <c r="OTJ3593" s="1799"/>
      <c r="OTK3593" s="1799"/>
      <c r="OTL3593" s="1799"/>
      <c r="OTM3593" s="1799"/>
      <c r="OTN3593" s="1799"/>
      <c r="OTO3593" s="1799"/>
      <c r="OTP3593" s="1799"/>
      <c r="OTQ3593" s="1799"/>
      <c r="OTR3593" s="1799"/>
      <c r="OTS3593" s="1799"/>
      <c r="OTT3593" s="1799"/>
      <c r="OTU3593" s="1799"/>
      <c r="OTV3593" s="1799"/>
      <c r="OTW3593" s="1799"/>
      <c r="OTX3593" s="1799"/>
      <c r="OTY3593" s="1799"/>
      <c r="OTZ3593" s="1799"/>
      <c r="OUA3593" s="1799"/>
      <c r="OUB3593" s="1799"/>
      <c r="OUC3593" s="1799"/>
      <c r="OUD3593" s="1799"/>
      <c r="OUE3593" s="1799"/>
      <c r="OUF3593" s="1799"/>
      <c r="OUG3593" s="1799"/>
      <c r="OUH3593" s="1799"/>
      <c r="OUI3593" s="1799"/>
      <c r="OUJ3593" s="1799"/>
      <c r="OUK3593" s="1799"/>
      <c r="OUL3593" s="1799"/>
      <c r="OUM3593" s="1799"/>
      <c r="OUN3593" s="1799"/>
      <c r="OUO3593" s="1799"/>
      <c r="OUP3593" s="1799"/>
      <c r="OUQ3593" s="1799"/>
      <c r="OUR3593" s="1799"/>
      <c r="OUS3593" s="1799"/>
      <c r="OUT3593" s="1799"/>
      <c r="OUU3593" s="1799"/>
      <c r="OUV3593" s="1799"/>
      <c r="OUW3593" s="1799"/>
      <c r="OUX3593" s="1799"/>
      <c r="OUY3593" s="1799"/>
      <c r="OUZ3593" s="1799"/>
      <c r="OVA3593" s="1799"/>
      <c r="OVB3593" s="1799"/>
      <c r="OVC3593" s="1799"/>
      <c r="OVD3593" s="1799"/>
      <c r="OVE3593" s="1799"/>
      <c r="OVF3593" s="1799"/>
      <c r="OVG3593" s="1799"/>
      <c r="OVH3593" s="1799"/>
      <c r="OVI3593" s="1799"/>
      <c r="OVJ3593" s="1799"/>
      <c r="OVK3593" s="1799"/>
      <c r="OVL3593" s="1799"/>
      <c r="OVM3593" s="1799"/>
      <c r="OVN3593" s="1799"/>
      <c r="OVO3593" s="1799"/>
      <c r="OVP3593" s="1799"/>
      <c r="OVQ3593" s="1799"/>
      <c r="OVR3593" s="1799"/>
      <c r="OVS3593" s="1799"/>
      <c r="OVT3593" s="1799"/>
      <c r="OVU3593" s="1799"/>
      <c r="OVV3593" s="1799"/>
      <c r="OVW3593" s="1799"/>
      <c r="OVX3593" s="1799"/>
      <c r="OVY3593" s="1799"/>
      <c r="OVZ3593" s="1799"/>
      <c r="OWA3593" s="1799"/>
      <c r="OWB3593" s="1799"/>
      <c r="OWC3593" s="1799"/>
      <c r="OWD3593" s="1799"/>
      <c r="OWE3593" s="1799"/>
      <c r="OWF3593" s="1799"/>
      <c r="OWG3593" s="1799"/>
      <c r="OWH3593" s="1799"/>
      <c r="OWI3593" s="1799"/>
      <c r="OWJ3593" s="1799"/>
      <c r="OWK3593" s="1799"/>
      <c r="OWL3593" s="1799"/>
      <c r="OWM3593" s="1799"/>
      <c r="OWN3593" s="1799"/>
      <c r="OWO3593" s="1799"/>
      <c r="OWP3593" s="1799"/>
      <c r="OWQ3593" s="1799"/>
      <c r="OWR3593" s="1799"/>
      <c r="OWS3593" s="1799"/>
      <c r="OWT3593" s="1799"/>
      <c r="OWU3593" s="1799"/>
      <c r="OWV3593" s="1799"/>
      <c r="OWW3593" s="1799"/>
      <c r="OWX3593" s="1799"/>
      <c r="OWY3593" s="1799"/>
      <c r="OWZ3593" s="1799"/>
      <c r="OXA3593" s="1799"/>
      <c r="OXB3593" s="1799"/>
      <c r="OXC3593" s="1799"/>
      <c r="OXD3593" s="1799"/>
      <c r="OXE3593" s="1799"/>
      <c r="OXF3593" s="1799"/>
      <c r="OXG3593" s="1799"/>
      <c r="OXH3593" s="1799"/>
      <c r="OXI3593" s="1799"/>
      <c r="OXJ3593" s="1799"/>
      <c r="OXK3593" s="1799"/>
      <c r="OXL3593" s="1799"/>
      <c r="OXM3593" s="1799"/>
      <c r="OXN3593" s="1799"/>
      <c r="OXO3593" s="1799"/>
      <c r="OXP3593" s="1799"/>
      <c r="OXQ3593" s="1799"/>
      <c r="OXR3593" s="1799"/>
      <c r="OXS3593" s="1799"/>
      <c r="OXT3593" s="1799"/>
      <c r="OXU3593" s="1799"/>
      <c r="OXV3593" s="1799"/>
      <c r="OXW3593" s="1799"/>
      <c r="OXX3593" s="1799"/>
      <c r="OXY3593" s="1799"/>
      <c r="OXZ3593" s="1799"/>
      <c r="OYA3593" s="1799"/>
      <c r="OYB3593" s="1799"/>
      <c r="OYC3593" s="1799"/>
      <c r="OYD3593" s="1799"/>
      <c r="OYE3593" s="1799"/>
      <c r="OYF3593" s="1799"/>
      <c r="OYG3593" s="1799"/>
      <c r="OYH3593" s="1799"/>
      <c r="OYI3593" s="1799"/>
      <c r="OYJ3593" s="1799"/>
      <c r="OYK3593" s="1799"/>
      <c r="OYL3593" s="1799"/>
      <c r="OYM3593" s="1799"/>
      <c r="OYN3593" s="1799"/>
      <c r="OYO3593" s="1799"/>
      <c r="OYP3593" s="1799"/>
      <c r="OYQ3593" s="1799"/>
      <c r="OYR3593" s="1799"/>
      <c r="OYS3593" s="1799"/>
      <c r="OYT3593" s="1799"/>
      <c r="OYU3593" s="1799"/>
      <c r="OYV3593" s="1799"/>
      <c r="OYW3593" s="1799"/>
      <c r="OYX3593" s="1799"/>
      <c r="OYY3593" s="1799"/>
      <c r="OYZ3593" s="1799"/>
      <c r="OZA3593" s="1799"/>
      <c r="OZB3593" s="1799"/>
      <c r="OZC3593" s="1799"/>
      <c r="OZD3593" s="1799"/>
      <c r="OZE3593" s="1799"/>
      <c r="OZF3593" s="1799"/>
      <c r="OZG3593" s="1799"/>
      <c r="OZH3593" s="1799"/>
      <c r="OZI3593" s="1799"/>
      <c r="OZJ3593" s="1799"/>
      <c r="OZK3593" s="1799"/>
      <c r="OZL3593" s="1799"/>
      <c r="OZM3593" s="1799"/>
      <c r="OZN3593" s="1799"/>
      <c r="OZO3593" s="1799"/>
      <c r="OZP3593" s="1799"/>
      <c r="OZQ3593" s="1799"/>
      <c r="OZR3593" s="1799"/>
      <c r="OZS3593" s="1799"/>
      <c r="OZT3593" s="1799"/>
      <c r="OZU3593" s="1799"/>
      <c r="OZV3593" s="1799"/>
      <c r="OZW3593" s="1799"/>
      <c r="OZX3593" s="1799"/>
      <c r="OZY3593" s="1799"/>
      <c r="OZZ3593" s="1799"/>
      <c r="PAA3593" s="1799"/>
      <c r="PAB3593" s="1799"/>
      <c r="PAC3593" s="1799"/>
      <c r="PAD3593" s="1799"/>
      <c r="PAE3593" s="1799"/>
      <c r="PAF3593" s="1799"/>
      <c r="PAG3593" s="1799"/>
      <c r="PAH3593" s="1799"/>
      <c r="PAI3593" s="1799"/>
      <c r="PAJ3593" s="1799"/>
      <c r="PAK3593" s="1799"/>
      <c r="PAL3593" s="1799"/>
      <c r="PAM3593" s="1799"/>
      <c r="PAN3593" s="1799"/>
      <c r="PAO3593" s="1799"/>
      <c r="PAP3593" s="1799"/>
      <c r="PAQ3593" s="1799"/>
      <c r="PAR3593" s="1799"/>
      <c r="PAS3593" s="1799"/>
      <c r="PAT3593" s="1799"/>
      <c r="PAU3593" s="1799"/>
      <c r="PAV3593" s="1799"/>
      <c r="PAW3593" s="1799"/>
      <c r="PAX3593" s="1799"/>
      <c r="PAY3593" s="1799"/>
      <c r="PAZ3593" s="1799"/>
      <c r="PBA3593" s="1799"/>
      <c r="PBB3593" s="1799"/>
      <c r="PBC3593" s="1799"/>
      <c r="PBD3593" s="1799"/>
      <c r="PBE3593" s="1799"/>
      <c r="PBF3593" s="1799"/>
      <c r="PBG3593" s="1799"/>
      <c r="PBH3593" s="1799"/>
      <c r="PBI3593" s="1799"/>
      <c r="PBJ3593" s="1799"/>
      <c r="PBK3593" s="1799"/>
      <c r="PBL3593" s="1799"/>
      <c r="PBM3593" s="1799"/>
      <c r="PBN3593" s="1799"/>
      <c r="PBO3593" s="1799"/>
      <c r="PBP3593" s="1799"/>
      <c r="PBQ3593" s="1799"/>
      <c r="PBR3593" s="1799"/>
      <c r="PBS3593" s="1799"/>
      <c r="PBT3593" s="1799"/>
      <c r="PBU3593" s="1799"/>
      <c r="PBV3593" s="1799"/>
      <c r="PBW3593" s="1799"/>
      <c r="PBX3593" s="1799"/>
      <c r="PBY3593" s="1799"/>
      <c r="PBZ3593" s="1799"/>
      <c r="PCA3593" s="1799"/>
      <c r="PCB3593" s="1799"/>
      <c r="PCC3593" s="1799"/>
      <c r="PCD3593" s="1799"/>
      <c r="PCE3593" s="1799"/>
      <c r="PCF3593" s="1799"/>
      <c r="PCG3593" s="1799"/>
      <c r="PCH3593" s="1799"/>
      <c r="PCI3593" s="1799"/>
      <c r="PCJ3593" s="1799"/>
      <c r="PCK3593" s="1799"/>
      <c r="PCL3593" s="1799"/>
      <c r="PCM3593" s="1799"/>
      <c r="PCN3593" s="1799"/>
      <c r="PCO3593" s="1799"/>
      <c r="PCP3593" s="1799"/>
      <c r="PCQ3593" s="1799"/>
      <c r="PCR3593" s="1799"/>
      <c r="PCS3593" s="1799"/>
      <c r="PCT3593" s="1799"/>
      <c r="PCU3593" s="1799"/>
      <c r="PCV3593" s="1799"/>
      <c r="PCW3593" s="1799"/>
      <c r="PCX3593" s="1799"/>
      <c r="PCY3593" s="1799"/>
      <c r="PCZ3593" s="1799"/>
      <c r="PDA3593" s="1799"/>
      <c r="PDB3593" s="1799"/>
      <c r="PDC3593" s="1799"/>
      <c r="PDD3593" s="1799"/>
      <c r="PDE3593" s="1799"/>
      <c r="PDF3593" s="1799"/>
      <c r="PDG3593" s="1799"/>
      <c r="PDH3593" s="1799"/>
      <c r="PDI3593" s="1799"/>
      <c r="PDJ3593" s="1799"/>
      <c r="PDK3593" s="1799"/>
      <c r="PDL3593" s="1799"/>
      <c r="PDM3593" s="1799"/>
      <c r="PDN3593" s="1799"/>
      <c r="PDO3593" s="1799"/>
      <c r="PDP3593" s="1799"/>
      <c r="PDQ3593" s="1799"/>
      <c r="PDR3593" s="1799"/>
      <c r="PDS3593" s="1799"/>
      <c r="PDT3593" s="1799"/>
      <c r="PDU3593" s="1799"/>
      <c r="PDV3593" s="1799"/>
      <c r="PDW3593" s="1799"/>
      <c r="PDX3593" s="1799"/>
      <c r="PDY3593" s="1799"/>
      <c r="PDZ3593" s="1799"/>
      <c r="PEA3593" s="1799"/>
      <c r="PEB3593" s="1799"/>
      <c r="PEC3593" s="1799"/>
      <c r="PED3593" s="1799"/>
      <c r="PEE3593" s="1799"/>
      <c r="PEF3593" s="1799"/>
      <c r="PEG3593" s="1799"/>
      <c r="PEH3593" s="1799"/>
      <c r="PEI3593" s="1799"/>
      <c r="PEJ3593" s="1799"/>
      <c r="PEK3593" s="1799"/>
      <c r="PEL3593" s="1799"/>
      <c r="PEM3593" s="1799"/>
      <c r="PEN3593" s="1799"/>
      <c r="PEO3593" s="1799"/>
      <c r="PEP3593" s="1799"/>
      <c r="PEQ3593" s="1799"/>
      <c r="PER3593" s="1799"/>
      <c r="PES3593" s="1799"/>
      <c r="PET3593" s="1799"/>
      <c r="PEU3593" s="1799"/>
      <c r="PEV3593" s="1799"/>
      <c r="PEW3593" s="1799"/>
      <c r="PEX3593" s="1799"/>
      <c r="PEY3593" s="1799"/>
      <c r="PEZ3593" s="1799"/>
      <c r="PFA3593" s="1799"/>
      <c r="PFB3593" s="1799"/>
      <c r="PFC3593" s="1799"/>
      <c r="PFD3593" s="1799"/>
      <c r="PFE3593" s="1799"/>
      <c r="PFF3593" s="1799"/>
      <c r="PFG3593" s="1799"/>
      <c r="PFH3593" s="1799"/>
      <c r="PFI3593" s="1799"/>
      <c r="PFJ3593" s="1799"/>
      <c r="PFK3593" s="1799"/>
      <c r="PFL3593" s="1799"/>
      <c r="PFM3593" s="1799"/>
      <c r="PFN3593" s="1799"/>
      <c r="PFO3593" s="1799"/>
      <c r="PFP3593" s="1799"/>
      <c r="PFQ3593" s="1799"/>
      <c r="PFR3593" s="1799"/>
      <c r="PFS3593" s="1799"/>
      <c r="PFT3593" s="1799"/>
      <c r="PFU3593" s="1799"/>
      <c r="PFV3593" s="1799"/>
      <c r="PFW3593" s="1799"/>
      <c r="PFX3593" s="1799"/>
      <c r="PFY3593" s="1799"/>
      <c r="PFZ3593" s="1799"/>
      <c r="PGA3593" s="1799"/>
      <c r="PGB3593" s="1799"/>
      <c r="PGC3593" s="1799"/>
      <c r="PGD3593" s="1799"/>
      <c r="PGE3593" s="1799"/>
      <c r="PGF3593" s="1799"/>
      <c r="PGG3593" s="1799"/>
      <c r="PGH3593" s="1799"/>
      <c r="PGI3593" s="1799"/>
      <c r="PGJ3593" s="1799"/>
      <c r="PGK3593" s="1799"/>
      <c r="PGL3593" s="1799"/>
      <c r="PGM3593" s="1799"/>
      <c r="PGN3593" s="1799"/>
      <c r="PGO3593" s="1799"/>
      <c r="PGP3593" s="1799"/>
      <c r="PGQ3593" s="1799"/>
      <c r="PGR3593" s="1799"/>
      <c r="PGS3593" s="1799"/>
      <c r="PGT3593" s="1799"/>
      <c r="PGU3593" s="1799"/>
      <c r="PGV3593" s="1799"/>
      <c r="PGW3593" s="1799"/>
      <c r="PGX3593" s="1799"/>
      <c r="PGY3593" s="1799"/>
      <c r="PGZ3593" s="1799"/>
      <c r="PHA3593" s="1799"/>
      <c r="PHB3593" s="1799"/>
      <c r="PHC3593" s="1799"/>
      <c r="PHD3593" s="1799"/>
      <c r="PHE3593" s="1799"/>
      <c r="PHF3593" s="1799"/>
      <c r="PHG3593" s="1799"/>
      <c r="PHH3593" s="1799"/>
      <c r="PHI3593" s="1799"/>
      <c r="PHJ3593" s="1799"/>
      <c r="PHK3593" s="1799"/>
      <c r="PHL3593" s="1799"/>
      <c r="PHM3593" s="1799"/>
      <c r="PHN3593" s="1799"/>
      <c r="PHO3593" s="1799"/>
      <c r="PHP3593" s="1799"/>
      <c r="PHQ3593" s="1799"/>
      <c r="PHR3593" s="1799"/>
      <c r="PHS3593" s="1799"/>
      <c r="PHT3593" s="1799"/>
      <c r="PHU3593" s="1799"/>
      <c r="PHV3593" s="1799"/>
      <c r="PHW3593" s="1799"/>
      <c r="PHX3593" s="1799"/>
      <c r="PHY3593" s="1799"/>
      <c r="PHZ3593" s="1799"/>
      <c r="PIA3593" s="1799"/>
      <c r="PIB3593" s="1799"/>
      <c r="PIC3593" s="1799"/>
      <c r="PID3593" s="1799"/>
      <c r="PIE3593" s="1799"/>
      <c r="PIF3593" s="1799"/>
      <c r="PIG3593" s="1799"/>
      <c r="PIH3593" s="1799"/>
      <c r="PII3593" s="1799"/>
      <c r="PIJ3593" s="1799"/>
      <c r="PIK3593" s="1799"/>
      <c r="PIL3593" s="1799"/>
      <c r="PIM3593" s="1799"/>
      <c r="PIN3593" s="1799"/>
      <c r="PIO3593" s="1799"/>
      <c r="PIP3593" s="1799"/>
      <c r="PIQ3593" s="1799"/>
      <c r="PIR3593" s="1799"/>
      <c r="PIS3593" s="1799"/>
      <c r="PIT3593" s="1799"/>
      <c r="PIU3593" s="1799"/>
      <c r="PIV3593" s="1799"/>
      <c r="PIW3593" s="1799"/>
      <c r="PIX3593" s="1799"/>
      <c r="PIY3593" s="1799"/>
      <c r="PIZ3593" s="1799"/>
      <c r="PJA3593" s="1799"/>
      <c r="PJB3593" s="1799"/>
      <c r="PJC3593" s="1799"/>
      <c r="PJD3593" s="1799"/>
      <c r="PJE3593" s="1799"/>
      <c r="PJF3593" s="1799"/>
      <c r="PJG3593" s="1799"/>
      <c r="PJH3593" s="1799"/>
      <c r="PJI3593" s="1799"/>
      <c r="PJJ3593" s="1799"/>
      <c r="PJK3593" s="1799"/>
      <c r="PJL3593" s="1799"/>
      <c r="PJM3593" s="1799"/>
      <c r="PJN3593" s="1799"/>
      <c r="PJO3593" s="1799"/>
      <c r="PJP3593" s="1799"/>
      <c r="PJQ3593" s="1799"/>
      <c r="PJR3593" s="1799"/>
      <c r="PJS3593" s="1799"/>
      <c r="PJT3593" s="1799"/>
      <c r="PJU3593" s="1799"/>
      <c r="PJV3593" s="1799"/>
      <c r="PJW3593" s="1799"/>
      <c r="PJX3593" s="1799"/>
      <c r="PJY3593" s="1799"/>
      <c r="PJZ3593" s="1799"/>
      <c r="PKA3593" s="1799"/>
      <c r="PKB3593" s="1799"/>
      <c r="PKC3593" s="1799"/>
      <c r="PKD3593" s="1799"/>
      <c r="PKE3593" s="1799"/>
      <c r="PKF3593" s="1799"/>
      <c r="PKG3593" s="1799"/>
      <c r="PKH3593" s="1799"/>
      <c r="PKI3593" s="1799"/>
      <c r="PKJ3593" s="1799"/>
      <c r="PKK3593" s="1799"/>
      <c r="PKL3593" s="1799"/>
      <c r="PKM3593" s="1799"/>
      <c r="PKN3593" s="1799"/>
      <c r="PKO3593" s="1799"/>
      <c r="PKP3593" s="1799"/>
      <c r="PKQ3593" s="1799"/>
      <c r="PKR3593" s="1799"/>
      <c r="PKS3593" s="1799"/>
      <c r="PKT3593" s="1799"/>
      <c r="PKU3593" s="1799"/>
      <c r="PKV3593" s="1799"/>
      <c r="PKW3593" s="1799"/>
      <c r="PKX3593" s="1799"/>
      <c r="PKY3593" s="1799"/>
      <c r="PKZ3593" s="1799"/>
      <c r="PLA3593" s="1799"/>
      <c r="PLB3593" s="1799"/>
      <c r="PLC3593" s="1799"/>
      <c r="PLD3593" s="1799"/>
      <c r="PLE3593" s="1799"/>
      <c r="PLF3593" s="1799"/>
      <c r="PLG3593" s="1799"/>
      <c r="PLH3593" s="1799"/>
      <c r="PLI3593" s="1799"/>
      <c r="PLJ3593" s="1799"/>
      <c r="PLK3593" s="1799"/>
      <c r="PLL3593" s="1799"/>
      <c r="PLM3593" s="1799"/>
      <c r="PLN3593" s="1799"/>
      <c r="PLO3593" s="1799"/>
      <c r="PLP3593" s="1799"/>
      <c r="PLQ3593" s="1799"/>
      <c r="PLR3593" s="1799"/>
      <c r="PLS3593" s="1799"/>
      <c r="PLT3593" s="1799"/>
      <c r="PLU3593" s="1799"/>
      <c r="PLV3593" s="1799"/>
      <c r="PLW3593" s="1799"/>
      <c r="PLX3593" s="1799"/>
      <c r="PLY3593" s="1799"/>
      <c r="PLZ3593" s="1799"/>
      <c r="PMA3593" s="1799"/>
      <c r="PMB3593" s="1799"/>
      <c r="PMC3593" s="1799"/>
      <c r="PMD3593" s="1799"/>
      <c r="PME3593" s="1799"/>
      <c r="PMF3593" s="1799"/>
      <c r="PMG3593" s="1799"/>
      <c r="PMH3593" s="1799"/>
      <c r="PMI3593" s="1799"/>
      <c r="PMJ3593" s="1799"/>
      <c r="PMK3593" s="1799"/>
      <c r="PML3593" s="1799"/>
      <c r="PMM3593" s="1799"/>
      <c r="PMN3593" s="1799"/>
      <c r="PMO3593" s="1799"/>
      <c r="PMP3593" s="1799"/>
      <c r="PMQ3593" s="1799"/>
      <c r="PMR3593" s="1799"/>
      <c r="PMS3593" s="1799"/>
      <c r="PMT3593" s="1799"/>
      <c r="PMU3593" s="1799"/>
      <c r="PMV3593" s="1799"/>
      <c r="PMW3593" s="1799"/>
      <c r="PMX3593" s="1799"/>
      <c r="PMY3593" s="1799"/>
      <c r="PMZ3593" s="1799"/>
      <c r="PNA3593" s="1799"/>
      <c r="PNB3593" s="1799"/>
      <c r="PNC3593" s="1799"/>
      <c r="PND3593" s="1799"/>
      <c r="PNE3593" s="1799"/>
      <c r="PNF3593" s="1799"/>
      <c r="PNG3593" s="1799"/>
      <c r="PNH3593" s="1799"/>
      <c r="PNI3593" s="1799"/>
      <c r="PNJ3593" s="1799"/>
      <c r="PNK3593" s="1799"/>
      <c r="PNL3593" s="1799"/>
      <c r="PNM3593" s="1799"/>
      <c r="PNN3593" s="1799"/>
      <c r="PNO3593" s="1799"/>
      <c r="PNP3593" s="1799"/>
      <c r="PNQ3593" s="1799"/>
      <c r="PNR3593" s="1799"/>
      <c r="PNS3593" s="1799"/>
      <c r="PNT3593" s="1799"/>
      <c r="PNU3593" s="1799"/>
      <c r="PNV3593" s="1799"/>
      <c r="PNW3593" s="1799"/>
      <c r="PNX3593" s="1799"/>
      <c r="PNY3593" s="1799"/>
      <c r="PNZ3593" s="1799"/>
      <c r="POA3593" s="1799"/>
      <c r="POB3593" s="1799"/>
      <c r="POC3593" s="1799"/>
      <c r="POD3593" s="1799"/>
      <c r="POE3593" s="1799"/>
      <c r="POF3593" s="1799"/>
      <c r="POG3593" s="1799"/>
      <c r="POH3593" s="1799"/>
      <c r="POI3593" s="1799"/>
      <c r="POJ3593" s="1799"/>
      <c r="POK3593" s="1799"/>
      <c r="POL3593" s="1799"/>
      <c r="POM3593" s="1799"/>
      <c r="PON3593" s="1799"/>
      <c r="POO3593" s="1799"/>
      <c r="POP3593" s="1799"/>
      <c r="POQ3593" s="1799"/>
      <c r="POR3593" s="1799"/>
      <c r="POS3593" s="1799"/>
      <c r="POT3593" s="1799"/>
      <c r="POU3593" s="1799"/>
      <c r="POV3593" s="1799"/>
      <c r="POW3593" s="1799"/>
      <c r="POX3593" s="1799"/>
      <c r="POY3593" s="1799"/>
      <c r="POZ3593" s="1799"/>
      <c r="PPA3593" s="1799"/>
      <c r="PPB3593" s="1799"/>
      <c r="PPC3593" s="1799"/>
      <c r="PPD3593" s="1799"/>
      <c r="PPE3593" s="1799"/>
      <c r="PPF3593" s="1799"/>
      <c r="PPG3593" s="1799"/>
      <c r="PPH3593" s="1799"/>
      <c r="PPI3593" s="1799"/>
      <c r="PPJ3593" s="1799"/>
      <c r="PPK3593" s="1799"/>
      <c r="PPL3593" s="1799"/>
      <c r="PPM3593" s="1799"/>
      <c r="PPN3593" s="1799"/>
      <c r="PPO3593" s="1799"/>
      <c r="PPP3593" s="1799"/>
      <c r="PPQ3593" s="1799"/>
      <c r="PPR3593" s="1799"/>
      <c r="PPS3593" s="1799"/>
      <c r="PPT3593" s="1799"/>
      <c r="PPU3593" s="1799"/>
      <c r="PPV3593" s="1799"/>
      <c r="PPW3593" s="1799"/>
      <c r="PPX3593" s="1799"/>
      <c r="PPY3593" s="1799"/>
      <c r="PPZ3593" s="1799"/>
      <c r="PQA3593" s="1799"/>
      <c r="PQB3593" s="1799"/>
      <c r="PQC3593" s="1799"/>
      <c r="PQD3593" s="1799"/>
      <c r="PQE3593" s="1799"/>
      <c r="PQF3593" s="1799"/>
      <c r="PQG3593" s="1799"/>
      <c r="PQH3593" s="1799"/>
      <c r="PQI3593" s="1799"/>
      <c r="PQJ3593" s="1799"/>
      <c r="PQK3593" s="1799"/>
      <c r="PQL3593" s="1799"/>
      <c r="PQM3593" s="1799"/>
      <c r="PQN3593" s="1799"/>
      <c r="PQO3593" s="1799"/>
      <c r="PQP3593" s="1799"/>
      <c r="PQQ3593" s="1799"/>
      <c r="PQR3593" s="1799"/>
      <c r="PQS3593" s="1799"/>
      <c r="PQT3593" s="1799"/>
      <c r="PQU3593" s="1799"/>
      <c r="PQV3593" s="1799"/>
      <c r="PQW3593" s="1799"/>
      <c r="PQX3593" s="1799"/>
      <c r="PQY3593" s="1799"/>
      <c r="PQZ3593" s="1799"/>
      <c r="PRA3593" s="1799"/>
      <c r="PRB3593" s="1799"/>
      <c r="PRC3593" s="1799"/>
      <c r="PRD3593" s="1799"/>
      <c r="PRE3593" s="1799"/>
      <c r="PRF3593" s="1799"/>
      <c r="PRG3593" s="1799"/>
      <c r="PRH3593" s="1799"/>
      <c r="PRI3593" s="1799"/>
      <c r="PRJ3593" s="1799"/>
      <c r="PRK3593" s="1799"/>
      <c r="PRL3593" s="1799"/>
      <c r="PRM3593" s="1799"/>
      <c r="PRN3593" s="1799"/>
      <c r="PRO3593" s="1799"/>
      <c r="PRP3593" s="1799"/>
      <c r="PRQ3593" s="1799"/>
      <c r="PRR3593" s="1799"/>
      <c r="PRS3593" s="1799"/>
      <c r="PRT3593" s="1799"/>
      <c r="PRU3593" s="1799"/>
      <c r="PRV3593" s="1799"/>
      <c r="PRW3593" s="1799"/>
      <c r="PRX3593" s="1799"/>
      <c r="PRY3593" s="1799"/>
      <c r="PRZ3593" s="1799"/>
      <c r="PSA3593" s="1799"/>
      <c r="PSB3593" s="1799"/>
      <c r="PSC3593" s="1799"/>
      <c r="PSD3593" s="1799"/>
      <c r="PSE3593" s="1799"/>
      <c r="PSF3593" s="1799"/>
      <c r="PSG3593" s="1799"/>
      <c r="PSH3593" s="1799"/>
      <c r="PSI3593" s="1799"/>
      <c r="PSJ3593" s="1799"/>
      <c r="PSK3593" s="1799"/>
      <c r="PSL3593" s="1799"/>
      <c r="PSM3593" s="1799"/>
      <c r="PSN3593" s="1799"/>
      <c r="PSO3593" s="1799"/>
      <c r="PSP3593" s="1799"/>
      <c r="PSQ3593" s="1799"/>
      <c r="PSR3593" s="1799"/>
      <c r="PSS3593" s="1799"/>
      <c r="PST3593" s="1799"/>
      <c r="PSU3593" s="1799"/>
      <c r="PSV3593" s="1799"/>
      <c r="PSW3593" s="1799"/>
      <c r="PSX3593" s="1799"/>
      <c r="PSY3593" s="1799"/>
      <c r="PSZ3593" s="1799"/>
      <c r="PTA3593" s="1799"/>
      <c r="PTB3593" s="1799"/>
      <c r="PTC3593" s="1799"/>
      <c r="PTD3593" s="1799"/>
      <c r="PTE3593" s="1799"/>
      <c r="PTF3593" s="1799"/>
      <c r="PTG3593" s="1799"/>
      <c r="PTH3593" s="1799"/>
      <c r="PTI3593" s="1799"/>
      <c r="PTJ3593" s="1799"/>
      <c r="PTK3593" s="1799"/>
      <c r="PTL3593" s="1799"/>
      <c r="PTM3593" s="1799"/>
      <c r="PTN3593" s="1799"/>
      <c r="PTO3593" s="1799"/>
      <c r="PTP3593" s="1799"/>
      <c r="PTQ3593" s="1799"/>
      <c r="PTR3593" s="1799"/>
      <c r="PTS3593" s="1799"/>
      <c r="PTT3593" s="1799"/>
      <c r="PTU3593" s="1799"/>
      <c r="PTV3593" s="1799"/>
      <c r="PTW3593" s="1799"/>
      <c r="PTX3593" s="1799"/>
      <c r="PTY3593" s="1799"/>
      <c r="PTZ3593" s="1799"/>
      <c r="PUA3593" s="1799"/>
      <c r="PUB3593" s="1799"/>
      <c r="PUC3593" s="1799"/>
      <c r="PUD3593" s="1799"/>
      <c r="PUE3593" s="1799"/>
      <c r="PUF3593" s="1799"/>
      <c r="PUG3593" s="1799"/>
      <c r="PUH3593" s="1799"/>
      <c r="PUI3593" s="1799"/>
      <c r="PUJ3593" s="1799"/>
      <c r="PUK3593" s="1799"/>
      <c r="PUL3593" s="1799"/>
      <c r="PUM3593" s="1799"/>
      <c r="PUN3593" s="1799"/>
      <c r="PUO3593" s="1799"/>
      <c r="PUP3593" s="1799"/>
      <c r="PUQ3593" s="1799"/>
      <c r="PUR3593" s="1799"/>
      <c r="PUS3593" s="1799"/>
      <c r="PUT3593" s="1799"/>
      <c r="PUU3593" s="1799"/>
      <c r="PUV3593" s="1799"/>
      <c r="PUW3593" s="1799"/>
      <c r="PUX3593" s="1799"/>
      <c r="PUY3593" s="1799"/>
      <c r="PUZ3593" s="1799"/>
      <c r="PVA3593" s="1799"/>
      <c r="PVB3593" s="1799"/>
      <c r="PVC3593" s="1799"/>
      <c r="PVD3593" s="1799"/>
      <c r="PVE3593" s="1799"/>
      <c r="PVF3593" s="1799"/>
      <c r="PVG3593" s="1799"/>
      <c r="PVH3593" s="1799"/>
      <c r="PVI3593" s="1799"/>
      <c r="PVJ3593" s="1799"/>
      <c r="PVK3593" s="1799"/>
      <c r="PVL3593" s="1799"/>
      <c r="PVM3593" s="1799"/>
      <c r="PVN3593" s="1799"/>
      <c r="PVO3593" s="1799"/>
      <c r="PVP3593" s="1799"/>
      <c r="PVQ3593" s="1799"/>
      <c r="PVR3593" s="1799"/>
      <c r="PVS3593" s="1799"/>
      <c r="PVT3593" s="1799"/>
      <c r="PVU3593" s="1799"/>
      <c r="PVV3593" s="1799"/>
      <c r="PVW3593" s="1799"/>
      <c r="PVX3593" s="1799"/>
      <c r="PVY3593" s="1799"/>
      <c r="PVZ3593" s="1799"/>
      <c r="PWA3593" s="1799"/>
      <c r="PWB3593" s="1799"/>
      <c r="PWC3593" s="1799"/>
      <c r="PWD3593" s="1799"/>
      <c r="PWE3593" s="1799"/>
      <c r="PWF3593" s="1799"/>
      <c r="PWG3593" s="1799"/>
      <c r="PWH3593" s="1799"/>
      <c r="PWI3593" s="1799"/>
      <c r="PWJ3593" s="1799"/>
      <c r="PWK3593" s="1799"/>
      <c r="PWL3593" s="1799"/>
      <c r="PWM3593" s="1799"/>
      <c r="PWN3593" s="1799"/>
      <c r="PWO3593" s="1799"/>
      <c r="PWP3593" s="1799"/>
      <c r="PWQ3593" s="1799"/>
      <c r="PWR3593" s="1799"/>
      <c r="PWS3593" s="1799"/>
      <c r="PWT3593" s="1799"/>
      <c r="PWU3593" s="1799"/>
      <c r="PWV3593" s="1799"/>
      <c r="PWW3593" s="1799"/>
      <c r="PWX3593" s="1799"/>
      <c r="PWY3593" s="1799"/>
      <c r="PWZ3593" s="1799"/>
      <c r="PXA3593" s="1799"/>
      <c r="PXB3593" s="1799"/>
      <c r="PXC3593" s="1799"/>
      <c r="PXD3593" s="1799"/>
      <c r="PXE3593" s="1799"/>
      <c r="PXF3593" s="1799"/>
      <c r="PXG3593" s="1799"/>
      <c r="PXH3593" s="1799"/>
      <c r="PXI3593" s="1799"/>
      <c r="PXJ3593" s="1799"/>
      <c r="PXK3593" s="1799"/>
      <c r="PXL3593" s="1799"/>
      <c r="PXM3593" s="1799"/>
      <c r="PXN3593" s="1799"/>
      <c r="PXO3593" s="1799"/>
      <c r="PXP3593" s="1799"/>
      <c r="PXQ3593" s="1799"/>
      <c r="PXR3593" s="1799"/>
      <c r="PXS3593" s="1799"/>
      <c r="PXT3593" s="1799"/>
      <c r="PXU3593" s="1799"/>
      <c r="PXV3593" s="1799"/>
      <c r="PXW3593" s="1799"/>
      <c r="PXX3593" s="1799"/>
      <c r="PXY3593" s="1799"/>
      <c r="PXZ3593" s="1799"/>
      <c r="PYA3593" s="1799"/>
      <c r="PYB3593" s="1799"/>
      <c r="PYC3593" s="1799"/>
      <c r="PYD3593" s="1799"/>
      <c r="PYE3593" s="1799"/>
      <c r="PYF3593" s="1799"/>
      <c r="PYG3593" s="1799"/>
      <c r="PYH3593" s="1799"/>
      <c r="PYI3593" s="1799"/>
      <c r="PYJ3593" s="1799"/>
      <c r="PYK3593" s="1799"/>
      <c r="PYL3593" s="1799"/>
      <c r="PYM3593" s="1799"/>
      <c r="PYN3593" s="1799"/>
      <c r="PYO3593" s="1799"/>
      <c r="PYP3593" s="1799"/>
      <c r="PYQ3593" s="1799"/>
      <c r="PYR3593" s="1799"/>
      <c r="PYS3593" s="1799"/>
      <c r="PYT3593" s="1799"/>
      <c r="PYU3593" s="1799"/>
      <c r="PYV3593" s="1799"/>
      <c r="PYW3593" s="1799"/>
      <c r="PYX3593" s="1799"/>
      <c r="PYY3593" s="1799"/>
      <c r="PYZ3593" s="1799"/>
      <c r="PZA3593" s="1799"/>
      <c r="PZB3593" s="1799"/>
      <c r="PZC3593" s="1799"/>
      <c r="PZD3593" s="1799"/>
      <c r="PZE3593" s="1799"/>
      <c r="PZF3593" s="1799"/>
      <c r="PZG3593" s="1799"/>
      <c r="PZH3593" s="1799"/>
      <c r="PZI3593" s="1799"/>
      <c r="PZJ3593" s="1799"/>
      <c r="PZK3593" s="1799"/>
      <c r="PZL3593" s="1799"/>
      <c r="PZM3593" s="1799"/>
      <c r="PZN3593" s="1799"/>
      <c r="PZO3593" s="1799"/>
      <c r="PZP3593" s="1799"/>
      <c r="PZQ3593" s="1799"/>
      <c r="PZR3593" s="1799"/>
      <c r="PZS3593" s="1799"/>
      <c r="PZT3593" s="1799"/>
      <c r="PZU3593" s="1799"/>
      <c r="PZV3593" s="1799"/>
      <c r="PZW3593" s="1799"/>
      <c r="PZX3593" s="1799"/>
      <c r="PZY3593" s="1799"/>
      <c r="PZZ3593" s="1799"/>
      <c r="QAA3593" s="1799"/>
      <c r="QAB3593" s="1799"/>
      <c r="QAC3593" s="1799"/>
      <c r="QAD3593" s="1799"/>
      <c r="QAE3593" s="1799"/>
      <c r="QAF3593" s="1799"/>
      <c r="QAG3593" s="1799"/>
      <c r="QAH3593" s="1799"/>
      <c r="QAI3593" s="1799"/>
      <c r="QAJ3593" s="1799"/>
      <c r="QAK3593" s="1799"/>
      <c r="QAL3593" s="1799"/>
      <c r="QAM3593" s="1799"/>
      <c r="QAN3593" s="1799"/>
      <c r="QAO3593" s="1799"/>
      <c r="QAP3593" s="1799"/>
      <c r="QAQ3593" s="1799"/>
      <c r="QAR3593" s="1799"/>
      <c r="QAS3593" s="1799"/>
      <c r="QAT3593" s="1799"/>
      <c r="QAU3593" s="1799"/>
      <c r="QAV3593" s="1799"/>
      <c r="QAW3593" s="1799"/>
      <c r="QAX3593" s="1799"/>
      <c r="QAY3593" s="1799"/>
      <c r="QAZ3593" s="1799"/>
      <c r="QBA3593" s="1799"/>
      <c r="QBB3593" s="1799"/>
      <c r="QBC3593" s="1799"/>
      <c r="QBD3593" s="1799"/>
      <c r="QBE3593" s="1799"/>
      <c r="QBF3593" s="1799"/>
      <c r="QBG3593" s="1799"/>
      <c r="QBH3593" s="1799"/>
      <c r="QBI3593" s="1799"/>
      <c r="QBJ3593" s="1799"/>
      <c r="QBK3593" s="1799"/>
      <c r="QBL3593" s="1799"/>
      <c r="QBM3593" s="1799"/>
      <c r="QBN3593" s="1799"/>
      <c r="QBO3593" s="1799"/>
      <c r="QBP3593" s="1799"/>
      <c r="QBQ3593" s="1799"/>
      <c r="QBR3593" s="1799"/>
      <c r="QBS3593" s="1799"/>
      <c r="QBT3593" s="1799"/>
      <c r="QBU3593" s="1799"/>
      <c r="QBV3593" s="1799"/>
      <c r="QBW3593" s="1799"/>
      <c r="QBX3593" s="1799"/>
      <c r="QBY3593" s="1799"/>
      <c r="QBZ3593" s="1799"/>
      <c r="QCA3593" s="1799"/>
      <c r="QCB3593" s="1799"/>
      <c r="QCC3593" s="1799"/>
      <c r="QCD3593" s="1799"/>
      <c r="QCE3593" s="1799"/>
      <c r="QCF3593" s="1799"/>
      <c r="QCG3593" s="1799"/>
      <c r="QCH3593" s="1799"/>
      <c r="QCI3593" s="1799"/>
      <c r="QCJ3593" s="1799"/>
      <c r="QCK3593" s="1799"/>
      <c r="QCL3593" s="1799"/>
      <c r="QCM3593" s="1799"/>
      <c r="QCN3593" s="1799"/>
      <c r="QCO3593" s="1799"/>
      <c r="QCP3593" s="1799"/>
      <c r="QCQ3593" s="1799"/>
      <c r="QCR3593" s="1799"/>
      <c r="QCS3593" s="1799"/>
      <c r="QCT3593" s="1799"/>
      <c r="QCU3593" s="1799"/>
      <c r="QCV3593" s="1799"/>
      <c r="QCW3593" s="1799"/>
      <c r="QCX3593" s="1799"/>
      <c r="QCY3593" s="1799"/>
      <c r="QCZ3593" s="1799"/>
      <c r="QDA3593" s="1799"/>
      <c r="QDB3593" s="1799"/>
      <c r="QDC3593" s="1799"/>
      <c r="QDD3593" s="1799"/>
      <c r="QDE3593" s="1799"/>
      <c r="QDF3593" s="1799"/>
      <c r="QDG3593" s="1799"/>
      <c r="QDH3593" s="1799"/>
      <c r="QDI3593" s="1799"/>
      <c r="QDJ3593" s="1799"/>
      <c r="QDK3593" s="1799"/>
      <c r="QDL3593" s="1799"/>
      <c r="QDM3593" s="1799"/>
      <c r="QDN3593" s="1799"/>
      <c r="QDO3593" s="1799"/>
      <c r="QDP3593" s="1799"/>
      <c r="QDQ3593" s="1799"/>
      <c r="QDR3593" s="1799"/>
      <c r="QDS3593" s="1799"/>
      <c r="QDT3593" s="1799"/>
      <c r="QDU3593" s="1799"/>
      <c r="QDV3593" s="1799"/>
      <c r="QDW3593" s="1799"/>
      <c r="QDX3593" s="1799"/>
      <c r="QDY3593" s="1799"/>
      <c r="QDZ3593" s="1799"/>
      <c r="QEA3593" s="1799"/>
      <c r="QEB3593" s="1799"/>
      <c r="QEC3593" s="1799"/>
      <c r="QED3593" s="1799"/>
      <c r="QEE3593" s="1799"/>
      <c r="QEF3593" s="1799"/>
      <c r="QEG3593" s="1799"/>
      <c r="QEH3593" s="1799"/>
      <c r="QEI3593" s="1799"/>
      <c r="QEJ3593" s="1799"/>
      <c r="QEK3593" s="1799"/>
      <c r="QEL3593" s="1799"/>
      <c r="QEM3593" s="1799"/>
      <c r="QEN3593" s="1799"/>
      <c r="QEO3593" s="1799"/>
      <c r="QEP3593" s="1799"/>
      <c r="QEQ3593" s="1799"/>
      <c r="QER3593" s="1799"/>
      <c r="QES3593" s="1799"/>
      <c r="QET3593" s="1799"/>
      <c r="QEU3593" s="1799"/>
      <c r="QEV3593" s="1799"/>
      <c r="QEW3593" s="1799"/>
      <c r="QEX3593" s="1799"/>
      <c r="QEY3593" s="1799"/>
      <c r="QEZ3593" s="1799"/>
      <c r="QFA3593" s="1799"/>
      <c r="QFB3593" s="1799"/>
      <c r="QFC3593" s="1799"/>
      <c r="QFD3593" s="1799"/>
      <c r="QFE3593" s="1799"/>
      <c r="QFF3593" s="1799"/>
      <c r="QFG3593" s="1799"/>
      <c r="QFH3593" s="1799"/>
      <c r="QFI3593" s="1799"/>
      <c r="QFJ3593" s="1799"/>
      <c r="QFK3593" s="1799"/>
      <c r="QFL3593" s="1799"/>
      <c r="QFM3593" s="1799"/>
      <c r="QFN3593" s="1799"/>
      <c r="QFO3593" s="1799"/>
      <c r="QFP3593" s="1799"/>
      <c r="QFQ3593" s="1799"/>
      <c r="QFR3593" s="1799"/>
      <c r="QFS3593" s="1799"/>
      <c r="QFT3593" s="1799"/>
      <c r="QFU3593" s="1799"/>
      <c r="QFV3593" s="1799"/>
      <c r="QFW3593" s="1799"/>
      <c r="QFX3593" s="1799"/>
      <c r="QFY3593" s="1799"/>
      <c r="QFZ3593" s="1799"/>
      <c r="QGA3593" s="1799"/>
      <c r="QGB3593" s="1799"/>
      <c r="QGC3593" s="1799"/>
      <c r="QGD3593" s="1799"/>
      <c r="QGE3593" s="1799"/>
      <c r="QGF3593" s="1799"/>
      <c r="QGG3593" s="1799"/>
      <c r="QGH3593" s="1799"/>
      <c r="QGI3593" s="1799"/>
      <c r="QGJ3593" s="1799"/>
      <c r="QGK3593" s="1799"/>
      <c r="QGL3593" s="1799"/>
      <c r="QGM3593" s="1799"/>
      <c r="QGN3593" s="1799"/>
      <c r="QGO3593" s="1799"/>
      <c r="QGP3593" s="1799"/>
      <c r="QGQ3593" s="1799"/>
      <c r="QGR3593" s="1799"/>
      <c r="QGS3593" s="1799"/>
      <c r="QGT3593" s="1799"/>
      <c r="QGU3593" s="1799"/>
      <c r="QGV3593" s="1799"/>
      <c r="QGW3593" s="1799"/>
      <c r="QGX3593" s="1799"/>
      <c r="QGY3593" s="1799"/>
      <c r="QGZ3593" s="1799"/>
      <c r="QHA3593" s="1799"/>
      <c r="QHB3593" s="1799"/>
      <c r="QHC3593" s="1799"/>
      <c r="QHD3593" s="1799"/>
      <c r="QHE3593" s="1799"/>
      <c r="QHF3593" s="1799"/>
      <c r="QHG3593" s="1799"/>
      <c r="QHH3593" s="1799"/>
      <c r="QHI3593" s="1799"/>
      <c r="QHJ3593" s="1799"/>
      <c r="QHK3593" s="1799"/>
      <c r="QHL3593" s="1799"/>
      <c r="QHM3593" s="1799"/>
      <c r="QHN3593" s="1799"/>
      <c r="QHO3593" s="1799"/>
      <c r="QHP3593" s="1799"/>
      <c r="QHQ3593" s="1799"/>
      <c r="QHR3593" s="1799"/>
      <c r="QHS3593" s="1799"/>
      <c r="QHT3593" s="1799"/>
      <c r="QHU3593" s="1799"/>
      <c r="QHV3593" s="1799"/>
      <c r="QHW3593" s="1799"/>
      <c r="QHX3593" s="1799"/>
      <c r="QHY3593" s="1799"/>
      <c r="QHZ3593" s="1799"/>
      <c r="QIA3593" s="1799"/>
      <c r="QIB3593" s="1799"/>
      <c r="QIC3593" s="1799"/>
      <c r="QID3593" s="1799"/>
      <c r="QIE3593" s="1799"/>
      <c r="QIF3593" s="1799"/>
      <c r="QIG3593" s="1799"/>
      <c r="QIH3593" s="1799"/>
      <c r="QII3593" s="1799"/>
      <c r="QIJ3593" s="1799"/>
      <c r="QIK3593" s="1799"/>
      <c r="QIL3593" s="1799"/>
      <c r="QIM3593" s="1799"/>
      <c r="QIN3593" s="1799"/>
      <c r="QIO3593" s="1799"/>
      <c r="QIP3593" s="1799"/>
      <c r="QIQ3593" s="1799"/>
      <c r="QIR3593" s="1799"/>
      <c r="QIS3593" s="1799"/>
      <c r="QIT3593" s="1799"/>
      <c r="QIU3593" s="1799"/>
      <c r="QIV3593" s="1799"/>
      <c r="QIW3593" s="1799"/>
      <c r="QIX3593" s="1799"/>
      <c r="QIY3593" s="1799"/>
      <c r="QIZ3593" s="1799"/>
      <c r="QJA3593" s="1799"/>
      <c r="QJB3593" s="1799"/>
      <c r="QJC3593" s="1799"/>
      <c r="QJD3593" s="1799"/>
      <c r="QJE3593" s="1799"/>
      <c r="QJF3593" s="1799"/>
      <c r="QJG3593" s="1799"/>
      <c r="QJH3593" s="1799"/>
      <c r="QJI3593" s="1799"/>
      <c r="QJJ3593" s="1799"/>
      <c r="QJK3593" s="1799"/>
      <c r="QJL3593" s="1799"/>
      <c r="QJM3593" s="1799"/>
      <c r="QJN3593" s="1799"/>
      <c r="QJO3593" s="1799"/>
      <c r="QJP3593" s="1799"/>
      <c r="QJQ3593" s="1799"/>
      <c r="QJR3593" s="1799"/>
      <c r="QJS3593" s="1799"/>
      <c r="QJT3593" s="1799"/>
      <c r="QJU3593" s="1799"/>
      <c r="QJV3593" s="1799"/>
      <c r="QJW3593" s="1799"/>
      <c r="QJX3593" s="1799"/>
      <c r="QJY3593" s="1799"/>
      <c r="QJZ3593" s="1799"/>
      <c r="QKA3593" s="1799"/>
      <c r="QKB3593" s="1799"/>
      <c r="QKC3593" s="1799"/>
      <c r="QKD3593" s="1799"/>
      <c r="QKE3593" s="1799"/>
      <c r="QKF3593" s="1799"/>
      <c r="QKG3593" s="1799"/>
      <c r="QKH3593" s="1799"/>
      <c r="QKI3593" s="1799"/>
      <c r="QKJ3593" s="1799"/>
      <c r="QKK3593" s="1799"/>
      <c r="QKL3593" s="1799"/>
      <c r="QKM3593" s="1799"/>
      <c r="QKN3593" s="1799"/>
      <c r="QKO3593" s="1799"/>
      <c r="QKP3593" s="1799"/>
      <c r="QKQ3593" s="1799"/>
      <c r="QKR3593" s="1799"/>
      <c r="QKS3593" s="1799"/>
      <c r="QKT3593" s="1799"/>
      <c r="QKU3593" s="1799"/>
      <c r="QKV3593" s="1799"/>
      <c r="QKW3593" s="1799"/>
      <c r="QKX3593" s="1799"/>
      <c r="QKY3593" s="1799"/>
      <c r="QKZ3593" s="1799"/>
      <c r="QLA3593" s="1799"/>
      <c r="QLB3593" s="1799"/>
      <c r="QLC3593" s="1799"/>
      <c r="QLD3593" s="1799"/>
      <c r="QLE3593" s="1799"/>
      <c r="QLF3593" s="1799"/>
      <c r="QLG3593" s="1799"/>
      <c r="QLH3593" s="1799"/>
      <c r="QLI3593" s="1799"/>
      <c r="QLJ3593" s="1799"/>
      <c r="QLK3593" s="1799"/>
      <c r="QLL3593" s="1799"/>
      <c r="QLM3593" s="1799"/>
      <c r="QLN3593" s="1799"/>
      <c r="QLO3593" s="1799"/>
      <c r="QLP3593" s="1799"/>
      <c r="QLQ3593" s="1799"/>
      <c r="QLR3593" s="1799"/>
      <c r="QLS3593" s="1799"/>
      <c r="QLT3593" s="1799"/>
      <c r="QLU3593" s="1799"/>
      <c r="QLV3593" s="1799"/>
      <c r="QLW3593" s="1799"/>
      <c r="QLX3593" s="1799"/>
      <c r="QLY3593" s="1799"/>
      <c r="QLZ3593" s="1799"/>
      <c r="QMA3593" s="1799"/>
      <c r="QMB3593" s="1799"/>
      <c r="QMC3593" s="1799"/>
      <c r="QMD3593" s="1799"/>
      <c r="QME3593" s="1799"/>
      <c r="QMF3593" s="1799"/>
      <c r="QMG3593" s="1799"/>
      <c r="QMH3593" s="1799"/>
      <c r="QMI3593" s="1799"/>
      <c r="QMJ3593" s="1799"/>
      <c r="QMK3593" s="1799"/>
      <c r="QML3593" s="1799"/>
      <c r="QMM3593" s="1799"/>
      <c r="QMN3593" s="1799"/>
      <c r="QMO3593" s="1799"/>
      <c r="QMP3593" s="1799"/>
      <c r="QMQ3593" s="1799"/>
      <c r="QMR3593" s="1799"/>
      <c r="QMS3593" s="1799"/>
      <c r="QMT3593" s="1799"/>
      <c r="QMU3593" s="1799"/>
      <c r="QMV3593" s="1799"/>
      <c r="QMW3593" s="1799"/>
      <c r="QMX3593" s="1799"/>
      <c r="QMY3593" s="1799"/>
      <c r="QMZ3593" s="1799"/>
      <c r="QNA3593" s="1799"/>
      <c r="QNB3593" s="1799"/>
      <c r="QNC3593" s="1799"/>
      <c r="QND3593" s="1799"/>
      <c r="QNE3593" s="1799"/>
      <c r="QNF3593" s="1799"/>
      <c r="QNG3593" s="1799"/>
      <c r="QNH3593" s="1799"/>
      <c r="QNI3593" s="1799"/>
      <c r="QNJ3593" s="1799"/>
      <c r="QNK3593" s="1799"/>
      <c r="QNL3593" s="1799"/>
      <c r="QNM3593" s="1799"/>
      <c r="QNN3593" s="1799"/>
      <c r="QNO3593" s="1799"/>
      <c r="QNP3593" s="1799"/>
      <c r="QNQ3593" s="1799"/>
      <c r="QNR3593" s="1799"/>
      <c r="QNS3593" s="1799"/>
      <c r="QNT3593" s="1799"/>
      <c r="QNU3593" s="1799"/>
      <c r="QNV3593" s="1799"/>
      <c r="QNW3593" s="1799"/>
      <c r="QNX3593" s="1799"/>
      <c r="QNY3593" s="1799"/>
      <c r="QNZ3593" s="1799"/>
      <c r="QOA3593" s="1799"/>
      <c r="QOB3593" s="1799"/>
      <c r="QOC3593" s="1799"/>
      <c r="QOD3593" s="1799"/>
      <c r="QOE3593" s="1799"/>
      <c r="QOF3593" s="1799"/>
      <c r="QOG3593" s="1799"/>
      <c r="QOH3593" s="1799"/>
      <c r="QOI3593" s="1799"/>
      <c r="QOJ3593" s="1799"/>
      <c r="QOK3593" s="1799"/>
      <c r="QOL3593" s="1799"/>
      <c r="QOM3593" s="1799"/>
      <c r="QON3593" s="1799"/>
      <c r="QOO3593" s="1799"/>
      <c r="QOP3593" s="1799"/>
      <c r="QOQ3593" s="1799"/>
      <c r="QOR3593" s="1799"/>
      <c r="QOS3593" s="1799"/>
      <c r="QOT3593" s="1799"/>
      <c r="QOU3593" s="1799"/>
      <c r="QOV3593" s="1799"/>
      <c r="QOW3593" s="1799"/>
      <c r="QOX3593" s="1799"/>
      <c r="QOY3593" s="1799"/>
      <c r="QOZ3593" s="1799"/>
      <c r="QPA3593" s="1799"/>
      <c r="QPB3593" s="1799"/>
      <c r="QPC3593" s="1799"/>
      <c r="QPD3593" s="1799"/>
      <c r="QPE3593" s="1799"/>
      <c r="QPF3593" s="1799"/>
      <c r="QPG3593" s="1799"/>
      <c r="QPH3593" s="1799"/>
      <c r="QPI3593" s="1799"/>
      <c r="QPJ3593" s="1799"/>
      <c r="QPK3593" s="1799"/>
      <c r="QPL3593" s="1799"/>
      <c r="QPM3593" s="1799"/>
      <c r="QPN3593" s="1799"/>
      <c r="QPO3593" s="1799"/>
      <c r="QPP3593" s="1799"/>
      <c r="QPQ3593" s="1799"/>
      <c r="QPR3593" s="1799"/>
      <c r="QPS3593" s="1799"/>
      <c r="QPT3593" s="1799"/>
      <c r="QPU3593" s="1799"/>
      <c r="QPV3593" s="1799"/>
      <c r="QPW3593" s="1799"/>
      <c r="QPX3593" s="1799"/>
      <c r="QPY3593" s="1799"/>
      <c r="QPZ3593" s="1799"/>
      <c r="QQA3593" s="1799"/>
      <c r="QQB3593" s="1799"/>
      <c r="QQC3593" s="1799"/>
      <c r="QQD3593" s="1799"/>
      <c r="QQE3593" s="1799"/>
      <c r="QQF3593" s="1799"/>
      <c r="QQG3593" s="1799"/>
      <c r="QQH3593" s="1799"/>
      <c r="QQI3593" s="1799"/>
      <c r="QQJ3593" s="1799"/>
      <c r="QQK3593" s="1799"/>
      <c r="QQL3593" s="1799"/>
      <c r="QQM3593" s="1799"/>
      <c r="QQN3593" s="1799"/>
      <c r="QQO3593" s="1799"/>
      <c r="QQP3593" s="1799"/>
      <c r="QQQ3593" s="1799"/>
      <c r="QQR3593" s="1799"/>
      <c r="QQS3593" s="1799"/>
      <c r="QQT3593" s="1799"/>
      <c r="QQU3593" s="1799"/>
      <c r="QQV3593" s="1799"/>
      <c r="QQW3593" s="1799"/>
      <c r="QQX3593" s="1799"/>
      <c r="QQY3593" s="1799"/>
      <c r="QQZ3593" s="1799"/>
      <c r="QRA3593" s="1799"/>
      <c r="QRB3593" s="1799"/>
      <c r="QRC3593" s="1799"/>
      <c r="QRD3593" s="1799"/>
      <c r="QRE3593" s="1799"/>
      <c r="QRF3593" s="1799"/>
      <c r="QRG3593" s="1799"/>
      <c r="QRH3593" s="1799"/>
      <c r="QRI3593" s="1799"/>
      <c r="QRJ3593" s="1799"/>
      <c r="QRK3593" s="1799"/>
      <c r="QRL3593" s="1799"/>
      <c r="QRM3593" s="1799"/>
      <c r="QRN3593" s="1799"/>
      <c r="QRO3593" s="1799"/>
      <c r="QRP3593" s="1799"/>
      <c r="QRQ3593" s="1799"/>
      <c r="QRR3593" s="1799"/>
      <c r="QRS3593" s="1799"/>
      <c r="QRT3593" s="1799"/>
      <c r="QRU3593" s="1799"/>
      <c r="QRV3593" s="1799"/>
      <c r="QRW3593" s="1799"/>
      <c r="QRX3593" s="1799"/>
      <c r="QRY3593" s="1799"/>
      <c r="QRZ3593" s="1799"/>
      <c r="QSA3593" s="1799"/>
      <c r="QSB3593" s="1799"/>
      <c r="QSC3593" s="1799"/>
      <c r="QSD3593" s="1799"/>
      <c r="QSE3593" s="1799"/>
      <c r="QSF3593" s="1799"/>
      <c r="QSG3593" s="1799"/>
      <c r="QSH3593" s="1799"/>
      <c r="QSI3593" s="1799"/>
      <c r="QSJ3593" s="1799"/>
      <c r="QSK3593" s="1799"/>
      <c r="QSL3593" s="1799"/>
      <c r="QSM3593" s="1799"/>
      <c r="QSN3593" s="1799"/>
      <c r="QSO3593" s="1799"/>
      <c r="QSP3593" s="1799"/>
      <c r="QSQ3593" s="1799"/>
      <c r="QSR3593" s="1799"/>
      <c r="QSS3593" s="1799"/>
      <c r="QST3593" s="1799"/>
      <c r="QSU3593" s="1799"/>
      <c r="QSV3593" s="1799"/>
      <c r="QSW3593" s="1799"/>
      <c r="QSX3593" s="1799"/>
      <c r="QSY3593" s="1799"/>
      <c r="QSZ3593" s="1799"/>
      <c r="QTA3593" s="1799"/>
      <c r="QTB3593" s="1799"/>
      <c r="QTC3593" s="1799"/>
      <c r="QTD3593" s="1799"/>
      <c r="QTE3593" s="1799"/>
      <c r="QTF3593" s="1799"/>
      <c r="QTG3593" s="1799"/>
      <c r="QTH3593" s="1799"/>
      <c r="QTI3593" s="1799"/>
      <c r="QTJ3593" s="1799"/>
      <c r="QTK3593" s="1799"/>
      <c r="QTL3593" s="1799"/>
      <c r="QTM3593" s="1799"/>
      <c r="QTN3593" s="1799"/>
      <c r="QTO3593" s="1799"/>
      <c r="QTP3593" s="1799"/>
      <c r="QTQ3593" s="1799"/>
      <c r="QTR3593" s="1799"/>
      <c r="QTS3593" s="1799"/>
      <c r="QTT3593" s="1799"/>
      <c r="QTU3593" s="1799"/>
      <c r="QTV3593" s="1799"/>
      <c r="QTW3593" s="1799"/>
      <c r="QTX3593" s="1799"/>
      <c r="QTY3593" s="1799"/>
      <c r="QTZ3593" s="1799"/>
      <c r="QUA3593" s="1799"/>
      <c r="QUB3593" s="1799"/>
      <c r="QUC3593" s="1799"/>
      <c r="QUD3593" s="1799"/>
      <c r="QUE3593" s="1799"/>
      <c r="QUF3593" s="1799"/>
      <c r="QUG3593" s="1799"/>
      <c r="QUH3593" s="1799"/>
      <c r="QUI3593" s="1799"/>
      <c r="QUJ3593" s="1799"/>
      <c r="QUK3593" s="1799"/>
      <c r="QUL3593" s="1799"/>
      <c r="QUM3593" s="1799"/>
      <c r="QUN3593" s="1799"/>
      <c r="QUO3593" s="1799"/>
      <c r="QUP3593" s="1799"/>
      <c r="QUQ3593" s="1799"/>
      <c r="QUR3593" s="1799"/>
      <c r="QUS3593" s="1799"/>
      <c r="QUT3593" s="1799"/>
      <c r="QUU3593" s="1799"/>
      <c r="QUV3593" s="1799"/>
      <c r="QUW3593" s="1799"/>
      <c r="QUX3593" s="1799"/>
      <c r="QUY3593" s="1799"/>
      <c r="QUZ3593" s="1799"/>
      <c r="QVA3593" s="1799"/>
      <c r="QVB3593" s="1799"/>
      <c r="QVC3593" s="1799"/>
      <c r="QVD3593" s="1799"/>
      <c r="QVE3593" s="1799"/>
      <c r="QVF3593" s="1799"/>
      <c r="QVG3593" s="1799"/>
      <c r="QVH3593" s="1799"/>
      <c r="QVI3593" s="1799"/>
      <c r="QVJ3593" s="1799"/>
      <c r="QVK3593" s="1799"/>
      <c r="QVL3593" s="1799"/>
      <c r="QVM3593" s="1799"/>
      <c r="QVN3593" s="1799"/>
      <c r="QVO3593" s="1799"/>
      <c r="QVP3593" s="1799"/>
      <c r="QVQ3593" s="1799"/>
      <c r="QVR3593" s="1799"/>
      <c r="QVS3593" s="1799"/>
      <c r="QVT3593" s="1799"/>
      <c r="QVU3593" s="1799"/>
      <c r="QVV3593" s="1799"/>
      <c r="QVW3593" s="1799"/>
      <c r="QVX3593" s="1799"/>
      <c r="QVY3593" s="1799"/>
      <c r="QVZ3593" s="1799"/>
      <c r="QWA3593" s="1799"/>
      <c r="QWB3593" s="1799"/>
      <c r="QWC3593" s="1799"/>
      <c r="QWD3593" s="1799"/>
      <c r="QWE3593" s="1799"/>
      <c r="QWF3593" s="1799"/>
      <c r="QWG3593" s="1799"/>
      <c r="QWH3593" s="1799"/>
      <c r="QWI3593" s="1799"/>
      <c r="QWJ3593" s="1799"/>
      <c r="QWK3593" s="1799"/>
      <c r="QWL3593" s="1799"/>
      <c r="QWM3593" s="1799"/>
      <c r="QWN3593" s="1799"/>
      <c r="QWO3593" s="1799"/>
      <c r="QWP3593" s="1799"/>
      <c r="QWQ3593" s="1799"/>
      <c r="QWR3593" s="1799"/>
      <c r="QWS3593" s="1799"/>
      <c r="QWT3593" s="1799"/>
      <c r="QWU3593" s="1799"/>
      <c r="QWV3593" s="1799"/>
      <c r="QWW3593" s="1799"/>
      <c r="QWX3593" s="1799"/>
      <c r="QWY3593" s="1799"/>
      <c r="QWZ3593" s="1799"/>
      <c r="QXA3593" s="1799"/>
      <c r="QXB3593" s="1799"/>
      <c r="QXC3593" s="1799"/>
      <c r="QXD3593" s="1799"/>
      <c r="QXE3593" s="1799"/>
      <c r="QXF3593" s="1799"/>
      <c r="QXG3593" s="1799"/>
      <c r="QXH3593" s="1799"/>
      <c r="QXI3593" s="1799"/>
      <c r="QXJ3593" s="1799"/>
      <c r="QXK3593" s="1799"/>
      <c r="QXL3593" s="1799"/>
      <c r="QXM3593" s="1799"/>
      <c r="QXN3593" s="1799"/>
      <c r="QXO3593" s="1799"/>
      <c r="QXP3593" s="1799"/>
      <c r="QXQ3593" s="1799"/>
      <c r="QXR3593" s="1799"/>
      <c r="QXS3593" s="1799"/>
      <c r="QXT3593" s="1799"/>
      <c r="QXU3593" s="1799"/>
      <c r="QXV3593" s="1799"/>
      <c r="QXW3593" s="1799"/>
      <c r="QXX3593" s="1799"/>
      <c r="QXY3593" s="1799"/>
      <c r="QXZ3593" s="1799"/>
      <c r="QYA3593" s="1799"/>
      <c r="QYB3593" s="1799"/>
      <c r="QYC3593" s="1799"/>
      <c r="QYD3593" s="1799"/>
      <c r="QYE3593" s="1799"/>
      <c r="QYF3593" s="1799"/>
      <c r="QYG3593" s="1799"/>
      <c r="QYH3593" s="1799"/>
      <c r="QYI3593" s="1799"/>
      <c r="QYJ3593" s="1799"/>
      <c r="QYK3593" s="1799"/>
      <c r="QYL3593" s="1799"/>
      <c r="QYM3593" s="1799"/>
      <c r="QYN3593" s="1799"/>
      <c r="QYO3593" s="1799"/>
      <c r="QYP3593" s="1799"/>
      <c r="QYQ3593" s="1799"/>
      <c r="QYR3593" s="1799"/>
      <c r="QYS3593" s="1799"/>
      <c r="QYT3593" s="1799"/>
      <c r="QYU3593" s="1799"/>
      <c r="QYV3593" s="1799"/>
      <c r="QYW3593" s="1799"/>
      <c r="QYX3593" s="1799"/>
      <c r="QYY3593" s="1799"/>
      <c r="QYZ3593" s="1799"/>
      <c r="QZA3593" s="1799"/>
      <c r="QZB3593" s="1799"/>
      <c r="QZC3593" s="1799"/>
      <c r="QZD3593" s="1799"/>
      <c r="QZE3593" s="1799"/>
      <c r="QZF3593" s="1799"/>
      <c r="QZG3593" s="1799"/>
      <c r="QZH3593" s="1799"/>
      <c r="QZI3593" s="1799"/>
      <c r="QZJ3593" s="1799"/>
      <c r="QZK3593" s="1799"/>
      <c r="QZL3593" s="1799"/>
      <c r="QZM3593" s="1799"/>
      <c r="QZN3593" s="1799"/>
      <c r="QZO3593" s="1799"/>
      <c r="QZP3593" s="1799"/>
      <c r="QZQ3593" s="1799"/>
      <c r="QZR3593" s="1799"/>
      <c r="QZS3593" s="1799"/>
      <c r="QZT3593" s="1799"/>
      <c r="QZU3593" s="1799"/>
      <c r="QZV3593" s="1799"/>
      <c r="QZW3593" s="1799"/>
      <c r="QZX3593" s="1799"/>
      <c r="QZY3593" s="1799"/>
      <c r="QZZ3593" s="1799"/>
      <c r="RAA3593" s="1799"/>
      <c r="RAB3593" s="1799"/>
      <c r="RAC3593" s="1799"/>
      <c r="RAD3593" s="1799"/>
      <c r="RAE3593" s="1799"/>
      <c r="RAF3593" s="1799"/>
      <c r="RAG3593" s="1799"/>
      <c r="RAH3593" s="1799"/>
      <c r="RAI3593" s="1799"/>
      <c r="RAJ3593" s="1799"/>
      <c r="RAK3593" s="1799"/>
      <c r="RAL3593" s="1799"/>
      <c r="RAM3593" s="1799"/>
      <c r="RAN3593" s="1799"/>
      <c r="RAO3593" s="1799"/>
      <c r="RAP3593" s="1799"/>
      <c r="RAQ3593" s="1799"/>
      <c r="RAR3593" s="1799"/>
      <c r="RAS3593" s="1799"/>
      <c r="RAT3593" s="1799"/>
      <c r="RAU3593" s="1799"/>
      <c r="RAV3593" s="1799"/>
      <c r="RAW3593" s="1799"/>
      <c r="RAX3593" s="1799"/>
      <c r="RAY3593" s="1799"/>
      <c r="RAZ3593" s="1799"/>
      <c r="RBA3593" s="1799"/>
      <c r="RBB3593" s="1799"/>
      <c r="RBC3593" s="1799"/>
      <c r="RBD3593" s="1799"/>
      <c r="RBE3593" s="1799"/>
      <c r="RBF3593" s="1799"/>
      <c r="RBG3593" s="1799"/>
      <c r="RBH3593" s="1799"/>
      <c r="RBI3593" s="1799"/>
      <c r="RBJ3593" s="1799"/>
      <c r="RBK3593" s="1799"/>
      <c r="RBL3593" s="1799"/>
      <c r="RBM3593" s="1799"/>
      <c r="RBN3593" s="1799"/>
      <c r="RBO3593" s="1799"/>
      <c r="RBP3593" s="1799"/>
      <c r="RBQ3593" s="1799"/>
      <c r="RBR3593" s="1799"/>
      <c r="RBS3593" s="1799"/>
      <c r="RBT3593" s="1799"/>
      <c r="RBU3593" s="1799"/>
      <c r="RBV3593" s="1799"/>
      <c r="RBW3593" s="1799"/>
      <c r="RBX3593" s="1799"/>
      <c r="RBY3593" s="1799"/>
      <c r="RBZ3593" s="1799"/>
      <c r="RCA3593" s="1799"/>
      <c r="RCB3593" s="1799"/>
      <c r="RCC3593" s="1799"/>
      <c r="RCD3593" s="1799"/>
      <c r="RCE3593" s="1799"/>
      <c r="RCF3593" s="1799"/>
      <c r="RCG3593" s="1799"/>
      <c r="RCH3593" s="1799"/>
      <c r="RCI3593" s="1799"/>
      <c r="RCJ3593" s="1799"/>
      <c r="RCK3593" s="1799"/>
      <c r="RCL3593" s="1799"/>
      <c r="RCM3593" s="1799"/>
      <c r="RCN3593" s="1799"/>
      <c r="RCO3593" s="1799"/>
      <c r="RCP3593" s="1799"/>
      <c r="RCQ3593" s="1799"/>
      <c r="RCR3593" s="1799"/>
      <c r="RCS3593" s="1799"/>
      <c r="RCT3593" s="1799"/>
      <c r="RCU3593" s="1799"/>
      <c r="RCV3593" s="1799"/>
      <c r="RCW3593" s="1799"/>
      <c r="RCX3593" s="1799"/>
      <c r="RCY3593" s="1799"/>
      <c r="RCZ3593" s="1799"/>
      <c r="RDA3593" s="1799"/>
      <c r="RDB3593" s="1799"/>
      <c r="RDC3593" s="1799"/>
      <c r="RDD3593" s="1799"/>
      <c r="RDE3593" s="1799"/>
      <c r="RDF3593" s="1799"/>
      <c r="RDG3593" s="1799"/>
      <c r="RDH3593" s="1799"/>
      <c r="RDI3593" s="1799"/>
      <c r="RDJ3593" s="1799"/>
      <c r="RDK3593" s="1799"/>
      <c r="RDL3593" s="1799"/>
      <c r="RDM3593" s="1799"/>
      <c r="RDN3593" s="1799"/>
      <c r="RDO3593" s="1799"/>
      <c r="RDP3593" s="1799"/>
      <c r="RDQ3593" s="1799"/>
      <c r="RDR3593" s="1799"/>
      <c r="RDS3593" s="1799"/>
      <c r="RDT3593" s="1799"/>
      <c r="RDU3593" s="1799"/>
      <c r="RDV3593" s="1799"/>
      <c r="RDW3593" s="1799"/>
      <c r="RDX3593" s="1799"/>
      <c r="RDY3593" s="1799"/>
      <c r="RDZ3593" s="1799"/>
      <c r="REA3593" s="1799"/>
      <c r="REB3593" s="1799"/>
      <c r="REC3593" s="1799"/>
      <c r="RED3593" s="1799"/>
      <c r="REE3593" s="1799"/>
      <c r="REF3593" s="1799"/>
      <c r="REG3593" s="1799"/>
      <c r="REH3593" s="1799"/>
      <c r="REI3593" s="1799"/>
      <c r="REJ3593" s="1799"/>
      <c r="REK3593" s="1799"/>
      <c r="REL3593" s="1799"/>
      <c r="REM3593" s="1799"/>
      <c r="REN3593" s="1799"/>
      <c r="REO3593" s="1799"/>
      <c r="REP3593" s="1799"/>
      <c r="REQ3593" s="1799"/>
      <c r="RER3593" s="1799"/>
      <c r="RES3593" s="1799"/>
      <c r="RET3593" s="1799"/>
      <c r="REU3593" s="1799"/>
      <c r="REV3593" s="1799"/>
      <c r="REW3593" s="1799"/>
      <c r="REX3593" s="1799"/>
      <c r="REY3593" s="1799"/>
      <c r="REZ3593" s="1799"/>
      <c r="RFA3593" s="1799"/>
      <c r="RFB3593" s="1799"/>
      <c r="RFC3593" s="1799"/>
      <c r="RFD3593" s="1799"/>
      <c r="RFE3593" s="1799"/>
      <c r="RFF3593" s="1799"/>
      <c r="RFG3593" s="1799"/>
      <c r="RFH3593" s="1799"/>
      <c r="RFI3593" s="1799"/>
      <c r="RFJ3593" s="1799"/>
      <c r="RFK3593" s="1799"/>
      <c r="RFL3593" s="1799"/>
      <c r="RFM3593" s="1799"/>
      <c r="RFN3593" s="1799"/>
      <c r="RFO3593" s="1799"/>
      <c r="RFP3593" s="1799"/>
      <c r="RFQ3593" s="1799"/>
      <c r="RFR3593" s="1799"/>
      <c r="RFS3593" s="1799"/>
      <c r="RFT3593" s="1799"/>
      <c r="RFU3593" s="1799"/>
      <c r="RFV3593" s="1799"/>
      <c r="RFW3593" s="1799"/>
      <c r="RFX3593" s="1799"/>
      <c r="RFY3593" s="1799"/>
      <c r="RFZ3593" s="1799"/>
      <c r="RGA3593" s="1799"/>
      <c r="RGB3593" s="1799"/>
      <c r="RGC3593" s="1799"/>
      <c r="RGD3593" s="1799"/>
      <c r="RGE3593" s="1799"/>
      <c r="RGF3593" s="1799"/>
      <c r="RGG3593" s="1799"/>
      <c r="RGH3593" s="1799"/>
      <c r="RGI3593" s="1799"/>
      <c r="RGJ3593" s="1799"/>
      <c r="RGK3593" s="1799"/>
      <c r="RGL3593" s="1799"/>
      <c r="RGM3593" s="1799"/>
      <c r="RGN3593" s="1799"/>
      <c r="RGO3593" s="1799"/>
      <c r="RGP3593" s="1799"/>
      <c r="RGQ3593" s="1799"/>
      <c r="RGR3593" s="1799"/>
      <c r="RGS3593" s="1799"/>
      <c r="RGT3593" s="1799"/>
      <c r="RGU3593" s="1799"/>
      <c r="RGV3593" s="1799"/>
      <c r="RGW3593" s="1799"/>
      <c r="RGX3593" s="1799"/>
      <c r="RGY3593" s="1799"/>
      <c r="RGZ3593" s="1799"/>
      <c r="RHA3593" s="1799"/>
      <c r="RHB3593" s="1799"/>
      <c r="RHC3593" s="1799"/>
      <c r="RHD3593" s="1799"/>
      <c r="RHE3593" s="1799"/>
      <c r="RHF3593" s="1799"/>
      <c r="RHG3593" s="1799"/>
      <c r="RHH3593" s="1799"/>
      <c r="RHI3593" s="1799"/>
      <c r="RHJ3593" s="1799"/>
      <c r="RHK3593" s="1799"/>
      <c r="RHL3593" s="1799"/>
      <c r="RHM3593" s="1799"/>
      <c r="RHN3593" s="1799"/>
      <c r="RHO3593" s="1799"/>
      <c r="RHP3593" s="1799"/>
      <c r="RHQ3593" s="1799"/>
      <c r="RHR3593" s="1799"/>
      <c r="RHS3593" s="1799"/>
      <c r="RHT3593" s="1799"/>
      <c r="RHU3593" s="1799"/>
      <c r="RHV3593" s="1799"/>
      <c r="RHW3593" s="1799"/>
      <c r="RHX3593" s="1799"/>
      <c r="RHY3593" s="1799"/>
      <c r="RHZ3593" s="1799"/>
      <c r="RIA3593" s="1799"/>
      <c r="RIB3593" s="1799"/>
      <c r="RIC3593" s="1799"/>
      <c r="RID3593" s="1799"/>
      <c r="RIE3593" s="1799"/>
      <c r="RIF3593" s="1799"/>
      <c r="RIG3593" s="1799"/>
      <c r="RIH3593" s="1799"/>
      <c r="RII3593" s="1799"/>
      <c r="RIJ3593" s="1799"/>
      <c r="RIK3593" s="1799"/>
      <c r="RIL3593" s="1799"/>
      <c r="RIM3593" s="1799"/>
      <c r="RIN3593" s="1799"/>
      <c r="RIO3593" s="1799"/>
      <c r="RIP3593" s="1799"/>
      <c r="RIQ3593" s="1799"/>
      <c r="RIR3593" s="1799"/>
      <c r="RIS3593" s="1799"/>
      <c r="RIT3593" s="1799"/>
      <c r="RIU3593" s="1799"/>
      <c r="RIV3593" s="1799"/>
      <c r="RIW3593" s="1799"/>
      <c r="RIX3593" s="1799"/>
      <c r="RIY3593" s="1799"/>
      <c r="RIZ3593" s="1799"/>
      <c r="RJA3593" s="1799"/>
      <c r="RJB3593" s="1799"/>
      <c r="RJC3593" s="1799"/>
      <c r="RJD3593" s="1799"/>
      <c r="RJE3593" s="1799"/>
      <c r="RJF3593" s="1799"/>
      <c r="RJG3593" s="1799"/>
      <c r="RJH3593" s="1799"/>
      <c r="RJI3593" s="1799"/>
      <c r="RJJ3593" s="1799"/>
      <c r="RJK3593" s="1799"/>
      <c r="RJL3593" s="1799"/>
      <c r="RJM3593" s="1799"/>
      <c r="RJN3593" s="1799"/>
      <c r="RJO3593" s="1799"/>
      <c r="RJP3593" s="1799"/>
      <c r="RJQ3593" s="1799"/>
      <c r="RJR3593" s="1799"/>
      <c r="RJS3593" s="1799"/>
      <c r="RJT3593" s="1799"/>
      <c r="RJU3593" s="1799"/>
      <c r="RJV3593" s="1799"/>
      <c r="RJW3593" s="1799"/>
      <c r="RJX3593" s="1799"/>
      <c r="RJY3593" s="1799"/>
      <c r="RJZ3593" s="1799"/>
      <c r="RKA3593" s="1799"/>
      <c r="RKB3593" s="1799"/>
      <c r="RKC3593" s="1799"/>
      <c r="RKD3593" s="1799"/>
      <c r="RKE3593" s="1799"/>
      <c r="RKF3593" s="1799"/>
      <c r="RKG3593" s="1799"/>
      <c r="RKH3593" s="1799"/>
      <c r="RKI3593" s="1799"/>
      <c r="RKJ3593" s="1799"/>
      <c r="RKK3593" s="1799"/>
      <c r="RKL3593" s="1799"/>
      <c r="RKM3593" s="1799"/>
      <c r="RKN3593" s="1799"/>
      <c r="RKO3593" s="1799"/>
      <c r="RKP3593" s="1799"/>
      <c r="RKQ3593" s="1799"/>
      <c r="RKR3593" s="1799"/>
      <c r="RKS3593" s="1799"/>
      <c r="RKT3593" s="1799"/>
      <c r="RKU3593" s="1799"/>
      <c r="RKV3593" s="1799"/>
      <c r="RKW3593" s="1799"/>
      <c r="RKX3593" s="1799"/>
      <c r="RKY3593" s="1799"/>
      <c r="RKZ3593" s="1799"/>
      <c r="RLA3593" s="1799"/>
      <c r="RLB3593" s="1799"/>
      <c r="RLC3593" s="1799"/>
      <c r="RLD3593" s="1799"/>
      <c r="RLE3593" s="1799"/>
      <c r="RLF3593" s="1799"/>
      <c r="RLG3593" s="1799"/>
      <c r="RLH3593" s="1799"/>
      <c r="RLI3593" s="1799"/>
      <c r="RLJ3593" s="1799"/>
      <c r="RLK3593" s="1799"/>
      <c r="RLL3593" s="1799"/>
      <c r="RLM3593" s="1799"/>
      <c r="RLN3593" s="1799"/>
      <c r="RLO3593" s="1799"/>
      <c r="RLP3593" s="1799"/>
      <c r="RLQ3593" s="1799"/>
      <c r="RLR3593" s="1799"/>
      <c r="RLS3593" s="1799"/>
      <c r="RLT3593" s="1799"/>
      <c r="RLU3593" s="1799"/>
      <c r="RLV3593" s="1799"/>
      <c r="RLW3593" s="1799"/>
      <c r="RLX3593" s="1799"/>
      <c r="RLY3593" s="1799"/>
      <c r="RLZ3593" s="1799"/>
      <c r="RMA3593" s="1799"/>
      <c r="RMB3593" s="1799"/>
      <c r="RMC3593" s="1799"/>
      <c r="RMD3593" s="1799"/>
      <c r="RME3593" s="1799"/>
      <c r="RMF3593" s="1799"/>
      <c r="RMG3593" s="1799"/>
      <c r="RMH3593" s="1799"/>
      <c r="RMI3593" s="1799"/>
      <c r="RMJ3593" s="1799"/>
      <c r="RMK3593" s="1799"/>
      <c r="RML3593" s="1799"/>
      <c r="RMM3593" s="1799"/>
      <c r="RMN3593" s="1799"/>
      <c r="RMO3593" s="1799"/>
      <c r="RMP3593" s="1799"/>
      <c r="RMQ3593" s="1799"/>
      <c r="RMR3593" s="1799"/>
      <c r="RMS3593" s="1799"/>
      <c r="RMT3593" s="1799"/>
      <c r="RMU3593" s="1799"/>
      <c r="RMV3593" s="1799"/>
      <c r="RMW3593" s="1799"/>
      <c r="RMX3593" s="1799"/>
      <c r="RMY3593" s="1799"/>
      <c r="RMZ3593" s="1799"/>
      <c r="RNA3593" s="1799"/>
      <c r="RNB3593" s="1799"/>
      <c r="RNC3593" s="1799"/>
      <c r="RND3593" s="1799"/>
      <c r="RNE3593" s="1799"/>
      <c r="RNF3593" s="1799"/>
      <c r="RNG3593" s="1799"/>
      <c r="RNH3593" s="1799"/>
      <c r="RNI3593" s="1799"/>
      <c r="RNJ3593" s="1799"/>
      <c r="RNK3593" s="1799"/>
      <c r="RNL3593" s="1799"/>
      <c r="RNM3593" s="1799"/>
      <c r="RNN3593" s="1799"/>
      <c r="RNO3593" s="1799"/>
      <c r="RNP3593" s="1799"/>
      <c r="RNQ3593" s="1799"/>
      <c r="RNR3593" s="1799"/>
      <c r="RNS3593" s="1799"/>
      <c r="RNT3593" s="1799"/>
      <c r="RNU3593" s="1799"/>
      <c r="RNV3593" s="1799"/>
      <c r="RNW3593" s="1799"/>
      <c r="RNX3593" s="1799"/>
      <c r="RNY3593" s="1799"/>
      <c r="RNZ3593" s="1799"/>
      <c r="ROA3593" s="1799"/>
      <c r="ROB3593" s="1799"/>
      <c r="ROC3593" s="1799"/>
      <c r="ROD3593" s="1799"/>
      <c r="ROE3593" s="1799"/>
      <c r="ROF3593" s="1799"/>
      <c r="ROG3593" s="1799"/>
      <c r="ROH3593" s="1799"/>
      <c r="ROI3593" s="1799"/>
      <c r="ROJ3593" s="1799"/>
      <c r="ROK3593" s="1799"/>
      <c r="ROL3593" s="1799"/>
      <c r="ROM3593" s="1799"/>
      <c r="RON3593" s="1799"/>
      <c r="ROO3593" s="1799"/>
      <c r="ROP3593" s="1799"/>
      <c r="ROQ3593" s="1799"/>
      <c r="ROR3593" s="1799"/>
      <c r="ROS3593" s="1799"/>
      <c r="ROT3593" s="1799"/>
      <c r="ROU3593" s="1799"/>
      <c r="ROV3593" s="1799"/>
      <c r="ROW3593" s="1799"/>
      <c r="ROX3593" s="1799"/>
      <c r="ROY3593" s="1799"/>
      <c r="ROZ3593" s="1799"/>
      <c r="RPA3593" s="1799"/>
      <c r="RPB3593" s="1799"/>
      <c r="RPC3593" s="1799"/>
      <c r="RPD3593" s="1799"/>
      <c r="RPE3593" s="1799"/>
      <c r="RPF3593" s="1799"/>
      <c r="RPG3593" s="1799"/>
      <c r="RPH3593" s="1799"/>
      <c r="RPI3593" s="1799"/>
      <c r="RPJ3593" s="1799"/>
      <c r="RPK3593" s="1799"/>
      <c r="RPL3593" s="1799"/>
      <c r="RPM3593" s="1799"/>
      <c r="RPN3593" s="1799"/>
      <c r="RPO3593" s="1799"/>
      <c r="RPP3593" s="1799"/>
      <c r="RPQ3593" s="1799"/>
      <c r="RPR3593" s="1799"/>
      <c r="RPS3593" s="1799"/>
      <c r="RPT3593" s="1799"/>
      <c r="RPU3593" s="1799"/>
      <c r="RPV3593" s="1799"/>
      <c r="RPW3593" s="1799"/>
      <c r="RPX3593" s="1799"/>
      <c r="RPY3593" s="1799"/>
      <c r="RPZ3593" s="1799"/>
      <c r="RQA3593" s="1799"/>
      <c r="RQB3593" s="1799"/>
      <c r="RQC3593" s="1799"/>
      <c r="RQD3593" s="1799"/>
      <c r="RQE3593" s="1799"/>
      <c r="RQF3593" s="1799"/>
      <c r="RQG3593" s="1799"/>
      <c r="RQH3593" s="1799"/>
      <c r="RQI3593" s="1799"/>
      <c r="RQJ3593" s="1799"/>
      <c r="RQK3593" s="1799"/>
      <c r="RQL3593" s="1799"/>
      <c r="RQM3593" s="1799"/>
      <c r="RQN3593" s="1799"/>
      <c r="RQO3593" s="1799"/>
      <c r="RQP3593" s="1799"/>
      <c r="RQQ3593" s="1799"/>
      <c r="RQR3593" s="1799"/>
      <c r="RQS3593" s="1799"/>
      <c r="RQT3593" s="1799"/>
      <c r="RQU3593" s="1799"/>
      <c r="RQV3593" s="1799"/>
      <c r="RQW3593" s="1799"/>
      <c r="RQX3593" s="1799"/>
      <c r="RQY3593" s="1799"/>
      <c r="RQZ3593" s="1799"/>
      <c r="RRA3593" s="1799"/>
      <c r="RRB3593" s="1799"/>
      <c r="RRC3593" s="1799"/>
      <c r="RRD3593" s="1799"/>
      <c r="RRE3593" s="1799"/>
      <c r="RRF3593" s="1799"/>
      <c r="RRG3593" s="1799"/>
      <c r="RRH3593" s="1799"/>
      <c r="RRI3593" s="1799"/>
      <c r="RRJ3593" s="1799"/>
      <c r="RRK3593" s="1799"/>
      <c r="RRL3593" s="1799"/>
      <c r="RRM3593" s="1799"/>
      <c r="RRN3593" s="1799"/>
      <c r="RRO3593" s="1799"/>
      <c r="RRP3593" s="1799"/>
      <c r="RRQ3593" s="1799"/>
      <c r="RRR3593" s="1799"/>
      <c r="RRS3593" s="1799"/>
      <c r="RRT3593" s="1799"/>
      <c r="RRU3593" s="1799"/>
      <c r="RRV3593" s="1799"/>
      <c r="RRW3593" s="1799"/>
      <c r="RRX3593" s="1799"/>
      <c r="RRY3593" s="1799"/>
      <c r="RRZ3593" s="1799"/>
      <c r="RSA3593" s="1799"/>
      <c r="RSB3593" s="1799"/>
      <c r="RSC3593" s="1799"/>
      <c r="RSD3593" s="1799"/>
      <c r="RSE3593" s="1799"/>
      <c r="RSF3593" s="1799"/>
      <c r="RSG3593" s="1799"/>
      <c r="RSH3593" s="1799"/>
      <c r="RSI3593" s="1799"/>
      <c r="RSJ3593" s="1799"/>
      <c r="RSK3593" s="1799"/>
      <c r="RSL3593" s="1799"/>
      <c r="RSM3593" s="1799"/>
      <c r="RSN3593" s="1799"/>
      <c r="RSO3593" s="1799"/>
      <c r="RSP3593" s="1799"/>
      <c r="RSQ3593" s="1799"/>
      <c r="RSR3593" s="1799"/>
      <c r="RSS3593" s="1799"/>
      <c r="RST3593" s="1799"/>
      <c r="RSU3593" s="1799"/>
      <c r="RSV3593" s="1799"/>
      <c r="RSW3593" s="1799"/>
      <c r="RSX3593" s="1799"/>
      <c r="RSY3593" s="1799"/>
      <c r="RSZ3593" s="1799"/>
      <c r="RTA3593" s="1799"/>
      <c r="RTB3593" s="1799"/>
      <c r="RTC3593" s="1799"/>
      <c r="RTD3593" s="1799"/>
      <c r="RTE3593" s="1799"/>
      <c r="RTF3593" s="1799"/>
      <c r="RTG3593" s="1799"/>
      <c r="RTH3593" s="1799"/>
      <c r="RTI3593" s="1799"/>
      <c r="RTJ3593" s="1799"/>
      <c r="RTK3593" s="1799"/>
      <c r="RTL3593" s="1799"/>
      <c r="RTM3593" s="1799"/>
      <c r="RTN3593" s="1799"/>
      <c r="RTO3593" s="1799"/>
      <c r="RTP3593" s="1799"/>
      <c r="RTQ3593" s="1799"/>
      <c r="RTR3593" s="1799"/>
      <c r="RTS3593" s="1799"/>
      <c r="RTT3593" s="1799"/>
      <c r="RTU3593" s="1799"/>
      <c r="RTV3593" s="1799"/>
      <c r="RTW3593" s="1799"/>
      <c r="RTX3593" s="1799"/>
      <c r="RTY3593" s="1799"/>
      <c r="RTZ3593" s="1799"/>
      <c r="RUA3593" s="1799"/>
      <c r="RUB3593" s="1799"/>
      <c r="RUC3593" s="1799"/>
      <c r="RUD3593" s="1799"/>
      <c r="RUE3593" s="1799"/>
      <c r="RUF3593" s="1799"/>
      <c r="RUG3593" s="1799"/>
      <c r="RUH3593" s="1799"/>
      <c r="RUI3593" s="1799"/>
      <c r="RUJ3593" s="1799"/>
      <c r="RUK3593" s="1799"/>
      <c r="RUL3593" s="1799"/>
      <c r="RUM3593" s="1799"/>
      <c r="RUN3593" s="1799"/>
      <c r="RUO3593" s="1799"/>
      <c r="RUP3593" s="1799"/>
      <c r="RUQ3593" s="1799"/>
      <c r="RUR3593" s="1799"/>
      <c r="RUS3593" s="1799"/>
      <c r="RUT3593" s="1799"/>
      <c r="RUU3593" s="1799"/>
      <c r="RUV3593" s="1799"/>
      <c r="RUW3593" s="1799"/>
      <c r="RUX3593" s="1799"/>
      <c r="RUY3593" s="1799"/>
      <c r="RUZ3593" s="1799"/>
      <c r="RVA3593" s="1799"/>
      <c r="RVB3593" s="1799"/>
      <c r="RVC3593" s="1799"/>
      <c r="RVD3593" s="1799"/>
      <c r="RVE3593" s="1799"/>
      <c r="RVF3593" s="1799"/>
      <c r="RVG3593" s="1799"/>
      <c r="RVH3593" s="1799"/>
      <c r="RVI3593" s="1799"/>
      <c r="RVJ3593" s="1799"/>
      <c r="RVK3593" s="1799"/>
      <c r="RVL3593" s="1799"/>
      <c r="RVM3593" s="1799"/>
      <c r="RVN3593" s="1799"/>
      <c r="RVO3593" s="1799"/>
      <c r="RVP3593" s="1799"/>
      <c r="RVQ3593" s="1799"/>
      <c r="RVR3593" s="1799"/>
      <c r="RVS3593" s="1799"/>
      <c r="RVT3593" s="1799"/>
      <c r="RVU3593" s="1799"/>
      <c r="RVV3593" s="1799"/>
      <c r="RVW3593" s="1799"/>
      <c r="RVX3593" s="1799"/>
      <c r="RVY3593" s="1799"/>
      <c r="RVZ3593" s="1799"/>
      <c r="RWA3593" s="1799"/>
      <c r="RWB3593" s="1799"/>
      <c r="RWC3593" s="1799"/>
      <c r="RWD3593" s="1799"/>
      <c r="RWE3593" s="1799"/>
      <c r="RWF3593" s="1799"/>
      <c r="RWG3593" s="1799"/>
      <c r="RWH3593" s="1799"/>
      <c r="RWI3593" s="1799"/>
      <c r="RWJ3593" s="1799"/>
      <c r="RWK3593" s="1799"/>
      <c r="RWL3593" s="1799"/>
      <c r="RWM3593" s="1799"/>
      <c r="RWN3593" s="1799"/>
      <c r="RWO3593" s="1799"/>
      <c r="RWP3593" s="1799"/>
      <c r="RWQ3593" s="1799"/>
      <c r="RWR3593" s="1799"/>
      <c r="RWS3593" s="1799"/>
      <c r="RWT3593" s="1799"/>
      <c r="RWU3593" s="1799"/>
      <c r="RWV3593" s="1799"/>
      <c r="RWW3593" s="1799"/>
      <c r="RWX3593" s="1799"/>
      <c r="RWY3593" s="1799"/>
      <c r="RWZ3593" s="1799"/>
      <c r="RXA3593" s="1799"/>
      <c r="RXB3593" s="1799"/>
      <c r="RXC3593" s="1799"/>
      <c r="RXD3593" s="1799"/>
      <c r="RXE3593" s="1799"/>
      <c r="RXF3593" s="1799"/>
      <c r="RXG3593" s="1799"/>
      <c r="RXH3593" s="1799"/>
      <c r="RXI3593" s="1799"/>
      <c r="RXJ3593" s="1799"/>
      <c r="RXK3593" s="1799"/>
      <c r="RXL3593" s="1799"/>
      <c r="RXM3593" s="1799"/>
      <c r="RXN3593" s="1799"/>
      <c r="RXO3593" s="1799"/>
      <c r="RXP3593" s="1799"/>
      <c r="RXQ3593" s="1799"/>
      <c r="RXR3593" s="1799"/>
      <c r="RXS3593" s="1799"/>
      <c r="RXT3593" s="1799"/>
      <c r="RXU3593" s="1799"/>
      <c r="RXV3593" s="1799"/>
      <c r="RXW3593" s="1799"/>
      <c r="RXX3593" s="1799"/>
      <c r="RXY3593" s="1799"/>
      <c r="RXZ3593" s="1799"/>
      <c r="RYA3593" s="1799"/>
      <c r="RYB3593" s="1799"/>
      <c r="RYC3593" s="1799"/>
      <c r="RYD3593" s="1799"/>
      <c r="RYE3593" s="1799"/>
      <c r="RYF3593" s="1799"/>
      <c r="RYG3593" s="1799"/>
      <c r="RYH3593" s="1799"/>
      <c r="RYI3593" s="1799"/>
      <c r="RYJ3593" s="1799"/>
      <c r="RYK3593" s="1799"/>
      <c r="RYL3593" s="1799"/>
      <c r="RYM3593" s="1799"/>
      <c r="RYN3593" s="1799"/>
      <c r="RYO3593" s="1799"/>
      <c r="RYP3593" s="1799"/>
      <c r="RYQ3593" s="1799"/>
      <c r="RYR3593" s="1799"/>
      <c r="RYS3593" s="1799"/>
      <c r="RYT3593" s="1799"/>
      <c r="RYU3593" s="1799"/>
      <c r="RYV3593" s="1799"/>
      <c r="RYW3593" s="1799"/>
      <c r="RYX3593" s="1799"/>
      <c r="RYY3593" s="1799"/>
      <c r="RYZ3593" s="1799"/>
      <c r="RZA3593" s="1799"/>
      <c r="RZB3593" s="1799"/>
      <c r="RZC3593" s="1799"/>
      <c r="RZD3593" s="1799"/>
      <c r="RZE3593" s="1799"/>
      <c r="RZF3593" s="1799"/>
      <c r="RZG3593" s="1799"/>
      <c r="RZH3593" s="1799"/>
      <c r="RZI3593" s="1799"/>
      <c r="RZJ3593" s="1799"/>
      <c r="RZK3593" s="1799"/>
      <c r="RZL3593" s="1799"/>
      <c r="RZM3593" s="1799"/>
      <c r="RZN3593" s="1799"/>
      <c r="RZO3593" s="1799"/>
      <c r="RZP3593" s="1799"/>
      <c r="RZQ3593" s="1799"/>
      <c r="RZR3593" s="1799"/>
      <c r="RZS3593" s="1799"/>
      <c r="RZT3593" s="1799"/>
      <c r="RZU3593" s="1799"/>
      <c r="RZV3593" s="1799"/>
      <c r="RZW3593" s="1799"/>
      <c r="RZX3593" s="1799"/>
      <c r="RZY3593" s="1799"/>
      <c r="RZZ3593" s="1799"/>
      <c r="SAA3593" s="1799"/>
      <c r="SAB3593" s="1799"/>
      <c r="SAC3593" s="1799"/>
      <c r="SAD3593" s="1799"/>
      <c r="SAE3593" s="1799"/>
      <c r="SAF3593" s="1799"/>
      <c r="SAG3593" s="1799"/>
      <c r="SAH3593" s="1799"/>
      <c r="SAI3593" s="1799"/>
      <c r="SAJ3593" s="1799"/>
      <c r="SAK3593" s="1799"/>
      <c r="SAL3593" s="1799"/>
      <c r="SAM3593" s="1799"/>
      <c r="SAN3593" s="1799"/>
      <c r="SAO3593" s="1799"/>
      <c r="SAP3593" s="1799"/>
      <c r="SAQ3593" s="1799"/>
      <c r="SAR3593" s="1799"/>
      <c r="SAS3593" s="1799"/>
      <c r="SAT3593" s="1799"/>
      <c r="SAU3593" s="1799"/>
      <c r="SAV3593" s="1799"/>
      <c r="SAW3593" s="1799"/>
      <c r="SAX3593" s="1799"/>
      <c r="SAY3593" s="1799"/>
      <c r="SAZ3593" s="1799"/>
      <c r="SBA3593" s="1799"/>
      <c r="SBB3593" s="1799"/>
      <c r="SBC3593" s="1799"/>
      <c r="SBD3593" s="1799"/>
      <c r="SBE3593" s="1799"/>
      <c r="SBF3593" s="1799"/>
      <c r="SBG3593" s="1799"/>
      <c r="SBH3593" s="1799"/>
      <c r="SBI3593" s="1799"/>
      <c r="SBJ3593" s="1799"/>
      <c r="SBK3593" s="1799"/>
      <c r="SBL3593" s="1799"/>
      <c r="SBM3593" s="1799"/>
      <c r="SBN3593" s="1799"/>
      <c r="SBO3593" s="1799"/>
      <c r="SBP3593" s="1799"/>
      <c r="SBQ3593" s="1799"/>
      <c r="SBR3593" s="1799"/>
      <c r="SBS3593" s="1799"/>
      <c r="SBT3593" s="1799"/>
      <c r="SBU3593" s="1799"/>
      <c r="SBV3593" s="1799"/>
      <c r="SBW3593" s="1799"/>
      <c r="SBX3593" s="1799"/>
      <c r="SBY3593" s="1799"/>
      <c r="SBZ3593" s="1799"/>
      <c r="SCA3593" s="1799"/>
      <c r="SCB3593" s="1799"/>
      <c r="SCC3593" s="1799"/>
      <c r="SCD3593" s="1799"/>
      <c r="SCE3593" s="1799"/>
      <c r="SCF3593" s="1799"/>
      <c r="SCG3593" s="1799"/>
      <c r="SCH3593" s="1799"/>
      <c r="SCI3593" s="1799"/>
      <c r="SCJ3593" s="1799"/>
      <c r="SCK3593" s="1799"/>
      <c r="SCL3593" s="1799"/>
      <c r="SCM3593" s="1799"/>
      <c r="SCN3593" s="1799"/>
      <c r="SCO3593" s="1799"/>
      <c r="SCP3593" s="1799"/>
      <c r="SCQ3593" s="1799"/>
      <c r="SCR3593" s="1799"/>
      <c r="SCS3593" s="1799"/>
      <c r="SCT3593" s="1799"/>
      <c r="SCU3593" s="1799"/>
      <c r="SCV3593" s="1799"/>
      <c r="SCW3593" s="1799"/>
      <c r="SCX3593" s="1799"/>
      <c r="SCY3593" s="1799"/>
      <c r="SCZ3593" s="1799"/>
      <c r="SDA3593" s="1799"/>
      <c r="SDB3593" s="1799"/>
      <c r="SDC3593" s="1799"/>
      <c r="SDD3593" s="1799"/>
      <c r="SDE3593" s="1799"/>
      <c r="SDF3593" s="1799"/>
      <c r="SDG3593" s="1799"/>
      <c r="SDH3593" s="1799"/>
      <c r="SDI3593" s="1799"/>
      <c r="SDJ3593" s="1799"/>
      <c r="SDK3593" s="1799"/>
      <c r="SDL3593" s="1799"/>
      <c r="SDM3593" s="1799"/>
      <c r="SDN3593" s="1799"/>
      <c r="SDO3593" s="1799"/>
      <c r="SDP3593" s="1799"/>
      <c r="SDQ3593" s="1799"/>
      <c r="SDR3593" s="1799"/>
      <c r="SDS3593" s="1799"/>
      <c r="SDT3593" s="1799"/>
      <c r="SDU3593" s="1799"/>
      <c r="SDV3593" s="1799"/>
      <c r="SDW3593" s="1799"/>
      <c r="SDX3593" s="1799"/>
      <c r="SDY3593" s="1799"/>
      <c r="SDZ3593" s="1799"/>
      <c r="SEA3593" s="1799"/>
      <c r="SEB3593" s="1799"/>
      <c r="SEC3593" s="1799"/>
      <c r="SED3593" s="1799"/>
      <c r="SEE3593" s="1799"/>
      <c r="SEF3593" s="1799"/>
      <c r="SEG3593" s="1799"/>
      <c r="SEH3593" s="1799"/>
      <c r="SEI3593" s="1799"/>
      <c r="SEJ3593" s="1799"/>
      <c r="SEK3593" s="1799"/>
      <c r="SEL3593" s="1799"/>
      <c r="SEM3593" s="1799"/>
      <c r="SEN3593" s="1799"/>
      <c r="SEO3593" s="1799"/>
      <c r="SEP3593" s="1799"/>
      <c r="SEQ3593" s="1799"/>
      <c r="SER3593" s="1799"/>
      <c r="SES3593" s="1799"/>
      <c r="SET3593" s="1799"/>
      <c r="SEU3593" s="1799"/>
      <c r="SEV3593" s="1799"/>
      <c r="SEW3593" s="1799"/>
      <c r="SEX3593" s="1799"/>
      <c r="SEY3593" s="1799"/>
      <c r="SEZ3593" s="1799"/>
      <c r="SFA3593" s="1799"/>
      <c r="SFB3593" s="1799"/>
      <c r="SFC3593" s="1799"/>
      <c r="SFD3593" s="1799"/>
      <c r="SFE3593" s="1799"/>
      <c r="SFF3593" s="1799"/>
      <c r="SFG3593" s="1799"/>
      <c r="SFH3593" s="1799"/>
      <c r="SFI3593" s="1799"/>
      <c r="SFJ3593" s="1799"/>
      <c r="SFK3593" s="1799"/>
      <c r="SFL3593" s="1799"/>
      <c r="SFM3593" s="1799"/>
      <c r="SFN3593" s="1799"/>
      <c r="SFO3593" s="1799"/>
      <c r="SFP3593" s="1799"/>
      <c r="SFQ3593" s="1799"/>
      <c r="SFR3593" s="1799"/>
      <c r="SFS3593" s="1799"/>
      <c r="SFT3593" s="1799"/>
      <c r="SFU3593" s="1799"/>
      <c r="SFV3593" s="1799"/>
      <c r="SFW3593" s="1799"/>
      <c r="SFX3593" s="1799"/>
      <c r="SFY3593" s="1799"/>
      <c r="SFZ3593" s="1799"/>
      <c r="SGA3593" s="1799"/>
      <c r="SGB3593" s="1799"/>
      <c r="SGC3593" s="1799"/>
      <c r="SGD3593" s="1799"/>
      <c r="SGE3593" s="1799"/>
      <c r="SGF3593" s="1799"/>
      <c r="SGG3593" s="1799"/>
      <c r="SGH3593" s="1799"/>
      <c r="SGI3593" s="1799"/>
      <c r="SGJ3593" s="1799"/>
      <c r="SGK3593" s="1799"/>
      <c r="SGL3593" s="1799"/>
      <c r="SGM3593" s="1799"/>
      <c r="SGN3593" s="1799"/>
      <c r="SGO3593" s="1799"/>
      <c r="SGP3593" s="1799"/>
      <c r="SGQ3593" s="1799"/>
      <c r="SGR3593" s="1799"/>
      <c r="SGS3593" s="1799"/>
      <c r="SGT3593" s="1799"/>
      <c r="SGU3593" s="1799"/>
      <c r="SGV3593" s="1799"/>
      <c r="SGW3593" s="1799"/>
      <c r="SGX3593" s="1799"/>
      <c r="SGY3593" s="1799"/>
      <c r="SGZ3593" s="1799"/>
      <c r="SHA3593" s="1799"/>
      <c r="SHB3593" s="1799"/>
      <c r="SHC3593" s="1799"/>
      <c r="SHD3593" s="1799"/>
      <c r="SHE3593" s="1799"/>
      <c r="SHF3593" s="1799"/>
      <c r="SHG3593" s="1799"/>
      <c r="SHH3593" s="1799"/>
      <c r="SHI3593" s="1799"/>
      <c r="SHJ3593" s="1799"/>
      <c r="SHK3593" s="1799"/>
      <c r="SHL3593" s="1799"/>
      <c r="SHM3593" s="1799"/>
      <c r="SHN3593" s="1799"/>
      <c r="SHO3593" s="1799"/>
      <c r="SHP3593" s="1799"/>
      <c r="SHQ3593" s="1799"/>
      <c r="SHR3593" s="1799"/>
      <c r="SHS3593" s="1799"/>
      <c r="SHT3593" s="1799"/>
      <c r="SHU3593" s="1799"/>
      <c r="SHV3593" s="1799"/>
      <c r="SHW3593" s="1799"/>
      <c r="SHX3593" s="1799"/>
      <c r="SHY3593" s="1799"/>
      <c r="SHZ3593" s="1799"/>
      <c r="SIA3593" s="1799"/>
      <c r="SIB3593" s="1799"/>
      <c r="SIC3593" s="1799"/>
      <c r="SID3593" s="1799"/>
      <c r="SIE3593" s="1799"/>
      <c r="SIF3593" s="1799"/>
      <c r="SIG3593" s="1799"/>
      <c r="SIH3593" s="1799"/>
      <c r="SII3593" s="1799"/>
      <c r="SIJ3593" s="1799"/>
      <c r="SIK3593" s="1799"/>
      <c r="SIL3593" s="1799"/>
      <c r="SIM3593" s="1799"/>
      <c r="SIN3593" s="1799"/>
      <c r="SIO3593" s="1799"/>
      <c r="SIP3593" s="1799"/>
      <c r="SIQ3593" s="1799"/>
      <c r="SIR3593" s="1799"/>
      <c r="SIS3593" s="1799"/>
      <c r="SIT3593" s="1799"/>
      <c r="SIU3593" s="1799"/>
      <c r="SIV3593" s="1799"/>
      <c r="SIW3593" s="1799"/>
      <c r="SIX3593" s="1799"/>
      <c r="SIY3593" s="1799"/>
      <c r="SIZ3593" s="1799"/>
      <c r="SJA3593" s="1799"/>
      <c r="SJB3593" s="1799"/>
      <c r="SJC3593" s="1799"/>
      <c r="SJD3593" s="1799"/>
      <c r="SJE3593" s="1799"/>
      <c r="SJF3593" s="1799"/>
      <c r="SJG3593" s="1799"/>
      <c r="SJH3593" s="1799"/>
      <c r="SJI3593" s="1799"/>
      <c r="SJJ3593" s="1799"/>
      <c r="SJK3593" s="1799"/>
      <c r="SJL3593" s="1799"/>
      <c r="SJM3593" s="1799"/>
      <c r="SJN3593" s="1799"/>
      <c r="SJO3593" s="1799"/>
      <c r="SJP3593" s="1799"/>
      <c r="SJQ3593" s="1799"/>
      <c r="SJR3593" s="1799"/>
      <c r="SJS3593" s="1799"/>
      <c r="SJT3593" s="1799"/>
      <c r="SJU3593" s="1799"/>
      <c r="SJV3593" s="1799"/>
      <c r="SJW3593" s="1799"/>
      <c r="SJX3593" s="1799"/>
      <c r="SJY3593" s="1799"/>
      <c r="SJZ3593" s="1799"/>
      <c r="SKA3593" s="1799"/>
      <c r="SKB3593" s="1799"/>
      <c r="SKC3593" s="1799"/>
      <c r="SKD3593" s="1799"/>
      <c r="SKE3593" s="1799"/>
      <c r="SKF3593" s="1799"/>
      <c r="SKG3593" s="1799"/>
      <c r="SKH3593" s="1799"/>
      <c r="SKI3593" s="1799"/>
      <c r="SKJ3593" s="1799"/>
      <c r="SKK3593" s="1799"/>
      <c r="SKL3593" s="1799"/>
      <c r="SKM3593" s="1799"/>
      <c r="SKN3593" s="1799"/>
      <c r="SKO3593" s="1799"/>
      <c r="SKP3593" s="1799"/>
      <c r="SKQ3593" s="1799"/>
      <c r="SKR3593" s="1799"/>
      <c r="SKS3593" s="1799"/>
      <c r="SKT3593" s="1799"/>
      <c r="SKU3593" s="1799"/>
      <c r="SKV3593" s="1799"/>
      <c r="SKW3593" s="1799"/>
      <c r="SKX3593" s="1799"/>
      <c r="SKY3593" s="1799"/>
      <c r="SKZ3593" s="1799"/>
      <c r="SLA3593" s="1799"/>
      <c r="SLB3593" s="1799"/>
      <c r="SLC3593" s="1799"/>
      <c r="SLD3593" s="1799"/>
      <c r="SLE3593" s="1799"/>
      <c r="SLF3593" s="1799"/>
      <c r="SLG3593" s="1799"/>
      <c r="SLH3593" s="1799"/>
      <c r="SLI3593" s="1799"/>
      <c r="SLJ3593" s="1799"/>
      <c r="SLK3593" s="1799"/>
      <c r="SLL3593" s="1799"/>
      <c r="SLM3593" s="1799"/>
      <c r="SLN3593" s="1799"/>
      <c r="SLO3593" s="1799"/>
      <c r="SLP3593" s="1799"/>
      <c r="SLQ3593" s="1799"/>
      <c r="SLR3593" s="1799"/>
      <c r="SLS3593" s="1799"/>
      <c r="SLT3593" s="1799"/>
      <c r="SLU3593" s="1799"/>
      <c r="SLV3593" s="1799"/>
      <c r="SLW3593" s="1799"/>
      <c r="SLX3593" s="1799"/>
      <c r="SLY3593" s="1799"/>
      <c r="SLZ3593" s="1799"/>
      <c r="SMA3593" s="1799"/>
      <c r="SMB3593" s="1799"/>
      <c r="SMC3593" s="1799"/>
      <c r="SMD3593" s="1799"/>
      <c r="SME3593" s="1799"/>
      <c r="SMF3593" s="1799"/>
      <c r="SMG3593" s="1799"/>
      <c r="SMH3593" s="1799"/>
      <c r="SMI3593" s="1799"/>
      <c r="SMJ3593" s="1799"/>
      <c r="SMK3593" s="1799"/>
      <c r="SML3593" s="1799"/>
      <c r="SMM3593" s="1799"/>
      <c r="SMN3593" s="1799"/>
      <c r="SMO3593" s="1799"/>
      <c r="SMP3593" s="1799"/>
      <c r="SMQ3593" s="1799"/>
      <c r="SMR3593" s="1799"/>
      <c r="SMS3593" s="1799"/>
      <c r="SMT3593" s="1799"/>
      <c r="SMU3593" s="1799"/>
      <c r="SMV3593" s="1799"/>
      <c r="SMW3593" s="1799"/>
      <c r="SMX3593" s="1799"/>
      <c r="SMY3593" s="1799"/>
      <c r="SMZ3593" s="1799"/>
      <c r="SNA3593" s="1799"/>
      <c r="SNB3593" s="1799"/>
      <c r="SNC3593" s="1799"/>
      <c r="SND3593" s="1799"/>
      <c r="SNE3593" s="1799"/>
      <c r="SNF3593" s="1799"/>
      <c r="SNG3593" s="1799"/>
      <c r="SNH3593" s="1799"/>
      <c r="SNI3593" s="1799"/>
      <c r="SNJ3593" s="1799"/>
      <c r="SNK3593" s="1799"/>
      <c r="SNL3593" s="1799"/>
      <c r="SNM3593" s="1799"/>
      <c r="SNN3593" s="1799"/>
      <c r="SNO3593" s="1799"/>
      <c r="SNP3593" s="1799"/>
      <c r="SNQ3593" s="1799"/>
      <c r="SNR3593" s="1799"/>
      <c r="SNS3593" s="1799"/>
      <c r="SNT3593" s="1799"/>
      <c r="SNU3593" s="1799"/>
      <c r="SNV3593" s="1799"/>
      <c r="SNW3593" s="1799"/>
      <c r="SNX3593" s="1799"/>
      <c r="SNY3593" s="1799"/>
      <c r="SNZ3593" s="1799"/>
      <c r="SOA3593" s="1799"/>
      <c r="SOB3593" s="1799"/>
      <c r="SOC3593" s="1799"/>
      <c r="SOD3593" s="1799"/>
      <c r="SOE3593" s="1799"/>
      <c r="SOF3593" s="1799"/>
      <c r="SOG3593" s="1799"/>
      <c r="SOH3593" s="1799"/>
      <c r="SOI3593" s="1799"/>
      <c r="SOJ3593" s="1799"/>
      <c r="SOK3593" s="1799"/>
      <c r="SOL3593" s="1799"/>
      <c r="SOM3593" s="1799"/>
      <c r="SON3593" s="1799"/>
      <c r="SOO3593" s="1799"/>
      <c r="SOP3593" s="1799"/>
      <c r="SOQ3593" s="1799"/>
      <c r="SOR3593" s="1799"/>
      <c r="SOS3593" s="1799"/>
      <c r="SOT3593" s="1799"/>
      <c r="SOU3593" s="1799"/>
      <c r="SOV3593" s="1799"/>
      <c r="SOW3593" s="1799"/>
      <c r="SOX3593" s="1799"/>
      <c r="SOY3593" s="1799"/>
      <c r="SOZ3593" s="1799"/>
      <c r="SPA3593" s="1799"/>
      <c r="SPB3593" s="1799"/>
      <c r="SPC3593" s="1799"/>
      <c r="SPD3593" s="1799"/>
      <c r="SPE3593" s="1799"/>
      <c r="SPF3593" s="1799"/>
      <c r="SPG3593" s="1799"/>
      <c r="SPH3593" s="1799"/>
      <c r="SPI3593" s="1799"/>
      <c r="SPJ3593" s="1799"/>
      <c r="SPK3593" s="1799"/>
      <c r="SPL3593" s="1799"/>
      <c r="SPM3593" s="1799"/>
      <c r="SPN3593" s="1799"/>
      <c r="SPO3593" s="1799"/>
      <c r="SPP3593" s="1799"/>
      <c r="SPQ3593" s="1799"/>
      <c r="SPR3593" s="1799"/>
      <c r="SPS3593" s="1799"/>
      <c r="SPT3593" s="1799"/>
      <c r="SPU3593" s="1799"/>
      <c r="SPV3593" s="1799"/>
      <c r="SPW3593" s="1799"/>
      <c r="SPX3593" s="1799"/>
      <c r="SPY3593" s="1799"/>
      <c r="SPZ3593" s="1799"/>
      <c r="SQA3593" s="1799"/>
      <c r="SQB3593" s="1799"/>
      <c r="SQC3593" s="1799"/>
      <c r="SQD3593" s="1799"/>
      <c r="SQE3593" s="1799"/>
      <c r="SQF3593" s="1799"/>
      <c r="SQG3593" s="1799"/>
      <c r="SQH3593" s="1799"/>
      <c r="SQI3593" s="1799"/>
      <c r="SQJ3593" s="1799"/>
      <c r="SQK3593" s="1799"/>
      <c r="SQL3593" s="1799"/>
      <c r="SQM3593" s="1799"/>
      <c r="SQN3593" s="1799"/>
      <c r="SQO3593" s="1799"/>
      <c r="SQP3593" s="1799"/>
      <c r="SQQ3593" s="1799"/>
      <c r="SQR3593" s="1799"/>
      <c r="SQS3593" s="1799"/>
      <c r="SQT3593" s="1799"/>
      <c r="SQU3593" s="1799"/>
      <c r="SQV3593" s="1799"/>
      <c r="SQW3593" s="1799"/>
      <c r="SQX3593" s="1799"/>
      <c r="SQY3593" s="1799"/>
      <c r="SQZ3593" s="1799"/>
      <c r="SRA3593" s="1799"/>
      <c r="SRB3593" s="1799"/>
      <c r="SRC3593" s="1799"/>
      <c r="SRD3593" s="1799"/>
      <c r="SRE3593" s="1799"/>
      <c r="SRF3593" s="1799"/>
      <c r="SRG3593" s="1799"/>
      <c r="SRH3593" s="1799"/>
      <c r="SRI3593" s="1799"/>
      <c r="SRJ3593" s="1799"/>
      <c r="SRK3593" s="1799"/>
      <c r="SRL3593" s="1799"/>
      <c r="SRM3593" s="1799"/>
      <c r="SRN3593" s="1799"/>
      <c r="SRO3593" s="1799"/>
      <c r="SRP3593" s="1799"/>
      <c r="SRQ3593" s="1799"/>
      <c r="SRR3593" s="1799"/>
      <c r="SRS3593" s="1799"/>
      <c r="SRT3593" s="1799"/>
      <c r="SRU3593" s="1799"/>
      <c r="SRV3593" s="1799"/>
      <c r="SRW3593" s="1799"/>
      <c r="SRX3593" s="1799"/>
      <c r="SRY3593" s="1799"/>
      <c r="SRZ3593" s="1799"/>
      <c r="SSA3593" s="1799"/>
      <c r="SSB3593" s="1799"/>
      <c r="SSC3593" s="1799"/>
      <c r="SSD3593" s="1799"/>
      <c r="SSE3593" s="1799"/>
      <c r="SSF3593" s="1799"/>
      <c r="SSG3593" s="1799"/>
      <c r="SSH3593" s="1799"/>
      <c r="SSI3593" s="1799"/>
      <c r="SSJ3593" s="1799"/>
      <c r="SSK3593" s="1799"/>
      <c r="SSL3593" s="1799"/>
      <c r="SSM3593" s="1799"/>
      <c r="SSN3593" s="1799"/>
      <c r="SSO3593" s="1799"/>
      <c r="SSP3593" s="1799"/>
      <c r="SSQ3593" s="1799"/>
      <c r="SSR3593" s="1799"/>
      <c r="SSS3593" s="1799"/>
      <c r="SST3593" s="1799"/>
      <c r="SSU3593" s="1799"/>
      <c r="SSV3593" s="1799"/>
      <c r="SSW3593" s="1799"/>
      <c r="SSX3593" s="1799"/>
      <c r="SSY3593" s="1799"/>
      <c r="SSZ3593" s="1799"/>
      <c r="STA3593" s="1799"/>
      <c r="STB3593" s="1799"/>
      <c r="STC3593" s="1799"/>
      <c r="STD3593" s="1799"/>
      <c r="STE3593" s="1799"/>
      <c r="STF3593" s="1799"/>
      <c r="STG3593" s="1799"/>
      <c r="STH3593" s="1799"/>
      <c r="STI3593" s="1799"/>
      <c r="STJ3593" s="1799"/>
      <c r="STK3593" s="1799"/>
      <c r="STL3593" s="1799"/>
      <c r="STM3593" s="1799"/>
      <c r="STN3593" s="1799"/>
      <c r="STO3593" s="1799"/>
      <c r="STP3593" s="1799"/>
      <c r="STQ3593" s="1799"/>
      <c r="STR3593" s="1799"/>
      <c r="STS3593" s="1799"/>
      <c r="STT3593" s="1799"/>
      <c r="STU3593" s="1799"/>
      <c r="STV3593" s="1799"/>
      <c r="STW3593" s="1799"/>
      <c r="STX3593" s="1799"/>
      <c r="STY3593" s="1799"/>
      <c r="STZ3593" s="1799"/>
      <c r="SUA3593" s="1799"/>
      <c r="SUB3593" s="1799"/>
      <c r="SUC3593" s="1799"/>
      <c r="SUD3593" s="1799"/>
      <c r="SUE3593" s="1799"/>
      <c r="SUF3593" s="1799"/>
      <c r="SUG3593" s="1799"/>
      <c r="SUH3593" s="1799"/>
      <c r="SUI3593" s="1799"/>
      <c r="SUJ3593" s="1799"/>
      <c r="SUK3593" s="1799"/>
      <c r="SUL3593" s="1799"/>
      <c r="SUM3593" s="1799"/>
      <c r="SUN3593" s="1799"/>
      <c r="SUO3593" s="1799"/>
      <c r="SUP3593" s="1799"/>
      <c r="SUQ3593" s="1799"/>
      <c r="SUR3593" s="1799"/>
      <c r="SUS3593" s="1799"/>
      <c r="SUT3593" s="1799"/>
      <c r="SUU3593" s="1799"/>
      <c r="SUV3593" s="1799"/>
      <c r="SUW3593" s="1799"/>
      <c r="SUX3593" s="1799"/>
      <c r="SUY3593" s="1799"/>
      <c r="SUZ3593" s="1799"/>
      <c r="SVA3593" s="1799"/>
      <c r="SVB3593" s="1799"/>
      <c r="SVC3593" s="1799"/>
      <c r="SVD3593" s="1799"/>
      <c r="SVE3593" s="1799"/>
      <c r="SVF3593" s="1799"/>
      <c r="SVG3593" s="1799"/>
      <c r="SVH3593" s="1799"/>
      <c r="SVI3593" s="1799"/>
      <c r="SVJ3593" s="1799"/>
      <c r="SVK3593" s="1799"/>
      <c r="SVL3593" s="1799"/>
      <c r="SVM3593" s="1799"/>
      <c r="SVN3593" s="1799"/>
      <c r="SVO3593" s="1799"/>
      <c r="SVP3593" s="1799"/>
      <c r="SVQ3593" s="1799"/>
      <c r="SVR3593" s="1799"/>
      <c r="SVS3593" s="1799"/>
      <c r="SVT3593" s="1799"/>
      <c r="SVU3593" s="1799"/>
      <c r="SVV3593" s="1799"/>
      <c r="SVW3593" s="1799"/>
      <c r="SVX3593" s="1799"/>
      <c r="SVY3593" s="1799"/>
      <c r="SVZ3593" s="1799"/>
      <c r="SWA3593" s="1799"/>
      <c r="SWB3593" s="1799"/>
      <c r="SWC3593" s="1799"/>
      <c r="SWD3593" s="1799"/>
      <c r="SWE3593" s="1799"/>
      <c r="SWF3593" s="1799"/>
      <c r="SWG3593" s="1799"/>
      <c r="SWH3593" s="1799"/>
      <c r="SWI3593" s="1799"/>
      <c r="SWJ3593" s="1799"/>
      <c r="SWK3593" s="1799"/>
      <c r="SWL3593" s="1799"/>
      <c r="SWM3593" s="1799"/>
      <c r="SWN3593" s="1799"/>
      <c r="SWO3593" s="1799"/>
      <c r="SWP3593" s="1799"/>
      <c r="SWQ3593" s="1799"/>
      <c r="SWR3593" s="1799"/>
      <c r="SWS3593" s="1799"/>
      <c r="SWT3593" s="1799"/>
      <c r="SWU3593" s="1799"/>
      <c r="SWV3593" s="1799"/>
      <c r="SWW3593" s="1799"/>
      <c r="SWX3593" s="1799"/>
      <c r="SWY3593" s="1799"/>
      <c r="SWZ3593" s="1799"/>
      <c r="SXA3593" s="1799"/>
      <c r="SXB3593" s="1799"/>
      <c r="SXC3593" s="1799"/>
      <c r="SXD3593" s="1799"/>
      <c r="SXE3593" s="1799"/>
      <c r="SXF3593" s="1799"/>
      <c r="SXG3593" s="1799"/>
      <c r="SXH3593" s="1799"/>
      <c r="SXI3593" s="1799"/>
      <c r="SXJ3593" s="1799"/>
      <c r="SXK3593" s="1799"/>
      <c r="SXL3593" s="1799"/>
      <c r="SXM3593" s="1799"/>
      <c r="SXN3593" s="1799"/>
      <c r="SXO3593" s="1799"/>
      <c r="SXP3593" s="1799"/>
      <c r="SXQ3593" s="1799"/>
      <c r="SXR3593" s="1799"/>
      <c r="SXS3593" s="1799"/>
      <c r="SXT3593" s="1799"/>
      <c r="SXU3593" s="1799"/>
      <c r="SXV3593" s="1799"/>
      <c r="SXW3593" s="1799"/>
      <c r="SXX3593" s="1799"/>
      <c r="SXY3593" s="1799"/>
      <c r="SXZ3593" s="1799"/>
      <c r="SYA3593" s="1799"/>
      <c r="SYB3593" s="1799"/>
      <c r="SYC3593" s="1799"/>
      <c r="SYD3593" s="1799"/>
      <c r="SYE3593" s="1799"/>
      <c r="SYF3593" s="1799"/>
      <c r="SYG3593" s="1799"/>
      <c r="SYH3593" s="1799"/>
      <c r="SYI3593" s="1799"/>
      <c r="SYJ3593" s="1799"/>
      <c r="SYK3593" s="1799"/>
      <c r="SYL3593" s="1799"/>
      <c r="SYM3593" s="1799"/>
      <c r="SYN3593" s="1799"/>
      <c r="SYO3593" s="1799"/>
      <c r="SYP3593" s="1799"/>
      <c r="SYQ3593" s="1799"/>
      <c r="SYR3593" s="1799"/>
      <c r="SYS3593" s="1799"/>
      <c r="SYT3593" s="1799"/>
      <c r="SYU3593" s="1799"/>
      <c r="SYV3593" s="1799"/>
      <c r="SYW3593" s="1799"/>
      <c r="SYX3593" s="1799"/>
      <c r="SYY3593" s="1799"/>
      <c r="SYZ3593" s="1799"/>
      <c r="SZA3593" s="1799"/>
      <c r="SZB3593" s="1799"/>
      <c r="SZC3593" s="1799"/>
      <c r="SZD3593" s="1799"/>
      <c r="SZE3593" s="1799"/>
      <c r="SZF3593" s="1799"/>
      <c r="SZG3593" s="1799"/>
      <c r="SZH3593" s="1799"/>
      <c r="SZI3593" s="1799"/>
      <c r="SZJ3593" s="1799"/>
      <c r="SZK3593" s="1799"/>
      <c r="SZL3593" s="1799"/>
      <c r="SZM3593" s="1799"/>
      <c r="SZN3593" s="1799"/>
      <c r="SZO3593" s="1799"/>
      <c r="SZP3593" s="1799"/>
      <c r="SZQ3593" s="1799"/>
      <c r="SZR3593" s="1799"/>
      <c r="SZS3593" s="1799"/>
      <c r="SZT3593" s="1799"/>
      <c r="SZU3593" s="1799"/>
      <c r="SZV3593" s="1799"/>
      <c r="SZW3593" s="1799"/>
      <c r="SZX3593" s="1799"/>
      <c r="SZY3593" s="1799"/>
      <c r="SZZ3593" s="1799"/>
      <c r="TAA3593" s="1799"/>
      <c r="TAB3593" s="1799"/>
      <c r="TAC3593" s="1799"/>
      <c r="TAD3593" s="1799"/>
      <c r="TAE3593" s="1799"/>
      <c r="TAF3593" s="1799"/>
      <c r="TAG3593" s="1799"/>
      <c r="TAH3593" s="1799"/>
      <c r="TAI3593" s="1799"/>
      <c r="TAJ3593" s="1799"/>
      <c r="TAK3593" s="1799"/>
      <c r="TAL3593" s="1799"/>
      <c r="TAM3593" s="1799"/>
      <c r="TAN3593" s="1799"/>
      <c r="TAO3593" s="1799"/>
      <c r="TAP3593" s="1799"/>
      <c r="TAQ3593" s="1799"/>
      <c r="TAR3593" s="1799"/>
      <c r="TAS3593" s="1799"/>
      <c r="TAT3593" s="1799"/>
      <c r="TAU3593" s="1799"/>
      <c r="TAV3593" s="1799"/>
      <c r="TAW3593" s="1799"/>
      <c r="TAX3593" s="1799"/>
      <c r="TAY3593" s="1799"/>
      <c r="TAZ3593" s="1799"/>
      <c r="TBA3593" s="1799"/>
      <c r="TBB3593" s="1799"/>
      <c r="TBC3593" s="1799"/>
      <c r="TBD3593" s="1799"/>
      <c r="TBE3593" s="1799"/>
      <c r="TBF3593" s="1799"/>
      <c r="TBG3593" s="1799"/>
      <c r="TBH3593" s="1799"/>
      <c r="TBI3593" s="1799"/>
      <c r="TBJ3593" s="1799"/>
      <c r="TBK3593" s="1799"/>
      <c r="TBL3593" s="1799"/>
      <c r="TBM3593" s="1799"/>
      <c r="TBN3593" s="1799"/>
      <c r="TBO3593" s="1799"/>
      <c r="TBP3593" s="1799"/>
      <c r="TBQ3593" s="1799"/>
      <c r="TBR3593" s="1799"/>
      <c r="TBS3593" s="1799"/>
      <c r="TBT3593" s="1799"/>
      <c r="TBU3593" s="1799"/>
      <c r="TBV3593" s="1799"/>
      <c r="TBW3593" s="1799"/>
      <c r="TBX3593" s="1799"/>
      <c r="TBY3593" s="1799"/>
      <c r="TBZ3593" s="1799"/>
      <c r="TCA3593" s="1799"/>
      <c r="TCB3593" s="1799"/>
      <c r="TCC3593" s="1799"/>
      <c r="TCD3593" s="1799"/>
      <c r="TCE3593" s="1799"/>
      <c r="TCF3593" s="1799"/>
      <c r="TCG3593" s="1799"/>
      <c r="TCH3593" s="1799"/>
      <c r="TCI3593" s="1799"/>
      <c r="TCJ3593" s="1799"/>
      <c r="TCK3593" s="1799"/>
      <c r="TCL3593" s="1799"/>
      <c r="TCM3593" s="1799"/>
      <c r="TCN3593" s="1799"/>
      <c r="TCO3593" s="1799"/>
      <c r="TCP3593" s="1799"/>
      <c r="TCQ3593" s="1799"/>
      <c r="TCR3593" s="1799"/>
      <c r="TCS3593" s="1799"/>
      <c r="TCT3593" s="1799"/>
      <c r="TCU3593" s="1799"/>
      <c r="TCV3593" s="1799"/>
      <c r="TCW3593" s="1799"/>
      <c r="TCX3593" s="1799"/>
      <c r="TCY3593" s="1799"/>
      <c r="TCZ3593" s="1799"/>
      <c r="TDA3593" s="1799"/>
      <c r="TDB3593" s="1799"/>
      <c r="TDC3593" s="1799"/>
      <c r="TDD3593" s="1799"/>
      <c r="TDE3593" s="1799"/>
      <c r="TDF3593" s="1799"/>
      <c r="TDG3593" s="1799"/>
      <c r="TDH3593" s="1799"/>
      <c r="TDI3593" s="1799"/>
      <c r="TDJ3593" s="1799"/>
      <c r="TDK3593" s="1799"/>
      <c r="TDL3593" s="1799"/>
      <c r="TDM3593" s="1799"/>
      <c r="TDN3593" s="1799"/>
      <c r="TDO3593" s="1799"/>
      <c r="TDP3593" s="1799"/>
      <c r="TDQ3593" s="1799"/>
      <c r="TDR3593" s="1799"/>
      <c r="TDS3593" s="1799"/>
      <c r="TDT3593" s="1799"/>
      <c r="TDU3593" s="1799"/>
      <c r="TDV3593" s="1799"/>
      <c r="TDW3593" s="1799"/>
      <c r="TDX3593" s="1799"/>
      <c r="TDY3593" s="1799"/>
      <c r="TDZ3593" s="1799"/>
      <c r="TEA3593" s="1799"/>
      <c r="TEB3593" s="1799"/>
      <c r="TEC3593" s="1799"/>
      <c r="TED3593" s="1799"/>
      <c r="TEE3593" s="1799"/>
      <c r="TEF3593" s="1799"/>
      <c r="TEG3593" s="1799"/>
      <c r="TEH3593" s="1799"/>
      <c r="TEI3593" s="1799"/>
      <c r="TEJ3593" s="1799"/>
      <c r="TEK3593" s="1799"/>
      <c r="TEL3593" s="1799"/>
      <c r="TEM3593" s="1799"/>
      <c r="TEN3593" s="1799"/>
      <c r="TEO3593" s="1799"/>
      <c r="TEP3593" s="1799"/>
      <c r="TEQ3593" s="1799"/>
      <c r="TER3593" s="1799"/>
      <c r="TES3593" s="1799"/>
      <c r="TET3593" s="1799"/>
      <c r="TEU3593" s="1799"/>
      <c r="TEV3593" s="1799"/>
      <c r="TEW3593" s="1799"/>
      <c r="TEX3593" s="1799"/>
      <c r="TEY3593" s="1799"/>
      <c r="TEZ3593" s="1799"/>
      <c r="TFA3593" s="1799"/>
      <c r="TFB3593" s="1799"/>
      <c r="TFC3593" s="1799"/>
      <c r="TFD3593" s="1799"/>
      <c r="TFE3593" s="1799"/>
      <c r="TFF3593" s="1799"/>
      <c r="TFG3593" s="1799"/>
      <c r="TFH3593" s="1799"/>
      <c r="TFI3593" s="1799"/>
      <c r="TFJ3593" s="1799"/>
      <c r="TFK3593" s="1799"/>
      <c r="TFL3593" s="1799"/>
      <c r="TFM3593" s="1799"/>
      <c r="TFN3593" s="1799"/>
      <c r="TFO3593" s="1799"/>
      <c r="TFP3593" s="1799"/>
      <c r="TFQ3593" s="1799"/>
      <c r="TFR3593" s="1799"/>
      <c r="TFS3593" s="1799"/>
      <c r="TFT3593" s="1799"/>
      <c r="TFU3593" s="1799"/>
      <c r="TFV3593" s="1799"/>
      <c r="TFW3593" s="1799"/>
      <c r="TFX3593" s="1799"/>
      <c r="TFY3593" s="1799"/>
      <c r="TFZ3593" s="1799"/>
      <c r="TGA3593" s="1799"/>
      <c r="TGB3593" s="1799"/>
      <c r="TGC3593" s="1799"/>
      <c r="TGD3593" s="1799"/>
      <c r="TGE3593" s="1799"/>
      <c r="TGF3593" s="1799"/>
      <c r="TGG3593" s="1799"/>
      <c r="TGH3593" s="1799"/>
      <c r="TGI3593" s="1799"/>
      <c r="TGJ3593" s="1799"/>
      <c r="TGK3593" s="1799"/>
      <c r="TGL3593" s="1799"/>
      <c r="TGM3593" s="1799"/>
      <c r="TGN3593" s="1799"/>
      <c r="TGO3593" s="1799"/>
      <c r="TGP3593" s="1799"/>
      <c r="TGQ3593" s="1799"/>
      <c r="TGR3593" s="1799"/>
      <c r="TGS3593" s="1799"/>
      <c r="TGT3593" s="1799"/>
      <c r="TGU3593" s="1799"/>
      <c r="TGV3593" s="1799"/>
      <c r="TGW3593" s="1799"/>
      <c r="TGX3593" s="1799"/>
      <c r="TGY3593" s="1799"/>
      <c r="TGZ3593" s="1799"/>
      <c r="THA3593" s="1799"/>
      <c r="THB3593" s="1799"/>
      <c r="THC3593" s="1799"/>
      <c r="THD3593" s="1799"/>
      <c r="THE3593" s="1799"/>
      <c r="THF3593" s="1799"/>
      <c r="THG3593" s="1799"/>
      <c r="THH3593" s="1799"/>
      <c r="THI3593" s="1799"/>
      <c r="THJ3593" s="1799"/>
      <c r="THK3593" s="1799"/>
      <c r="THL3593" s="1799"/>
      <c r="THM3593" s="1799"/>
      <c r="THN3593" s="1799"/>
      <c r="THO3593" s="1799"/>
      <c r="THP3593" s="1799"/>
      <c r="THQ3593" s="1799"/>
      <c r="THR3593" s="1799"/>
      <c r="THS3593" s="1799"/>
      <c r="THT3593" s="1799"/>
      <c r="THU3593" s="1799"/>
      <c r="THV3593" s="1799"/>
      <c r="THW3593" s="1799"/>
      <c r="THX3593" s="1799"/>
      <c r="THY3593" s="1799"/>
      <c r="THZ3593" s="1799"/>
      <c r="TIA3593" s="1799"/>
      <c r="TIB3593" s="1799"/>
      <c r="TIC3593" s="1799"/>
      <c r="TID3593" s="1799"/>
      <c r="TIE3593" s="1799"/>
      <c r="TIF3593" s="1799"/>
      <c r="TIG3593" s="1799"/>
      <c r="TIH3593" s="1799"/>
      <c r="TII3593" s="1799"/>
      <c r="TIJ3593" s="1799"/>
      <c r="TIK3593" s="1799"/>
      <c r="TIL3593" s="1799"/>
      <c r="TIM3593" s="1799"/>
      <c r="TIN3593" s="1799"/>
      <c r="TIO3593" s="1799"/>
      <c r="TIP3593" s="1799"/>
      <c r="TIQ3593" s="1799"/>
      <c r="TIR3593" s="1799"/>
      <c r="TIS3593" s="1799"/>
      <c r="TIT3593" s="1799"/>
      <c r="TIU3593" s="1799"/>
      <c r="TIV3593" s="1799"/>
      <c r="TIW3593" s="1799"/>
      <c r="TIX3593" s="1799"/>
      <c r="TIY3593" s="1799"/>
      <c r="TIZ3593" s="1799"/>
      <c r="TJA3593" s="1799"/>
      <c r="TJB3593" s="1799"/>
      <c r="TJC3593" s="1799"/>
      <c r="TJD3593" s="1799"/>
      <c r="TJE3593" s="1799"/>
      <c r="TJF3593" s="1799"/>
      <c r="TJG3593" s="1799"/>
      <c r="TJH3593" s="1799"/>
      <c r="TJI3593" s="1799"/>
      <c r="TJJ3593" s="1799"/>
      <c r="TJK3593" s="1799"/>
      <c r="TJL3593" s="1799"/>
      <c r="TJM3593" s="1799"/>
      <c r="TJN3593" s="1799"/>
      <c r="TJO3593" s="1799"/>
      <c r="TJP3593" s="1799"/>
      <c r="TJQ3593" s="1799"/>
      <c r="TJR3593" s="1799"/>
      <c r="TJS3593" s="1799"/>
      <c r="TJT3593" s="1799"/>
      <c r="TJU3593" s="1799"/>
      <c r="TJV3593" s="1799"/>
      <c r="TJW3593" s="1799"/>
      <c r="TJX3593" s="1799"/>
      <c r="TJY3593" s="1799"/>
      <c r="TJZ3593" s="1799"/>
      <c r="TKA3593" s="1799"/>
      <c r="TKB3593" s="1799"/>
      <c r="TKC3593" s="1799"/>
      <c r="TKD3593" s="1799"/>
      <c r="TKE3593" s="1799"/>
      <c r="TKF3593" s="1799"/>
      <c r="TKG3593" s="1799"/>
      <c r="TKH3593" s="1799"/>
      <c r="TKI3593" s="1799"/>
      <c r="TKJ3593" s="1799"/>
      <c r="TKK3593" s="1799"/>
      <c r="TKL3593" s="1799"/>
      <c r="TKM3593" s="1799"/>
      <c r="TKN3593" s="1799"/>
      <c r="TKO3593" s="1799"/>
      <c r="TKP3593" s="1799"/>
      <c r="TKQ3593" s="1799"/>
      <c r="TKR3593" s="1799"/>
      <c r="TKS3593" s="1799"/>
      <c r="TKT3593" s="1799"/>
      <c r="TKU3593" s="1799"/>
      <c r="TKV3593" s="1799"/>
      <c r="TKW3593" s="1799"/>
      <c r="TKX3593" s="1799"/>
      <c r="TKY3593" s="1799"/>
      <c r="TKZ3593" s="1799"/>
      <c r="TLA3593" s="1799"/>
      <c r="TLB3593" s="1799"/>
      <c r="TLC3593" s="1799"/>
      <c r="TLD3593" s="1799"/>
      <c r="TLE3593" s="1799"/>
      <c r="TLF3593" s="1799"/>
      <c r="TLG3593" s="1799"/>
      <c r="TLH3593" s="1799"/>
      <c r="TLI3593" s="1799"/>
      <c r="TLJ3593" s="1799"/>
      <c r="TLK3593" s="1799"/>
      <c r="TLL3593" s="1799"/>
      <c r="TLM3593" s="1799"/>
      <c r="TLN3593" s="1799"/>
      <c r="TLO3593" s="1799"/>
      <c r="TLP3593" s="1799"/>
      <c r="TLQ3593" s="1799"/>
      <c r="TLR3593" s="1799"/>
      <c r="TLS3593" s="1799"/>
      <c r="TLT3593" s="1799"/>
      <c r="TLU3593" s="1799"/>
      <c r="TLV3593" s="1799"/>
      <c r="TLW3593" s="1799"/>
      <c r="TLX3593" s="1799"/>
      <c r="TLY3593" s="1799"/>
      <c r="TLZ3593" s="1799"/>
      <c r="TMA3593" s="1799"/>
      <c r="TMB3593" s="1799"/>
      <c r="TMC3593" s="1799"/>
      <c r="TMD3593" s="1799"/>
      <c r="TME3593" s="1799"/>
      <c r="TMF3593" s="1799"/>
      <c r="TMG3593" s="1799"/>
      <c r="TMH3593" s="1799"/>
      <c r="TMI3593" s="1799"/>
      <c r="TMJ3593" s="1799"/>
      <c r="TMK3593" s="1799"/>
      <c r="TML3593" s="1799"/>
      <c r="TMM3593" s="1799"/>
      <c r="TMN3593" s="1799"/>
      <c r="TMO3593" s="1799"/>
      <c r="TMP3593" s="1799"/>
      <c r="TMQ3593" s="1799"/>
      <c r="TMR3593" s="1799"/>
      <c r="TMS3593" s="1799"/>
      <c r="TMT3593" s="1799"/>
      <c r="TMU3593" s="1799"/>
      <c r="TMV3593" s="1799"/>
      <c r="TMW3593" s="1799"/>
      <c r="TMX3593" s="1799"/>
      <c r="TMY3593" s="1799"/>
      <c r="TMZ3593" s="1799"/>
      <c r="TNA3593" s="1799"/>
      <c r="TNB3593" s="1799"/>
      <c r="TNC3593" s="1799"/>
      <c r="TND3593" s="1799"/>
      <c r="TNE3593" s="1799"/>
      <c r="TNF3593" s="1799"/>
      <c r="TNG3593" s="1799"/>
      <c r="TNH3593" s="1799"/>
      <c r="TNI3593" s="1799"/>
      <c r="TNJ3593" s="1799"/>
      <c r="TNK3593" s="1799"/>
      <c r="TNL3593" s="1799"/>
      <c r="TNM3593" s="1799"/>
      <c r="TNN3593" s="1799"/>
      <c r="TNO3593" s="1799"/>
      <c r="TNP3593" s="1799"/>
      <c r="TNQ3593" s="1799"/>
      <c r="TNR3593" s="1799"/>
      <c r="TNS3593" s="1799"/>
      <c r="TNT3593" s="1799"/>
      <c r="TNU3593" s="1799"/>
      <c r="TNV3593" s="1799"/>
      <c r="TNW3593" s="1799"/>
      <c r="TNX3593" s="1799"/>
      <c r="TNY3593" s="1799"/>
      <c r="TNZ3593" s="1799"/>
      <c r="TOA3593" s="1799"/>
      <c r="TOB3593" s="1799"/>
      <c r="TOC3593" s="1799"/>
      <c r="TOD3593" s="1799"/>
      <c r="TOE3593" s="1799"/>
      <c r="TOF3593" s="1799"/>
      <c r="TOG3593" s="1799"/>
      <c r="TOH3593" s="1799"/>
      <c r="TOI3593" s="1799"/>
      <c r="TOJ3593" s="1799"/>
      <c r="TOK3593" s="1799"/>
      <c r="TOL3593" s="1799"/>
      <c r="TOM3593" s="1799"/>
      <c r="TON3593" s="1799"/>
      <c r="TOO3593" s="1799"/>
      <c r="TOP3593" s="1799"/>
      <c r="TOQ3593" s="1799"/>
      <c r="TOR3593" s="1799"/>
      <c r="TOS3593" s="1799"/>
      <c r="TOT3593" s="1799"/>
      <c r="TOU3593" s="1799"/>
      <c r="TOV3593" s="1799"/>
      <c r="TOW3593" s="1799"/>
      <c r="TOX3593" s="1799"/>
      <c r="TOY3593" s="1799"/>
      <c r="TOZ3593" s="1799"/>
      <c r="TPA3593" s="1799"/>
      <c r="TPB3593" s="1799"/>
      <c r="TPC3593" s="1799"/>
      <c r="TPD3593" s="1799"/>
      <c r="TPE3593" s="1799"/>
      <c r="TPF3593" s="1799"/>
      <c r="TPG3593" s="1799"/>
      <c r="TPH3593" s="1799"/>
      <c r="TPI3593" s="1799"/>
      <c r="TPJ3593" s="1799"/>
      <c r="TPK3593" s="1799"/>
      <c r="TPL3593" s="1799"/>
      <c r="TPM3593" s="1799"/>
      <c r="TPN3593" s="1799"/>
      <c r="TPO3593" s="1799"/>
      <c r="TPP3593" s="1799"/>
      <c r="TPQ3593" s="1799"/>
      <c r="TPR3593" s="1799"/>
      <c r="TPS3593" s="1799"/>
      <c r="TPT3593" s="1799"/>
      <c r="TPU3593" s="1799"/>
      <c r="TPV3593" s="1799"/>
      <c r="TPW3593" s="1799"/>
      <c r="TPX3593" s="1799"/>
      <c r="TPY3593" s="1799"/>
      <c r="TPZ3593" s="1799"/>
      <c r="TQA3593" s="1799"/>
      <c r="TQB3593" s="1799"/>
      <c r="TQC3593" s="1799"/>
      <c r="TQD3593" s="1799"/>
      <c r="TQE3593" s="1799"/>
      <c r="TQF3593" s="1799"/>
      <c r="TQG3593" s="1799"/>
      <c r="TQH3593" s="1799"/>
      <c r="TQI3593" s="1799"/>
      <c r="TQJ3593" s="1799"/>
      <c r="TQK3593" s="1799"/>
      <c r="TQL3593" s="1799"/>
      <c r="TQM3593" s="1799"/>
      <c r="TQN3593" s="1799"/>
      <c r="TQO3593" s="1799"/>
      <c r="TQP3593" s="1799"/>
      <c r="TQQ3593" s="1799"/>
      <c r="TQR3593" s="1799"/>
      <c r="TQS3593" s="1799"/>
      <c r="TQT3593" s="1799"/>
      <c r="TQU3593" s="1799"/>
      <c r="TQV3593" s="1799"/>
      <c r="TQW3593" s="1799"/>
      <c r="TQX3593" s="1799"/>
      <c r="TQY3593" s="1799"/>
      <c r="TQZ3593" s="1799"/>
      <c r="TRA3593" s="1799"/>
      <c r="TRB3593" s="1799"/>
      <c r="TRC3593" s="1799"/>
      <c r="TRD3593" s="1799"/>
      <c r="TRE3593" s="1799"/>
      <c r="TRF3593" s="1799"/>
      <c r="TRG3593" s="1799"/>
      <c r="TRH3593" s="1799"/>
      <c r="TRI3593" s="1799"/>
      <c r="TRJ3593" s="1799"/>
      <c r="TRK3593" s="1799"/>
      <c r="TRL3593" s="1799"/>
      <c r="TRM3593" s="1799"/>
      <c r="TRN3593" s="1799"/>
      <c r="TRO3593" s="1799"/>
      <c r="TRP3593" s="1799"/>
      <c r="TRQ3593" s="1799"/>
      <c r="TRR3593" s="1799"/>
      <c r="TRS3593" s="1799"/>
      <c r="TRT3593" s="1799"/>
      <c r="TRU3593" s="1799"/>
      <c r="TRV3593" s="1799"/>
      <c r="TRW3593" s="1799"/>
      <c r="TRX3593" s="1799"/>
      <c r="TRY3593" s="1799"/>
      <c r="TRZ3593" s="1799"/>
      <c r="TSA3593" s="1799"/>
      <c r="TSB3593" s="1799"/>
      <c r="TSC3593" s="1799"/>
      <c r="TSD3593" s="1799"/>
      <c r="TSE3593" s="1799"/>
      <c r="TSF3593" s="1799"/>
      <c r="TSG3593" s="1799"/>
      <c r="TSH3593" s="1799"/>
      <c r="TSI3593" s="1799"/>
      <c r="TSJ3593" s="1799"/>
      <c r="TSK3593" s="1799"/>
      <c r="TSL3593" s="1799"/>
      <c r="TSM3593" s="1799"/>
      <c r="TSN3593" s="1799"/>
      <c r="TSO3593" s="1799"/>
      <c r="TSP3593" s="1799"/>
      <c r="TSQ3593" s="1799"/>
      <c r="TSR3593" s="1799"/>
      <c r="TSS3593" s="1799"/>
      <c r="TST3593" s="1799"/>
      <c r="TSU3593" s="1799"/>
      <c r="TSV3593" s="1799"/>
      <c r="TSW3593" s="1799"/>
      <c r="TSX3593" s="1799"/>
      <c r="TSY3593" s="1799"/>
      <c r="TSZ3593" s="1799"/>
      <c r="TTA3593" s="1799"/>
      <c r="TTB3593" s="1799"/>
      <c r="TTC3593" s="1799"/>
      <c r="TTD3593" s="1799"/>
      <c r="TTE3593" s="1799"/>
      <c r="TTF3593" s="1799"/>
      <c r="TTG3593" s="1799"/>
      <c r="TTH3593" s="1799"/>
      <c r="TTI3593" s="1799"/>
      <c r="TTJ3593" s="1799"/>
      <c r="TTK3593" s="1799"/>
      <c r="TTL3593" s="1799"/>
      <c r="TTM3593" s="1799"/>
      <c r="TTN3593" s="1799"/>
      <c r="TTO3593" s="1799"/>
      <c r="TTP3593" s="1799"/>
      <c r="TTQ3593" s="1799"/>
      <c r="TTR3593" s="1799"/>
      <c r="TTS3593" s="1799"/>
      <c r="TTT3593" s="1799"/>
      <c r="TTU3593" s="1799"/>
      <c r="TTV3593" s="1799"/>
      <c r="TTW3593" s="1799"/>
      <c r="TTX3593" s="1799"/>
      <c r="TTY3593" s="1799"/>
      <c r="TTZ3593" s="1799"/>
      <c r="TUA3593" s="1799"/>
      <c r="TUB3593" s="1799"/>
      <c r="TUC3593" s="1799"/>
      <c r="TUD3593" s="1799"/>
      <c r="TUE3593" s="1799"/>
      <c r="TUF3593" s="1799"/>
      <c r="TUG3593" s="1799"/>
      <c r="TUH3593" s="1799"/>
      <c r="TUI3593" s="1799"/>
      <c r="TUJ3593" s="1799"/>
      <c r="TUK3593" s="1799"/>
      <c r="TUL3593" s="1799"/>
      <c r="TUM3593" s="1799"/>
      <c r="TUN3593" s="1799"/>
      <c r="TUO3593" s="1799"/>
      <c r="TUP3593" s="1799"/>
      <c r="TUQ3593" s="1799"/>
      <c r="TUR3593" s="1799"/>
      <c r="TUS3593" s="1799"/>
      <c r="TUT3593" s="1799"/>
      <c r="TUU3593" s="1799"/>
      <c r="TUV3593" s="1799"/>
      <c r="TUW3593" s="1799"/>
      <c r="TUX3593" s="1799"/>
      <c r="TUY3593" s="1799"/>
      <c r="TUZ3593" s="1799"/>
      <c r="TVA3593" s="1799"/>
      <c r="TVB3593" s="1799"/>
      <c r="TVC3593" s="1799"/>
      <c r="TVD3593" s="1799"/>
      <c r="TVE3593" s="1799"/>
      <c r="TVF3593" s="1799"/>
      <c r="TVG3593" s="1799"/>
      <c r="TVH3593" s="1799"/>
      <c r="TVI3593" s="1799"/>
      <c r="TVJ3593" s="1799"/>
      <c r="TVK3593" s="1799"/>
      <c r="TVL3593" s="1799"/>
      <c r="TVM3593" s="1799"/>
      <c r="TVN3593" s="1799"/>
      <c r="TVO3593" s="1799"/>
      <c r="TVP3593" s="1799"/>
      <c r="TVQ3593" s="1799"/>
      <c r="TVR3593" s="1799"/>
      <c r="TVS3593" s="1799"/>
      <c r="TVT3593" s="1799"/>
      <c r="TVU3593" s="1799"/>
      <c r="TVV3593" s="1799"/>
      <c r="TVW3593" s="1799"/>
      <c r="TVX3593" s="1799"/>
      <c r="TVY3593" s="1799"/>
      <c r="TVZ3593" s="1799"/>
      <c r="TWA3593" s="1799"/>
      <c r="TWB3593" s="1799"/>
      <c r="TWC3593" s="1799"/>
      <c r="TWD3593" s="1799"/>
      <c r="TWE3593" s="1799"/>
      <c r="TWF3593" s="1799"/>
      <c r="TWG3593" s="1799"/>
      <c r="TWH3593" s="1799"/>
      <c r="TWI3593" s="1799"/>
      <c r="TWJ3593" s="1799"/>
      <c r="TWK3593" s="1799"/>
      <c r="TWL3593" s="1799"/>
      <c r="TWM3593" s="1799"/>
      <c r="TWN3593" s="1799"/>
      <c r="TWO3593" s="1799"/>
      <c r="TWP3593" s="1799"/>
      <c r="TWQ3593" s="1799"/>
      <c r="TWR3593" s="1799"/>
      <c r="TWS3593" s="1799"/>
      <c r="TWT3593" s="1799"/>
      <c r="TWU3593" s="1799"/>
      <c r="TWV3593" s="1799"/>
      <c r="TWW3593" s="1799"/>
      <c r="TWX3593" s="1799"/>
      <c r="TWY3593" s="1799"/>
      <c r="TWZ3593" s="1799"/>
      <c r="TXA3593" s="1799"/>
      <c r="TXB3593" s="1799"/>
      <c r="TXC3593" s="1799"/>
      <c r="TXD3593" s="1799"/>
      <c r="TXE3593" s="1799"/>
      <c r="TXF3593" s="1799"/>
      <c r="TXG3593" s="1799"/>
      <c r="TXH3593" s="1799"/>
      <c r="TXI3593" s="1799"/>
      <c r="TXJ3593" s="1799"/>
      <c r="TXK3593" s="1799"/>
      <c r="TXL3593" s="1799"/>
      <c r="TXM3593" s="1799"/>
      <c r="TXN3593" s="1799"/>
      <c r="TXO3593" s="1799"/>
      <c r="TXP3593" s="1799"/>
      <c r="TXQ3593" s="1799"/>
      <c r="TXR3593" s="1799"/>
      <c r="TXS3593" s="1799"/>
      <c r="TXT3593" s="1799"/>
      <c r="TXU3593" s="1799"/>
      <c r="TXV3593" s="1799"/>
      <c r="TXW3593" s="1799"/>
      <c r="TXX3593" s="1799"/>
      <c r="TXY3593" s="1799"/>
      <c r="TXZ3593" s="1799"/>
      <c r="TYA3593" s="1799"/>
      <c r="TYB3593" s="1799"/>
      <c r="TYC3593" s="1799"/>
      <c r="TYD3593" s="1799"/>
      <c r="TYE3593" s="1799"/>
      <c r="TYF3593" s="1799"/>
      <c r="TYG3593" s="1799"/>
      <c r="TYH3593" s="1799"/>
      <c r="TYI3593" s="1799"/>
      <c r="TYJ3593" s="1799"/>
      <c r="TYK3593" s="1799"/>
      <c r="TYL3593" s="1799"/>
      <c r="TYM3593" s="1799"/>
      <c r="TYN3593" s="1799"/>
      <c r="TYO3593" s="1799"/>
      <c r="TYP3593" s="1799"/>
      <c r="TYQ3593" s="1799"/>
      <c r="TYR3593" s="1799"/>
      <c r="TYS3593" s="1799"/>
      <c r="TYT3593" s="1799"/>
      <c r="TYU3593" s="1799"/>
      <c r="TYV3593" s="1799"/>
      <c r="TYW3593" s="1799"/>
      <c r="TYX3593" s="1799"/>
      <c r="TYY3593" s="1799"/>
      <c r="TYZ3593" s="1799"/>
      <c r="TZA3593" s="1799"/>
      <c r="TZB3593" s="1799"/>
      <c r="TZC3593" s="1799"/>
      <c r="TZD3593" s="1799"/>
      <c r="TZE3593" s="1799"/>
      <c r="TZF3593" s="1799"/>
      <c r="TZG3593" s="1799"/>
      <c r="TZH3593" s="1799"/>
      <c r="TZI3593" s="1799"/>
      <c r="TZJ3593" s="1799"/>
      <c r="TZK3593" s="1799"/>
      <c r="TZL3593" s="1799"/>
      <c r="TZM3593" s="1799"/>
      <c r="TZN3593" s="1799"/>
      <c r="TZO3593" s="1799"/>
      <c r="TZP3593" s="1799"/>
      <c r="TZQ3593" s="1799"/>
      <c r="TZR3593" s="1799"/>
      <c r="TZS3593" s="1799"/>
      <c r="TZT3593" s="1799"/>
      <c r="TZU3593" s="1799"/>
      <c r="TZV3593" s="1799"/>
      <c r="TZW3593" s="1799"/>
      <c r="TZX3593" s="1799"/>
      <c r="TZY3593" s="1799"/>
      <c r="TZZ3593" s="1799"/>
      <c r="UAA3593" s="1799"/>
      <c r="UAB3593" s="1799"/>
      <c r="UAC3593" s="1799"/>
      <c r="UAD3593" s="1799"/>
      <c r="UAE3593" s="1799"/>
      <c r="UAF3593" s="1799"/>
      <c r="UAG3593" s="1799"/>
      <c r="UAH3593" s="1799"/>
      <c r="UAI3593" s="1799"/>
      <c r="UAJ3593" s="1799"/>
      <c r="UAK3593" s="1799"/>
      <c r="UAL3593" s="1799"/>
      <c r="UAM3593" s="1799"/>
      <c r="UAN3593" s="1799"/>
      <c r="UAO3593" s="1799"/>
      <c r="UAP3593" s="1799"/>
      <c r="UAQ3593" s="1799"/>
      <c r="UAR3593" s="1799"/>
      <c r="UAS3593" s="1799"/>
      <c r="UAT3593" s="1799"/>
      <c r="UAU3593" s="1799"/>
      <c r="UAV3593" s="1799"/>
      <c r="UAW3593" s="1799"/>
      <c r="UAX3593" s="1799"/>
      <c r="UAY3593" s="1799"/>
      <c r="UAZ3593" s="1799"/>
      <c r="UBA3593" s="1799"/>
      <c r="UBB3593" s="1799"/>
      <c r="UBC3593" s="1799"/>
      <c r="UBD3593" s="1799"/>
      <c r="UBE3593" s="1799"/>
      <c r="UBF3593" s="1799"/>
      <c r="UBG3593" s="1799"/>
      <c r="UBH3593" s="1799"/>
      <c r="UBI3593" s="1799"/>
      <c r="UBJ3593" s="1799"/>
      <c r="UBK3593" s="1799"/>
      <c r="UBL3593" s="1799"/>
      <c r="UBM3593" s="1799"/>
      <c r="UBN3593" s="1799"/>
      <c r="UBO3593" s="1799"/>
      <c r="UBP3593" s="1799"/>
      <c r="UBQ3593" s="1799"/>
      <c r="UBR3593" s="1799"/>
      <c r="UBS3593" s="1799"/>
      <c r="UBT3593" s="1799"/>
      <c r="UBU3593" s="1799"/>
      <c r="UBV3593" s="1799"/>
      <c r="UBW3593" s="1799"/>
      <c r="UBX3593" s="1799"/>
      <c r="UBY3593" s="1799"/>
      <c r="UBZ3593" s="1799"/>
      <c r="UCA3593" s="1799"/>
      <c r="UCB3593" s="1799"/>
      <c r="UCC3593" s="1799"/>
      <c r="UCD3593" s="1799"/>
      <c r="UCE3593" s="1799"/>
      <c r="UCF3593" s="1799"/>
      <c r="UCG3593" s="1799"/>
      <c r="UCH3593" s="1799"/>
      <c r="UCI3593" s="1799"/>
      <c r="UCJ3593" s="1799"/>
      <c r="UCK3593" s="1799"/>
      <c r="UCL3593" s="1799"/>
      <c r="UCM3593" s="1799"/>
      <c r="UCN3593" s="1799"/>
      <c r="UCO3593" s="1799"/>
      <c r="UCP3593" s="1799"/>
      <c r="UCQ3593" s="1799"/>
      <c r="UCR3593" s="1799"/>
      <c r="UCS3593" s="1799"/>
      <c r="UCT3593" s="1799"/>
      <c r="UCU3593" s="1799"/>
      <c r="UCV3593" s="1799"/>
      <c r="UCW3593" s="1799"/>
      <c r="UCX3593" s="1799"/>
      <c r="UCY3593" s="1799"/>
      <c r="UCZ3593" s="1799"/>
      <c r="UDA3593" s="1799"/>
      <c r="UDB3593" s="1799"/>
      <c r="UDC3593" s="1799"/>
      <c r="UDD3593" s="1799"/>
      <c r="UDE3593" s="1799"/>
      <c r="UDF3593" s="1799"/>
      <c r="UDG3593" s="1799"/>
      <c r="UDH3593" s="1799"/>
      <c r="UDI3593" s="1799"/>
      <c r="UDJ3593" s="1799"/>
      <c r="UDK3593" s="1799"/>
      <c r="UDL3593" s="1799"/>
      <c r="UDM3593" s="1799"/>
      <c r="UDN3593" s="1799"/>
      <c r="UDO3593" s="1799"/>
      <c r="UDP3593" s="1799"/>
      <c r="UDQ3593" s="1799"/>
      <c r="UDR3593" s="1799"/>
      <c r="UDS3593" s="1799"/>
      <c r="UDT3593" s="1799"/>
      <c r="UDU3593" s="1799"/>
      <c r="UDV3593" s="1799"/>
      <c r="UDW3593" s="1799"/>
      <c r="UDX3593" s="1799"/>
      <c r="UDY3593" s="1799"/>
      <c r="UDZ3593" s="1799"/>
      <c r="UEA3593" s="1799"/>
      <c r="UEB3593" s="1799"/>
      <c r="UEC3593" s="1799"/>
      <c r="UED3593" s="1799"/>
      <c r="UEE3593" s="1799"/>
      <c r="UEF3593" s="1799"/>
      <c r="UEG3593" s="1799"/>
      <c r="UEH3593" s="1799"/>
      <c r="UEI3593" s="1799"/>
      <c r="UEJ3593" s="1799"/>
      <c r="UEK3593" s="1799"/>
      <c r="UEL3593" s="1799"/>
      <c r="UEM3593" s="1799"/>
      <c r="UEN3593" s="1799"/>
      <c r="UEO3593" s="1799"/>
      <c r="UEP3593" s="1799"/>
      <c r="UEQ3593" s="1799"/>
      <c r="UER3593" s="1799"/>
      <c r="UES3593" s="1799"/>
      <c r="UET3593" s="1799"/>
      <c r="UEU3593" s="1799"/>
      <c r="UEV3593" s="1799"/>
      <c r="UEW3593" s="1799"/>
      <c r="UEX3593" s="1799"/>
      <c r="UEY3593" s="1799"/>
      <c r="UEZ3593" s="1799"/>
      <c r="UFA3593" s="1799"/>
      <c r="UFB3593" s="1799"/>
      <c r="UFC3593" s="1799"/>
      <c r="UFD3593" s="1799"/>
      <c r="UFE3593" s="1799"/>
      <c r="UFF3593" s="1799"/>
      <c r="UFG3593" s="1799"/>
      <c r="UFH3593" s="1799"/>
      <c r="UFI3593" s="1799"/>
      <c r="UFJ3593" s="1799"/>
      <c r="UFK3593" s="1799"/>
      <c r="UFL3593" s="1799"/>
      <c r="UFM3593" s="1799"/>
      <c r="UFN3593" s="1799"/>
      <c r="UFO3593" s="1799"/>
      <c r="UFP3593" s="1799"/>
      <c r="UFQ3593" s="1799"/>
      <c r="UFR3593" s="1799"/>
      <c r="UFS3593" s="1799"/>
      <c r="UFT3593" s="1799"/>
      <c r="UFU3593" s="1799"/>
      <c r="UFV3593" s="1799"/>
      <c r="UFW3593" s="1799"/>
      <c r="UFX3593" s="1799"/>
      <c r="UFY3593" s="1799"/>
      <c r="UFZ3593" s="1799"/>
      <c r="UGA3593" s="1799"/>
      <c r="UGB3593" s="1799"/>
      <c r="UGC3593" s="1799"/>
      <c r="UGD3593" s="1799"/>
      <c r="UGE3593" s="1799"/>
      <c r="UGF3593" s="1799"/>
      <c r="UGG3593" s="1799"/>
      <c r="UGH3593" s="1799"/>
      <c r="UGI3593" s="1799"/>
      <c r="UGJ3593" s="1799"/>
      <c r="UGK3593" s="1799"/>
      <c r="UGL3593" s="1799"/>
      <c r="UGM3593" s="1799"/>
      <c r="UGN3593" s="1799"/>
      <c r="UGO3593" s="1799"/>
      <c r="UGP3593" s="1799"/>
      <c r="UGQ3593" s="1799"/>
      <c r="UGR3593" s="1799"/>
      <c r="UGS3593" s="1799"/>
      <c r="UGT3593" s="1799"/>
      <c r="UGU3593" s="1799"/>
      <c r="UGV3593" s="1799"/>
      <c r="UGW3593" s="1799"/>
      <c r="UGX3593" s="1799"/>
      <c r="UGY3593" s="1799"/>
      <c r="UGZ3593" s="1799"/>
      <c r="UHA3593" s="1799"/>
      <c r="UHB3593" s="1799"/>
      <c r="UHC3593" s="1799"/>
      <c r="UHD3593" s="1799"/>
      <c r="UHE3593" s="1799"/>
      <c r="UHF3593" s="1799"/>
      <c r="UHG3593" s="1799"/>
      <c r="UHH3593" s="1799"/>
      <c r="UHI3593" s="1799"/>
      <c r="UHJ3593" s="1799"/>
      <c r="UHK3593" s="1799"/>
      <c r="UHL3593" s="1799"/>
      <c r="UHM3593" s="1799"/>
      <c r="UHN3593" s="1799"/>
      <c r="UHO3593" s="1799"/>
      <c r="UHP3593" s="1799"/>
      <c r="UHQ3593" s="1799"/>
      <c r="UHR3593" s="1799"/>
      <c r="UHS3593" s="1799"/>
      <c r="UHT3593" s="1799"/>
      <c r="UHU3593" s="1799"/>
      <c r="UHV3593" s="1799"/>
      <c r="UHW3593" s="1799"/>
      <c r="UHX3593" s="1799"/>
      <c r="UHY3593" s="1799"/>
      <c r="UHZ3593" s="1799"/>
      <c r="UIA3593" s="1799"/>
      <c r="UIB3593" s="1799"/>
      <c r="UIC3593" s="1799"/>
      <c r="UID3593" s="1799"/>
      <c r="UIE3593" s="1799"/>
      <c r="UIF3593" s="1799"/>
      <c r="UIG3593" s="1799"/>
      <c r="UIH3593" s="1799"/>
      <c r="UII3593" s="1799"/>
      <c r="UIJ3593" s="1799"/>
      <c r="UIK3593" s="1799"/>
      <c r="UIL3593" s="1799"/>
      <c r="UIM3593" s="1799"/>
      <c r="UIN3593" s="1799"/>
      <c r="UIO3593" s="1799"/>
      <c r="UIP3593" s="1799"/>
      <c r="UIQ3593" s="1799"/>
      <c r="UIR3593" s="1799"/>
      <c r="UIS3593" s="1799"/>
      <c r="UIT3593" s="1799"/>
      <c r="UIU3593" s="1799"/>
      <c r="UIV3593" s="1799"/>
      <c r="UIW3593" s="1799"/>
      <c r="UIX3593" s="1799"/>
      <c r="UIY3593" s="1799"/>
      <c r="UIZ3593" s="1799"/>
      <c r="UJA3593" s="1799"/>
      <c r="UJB3593" s="1799"/>
      <c r="UJC3593" s="1799"/>
      <c r="UJD3593" s="1799"/>
      <c r="UJE3593" s="1799"/>
      <c r="UJF3593" s="1799"/>
      <c r="UJG3593" s="1799"/>
      <c r="UJH3593" s="1799"/>
      <c r="UJI3593" s="1799"/>
      <c r="UJJ3593" s="1799"/>
      <c r="UJK3593" s="1799"/>
      <c r="UJL3593" s="1799"/>
      <c r="UJM3593" s="1799"/>
      <c r="UJN3593" s="1799"/>
      <c r="UJO3593" s="1799"/>
      <c r="UJP3593" s="1799"/>
      <c r="UJQ3593" s="1799"/>
      <c r="UJR3593" s="1799"/>
      <c r="UJS3593" s="1799"/>
      <c r="UJT3593" s="1799"/>
      <c r="UJU3593" s="1799"/>
      <c r="UJV3593" s="1799"/>
      <c r="UJW3593" s="1799"/>
      <c r="UJX3593" s="1799"/>
      <c r="UJY3593" s="1799"/>
      <c r="UJZ3593" s="1799"/>
      <c r="UKA3593" s="1799"/>
      <c r="UKB3593" s="1799"/>
      <c r="UKC3593" s="1799"/>
      <c r="UKD3593" s="1799"/>
      <c r="UKE3593" s="1799"/>
      <c r="UKF3593" s="1799"/>
      <c r="UKG3593" s="1799"/>
      <c r="UKH3593" s="1799"/>
      <c r="UKI3593" s="1799"/>
      <c r="UKJ3593" s="1799"/>
      <c r="UKK3593" s="1799"/>
      <c r="UKL3593" s="1799"/>
      <c r="UKM3593" s="1799"/>
      <c r="UKN3593" s="1799"/>
      <c r="UKO3593" s="1799"/>
      <c r="UKP3593" s="1799"/>
      <c r="UKQ3593" s="1799"/>
      <c r="UKR3593" s="1799"/>
      <c r="UKS3593" s="1799"/>
      <c r="UKT3593" s="1799"/>
      <c r="UKU3593" s="1799"/>
      <c r="UKV3593" s="1799"/>
      <c r="UKW3593" s="1799"/>
      <c r="UKX3593" s="1799"/>
      <c r="UKY3593" s="1799"/>
      <c r="UKZ3593" s="1799"/>
      <c r="ULA3593" s="1799"/>
      <c r="ULB3593" s="1799"/>
      <c r="ULC3593" s="1799"/>
      <c r="ULD3593" s="1799"/>
      <c r="ULE3593" s="1799"/>
      <c r="ULF3593" s="1799"/>
      <c r="ULG3593" s="1799"/>
      <c r="ULH3593" s="1799"/>
      <c r="ULI3593" s="1799"/>
      <c r="ULJ3593" s="1799"/>
      <c r="ULK3593" s="1799"/>
      <c r="ULL3593" s="1799"/>
      <c r="ULM3593" s="1799"/>
      <c r="ULN3593" s="1799"/>
      <c r="ULO3593" s="1799"/>
      <c r="ULP3593" s="1799"/>
      <c r="ULQ3593" s="1799"/>
      <c r="ULR3593" s="1799"/>
      <c r="ULS3593" s="1799"/>
      <c r="ULT3593" s="1799"/>
      <c r="ULU3593" s="1799"/>
      <c r="ULV3593" s="1799"/>
      <c r="ULW3593" s="1799"/>
      <c r="ULX3593" s="1799"/>
      <c r="ULY3593" s="1799"/>
      <c r="ULZ3593" s="1799"/>
      <c r="UMA3593" s="1799"/>
      <c r="UMB3593" s="1799"/>
      <c r="UMC3593" s="1799"/>
      <c r="UMD3593" s="1799"/>
      <c r="UME3593" s="1799"/>
      <c r="UMF3593" s="1799"/>
      <c r="UMG3593" s="1799"/>
      <c r="UMH3593" s="1799"/>
      <c r="UMI3593" s="1799"/>
      <c r="UMJ3593" s="1799"/>
      <c r="UMK3593" s="1799"/>
      <c r="UML3593" s="1799"/>
      <c r="UMM3593" s="1799"/>
      <c r="UMN3593" s="1799"/>
      <c r="UMO3593" s="1799"/>
      <c r="UMP3593" s="1799"/>
      <c r="UMQ3593" s="1799"/>
      <c r="UMR3593" s="1799"/>
      <c r="UMS3593" s="1799"/>
      <c r="UMT3593" s="1799"/>
      <c r="UMU3593" s="1799"/>
      <c r="UMV3593" s="1799"/>
      <c r="UMW3593" s="1799"/>
      <c r="UMX3593" s="1799"/>
      <c r="UMY3593" s="1799"/>
      <c r="UMZ3593" s="1799"/>
      <c r="UNA3593" s="1799"/>
      <c r="UNB3593" s="1799"/>
      <c r="UNC3593" s="1799"/>
      <c r="UND3593" s="1799"/>
      <c r="UNE3593" s="1799"/>
      <c r="UNF3593" s="1799"/>
      <c r="UNG3593" s="1799"/>
      <c r="UNH3593" s="1799"/>
      <c r="UNI3593" s="1799"/>
      <c r="UNJ3593" s="1799"/>
      <c r="UNK3593" s="1799"/>
      <c r="UNL3593" s="1799"/>
      <c r="UNM3593" s="1799"/>
      <c r="UNN3593" s="1799"/>
      <c r="UNO3593" s="1799"/>
      <c r="UNP3593" s="1799"/>
      <c r="UNQ3593" s="1799"/>
      <c r="UNR3593" s="1799"/>
      <c r="UNS3593" s="1799"/>
      <c r="UNT3593" s="1799"/>
      <c r="UNU3593" s="1799"/>
      <c r="UNV3593" s="1799"/>
      <c r="UNW3593" s="1799"/>
      <c r="UNX3593" s="1799"/>
      <c r="UNY3593" s="1799"/>
      <c r="UNZ3593" s="1799"/>
      <c r="UOA3593" s="1799"/>
      <c r="UOB3593" s="1799"/>
      <c r="UOC3593" s="1799"/>
      <c r="UOD3593" s="1799"/>
      <c r="UOE3593" s="1799"/>
      <c r="UOF3593" s="1799"/>
      <c r="UOG3593" s="1799"/>
      <c r="UOH3593" s="1799"/>
      <c r="UOI3593" s="1799"/>
      <c r="UOJ3593" s="1799"/>
      <c r="UOK3593" s="1799"/>
      <c r="UOL3593" s="1799"/>
      <c r="UOM3593" s="1799"/>
      <c r="UON3593" s="1799"/>
      <c r="UOO3593" s="1799"/>
      <c r="UOP3593" s="1799"/>
      <c r="UOQ3593" s="1799"/>
      <c r="UOR3593" s="1799"/>
      <c r="UOS3593" s="1799"/>
      <c r="UOT3593" s="1799"/>
      <c r="UOU3593" s="1799"/>
      <c r="UOV3593" s="1799"/>
      <c r="UOW3593" s="1799"/>
      <c r="UOX3593" s="1799"/>
      <c r="UOY3593" s="1799"/>
      <c r="UOZ3593" s="1799"/>
      <c r="UPA3593" s="1799"/>
      <c r="UPB3593" s="1799"/>
      <c r="UPC3593" s="1799"/>
      <c r="UPD3593" s="1799"/>
      <c r="UPE3593" s="1799"/>
      <c r="UPF3593" s="1799"/>
      <c r="UPG3593" s="1799"/>
      <c r="UPH3593" s="1799"/>
      <c r="UPI3593" s="1799"/>
      <c r="UPJ3593" s="1799"/>
      <c r="UPK3593" s="1799"/>
      <c r="UPL3593" s="1799"/>
      <c r="UPM3593" s="1799"/>
      <c r="UPN3593" s="1799"/>
      <c r="UPO3593" s="1799"/>
      <c r="UPP3593" s="1799"/>
      <c r="UPQ3593" s="1799"/>
      <c r="UPR3593" s="1799"/>
      <c r="UPS3593" s="1799"/>
      <c r="UPT3593" s="1799"/>
      <c r="UPU3593" s="1799"/>
      <c r="UPV3593" s="1799"/>
      <c r="UPW3593" s="1799"/>
      <c r="UPX3593" s="1799"/>
      <c r="UPY3593" s="1799"/>
      <c r="UPZ3593" s="1799"/>
      <c r="UQA3593" s="1799"/>
      <c r="UQB3593" s="1799"/>
      <c r="UQC3593" s="1799"/>
      <c r="UQD3593" s="1799"/>
      <c r="UQE3593" s="1799"/>
      <c r="UQF3593" s="1799"/>
      <c r="UQG3593" s="1799"/>
      <c r="UQH3593" s="1799"/>
      <c r="UQI3593" s="1799"/>
      <c r="UQJ3593" s="1799"/>
      <c r="UQK3593" s="1799"/>
      <c r="UQL3593" s="1799"/>
      <c r="UQM3593" s="1799"/>
      <c r="UQN3593" s="1799"/>
      <c r="UQO3593" s="1799"/>
      <c r="UQP3593" s="1799"/>
      <c r="UQQ3593" s="1799"/>
      <c r="UQR3593" s="1799"/>
      <c r="UQS3593" s="1799"/>
      <c r="UQT3593" s="1799"/>
      <c r="UQU3593" s="1799"/>
      <c r="UQV3593" s="1799"/>
      <c r="UQW3593" s="1799"/>
      <c r="UQX3593" s="1799"/>
      <c r="UQY3593" s="1799"/>
      <c r="UQZ3593" s="1799"/>
      <c r="URA3593" s="1799"/>
      <c r="URB3593" s="1799"/>
      <c r="URC3593" s="1799"/>
      <c r="URD3593" s="1799"/>
      <c r="URE3593" s="1799"/>
      <c r="URF3593" s="1799"/>
      <c r="URG3593" s="1799"/>
      <c r="URH3593" s="1799"/>
      <c r="URI3593" s="1799"/>
      <c r="URJ3593" s="1799"/>
      <c r="URK3593" s="1799"/>
      <c r="URL3593" s="1799"/>
      <c r="URM3593" s="1799"/>
      <c r="URN3593" s="1799"/>
      <c r="URO3593" s="1799"/>
      <c r="URP3593" s="1799"/>
      <c r="URQ3593" s="1799"/>
      <c r="URR3593" s="1799"/>
      <c r="URS3593" s="1799"/>
      <c r="URT3593" s="1799"/>
      <c r="URU3593" s="1799"/>
      <c r="URV3593" s="1799"/>
      <c r="URW3593" s="1799"/>
      <c r="URX3593" s="1799"/>
      <c r="URY3593" s="1799"/>
      <c r="URZ3593" s="1799"/>
      <c r="USA3593" s="1799"/>
      <c r="USB3593" s="1799"/>
      <c r="USC3593" s="1799"/>
      <c r="USD3593" s="1799"/>
      <c r="USE3593" s="1799"/>
      <c r="USF3593" s="1799"/>
      <c r="USG3593" s="1799"/>
      <c r="USH3593" s="1799"/>
      <c r="USI3593" s="1799"/>
      <c r="USJ3593" s="1799"/>
      <c r="USK3593" s="1799"/>
      <c r="USL3593" s="1799"/>
      <c r="USM3593" s="1799"/>
      <c r="USN3593" s="1799"/>
      <c r="USO3593" s="1799"/>
      <c r="USP3593" s="1799"/>
      <c r="USQ3593" s="1799"/>
      <c r="USR3593" s="1799"/>
      <c r="USS3593" s="1799"/>
      <c r="UST3593" s="1799"/>
      <c r="USU3593" s="1799"/>
      <c r="USV3593" s="1799"/>
      <c r="USW3593" s="1799"/>
      <c r="USX3593" s="1799"/>
      <c r="USY3593" s="1799"/>
      <c r="USZ3593" s="1799"/>
      <c r="UTA3593" s="1799"/>
      <c r="UTB3593" s="1799"/>
      <c r="UTC3593" s="1799"/>
      <c r="UTD3593" s="1799"/>
      <c r="UTE3593" s="1799"/>
      <c r="UTF3593" s="1799"/>
      <c r="UTG3593" s="1799"/>
      <c r="UTH3593" s="1799"/>
      <c r="UTI3593" s="1799"/>
      <c r="UTJ3593" s="1799"/>
      <c r="UTK3593" s="1799"/>
      <c r="UTL3593" s="1799"/>
      <c r="UTM3593" s="1799"/>
      <c r="UTN3593" s="1799"/>
      <c r="UTO3593" s="1799"/>
      <c r="UTP3593" s="1799"/>
      <c r="UTQ3593" s="1799"/>
      <c r="UTR3593" s="1799"/>
      <c r="UTS3593" s="1799"/>
      <c r="UTT3593" s="1799"/>
      <c r="UTU3593" s="1799"/>
      <c r="UTV3593" s="1799"/>
      <c r="UTW3593" s="1799"/>
      <c r="UTX3593" s="1799"/>
      <c r="UTY3593" s="1799"/>
      <c r="UTZ3593" s="1799"/>
      <c r="UUA3593" s="1799"/>
      <c r="UUB3593" s="1799"/>
      <c r="UUC3593" s="1799"/>
      <c r="UUD3593" s="1799"/>
      <c r="UUE3593" s="1799"/>
      <c r="UUF3593" s="1799"/>
      <c r="UUG3593" s="1799"/>
      <c r="UUH3593" s="1799"/>
      <c r="UUI3593" s="1799"/>
      <c r="UUJ3593" s="1799"/>
      <c r="UUK3593" s="1799"/>
      <c r="UUL3593" s="1799"/>
      <c r="UUM3593" s="1799"/>
      <c r="UUN3593" s="1799"/>
      <c r="UUO3593" s="1799"/>
      <c r="UUP3593" s="1799"/>
      <c r="UUQ3593" s="1799"/>
      <c r="UUR3593" s="1799"/>
      <c r="UUS3593" s="1799"/>
      <c r="UUT3593" s="1799"/>
      <c r="UUU3593" s="1799"/>
      <c r="UUV3593" s="1799"/>
      <c r="UUW3593" s="1799"/>
      <c r="UUX3593" s="1799"/>
      <c r="UUY3593" s="1799"/>
      <c r="UUZ3593" s="1799"/>
      <c r="UVA3593" s="1799"/>
      <c r="UVB3593" s="1799"/>
      <c r="UVC3593" s="1799"/>
      <c r="UVD3593" s="1799"/>
      <c r="UVE3593" s="1799"/>
      <c r="UVF3593" s="1799"/>
      <c r="UVG3593" s="1799"/>
      <c r="UVH3593" s="1799"/>
      <c r="UVI3593" s="1799"/>
      <c r="UVJ3593" s="1799"/>
      <c r="UVK3593" s="1799"/>
      <c r="UVL3593" s="1799"/>
      <c r="UVM3593" s="1799"/>
      <c r="UVN3593" s="1799"/>
      <c r="UVO3593" s="1799"/>
      <c r="UVP3593" s="1799"/>
      <c r="UVQ3593" s="1799"/>
      <c r="UVR3593" s="1799"/>
      <c r="UVS3593" s="1799"/>
      <c r="UVT3593" s="1799"/>
      <c r="UVU3593" s="1799"/>
      <c r="UVV3593" s="1799"/>
      <c r="UVW3593" s="1799"/>
      <c r="UVX3593" s="1799"/>
      <c r="UVY3593" s="1799"/>
      <c r="UVZ3593" s="1799"/>
      <c r="UWA3593" s="1799"/>
      <c r="UWB3593" s="1799"/>
      <c r="UWC3593" s="1799"/>
      <c r="UWD3593" s="1799"/>
      <c r="UWE3593" s="1799"/>
      <c r="UWF3593" s="1799"/>
      <c r="UWG3593" s="1799"/>
      <c r="UWH3593" s="1799"/>
      <c r="UWI3593" s="1799"/>
      <c r="UWJ3593" s="1799"/>
      <c r="UWK3593" s="1799"/>
      <c r="UWL3593" s="1799"/>
      <c r="UWM3593" s="1799"/>
      <c r="UWN3593" s="1799"/>
      <c r="UWO3593" s="1799"/>
      <c r="UWP3593" s="1799"/>
      <c r="UWQ3593" s="1799"/>
      <c r="UWR3593" s="1799"/>
      <c r="UWS3593" s="1799"/>
      <c r="UWT3593" s="1799"/>
      <c r="UWU3593" s="1799"/>
      <c r="UWV3593" s="1799"/>
      <c r="UWW3593" s="1799"/>
      <c r="UWX3593" s="1799"/>
      <c r="UWY3593" s="1799"/>
      <c r="UWZ3593" s="1799"/>
      <c r="UXA3593" s="1799"/>
      <c r="UXB3593" s="1799"/>
      <c r="UXC3593" s="1799"/>
      <c r="UXD3593" s="1799"/>
      <c r="UXE3593" s="1799"/>
      <c r="UXF3593" s="1799"/>
      <c r="UXG3593" s="1799"/>
      <c r="UXH3593" s="1799"/>
      <c r="UXI3593" s="1799"/>
      <c r="UXJ3593" s="1799"/>
      <c r="UXK3593" s="1799"/>
      <c r="UXL3593" s="1799"/>
      <c r="UXM3593" s="1799"/>
      <c r="UXN3593" s="1799"/>
      <c r="UXO3593" s="1799"/>
      <c r="UXP3593" s="1799"/>
      <c r="UXQ3593" s="1799"/>
      <c r="UXR3593" s="1799"/>
      <c r="UXS3593" s="1799"/>
      <c r="UXT3593" s="1799"/>
      <c r="UXU3593" s="1799"/>
      <c r="UXV3593" s="1799"/>
      <c r="UXW3593" s="1799"/>
      <c r="UXX3593" s="1799"/>
      <c r="UXY3593" s="1799"/>
      <c r="UXZ3593" s="1799"/>
      <c r="UYA3593" s="1799"/>
      <c r="UYB3593" s="1799"/>
      <c r="UYC3593" s="1799"/>
      <c r="UYD3593" s="1799"/>
      <c r="UYE3593" s="1799"/>
      <c r="UYF3593" s="1799"/>
      <c r="UYG3593" s="1799"/>
      <c r="UYH3593" s="1799"/>
      <c r="UYI3593" s="1799"/>
      <c r="UYJ3593" s="1799"/>
      <c r="UYK3593" s="1799"/>
      <c r="UYL3593" s="1799"/>
      <c r="UYM3593" s="1799"/>
      <c r="UYN3593" s="1799"/>
      <c r="UYO3593" s="1799"/>
      <c r="UYP3593" s="1799"/>
      <c r="UYQ3593" s="1799"/>
      <c r="UYR3593" s="1799"/>
      <c r="UYS3593" s="1799"/>
      <c r="UYT3593" s="1799"/>
      <c r="UYU3593" s="1799"/>
      <c r="UYV3593" s="1799"/>
      <c r="UYW3593" s="1799"/>
      <c r="UYX3593" s="1799"/>
      <c r="UYY3593" s="1799"/>
      <c r="UYZ3593" s="1799"/>
      <c r="UZA3593" s="1799"/>
      <c r="UZB3593" s="1799"/>
      <c r="UZC3593" s="1799"/>
      <c r="UZD3593" s="1799"/>
      <c r="UZE3593" s="1799"/>
      <c r="UZF3593" s="1799"/>
      <c r="UZG3593" s="1799"/>
      <c r="UZH3593" s="1799"/>
      <c r="UZI3593" s="1799"/>
      <c r="UZJ3593" s="1799"/>
      <c r="UZK3593" s="1799"/>
      <c r="UZL3593" s="1799"/>
      <c r="UZM3593" s="1799"/>
      <c r="UZN3593" s="1799"/>
      <c r="UZO3593" s="1799"/>
      <c r="UZP3593" s="1799"/>
      <c r="UZQ3593" s="1799"/>
      <c r="UZR3593" s="1799"/>
      <c r="UZS3593" s="1799"/>
      <c r="UZT3593" s="1799"/>
      <c r="UZU3593" s="1799"/>
      <c r="UZV3593" s="1799"/>
      <c r="UZW3593" s="1799"/>
      <c r="UZX3593" s="1799"/>
      <c r="UZY3593" s="1799"/>
      <c r="UZZ3593" s="1799"/>
      <c r="VAA3593" s="1799"/>
      <c r="VAB3593" s="1799"/>
      <c r="VAC3593" s="1799"/>
      <c r="VAD3593" s="1799"/>
      <c r="VAE3593" s="1799"/>
      <c r="VAF3593" s="1799"/>
      <c r="VAG3593" s="1799"/>
      <c r="VAH3593" s="1799"/>
      <c r="VAI3593" s="1799"/>
      <c r="VAJ3593" s="1799"/>
      <c r="VAK3593" s="1799"/>
      <c r="VAL3593" s="1799"/>
      <c r="VAM3593" s="1799"/>
      <c r="VAN3593" s="1799"/>
      <c r="VAO3593" s="1799"/>
      <c r="VAP3593" s="1799"/>
      <c r="VAQ3593" s="1799"/>
      <c r="VAR3593" s="1799"/>
      <c r="VAS3593" s="1799"/>
      <c r="VAT3593" s="1799"/>
      <c r="VAU3593" s="1799"/>
      <c r="VAV3593" s="1799"/>
      <c r="VAW3593" s="1799"/>
      <c r="VAX3593" s="1799"/>
      <c r="VAY3593" s="1799"/>
      <c r="VAZ3593" s="1799"/>
      <c r="VBA3593" s="1799"/>
      <c r="VBB3593" s="1799"/>
      <c r="VBC3593" s="1799"/>
      <c r="VBD3593" s="1799"/>
      <c r="VBE3593" s="1799"/>
      <c r="VBF3593" s="1799"/>
      <c r="VBG3593" s="1799"/>
      <c r="VBH3593" s="1799"/>
      <c r="VBI3593" s="1799"/>
      <c r="VBJ3593" s="1799"/>
      <c r="VBK3593" s="1799"/>
      <c r="VBL3593" s="1799"/>
      <c r="VBM3593" s="1799"/>
      <c r="VBN3593" s="1799"/>
      <c r="VBO3593" s="1799"/>
      <c r="VBP3593" s="1799"/>
      <c r="VBQ3593" s="1799"/>
      <c r="VBR3593" s="1799"/>
      <c r="VBS3593" s="1799"/>
      <c r="VBT3593" s="1799"/>
      <c r="VBU3593" s="1799"/>
      <c r="VBV3593" s="1799"/>
      <c r="VBW3593" s="1799"/>
      <c r="VBX3593" s="1799"/>
      <c r="VBY3593" s="1799"/>
      <c r="VBZ3593" s="1799"/>
      <c r="VCA3593" s="1799"/>
      <c r="VCB3593" s="1799"/>
      <c r="VCC3593" s="1799"/>
      <c r="VCD3593" s="1799"/>
      <c r="VCE3593" s="1799"/>
      <c r="VCF3593" s="1799"/>
      <c r="VCG3593" s="1799"/>
      <c r="VCH3593" s="1799"/>
      <c r="VCI3593" s="1799"/>
      <c r="VCJ3593" s="1799"/>
      <c r="VCK3593" s="1799"/>
      <c r="VCL3593" s="1799"/>
      <c r="VCM3593" s="1799"/>
      <c r="VCN3593" s="1799"/>
      <c r="VCO3593" s="1799"/>
      <c r="VCP3593" s="1799"/>
      <c r="VCQ3593" s="1799"/>
      <c r="VCR3593" s="1799"/>
      <c r="VCS3593" s="1799"/>
      <c r="VCT3593" s="1799"/>
      <c r="VCU3593" s="1799"/>
      <c r="VCV3593" s="1799"/>
      <c r="VCW3593" s="1799"/>
      <c r="VCX3593" s="1799"/>
      <c r="VCY3593" s="1799"/>
      <c r="VCZ3593" s="1799"/>
      <c r="VDA3593" s="1799"/>
      <c r="VDB3593" s="1799"/>
      <c r="VDC3593" s="1799"/>
      <c r="VDD3593" s="1799"/>
      <c r="VDE3593" s="1799"/>
      <c r="VDF3593" s="1799"/>
      <c r="VDG3593" s="1799"/>
      <c r="VDH3593" s="1799"/>
      <c r="VDI3593" s="1799"/>
      <c r="VDJ3593" s="1799"/>
      <c r="VDK3593" s="1799"/>
      <c r="VDL3593" s="1799"/>
      <c r="VDM3593" s="1799"/>
      <c r="VDN3593" s="1799"/>
      <c r="VDO3593" s="1799"/>
      <c r="VDP3593" s="1799"/>
      <c r="VDQ3593" s="1799"/>
      <c r="VDR3593" s="1799"/>
      <c r="VDS3593" s="1799"/>
      <c r="VDT3593" s="1799"/>
      <c r="VDU3593" s="1799"/>
      <c r="VDV3593" s="1799"/>
      <c r="VDW3593" s="1799"/>
      <c r="VDX3593" s="1799"/>
      <c r="VDY3593" s="1799"/>
      <c r="VDZ3593" s="1799"/>
      <c r="VEA3593" s="1799"/>
      <c r="VEB3593" s="1799"/>
      <c r="VEC3593" s="1799"/>
      <c r="VED3593" s="1799"/>
      <c r="VEE3593" s="1799"/>
      <c r="VEF3593" s="1799"/>
      <c r="VEG3593" s="1799"/>
      <c r="VEH3593" s="1799"/>
      <c r="VEI3593" s="1799"/>
      <c r="VEJ3593" s="1799"/>
      <c r="VEK3593" s="1799"/>
      <c r="VEL3593" s="1799"/>
      <c r="VEM3593" s="1799"/>
      <c r="VEN3593" s="1799"/>
      <c r="VEO3593" s="1799"/>
      <c r="VEP3593" s="1799"/>
      <c r="VEQ3593" s="1799"/>
      <c r="VER3593" s="1799"/>
      <c r="VES3593" s="1799"/>
      <c r="VET3593" s="1799"/>
      <c r="VEU3593" s="1799"/>
      <c r="VEV3593" s="1799"/>
      <c r="VEW3593" s="1799"/>
      <c r="VEX3593" s="1799"/>
      <c r="VEY3593" s="1799"/>
      <c r="VEZ3593" s="1799"/>
      <c r="VFA3593" s="1799"/>
      <c r="VFB3593" s="1799"/>
      <c r="VFC3593" s="1799"/>
      <c r="VFD3593" s="1799"/>
      <c r="VFE3593" s="1799"/>
      <c r="VFF3593" s="1799"/>
      <c r="VFG3593" s="1799"/>
      <c r="VFH3593" s="1799"/>
      <c r="VFI3593" s="1799"/>
      <c r="VFJ3593" s="1799"/>
      <c r="VFK3593" s="1799"/>
      <c r="VFL3593" s="1799"/>
      <c r="VFM3593" s="1799"/>
      <c r="VFN3593" s="1799"/>
      <c r="VFO3593" s="1799"/>
      <c r="VFP3593" s="1799"/>
      <c r="VFQ3593" s="1799"/>
      <c r="VFR3593" s="1799"/>
      <c r="VFS3593" s="1799"/>
      <c r="VFT3593" s="1799"/>
      <c r="VFU3593" s="1799"/>
      <c r="VFV3593" s="1799"/>
      <c r="VFW3593" s="1799"/>
      <c r="VFX3593" s="1799"/>
      <c r="VFY3593" s="1799"/>
      <c r="VFZ3593" s="1799"/>
      <c r="VGA3593" s="1799"/>
      <c r="VGB3593" s="1799"/>
      <c r="VGC3593" s="1799"/>
      <c r="VGD3593" s="1799"/>
      <c r="VGE3593" s="1799"/>
      <c r="VGF3593" s="1799"/>
      <c r="VGG3593" s="1799"/>
      <c r="VGH3593" s="1799"/>
      <c r="VGI3593" s="1799"/>
      <c r="VGJ3593" s="1799"/>
      <c r="VGK3593" s="1799"/>
      <c r="VGL3593" s="1799"/>
      <c r="VGM3593" s="1799"/>
      <c r="VGN3593" s="1799"/>
      <c r="VGO3593" s="1799"/>
      <c r="VGP3593" s="1799"/>
      <c r="VGQ3593" s="1799"/>
      <c r="VGR3593" s="1799"/>
      <c r="VGS3593" s="1799"/>
      <c r="VGT3593" s="1799"/>
      <c r="VGU3593" s="1799"/>
      <c r="VGV3593" s="1799"/>
      <c r="VGW3593" s="1799"/>
      <c r="VGX3593" s="1799"/>
      <c r="VGY3593" s="1799"/>
      <c r="VGZ3593" s="1799"/>
      <c r="VHA3593" s="1799"/>
      <c r="VHB3593" s="1799"/>
      <c r="VHC3593" s="1799"/>
      <c r="VHD3593" s="1799"/>
      <c r="VHE3593" s="1799"/>
      <c r="VHF3593" s="1799"/>
      <c r="VHG3593" s="1799"/>
      <c r="VHH3593" s="1799"/>
      <c r="VHI3593" s="1799"/>
      <c r="VHJ3593" s="1799"/>
      <c r="VHK3593" s="1799"/>
      <c r="VHL3593" s="1799"/>
      <c r="VHM3593" s="1799"/>
      <c r="VHN3593" s="1799"/>
      <c r="VHO3593" s="1799"/>
      <c r="VHP3593" s="1799"/>
      <c r="VHQ3593" s="1799"/>
      <c r="VHR3593" s="1799"/>
      <c r="VHS3593" s="1799"/>
      <c r="VHT3593" s="1799"/>
      <c r="VHU3593" s="1799"/>
      <c r="VHV3593" s="1799"/>
      <c r="VHW3593" s="1799"/>
      <c r="VHX3593" s="1799"/>
      <c r="VHY3593" s="1799"/>
      <c r="VHZ3593" s="1799"/>
      <c r="VIA3593" s="1799"/>
      <c r="VIB3593" s="1799"/>
      <c r="VIC3593" s="1799"/>
      <c r="VID3593" s="1799"/>
      <c r="VIE3593" s="1799"/>
      <c r="VIF3593" s="1799"/>
      <c r="VIG3593" s="1799"/>
      <c r="VIH3593" s="1799"/>
      <c r="VII3593" s="1799"/>
      <c r="VIJ3593" s="1799"/>
      <c r="VIK3593" s="1799"/>
      <c r="VIL3593" s="1799"/>
      <c r="VIM3593" s="1799"/>
      <c r="VIN3593" s="1799"/>
      <c r="VIO3593" s="1799"/>
      <c r="VIP3593" s="1799"/>
      <c r="VIQ3593" s="1799"/>
      <c r="VIR3593" s="1799"/>
      <c r="VIS3593" s="1799"/>
      <c r="VIT3593" s="1799"/>
      <c r="VIU3593" s="1799"/>
      <c r="VIV3593" s="1799"/>
      <c r="VIW3593" s="1799"/>
      <c r="VIX3593" s="1799"/>
      <c r="VIY3593" s="1799"/>
      <c r="VIZ3593" s="1799"/>
      <c r="VJA3593" s="1799"/>
      <c r="VJB3593" s="1799"/>
      <c r="VJC3593" s="1799"/>
      <c r="VJD3593" s="1799"/>
      <c r="VJE3593" s="1799"/>
      <c r="VJF3593" s="1799"/>
      <c r="VJG3593" s="1799"/>
      <c r="VJH3593" s="1799"/>
      <c r="VJI3593" s="1799"/>
      <c r="VJJ3593" s="1799"/>
      <c r="VJK3593" s="1799"/>
      <c r="VJL3593" s="1799"/>
      <c r="VJM3593" s="1799"/>
      <c r="VJN3593" s="1799"/>
      <c r="VJO3593" s="1799"/>
      <c r="VJP3593" s="1799"/>
      <c r="VJQ3593" s="1799"/>
      <c r="VJR3593" s="1799"/>
      <c r="VJS3593" s="1799"/>
      <c r="VJT3593" s="1799"/>
      <c r="VJU3593" s="1799"/>
      <c r="VJV3593" s="1799"/>
      <c r="VJW3593" s="1799"/>
      <c r="VJX3593" s="1799"/>
      <c r="VJY3593" s="1799"/>
      <c r="VJZ3593" s="1799"/>
      <c r="VKA3593" s="1799"/>
      <c r="VKB3593" s="1799"/>
      <c r="VKC3593" s="1799"/>
      <c r="VKD3593" s="1799"/>
      <c r="VKE3593" s="1799"/>
      <c r="VKF3593" s="1799"/>
      <c r="VKG3593" s="1799"/>
      <c r="VKH3593" s="1799"/>
      <c r="VKI3593" s="1799"/>
      <c r="VKJ3593" s="1799"/>
      <c r="VKK3593" s="1799"/>
      <c r="VKL3593" s="1799"/>
      <c r="VKM3593" s="1799"/>
      <c r="VKN3593" s="1799"/>
      <c r="VKO3593" s="1799"/>
      <c r="VKP3593" s="1799"/>
      <c r="VKQ3593" s="1799"/>
      <c r="VKR3593" s="1799"/>
      <c r="VKS3593" s="1799"/>
      <c r="VKT3593" s="1799"/>
      <c r="VKU3593" s="1799"/>
      <c r="VKV3593" s="1799"/>
      <c r="VKW3593" s="1799"/>
      <c r="VKX3593" s="1799"/>
      <c r="VKY3593" s="1799"/>
      <c r="VKZ3593" s="1799"/>
      <c r="VLA3593" s="1799"/>
      <c r="VLB3593" s="1799"/>
      <c r="VLC3593" s="1799"/>
      <c r="VLD3593" s="1799"/>
      <c r="VLE3593" s="1799"/>
      <c r="VLF3593" s="1799"/>
      <c r="VLG3593" s="1799"/>
      <c r="VLH3593" s="1799"/>
      <c r="VLI3593" s="1799"/>
      <c r="VLJ3593" s="1799"/>
      <c r="VLK3593" s="1799"/>
      <c r="VLL3593" s="1799"/>
      <c r="VLM3593" s="1799"/>
      <c r="VLN3593" s="1799"/>
      <c r="VLO3593" s="1799"/>
      <c r="VLP3593" s="1799"/>
      <c r="VLQ3593" s="1799"/>
      <c r="VLR3593" s="1799"/>
      <c r="VLS3593" s="1799"/>
      <c r="VLT3593" s="1799"/>
      <c r="VLU3593" s="1799"/>
      <c r="VLV3593" s="1799"/>
      <c r="VLW3593" s="1799"/>
      <c r="VLX3593" s="1799"/>
      <c r="VLY3593" s="1799"/>
      <c r="VLZ3593" s="1799"/>
      <c r="VMA3593" s="1799"/>
      <c r="VMB3593" s="1799"/>
      <c r="VMC3593" s="1799"/>
      <c r="VMD3593" s="1799"/>
      <c r="VME3593" s="1799"/>
      <c r="VMF3593" s="1799"/>
      <c r="VMG3593" s="1799"/>
      <c r="VMH3593" s="1799"/>
      <c r="VMI3593" s="1799"/>
      <c r="VMJ3593" s="1799"/>
      <c r="VMK3593" s="1799"/>
      <c r="VML3593" s="1799"/>
      <c r="VMM3593" s="1799"/>
      <c r="VMN3593" s="1799"/>
      <c r="VMO3593" s="1799"/>
      <c r="VMP3593" s="1799"/>
      <c r="VMQ3593" s="1799"/>
      <c r="VMR3593" s="1799"/>
      <c r="VMS3593" s="1799"/>
      <c r="VMT3593" s="1799"/>
      <c r="VMU3593" s="1799"/>
      <c r="VMV3593" s="1799"/>
      <c r="VMW3593" s="1799"/>
      <c r="VMX3593" s="1799"/>
      <c r="VMY3593" s="1799"/>
      <c r="VMZ3593" s="1799"/>
      <c r="VNA3593" s="1799"/>
      <c r="VNB3593" s="1799"/>
      <c r="VNC3593" s="1799"/>
      <c r="VND3593" s="1799"/>
      <c r="VNE3593" s="1799"/>
      <c r="VNF3593" s="1799"/>
      <c r="VNG3593" s="1799"/>
      <c r="VNH3593" s="1799"/>
      <c r="VNI3593" s="1799"/>
      <c r="VNJ3593" s="1799"/>
      <c r="VNK3593" s="1799"/>
      <c r="VNL3593" s="1799"/>
      <c r="VNM3593" s="1799"/>
      <c r="VNN3593" s="1799"/>
      <c r="VNO3593" s="1799"/>
      <c r="VNP3593" s="1799"/>
      <c r="VNQ3593" s="1799"/>
      <c r="VNR3593" s="1799"/>
      <c r="VNS3593" s="1799"/>
      <c r="VNT3593" s="1799"/>
      <c r="VNU3593" s="1799"/>
      <c r="VNV3593" s="1799"/>
      <c r="VNW3593" s="1799"/>
      <c r="VNX3593" s="1799"/>
      <c r="VNY3593" s="1799"/>
      <c r="VNZ3593" s="1799"/>
      <c r="VOA3593" s="1799"/>
      <c r="VOB3593" s="1799"/>
      <c r="VOC3593" s="1799"/>
      <c r="VOD3593" s="1799"/>
      <c r="VOE3593" s="1799"/>
      <c r="VOF3593" s="1799"/>
      <c r="VOG3593" s="1799"/>
      <c r="VOH3593" s="1799"/>
      <c r="VOI3593" s="1799"/>
      <c r="VOJ3593" s="1799"/>
      <c r="VOK3593" s="1799"/>
      <c r="VOL3593" s="1799"/>
      <c r="VOM3593" s="1799"/>
      <c r="VON3593" s="1799"/>
      <c r="VOO3593" s="1799"/>
      <c r="VOP3593" s="1799"/>
      <c r="VOQ3593" s="1799"/>
      <c r="VOR3593" s="1799"/>
      <c r="VOS3593" s="1799"/>
      <c r="VOT3593" s="1799"/>
      <c r="VOU3593" s="1799"/>
      <c r="VOV3593" s="1799"/>
      <c r="VOW3593" s="1799"/>
      <c r="VOX3593" s="1799"/>
      <c r="VOY3593" s="1799"/>
      <c r="VOZ3593" s="1799"/>
      <c r="VPA3593" s="1799"/>
      <c r="VPB3593" s="1799"/>
      <c r="VPC3593" s="1799"/>
      <c r="VPD3593" s="1799"/>
      <c r="VPE3593" s="1799"/>
      <c r="VPF3593" s="1799"/>
      <c r="VPG3593" s="1799"/>
      <c r="VPH3593" s="1799"/>
      <c r="VPI3593" s="1799"/>
      <c r="VPJ3593" s="1799"/>
      <c r="VPK3593" s="1799"/>
      <c r="VPL3593" s="1799"/>
      <c r="VPM3593" s="1799"/>
      <c r="VPN3593" s="1799"/>
      <c r="VPO3593" s="1799"/>
      <c r="VPP3593" s="1799"/>
      <c r="VPQ3593" s="1799"/>
      <c r="VPR3593" s="1799"/>
      <c r="VPS3593" s="1799"/>
      <c r="VPT3593" s="1799"/>
      <c r="VPU3593" s="1799"/>
      <c r="VPV3593" s="1799"/>
      <c r="VPW3593" s="1799"/>
      <c r="VPX3593" s="1799"/>
      <c r="VPY3593" s="1799"/>
      <c r="VPZ3593" s="1799"/>
      <c r="VQA3593" s="1799"/>
      <c r="VQB3593" s="1799"/>
      <c r="VQC3593" s="1799"/>
      <c r="VQD3593" s="1799"/>
      <c r="VQE3593" s="1799"/>
      <c r="VQF3593" s="1799"/>
      <c r="VQG3593" s="1799"/>
      <c r="VQH3593" s="1799"/>
      <c r="VQI3593" s="1799"/>
      <c r="VQJ3593" s="1799"/>
      <c r="VQK3593" s="1799"/>
      <c r="VQL3593" s="1799"/>
      <c r="VQM3593" s="1799"/>
      <c r="VQN3593" s="1799"/>
      <c r="VQO3593" s="1799"/>
      <c r="VQP3593" s="1799"/>
      <c r="VQQ3593" s="1799"/>
      <c r="VQR3593" s="1799"/>
      <c r="VQS3593" s="1799"/>
      <c r="VQT3593" s="1799"/>
      <c r="VQU3593" s="1799"/>
      <c r="VQV3593" s="1799"/>
      <c r="VQW3593" s="1799"/>
      <c r="VQX3593" s="1799"/>
      <c r="VQY3593" s="1799"/>
      <c r="VQZ3593" s="1799"/>
      <c r="VRA3593" s="1799"/>
      <c r="VRB3593" s="1799"/>
      <c r="VRC3593" s="1799"/>
      <c r="VRD3593" s="1799"/>
      <c r="VRE3593" s="1799"/>
      <c r="VRF3593" s="1799"/>
      <c r="VRG3593" s="1799"/>
      <c r="VRH3593" s="1799"/>
      <c r="VRI3593" s="1799"/>
      <c r="VRJ3593" s="1799"/>
      <c r="VRK3593" s="1799"/>
      <c r="VRL3593" s="1799"/>
      <c r="VRM3593" s="1799"/>
      <c r="VRN3593" s="1799"/>
      <c r="VRO3593" s="1799"/>
      <c r="VRP3593" s="1799"/>
      <c r="VRQ3593" s="1799"/>
      <c r="VRR3593" s="1799"/>
      <c r="VRS3593" s="1799"/>
      <c r="VRT3593" s="1799"/>
      <c r="VRU3593" s="1799"/>
      <c r="VRV3593" s="1799"/>
      <c r="VRW3593" s="1799"/>
      <c r="VRX3593" s="1799"/>
      <c r="VRY3593" s="1799"/>
      <c r="VRZ3593" s="1799"/>
      <c r="VSA3593" s="1799"/>
      <c r="VSB3593" s="1799"/>
      <c r="VSC3593" s="1799"/>
      <c r="VSD3593" s="1799"/>
      <c r="VSE3593" s="1799"/>
      <c r="VSF3593" s="1799"/>
      <c r="VSG3593" s="1799"/>
      <c r="VSH3593" s="1799"/>
      <c r="VSI3593" s="1799"/>
      <c r="VSJ3593" s="1799"/>
      <c r="VSK3593" s="1799"/>
      <c r="VSL3593" s="1799"/>
      <c r="VSM3593" s="1799"/>
      <c r="VSN3593" s="1799"/>
      <c r="VSO3593" s="1799"/>
      <c r="VSP3593" s="1799"/>
      <c r="VSQ3593" s="1799"/>
      <c r="VSR3593" s="1799"/>
      <c r="VSS3593" s="1799"/>
      <c r="VST3593" s="1799"/>
      <c r="VSU3593" s="1799"/>
      <c r="VSV3593" s="1799"/>
      <c r="VSW3593" s="1799"/>
      <c r="VSX3593" s="1799"/>
      <c r="VSY3593" s="1799"/>
      <c r="VSZ3593" s="1799"/>
      <c r="VTA3593" s="1799"/>
      <c r="VTB3593" s="1799"/>
      <c r="VTC3593" s="1799"/>
      <c r="VTD3593" s="1799"/>
      <c r="VTE3593" s="1799"/>
      <c r="VTF3593" s="1799"/>
      <c r="VTG3593" s="1799"/>
      <c r="VTH3593" s="1799"/>
      <c r="VTI3593" s="1799"/>
      <c r="VTJ3593" s="1799"/>
      <c r="VTK3593" s="1799"/>
      <c r="VTL3593" s="1799"/>
      <c r="VTM3593" s="1799"/>
      <c r="VTN3593" s="1799"/>
      <c r="VTO3593" s="1799"/>
      <c r="VTP3593" s="1799"/>
      <c r="VTQ3593" s="1799"/>
      <c r="VTR3593" s="1799"/>
      <c r="VTS3593" s="1799"/>
      <c r="VTT3593" s="1799"/>
      <c r="VTU3593" s="1799"/>
      <c r="VTV3593" s="1799"/>
      <c r="VTW3593" s="1799"/>
      <c r="VTX3593" s="1799"/>
      <c r="VTY3593" s="1799"/>
      <c r="VTZ3593" s="1799"/>
      <c r="VUA3593" s="1799"/>
      <c r="VUB3593" s="1799"/>
      <c r="VUC3593" s="1799"/>
      <c r="VUD3593" s="1799"/>
      <c r="VUE3593" s="1799"/>
      <c r="VUF3593" s="1799"/>
      <c r="VUG3593" s="1799"/>
      <c r="VUH3593" s="1799"/>
      <c r="VUI3593" s="1799"/>
      <c r="VUJ3593" s="1799"/>
      <c r="VUK3593" s="1799"/>
      <c r="VUL3593" s="1799"/>
      <c r="VUM3593" s="1799"/>
      <c r="VUN3593" s="1799"/>
      <c r="VUO3593" s="1799"/>
      <c r="VUP3593" s="1799"/>
      <c r="VUQ3593" s="1799"/>
      <c r="VUR3593" s="1799"/>
      <c r="VUS3593" s="1799"/>
      <c r="VUT3593" s="1799"/>
      <c r="VUU3593" s="1799"/>
      <c r="VUV3593" s="1799"/>
      <c r="VUW3593" s="1799"/>
      <c r="VUX3593" s="1799"/>
      <c r="VUY3593" s="1799"/>
      <c r="VUZ3593" s="1799"/>
      <c r="VVA3593" s="1799"/>
      <c r="VVB3593" s="1799"/>
      <c r="VVC3593" s="1799"/>
      <c r="VVD3593" s="1799"/>
      <c r="VVE3593" s="1799"/>
      <c r="VVF3593" s="1799"/>
      <c r="VVG3593" s="1799"/>
      <c r="VVH3593" s="1799"/>
      <c r="VVI3593" s="1799"/>
      <c r="VVJ3593" s="1799"/>
      <c r="VVK3593" s="1799"/>
      <c r="VVL3593" s="1799"/>
      <c r="VVM3593" s="1799"/>
      <c r="VVN3593" s="1799"/>
      <c r="VVO3593" s="1799"/>
      <c r="VVP3593" s="1799"/>
      <c r="VVQ3593" s="1799"/>
      <c r="VVR3593" s="1799"/>
      <c r="VVS3593" s="1799"/>
      <c r="VVT3593" s="1799"/>
      <c r="VVU3593" s="1799"/>
      <c r="VVV3593" s="1799"/>
      <c r="VVW3593" s="1799"/>
      <c r="VVX3593" s="1799"/>
      <c r="VVY3593" s="1799"/>
      <c r="VVZ3593" s="1799"/>
      <c r="VWA3593" s="1799"/>
      <c r="VWB3593" s="1799"/>
      <c r="VWC3593" s="1799"/>
      <c r="VWD3593" s="1799"/>
      <c r="VWE3593" s="1799"/>
      <c r="VWF3593" s="1799"/>
      <c r="VWG3593" s="1799"/>
      <c r="VWH3593" s="1799"/>
      <c r="VWI3593" s="1799"/>
      <c r="VWJ3593" s="1799"/>
      <c r="VWK3593" s="1799"/>
      <c r="VWL3593" s="1799"/>
      <c r="VWM3593" s="1799"/>
      <c r="VWN3593" s="1799"/>
      <c r="VWO3593" s="1799"/>
      <c r="VWP3593" s="1799"/>
      <c r="VWQ3593" s="1799"/>
      <c r="VWR3593" s="1799"/>
      <c r="VWS3593" s="1799"/>
      <c r="VWT3593" s="1799"/>
      <c r="VWU3593" s="1799"/>
      <c r="VWV3593" s="1799"/>
      <c r="VWW3593" s="1799"/>
      <c r="VWX3593" s="1799"/>
      <c r="VWY3593" s="1799"/>
      <c r="VWZ3593" s="1799"/>
      <c r="VXA3593" s="1799"/>
      <c r="VXB3593" s="1799"/>
      <c r="VXC3593" s="1799"/>
      <c r="VXD3593" s="1799"/>
      <c r="VXE3593" s="1799"/>
      <c r="VXF3593" s="1799"/>
      <c r="VXG3593" s="1799"/>
      <c r="VXH3593" s="1799"/>
      <c r="VXI3593" s="1799"/>
      <c r="VXJ3593" s="1799"/>
      <c r="VXK3593" s="1799"/>
      <c r="VXL3593" s="1799"/>
      <c r="VXM3593" s="1799"/>
      <c r="VXN3593" s="1799"/>
      <c r="VXO3593" s="1799"/>
      <c r="VXP3593" s="1799"/>
      <c r="VXQ3593" s="1799"/>
      <c r="VXR3593" s="1799"/>
      <c r="VXS3593" s="1799"/>
      <c r="VXT3593" s="1799"/>
      <c r="VXU3593" s="1799"/>
      <c r="VXV3593" s="1799"/>
      <c r="VXW3593" s="1799"/>
      <c r="VXX3593" s="1799"/>
      <c r="VXY3593" s="1799"/>
      <c r="VXZ3593" s="1799"/>
      <c r="VYA3593" s="1799"/>
      <c r="VYB3593" s="1799"/>
      <c r="VYC3593" s="1799"/>
      <c r="VYD3593" s="1799"/>
      <c r="VYE3593" s="1799"/>
      <c r="VYF3593" s="1799"/>
      <c r="VYG3593" s="1799"/>
      <c r="VYH3593" s="1799"/>
      <c r="VYI3593" s="1799"/>
      <c r="VYJ3593" s="1799"/>
      <c r="VYK3593" s="1799"/>
      <c r="VYL3593" s="1799"/>
      <c r="VYM3593" s="1799"/>
      <c r="VYN3593" s="1799"/>
      <c r="VYO3593" s="1799"/>
      <c r="VYP3593" s="1799"/>
      <c r="VYQ3593" s="1799"/>
      <c r="VYR3593" s="1799"/>
      <c r="VYS3593" s="1799"/>
      <c r="VYT3593" s="1799"/>
      <c r="VYU3593" s="1799"/>
      <c r="VYV3593" s="1799"/>
      <c r="VYW3593" s="1799"/>
      <c r="VYX3593" s="1799"/>
      <c r="VYY3593" s="1799"/>
      <c r="VYZ3593" s="1799"/>
      <c r="VZA3593" s="1799"/>
      <c r="VZB3593" s="1799"/>
      <c r="VZC3593" s="1799"/>
      <c r="VZD3593" s="1799"/>
      <c r="VZE3593" s="1799"/>
      <c r="VZF3593" s="1799"/>
      <c r="VZG3593" s="1799"/>
      <c r="VZH3593" s="1799"/>
      <c r="VZI3593" s="1799"/>
      <c r="VZJ3593" s="1799"/>
      <c r="VZK3593" s="1799"/>
      <c r="VZL3593" s="1799"/>
      <c r="VZM3593" s="1799"/>
      <c r="VZN3593" s="1799"/>
      <c r="VZO3593" s="1799"/>
      <c r="VZP3593" s="1799"/>
      <c r="VZQ3593" s="1799"/>
      <c r="VZR3593" s="1799"/>
      <c r="VZS3593" s="1799"/>
      <c r="VZT3593" s="1799"/>
      <c r="VZU3593" s="1799"/>
      <c r="VZV3593" s="1799"/>
      <c r="VZW3593" s="1799"/>
      <c r="VZX3593" s="1799"/>
      <c r="VZY3593" s="1799"/>
      <c r="VZZ3593" s="1799"/>
      <c r="WAA3593" s="1799"/>
      <c r="WAB3593" s="1799"/>
      <c r="WAC3593" s="1799"/>
      <c r="WAD3593" s="1799"/>
      <c r="WAE3593" s="1799"/>
      <c r="WAF3593" s="1799"/>
      <c r="WAG3593" s="1799"/>
      <c r="WAH3593" s="1799"/>
      <c r="WAI3593" s="1799"/>
      <c r="WAJ3593" s="1799"/>
      <c r="WAK3593" s="1799"/>
      <c r="WAL3593" s="1799"/>
      <c r="WAM3593" s="1799"/>
      <c r="WAN3593" s="1799"/>
      <c r="WAO3593" s="1799"/>
      <c r="WAP3593" s="1799"/>
      <c r="WAQ3593" s="1799"/>
      <c r="WAR3593" s="1799"/>
      <c r="WAS3593" s="1799"/>
      <c r="WAT3593" s="1799"/>
      <c r="WAU3593" s="1799"/>
      <c r="WAV3593" s="1799"/>
      <c r="WAW3593" s="1799"/>
      <c r="WAX3593" s="1799"/>
      <c r="WAY3593" s="1799"/>
      <c r="WAZ3593" s="1799"/>
      <c r="WBA3593" s="1799"/>
      <c r="WBB3593" s="1799"/>
      <c r="WBC3593" s="1799"/>
      <c r="WBD3593" s="1799"/>
      <c r="WBE3593" s="1799"/>
      <c r="WBF3593" s="1799"/>
      <c r="WBG3593" s="1799"/>
      <c r="WBH3593" s="1799"/>
      <c r="WBI3593" s="1799"/>
      <c r="WBJ3593" s="1799"/>
      <c r="WBK3593" s="1799"/>
      <c r="WBL3593" s="1799"/>
      <c r="WBM3593" s="1799"/>
      <c r="WBN3593" s="1799"/>
      <c r="WBO3593" s="1799"/>
      <c r="WBP3593" s="1799"/>
      <c r="WBQ3593" s="1799"/>
      <c r="WBR3593" s="1799"/>
      <c r="WBS3593" s="1799"/>
      <c r="WBT3593" s="1799"/>
      <c r="WBU3593" s="1799"/>
      <c r="WBV3593" s="1799"/>
      <c r="WBW3593" s="1799"/>
      <c r="WBX3593" s="1799"/>
      <c r="WBY3593" s="1799"/>
      <c r="WBZ3593" s="1799"/>
      <c r="WCA3593" s="1799"/>
      <c r="WCB3593" s="1799"/>
      <c r="WCC3593" s="1799"/>
      <c r="WCD3593" s="1799"/>
      <c r="WCE3593" s="1799"/>
      <c r="WCF3593" s="1799"/>
      <c r="WCG3593" s="1799"/>
      <c r="WCH3593" s="1799"/>
      <c r="WCI3593" s="1799"/>
      <c r="WCJ3593" s="1799"/>
      <c r="WCK3593" s="1799"/>
      <c r="WCL3593" s="1799"/>
      <c r="WCM3593" s="1799"/>
      <c r="WCN3593" s="1799"/>
      <c r="WCO3593" s="1799"/>
      <c r="WCP3593" s="1799"/>
      <c r="WCQ3593" s="1799"/>
      <c r="WCR3593" s="1799"/>
      <c r="WCS3593" s="1799"/>
      <c r="WCT3593" s="1799"/>
      <c r="WCU3593" s="1799"/>
      <c r="WCV3593" s="1799"/>
      <c r="WCW3593" s="1799"/>
      <c r="WCX3593" s="1799"/>
      <c r="WCY3593" s="1799"/>
      <c r="WCZ3593" s="1799"/>
      <c r="WDA3593" s="1799"/>
      <c r="WDB3593" s="1799"/>
      <c r="WDC3593" s="1799"/>
      <c r="WDD3593" s="1799"/>
      <c r="WDE3593" s="1799"/>
      <c r="WDF3593" s="1799"/>
      <c r="WDG3593" s="1799"/>
      <c r="WDH3593" s="1799"/>
      <c r="WDI3593" s="1799"/>
      <c r="WDJ3593" s="1799"/>
      <c r="WDK3593" s="1799"/>
      <c r="WDL3593" s="1799"/>
      <c r="WDM3593" s="1799"/>
      <c r="WDN3593" s="1799"/>
      <c r="WDO3593" s="1799"/>
      <c r="WDP3593" s="1799"/>
      <c r="WDQ3593" s="1799"/>
      <c r="WDR3593" s="1799"/>
      <c r="WDS3593" s="1799"/>
      <c r="WDT3593" s="1799"/>
      <c r="WDU3593" s="1799"/>
      <c r="WDV3593" s="1799"/>
      <c r="WDW3593" s="1799"/>
      <c r="WDX3593" s="1799"/>
      <c r="WDY3593" s="1799"/>
      <c r="WDZ3593" s="1799"/>
      <c r="WEA3593" s="1799"/>
      <c r="WEB3593" s="1799"/>
      <c r="WEC3593" s="1799"/>
      <c r="WED3593" s="1799"/>
      <c r="WEE3593" s="1799"/>
      <c r="WEF3593" s="1799"/>
      <c r="WEG3593" s="1799"/>
      <c r="WEH3593" s="1799"/>
      <c r="WEI3593" s="1799"/>
      <c r="WEJ3593" s="1799"/>
      <c r="WEK3593" s="1799"/>
      <c r="WEL3593" s="1799"/>
      <c r="WEM3593" s="1799"/>
      <c r="WEN3593" s="1799"/>
      <c r="WEO3593" s="1799"/>
      <c r="WEP3593" s="1799"/>
      <c r="WEQ3593" s="1799"/>
      <c r="WER3593" s="1799"/>
      <c r="WES3593" s="1799"/>
      <c r="WET3593" s="1799"/>
      <c r="WEU3593" s="1799"/>
      <c r="WEV3593" s="1799"/>
      <c r="WEW3593" s="1799"/>
      <c r="WEX3593" s="1799"/>
      <c r="WEY3593" s="1799"/>
      <c r="WEZ3593" s="1799"/>
      <c r="WFA3593" s="1799"/>
      <c r="WFB3593" s="1799"/>
      <c r="WFC3593" s="1799"/>
      <c r="WFD3593" s="1799"/>
      <c r="WFE3593" s="1799"/>
      <c r="WFF3593" s="1799"/>
      <c r="WFG3593" s="1799"/>
      <c r="WFH3593" s="1799"/>
      <c r="WFI3593" s="1799"/>
      <c r="WFJ3593" s="1799"/>
      <c r="WFK3593" s="1799"/>
      <c r="WFL3593" s="1799"/>
      <c r="WFM3593" s="1799"/>
      <c r="WFN3593" s="1799"/>
      <c r="WFO3593" s="1799"/>
      <c r="WFP3593" s="1799"/>
      <c r="WFQ3593" s="1799"/>
      <c r="WFR3593" s="1799"/>
      <c r="WFS3593" s="1799"/>
      <c r="WFT3593" s="1799"/>
      <c r="WFU3593" s="1799"/>
      <c r="WFV3593" s="1799"/>
      <c r="WFW3593" s="1799"/>
      <c r="WFX3593" s="1799"/>
      <c r="WFY3593" s="1799"/>
      <c r="WFZ3593" s="1799"/>
      <c r="WGA3593" s="1799"/>
      <c r="WGB3593" s="1799"/>
      <c r="WGC3593" s="1799"/>
      <c r="WGD3593" s="1799"/>
      <c r="WGE3593" s="1799"/>
      <c r="WGF3593" s="1799"/>
      <c r="WGG3593" s="1799"/>
      <c r="WGH3593" s="1799"/>
      <c r="WGI3593" s="1799"/>
      <c r="WGJ3593" s="1799"/>
      <c r="WGK3593" s="1799"/>
      <c r="WGL3593" s="1799"/>
      <c r="WGM3593" s="1799"/>
      <c r="WGN3593" s="1799"/>
      <c r="WGO3593" s="1799"/>
      <c r="WGP3593" s="1799"/>
      <c r="WGQ3593" s="1799"/>
      <c r="WGR3593" s="1799"/>
      <c r="WGS3593" s="1799"/>
      <c r="WGT3593" s="1799"/>
      <c r="WGU3593" s="1799"/>
      <c r="WGV3593" s="1799"/>
      <c r="WGW3593" s="1799"/>
      <c r="WGX3593" s="1799"/>
      <c r="WGY3593" s="1799"/>
      <c r="WGZ3593" s="1799"/>
      <c r="WHA3593" s="1799"/>
      <c r="WHB3593" s="1799"/>
      <c r="WHC3593" s="1799"/>
      <c r="WHD3593" s="1799"/>
      <c r="WHE3593" s="1799"/>
      <c r="WHF3593" s="1799"/>
      <c r="WHG3593" s="1799"/>
      <c r="WHH3593" s="1799"/>
      <c r="WHI3593" s="1799"/>
      <c r="WHJ3593" s="1799"/>
      <c r="WHK3593" s="1799"/>
      <c r="WHL3593" s="1799"/>
      <c r="WHM3593" s="1799"/>
      <c r="WHN3593" s="1799"/>
      <c r="WHO3593" s="1799"/>
      <c r="WHP3593" s="1799"/>
      <c r="WHQ3593" s="1799"/>
      <c r="WHR3593" s="1799"/>
      <c r="WHS3593" s="1799"/>
      <c r="WHT3593" s="1799"/>
      <c r="WHU3593" s="1799"/>
      <c r="WHV3593" s="1799"/>
      <c r="WHW3593" s="1799"/>
      <c r="WHX3593" s="1799"/>
      <c r="WHY3593" s="1799"/>
      <c r="WHZ3593" s="1799"/>
      <c r="WIA3593" s="1799"/>
      <c r="WIB3593" s="1799"/>
      <c r="WIC3593" s="1799"/>
      <c r="WID3593" s="1799"/>
      <c r="WIE3593" s="1799"/>
      <c r="WIF3593" s="1799"/>
      <c r="WIG3593" s="1799"/>
      <c r="WIH3593" s="1799"/>
      <c r="WII3593" s="1799"/>
      <c r="WIJ3593" s="1799"/>
      <c r="WIK3593" s="1799"/>
      <c r="WIL3593" s="1799"/>
      <c r="WIM3593" s="1799"/>
      <c r="WIN3593" s="1799"/>
      <c r="WIO3593" s="1799"/>
      <c r="WIP3593" s="1799"/>
      <c r="WIQ3593" s="1799"/>
      <c r="WIR3593" s="1799"/>
      <c r="WIS3593" s="1799"/>
      <c r="WIT3593" s="1799"/>
      <c r="WIU3593" s="1799"/>
      <c r="WIV3593" s="1799"/>
      <c r="WIW3593" s="1799"/>
      <c r="WIX3593" s="1799"/>
      <c r="WIY3593" s="1799"/>
      <c r="WIZ3593" s="1799"/>
      <c r="WJA3593" s="1799"/>
      <c r="WJB3593" s="1799"/>
      <c r="WJC3593" s="1799"/>
      <c r="WJD3593" s="1799"/>
      <c r="WJE3593" s="1799"/>
      <c r="WJF3593" s="1799"/>
      <c r="WJG3593" s="1799"/>
      <c r="WJH3593" s="1799"/>
      <c r="WJI3593" s="1799"/>
      <c r="WJJ3593" s="1799"/>
      <c r="WJK3593" s="1799"/>
      <c r="WJL3593" s="1799"/>
      <c r="WJM3593" s="1799"/>
      <c r="WJN3593" s="1799"/>
      <c r="WJO3593" s="1799"/>
      <c r="WJP3593" s="1799"/>
      <c r="WJQ3593" s="1799"/>
      <c r="WJR3593" s="1799"/>
      <c r="WJS3593" s="1799"/>
      <c r="WJT3593" s="1799"/>
      <c r="WJU3593" s="1799"/>
      <c r="WJV3593" s="1799"/>
      <c r="WJW3593" s="1799"/>
      <c r="WJX3593" s="1799"/>
      <c r="WJY3593" s="1799"/>
      <c r="WJZ3593" s="1799"/>
      <c r="WKA3593" s="1799"/>
      <c r="WKB3593" s="1799"/>
      <c r="WKC3593" s="1799"/>
      <c r="WKD3593" s="1799"/>
      <c r="WKE3593" s="1799"/>
      <c r="WKF3593" s="1799"/>
      <c r="WKG3593" s="1799"/>
      <c r="WKH3593" s="1799"/>
      <c r="WKI3593" s="1799"/>
      <c r="WKJ3593" s="1799"/>
      <c r="WKK3593" s="1799"/>
      <c r="WKL3593" s="1799"/>
      <c r="WKM3593" s="1799"/>
      <c r="WKN3593" s="1799"/>
      <c r="WKO3593" s="1799"/>
      <c r="WKP3593" s="1799"/>
      <c r="WKQ3593" s="1799"/>
      <c r="WKR3593" s="1799"/>
      <c r="WKS3593" s="1799"/>
      <c r="WKT3593" s="1799"/>
      <c r="WKU3593" s="1799"/>
      <c r="WKV3593" s="1799"/>
      <c r="WKW3593" s="1799"/>
      <c r="WKX3593" s="1799"/>
      <c r="WKY3593" s="1799"/>
      <c r="WKZ3593" s="1799"/>
      <c r="WLA3593" s="1799"/>
      <c r="WLB3593" s="1799"/>
      <c r="WLC3593" s="1799"/>
      <c r="WLD3593" s="1799"/>
      <c r="WLE3593" s="1799"/>
      <c r="WLF3593" s="1799"/>
      <c r="WLG3593" s="1799"/>
      <c r="WLH3593" s="1799"/>
      <c r="WLI3593" s="1799"/>
      <c r="WLJ3593" s="1799"/>
      <c r="WLK3593" s="1799"/>
      <c r="WLL3593" s="1799"/>
      <c r="WLM3593" s="1799"/>
      <c r="WLN3593" s="1799"/>
      <c r="WLO3593" s="1799"/>
      <c r="WLP3593" s="1799"/>
      <c r="WLQ3593" s="1799"/>
      <c r="WLR3593" s="1799"/>
      <c r="WLS3593" s="1799"/>
      <c r="WLT3593" s="1799"/>
      <c r="WLU3593" s="1799"/>
      <c r="WLV3593" s="1799"/>
      <c r="WLW3593" s="1799"/>
      <c r="WLX3593" s="1799"/>
      <c r="WLY3593" s="1799"/>
      <c r="WLZ3593" s="1799"/>
      <c r="WMA3593" s="1799"/>
      <c r="WMB3593" s="1799"/>
      <c r="WMC3593" s="1799"/>
      <c r="WMD3593" s="1799"/>
      <c r="WME3593" s="1799"/>
      <c r="WMF3593" s="1799"/>
      <c r="WMG3593" s="1799"/>
      <c r="WMH3593" s="1799"/>
      <c r="WMI3593" s="1799"/>
      <c r="WMJ3593" s="1799"/>
      <c r="WMK3593" s="1799"/>
      <c r="WML3593" s="1799"/>
      <c r="WMM3593" s="1799"/>
      <c r="WMN3593" s="1799"/>
      <c r="WMO3593" s="1799"/>
      <c r="WMP3593" s="1799"/>
      <c r="WMQ3593" s="1799"/>
      <c r="WMR3593" s="1799"/>
      <c r="WMS3593" s="1799"/>
      <c r="WMT3593" s="1799"/>
      <c r="WMU3593" s="1799"/>
      <c r="WMV3593" s="1799"/>
      <c r="WMW3593" s="1799"/>
      <c r="WMX3593" s="1799"/>
      <c r="WMY3593" s="1799"/>
      <c r="WMZ3593" s="1799"/>
      <c r="WNA3593" s="1799"/>
      <c r="WNB3593" s="1799"/>
      <c r="WNC3593" s="1799"/>
      <c r="WND3593" s="1799"/>
      <c r="WNE3593" s="1799"/>
      <c r="WNF3593" s="1799"/>
      <c r="WNG3593" s="1799"/>
      <c r="WNH3593" s="1799"/>
      <c r="WNI3593" s="1799"/>
      <c r="WNJ3593" s="1799"/>
      <c r="WNK3593" s="1799"/>
      <c r="WNL3593" s="1799"/>
      <c r="WNM3593" s="1799"/>
      <c r="WNN3593" s="1799"/>
      <c r="WNO3593" s="1799"/>
      <c r="WNP3593" s="1799"/>
      <c r="WNQ3593" s="1799"/>
      <c r="WNR3593" s="1799"/>
      <c r="WNS3593" s="1799"/>
      <c r="WNT3593" s="1799"/>
      <c r="WNU3593" s="1799"/>
      <c r="WNV3593" s="1799"/>
      <c r="WNW3593" s="1799"/>
      <c r="WNX3593" s="1799"/>
      <c r="WNY3593" s="1799"/>
      <c r="WNZ3593" s="1799"/>
      <c r="WOA3593" s="1799"/>
      <c r="WOB3593" s="1799"/>
      <c r="WOC3593" s="1799"/>
      <c r="WOD3593" s="1799"/>
      <c r="WOE3593" s="1799"/>
      <c r="WOF3593" s="1799"/>
      <c r="WOG3593" s="1799"/>
      <c r="WOH3593" s="1799"/>
      <c r="WOI3593" s="1799"/>
      <c r="WOJ3593" s="1799"/>
      <c r="WOK3593" s="1799"/>
      <c r="WOL3593" s="1799"/>
      <c r="WOM3593" s="1799"/>
      <c r="WON3593" s="1799"/>
      <c r="WOO3593" s="1799"/>
      <c r="WOP3593" s="1799"/>
      <c r="WOQ3593" s="1799"/>
      <c r="WOR3593" s="1799"/>
      <c r="WOS3593" s="1799"/>
      <c r="WOT3593" s="1799"/>
      <c r="WOU3593" s="1799"/>
      <c r="WOV3593" s="1799"/>
      <c r="WOW3593" s="1799"/>
      <c r="WOX3593" s="1799"/>
      <c r="WOY3593" s="1799"/>
      <c r="WOZ3593" s="1799"/>
      <c r="WPA3593" s="1799"/>
      <c r="WPB3593" s="1799"/>
      <c r="WPC3593" s="1799"/>
      <c r="WPD3593" s="1799"/>
      <c r="WPE3593" s="1799"/>
      <c r="WPF3593" s="1799"/>
      <c r="WPG3593" s="1799"/>
      <c r="WPH3593" s="1799"/>
      <c r="WPI3593" s="1799"/>
      <c r="WPJ3593" s="1799"/>
      <c r="WPK3593" s="1799"/>
      <c r="WPL3593" s="1799"/>
      <c r="WPM3593" s="1799"/>
      <c r="WPN3593" s="1799"/>
      <c r="WPO3593" s="1799"/>
      <c r="WPP3593" s="1799"/>
      <c r="WPQ3593" s="1799"/>
      <c r="WPR3593" s="1799"/>
      <c r="WPS3593" s="1799"/>
      <c r="WPT3593" s="1799"/>
      <c r="WPU3593" s="1799"/>
      <c r="WPV3593" s="1799"/>
      <c r="WPW3593" s="1799"/>
      <c r="WPX3593" s="1799"/>
      <c r="WPY3593" s="1799"/>
      <c r="WPZ3593" s="1799"/>
      <c r="WQA3593" s="1799"/>
      <c r="WQB3593" s="1799"/>
      <c r="WQC3593" s="1799"/>
      <c r="WQD3593" s="1799"/>
      <c r="WQE3593" s="1799"/>
      <c r="WQF3593" s="1799"/>
      <c r="WQG3593" s="1799"/>
      <c r="WQH3593" s="1799"/>
      <c r="WQI3593" s="1799"/>
      <c r="WQJ3593" s="1799"/>
      <c r="WQK3593" s="1799"/>
      <c r="WQL3593" s="1799"/>
      <c r="WQM3593" s="1799"/>
      <c r="WQN3593" s="1799"/>
      <c r="WQO3593" s="1799"/>
      <c r="WQP3593" s="1799"/>
      <c r="WQQ3593" s="1799"/>
      <c r="WQR3593" s="1799"/>
      <c r="WQS3593" s="1799"/>
      <c r="WQT3593" s="1799"/>
      <c r="WQU3593" s="1799"/>
      <c r="WQV3593" s="1799"/>
      <c r="WQW3593" s="1799"/>
      <c r="WQX3593" s="1799"/>
      <c r="WQY3593" s="1799"/>
      <c r="WQZ3593" s="1799"/>
      <c r="WRA3593" s="1799"/>
      <c r="WRB3593" s="1799"/>
      <c r="WRC3593" s="1799"/>
      <c r="WRD3593" s="1799"/>
      <c r="WRE3593" s="1799"/>
      <c r="WRF3593" s="1799"/>
      <c r="WRG3593" s="1799"/>
      <c r="WRH3593" s="1799"/>
      <c r="WRI3593" s="1799"/>
      <c r="WRJ3593" s="1799"/>
      <c r="WRK3593" s="1799"/>
      <c r="WRL3593" s="1799"/>
      <c r="WRM3593" s="1799"/>
      <c r="WRN3593" s="1799"/>
      <c r="WRO3593" s="1799"/>
      <c r="WRP3593" s="1799"/>
      <c r="WRQ3593" s="1799"/>
      <c r="WRR3593" s="1799"/>
      <c r="WRS3593" s="1799"/>
      <c r="WRT3593" s="1799"/>
      <c r="WRU3593" s="1799"/>
      <c r="WRV3593" s="1799"/>
      <c r="WRW3593" s="1799"/>
      <c r="WRX3593" s="1799"/>
      <c r="WRY3593" s="1799"/>
      <c r="WRZ3593" s="1799"/>
      <c r="WSA3593" s="1799"/>
      <c r="WSB3593" s="1799"/>
      <c r="WSC3593" s="1799"/>
      <c r="WSD3593" s="1799"/>
      <c r="WSE3593" s="1799"/>
      <c r="WSF3593" s="1799"/>
      <c r="WSG3593" s="1799"/>
      <c r="WSH3593" s="1799"/>
      <c r="WSI3593" s="1799"/>
      <c r="WSJ3593" s="1799"/>
      <c r="WSK3593" s="1799"/>
      <c r="WSL3593" s="1799"/>
      <c r="WSM3593" s="1799"/>
      <c r="WSN3593" s="1799"/>
      <c r="WSO3593" s="1799"/>
      <c r="WSP3593" s="1799"/>
      <c r="WSQ3593" s="1799"/>
      <c r="WSR3593" s="1799"/>
      <c r="WSS3593" s="1799"/>
      <c r="WST3593" s="1799"/>
      <c r="WSU3593" s="1799"/>
      <c r="WSV3593" s="1799"/>
      <c r="WSW3593" s="1799"/>
      <c r="WSX3593" s="1799"/>
      <c r="WSY3593" s="1799"/>
      <c r="WSZ3593" s="1799"/>
      <c r="WTA3593" s="1799"/>
      <c r="WTB3593" s="1799"/>
      <c r="WTC3593" s="1799"/>
      <c r="WTD3593" s="1799"/>
      <c r="WTE3593" s="1799"/>
      <c r="WTF3593" s="1799"/>
      <c r="WTG3593" s="1799"/>
      <c r="WTH3593" s="1799"/>
      <c r="WTI3593" s="1799"/>
      <c r="WTJ3593" s="1799"/>
      <c r="WTK3593" s="1799"/>
      <c r="WTL3593" s="1799"/>
      <c r="WTM3593" s="1799"/>
      <c r="WTN3593" s="1799"/>
      <c r="WTO3593" s="1799"/>
      <c r="WTP3593" s="1799"/>
      <c r="WTQ3593" s="1799"/>
      <c r="WTR3593" s="1799"/>
      <c r="WTS3593" s="1799"/>
      <c r="WTT3593" s="1799"/>
      <c r="WTU3593" s="1799"/>
      <c r="WTV3593" s="1799"/>
      <c r="WTW3593" s="1799"/>
      <c r="WTX3593" s="1799"/>
      <c r="WTY3593" s="1799"/>
      <c r="WTZ3593" s="1799"/>
      <c r="WUA3593" s="1799"/>
      <c r="WUB3593" s="1799"/>
      <c r="WUC3593" s="1799"/>
      <c r="WUD3593" s="1799"/>
      <c r="WUE3593" s="1799"/>
      <c r="WUF3593" s="1799"/>
      <c r="WUG3593" s="1799"/>
      <c r="WUH3593" s="1799"/>
      <c r="WUI3593" s="1799"/>
      <c r="WUJ3593" s="1799"/>
      <c r="WUK3593" s="1799"/>
      <c r="WUL3593" s="1799"/>
      <c r="WUM3593" s="1799"/>
      <c r="WUN3593" s="1799"/>
      <c r="WUO3593" s="1799"/>
      <c r="WUP3593" s="1799"/>
      <c r="WUQ3593" s="1799"/>
      <c r="WUR3593" s="1799"/>
      <c r="WUS3593" s="1799"/>
      <c r="WUT3593" s="1799"/>
      <c r="WUU3593" s="1799"/>
      <c r="WUV3593" s="1799"/>
      <c r="WUW3593" s="1799"/>
      <c r="WUX3593" s="1799"/>
      <c r="WUY3593" s="1799"/>
      <c r="WUZ3593" s="1799"/>
      <c r="WVA3593" s="1799"/>
      <c r="WVB3593" s="1799"/>
      <c r="WVC3593" s="1799"/>
      <c r="WVD3593" s="1799"/>
      <c r="WVE3593" s="1799"/>
      <c r="WVF3593" s="1799"/>
      <c r="WVG3593" s="1799"/>
      <c r="WVH3593" s="1799"/>
      <c r="WVI3593" s="1799"/>
      <c r="WVJ3593" s="1799"/>
      <c r="WVK3593" s="1799"/>
      <c r="WVL3593" s="1799"/>
      <c r="WVM3593" s="1799"/>
      <c r="WVN3593" s="1799"/>
      <c r="WVO3593" s="1799"/>
      <c r="WVP3593" s="1799"/>
      <c r="WVQ3593" s="1799"/>
      <c r="WVR3593" s="1799"/>
      <c r="WVS3593" s="1799"/>
      <c r="WVT3593" s="1799"/>
      <c r="WVU3593" s="1799"/>
      <c r="WVV3593" s="1799"/>
      <c r="WVW3593" s="1799"/>
      <c r="WVX3593" s="1799"/>
      <c r="WVY3593" s="1799"/>
      <c r="WVZ3593" s="1799"/>
      <c r="WWA3593" s="1799"/>
      <c r="WWB3593" s="1799"/>
      <c r="WWC3593" s="1799"/>
      <c r="WWD3593" s="1799"/>
      <c r="WWE3593" s="1799"/>
      <c r="WWF3593" s="1799"/>
      <c r="WWG3593" s="1799"/>
      <c r="WWH3593" s="1799"/>
      <c r="WWI3593" s="1799"/>
      <c r="WWJ3593" s="1799"/>
      <c r="WWK3593" s="1799"/>
      <c r="WWL3593" s="1799"/>
      <c r="WWM3593" s="1799"/>
      <c r="WWN3593" s="1799"/>
      <c r="WWO3593" s="1799"/>
      <c r="WWP3593" s="1799"/>
      <c r="WWQ3593" s="1799"/>
      <c r="WWR3593" s="1799"/>
      <c r="WWS3593" s="1799"/>
      <c r="WWT3593" s="1799"/>
      <c r="WWU3593" s="1799"/>
      <c r="WWV3593" s="1799"/>
      <c r="WWW3593" s="1799"/>
      <c r="WWX3593" s="1799"/>
      <c r="WWY3593" s="1799"/>
      <c r="WWZ3593" s="1799"/>
      <c r="WXA3593" s="1799"/>
      <c r="WXB3593" s="1799"/>
      <c r="WXC3593" s="1799"/>
      <c r="WXD3593" s="1799"/>
      <c r="WXE3593" s="1799"/>
      <c r="WXF3593" s="1799"/>
      <c r="WXG3593" s="1799"/>
      <c r="WXH3593" s="1799"/>
      <c r="WXI3593" s="1799"/>
      <c r="WXJ3593" s="1799"/>
      <c r="WXK3593" s="1799"/>
      <c r="WXL3593" s="1799"/>
      <c r="WXM3593" s="1799"/>
      <c r="WXN3593" s="1799"/>
      <c r="WXO3593" s="1799"/>
      <c r="WXP3593" s="1799"/>
      <c r="WXQ3593" s="1799"/>
      <c r="WXR3593" s="1799"/>
      <c r="WXS3593" s="1799"/>
      <c r="WXT3593" s="1799"/>
      <c r="WXU3593" s="1799"/>
      <c r="WXV3593" s="1799"/>
      <c r="WXW3593" s="1799"/>
      <c r="WXX3593" s="1799"/>
      <c r="WXY3593" s="1799"/>
      <c r="WXZ3593" s="1799"/>
      <c r="WYA3593" s="1799"/>
      <c r="WYB3593" s="1799"/>
      <c r="WYC3593" s="1799"/>
      <c r="WYD3593" s="1799"/>
      <c r="WYE3593" s="1799"/>
      <c r="WYF3593" s="1799"/>
      <c r="WYG3593" s="1799"/>
      <c r="WYH3593" s="1799"/>
      <c r="WYI3593" s="1799"/>
      <c r="WYJ3593" s="1799"/>
      <c r="WYK3593" s="1799"/>
      <c r="WYL3593" s="1799"/>
      <c r="WYM3593" s="1799"/>
      <c r="WYN3593" s="1799"/>
      <c r="WYO3593" s="1799"/>
      <c r="WYP3593" s="1799"/>
      <c r="WYQ3593" s="1799"/>
      <c r="WYR3593" s="1799"/>
      <c r="WYS3593" s="1799"/>
      <c r="WYT3593" s="1799"/>
      <c r="WYU3593" s="1799"/>
      <c r="WYV3593" s="1799"/>
      <c r="WYW3593" s="1799"/>
      <c r="WYX3593" s="1799"/>
      <c r="WYY3593" s="1799"/>
      <c r="WYZ3593" s="1799"/>
      <c r="WZA3593" s="1799"/>
      <c r="WZB3593" s="1799"/>
      <c r="WZC3593" s="1799"/>
      <c r="WZD3593" s="1799"/>
      <c r="WZE3593" s="1799"/>
      <c r="WZF3593" s="1799"/>
      <c r="WZG3593" s="1799"/>
      <c r="WZH3593" s="1799"/>
      <c r="WZI3593" s="1799"/>
      <c r="WZJ3593" s="1799"/>
      <c r="WZK3593" s="1799"/>
      <c r="WZL3593" s="1799"/>
      <c r="WZM3593" s="1799"/>
      <c r="WZN3593" s="1799"/>
      <c r="WZO3593" s="1799"/>
      <c r="WZP3593" s="1799"/>
      <c r="WZQ3593" s="1799"/>
      <c r="WZR3593" s="1799"/>
      <c r="WZS3593" s="1799"/>
      <c r="WZT3593" s="1799"/>
      <c r="WZU3593" s="1799"/>
      <c r="WZV3593" s="1799"/>
      <c r="WZW3593" s="1799"/>
      <c r="WZX3593" s="1799"/>
      <c r="WZY3593" s="1799"/>
      <c r="WZZ3593" s="1799"/>
      <c r="XAA3593" s="1799"/>
      <c r="XAB3593" s="1799"/>
      <c r="XAC3593" s="1799"/>
      <c r="XAD3593" s="1799"/>
      <c r="XAE3593" s="1799"/>
      <c r="XAF3593" s="1799"/>
      <c r="XAG3593" s="1799"/>
      <c r="XAH3593" s="1799"/>
      <c r="XAI3593" s="1799"/>
      <c r="XAJ3593" s="1799"/>
      <c r="XAK3593" s="1799"/>
      <c r="XAL3593" s="1799"/>
      <c r="XAM3593" s="1799"/>
      <c r="XAN3593" s="1799"/>
      <c r="XAO3593" s="1799"/>
      <c r="XAP3593" s="1799"/>
      <c r="XAQ3593" s="1799"/>
      <c r="XAR3593" s="1799"/>
      <c r="XAS3593" s="1799"/>
      <c r="XAT3593" s="1799"/>
      <c r="XAU3593" s="1799"/>
      <c r="XAV3593" s="1799"/>
      <c r="XAW3593" s="1799"/>
      <c r="XAX3593" s="1799"/>
      <c r="XAY3593" s="1799"/>
      <c r="XAZ3593" s="1799"/>
      <c r="XBA3593" s="1799"/>
      <c r="XBB3593" s="1799"/>
      <c r="XBC3593" s="1799"/>
      <c r="XBD3593" s="1799"/>
      <c r="XBE3593" s="1799"/>
      <c r="XBF3593" s="1799"/>
      <c r="XBG3593" s="1799"/>
      <c r="XBH3593" s="1799"/>
      <c r="XBI3593" s="1799"/>
      <c r="XBJ3593" s="1799"/>
      <c r="XBK3593" s="1799"/>
      <c r="XBL3593" s="1799"/>
      <c r="XBM3593" s="1799"/>
      <c r="XBN3593" s="1799"/>
      <c r="XBO3593" s="1799"/>
      <c r="XBP3593" s="1799"/>
      <c r="XBQ3593" s="1799"/>
      <c r="XBR3593" s="1799"/>
      <c r="XBS3593" s="1799"/>
      <c r="XBT3593" s="1799"/>
      <c r="XBU3593" s="1799"/>
      <c r="XBV3593" s="1799"/>
      <c r="XBW3593" s="1799"/>
      <c r="XBX3593" s="1799"/>
      <c r="XBY3593" s="1799"/>
      <c r="XBZ3593" s="1799"/>
      <c r="XCA3593" s="1799"/>
      <c r="XCB3593" s="1799"/>
      <c r="XCC3593" s="1799"/>
      <c r="XCD3593" s="1799"/>
      <c r="XCE3593" s="1799"/>
      <c r="XCF3593" s="1799"/>
      <c r="XCG3593" s="1799"/>
      <c r="XCH3593" s="1799"/>
      <c r="XCI3593" s="1799"/>
      <c r="XCJ3593" s="1799"/>
      <c r="XCK3593" s="1799"/>
      <c r="XCL3593" s="1799"/>
      <c r="XCM3593" s="1799"/>
      <c r="XCN3593" s="1799"/>
      <c r="XCO3593" s="1799"/>
      <c r="XCP3593" s="1799"/>
      <c r="XCQ3593" s="1799"/>
      <c r="XCR3593" s="1799"/>
      <c r="XCS3593" s="1799"/>
      <c r="XCT3593" s="1799"/>
      <c r="XCU3593" s="1799"/>
      <c r="XCV3593" s="1799"/>
      <c r="XCW3593" s="1799"/>
      <c r="XCX3593" s="1799"/>
      <c r="XCY3593" s="1799"/>
      <c r="XCZ3593" s="1799"/>
      <c r="XDA3593" s="1799"/>
      <c r="XDB3593" s="1799"/>
      <c r="XDC3593" s="1799"/>
      <c r="XDD3593" s="1799"/>
      <c r="XDE3593" s="1799"/>
      <c r="XDF3593" s="1799"/>
      <c r="XDG3593" s="1799"/>
      <c r="XDH3593" s="1799"/>
      <c r="XDI3593" s="1799"/>
      <c r="XDJ3593" s="1799"/>
      <c r="XDK3593" s="1799"/>
      <c r="XDL3593" s="1799"/>
      <c r="XDM3593" s="1799"/>
      <c r="XDN3593" s="1799"/>
      <c r="XDO3593" s="1799"/>
      <c r="XDP3593" s="1799"/>
      <c r="XDQ3593" s="1799"/>
      <c r="XDR3593" s="1799"/>
      <c r="XDS3593" s="1799"/>
      <c r="XDT3593" s="1799"/>
      <c r="XDU3593" s="1799"/>
      <c r="XDV3593" s="1799"/>
      <c r="XDW3593" s="1799"/>
      <c r="XDX3593" s="1799"/>
      <c r="XDY3593" s="1799"/>
      <c r="XDZ3593" s="1799"/>
      <c r="XEA3593" s="1799"/>
      <c r="XEB3593" s="1799"/>
      <c r="XEC3593" s="1799"/>
      <c r="XED3593" s="1799"/>
      <c r="XEE3593" s="1799"/>
      <c r="XEF3593" s="1799"/>
      <c r="XEG3593" s="1799"/>
      <c r="XEH3593" s="1799"/>
      <c r="XEI3593" s="1799"/>
      <c r="XEJ3593" s="1799"/>
      <c r="XEK3593" s="1799"/>
      <c r="XEL3593" s="1799"/>
      <c r="XEM3593" s="1799"/>
      <c r="XEN3593" s="1799"/>
      <c r="XEO3593" s="1799"/>
      <c r="XEP3593" s="1799"/>
      <c r="XEQ3593" s="1799"/>
      <c r="XER3593" s="1799"/>
      <c r="XES3593" s="1799"/>
      <c r="XET3593" s="1799"/>
      <c r="XEU3593" s="1799"/>
      <c r="XEV3593" s="1799"/>
      <c r="XEW3593" s="1799"/>
      <c r="XEX3593" s="1799"/>
      <c r="XEY3593" s="1799"/>
      <c r="XEZ3593" s="1799"/>
      <c r="XFA3593" s="1799"/>
      <c r="XFB3593" s="1799"/>
      <c r="XFC3593" s="1799"/>
    </row>
    <row r="3594" spans="1:16383" ht="13.9" customHeight="1">
      <c r="A3594" s="506"/>
      <c r="B3594" s="506" t="s">
        <v>1248</v>
      </c>
      <c r="C3594" s="506" t="s">
        <v>505</v>
      </c>
      <c r="D3594" s="1589" t="s">
        <v>1963</v>
      </c>
      <c r="E3594" s="2223" t="s">
        <v>1907</v>
      </c>
      <c r="F3594" s="540">
        <v>2262</v>
      </c>
      <c r="G3594" s="411" t="s">
        <v>622</v>
      </c>
      <c r="H3594" s="582">
        <v>27121</v>
      </c>
      <c r="I3594" s="582"/>
      <c r="J3594" s="720"/>
      <c r="K3594" s="721"/>
      <c r="L3594" s="582">
        <v>26780</v>
      </c>
      <c r="M3594" s="2598"/>
      <c r="N3594" s="2847"/>
      <c r="O3594" s="86"/>
      <c r="P3594" s="1817" t="e">
        <f>INDEX(#REF!,MATCH(F3594,#REF!,0),2)</f>
        <v>#REF!</v>
      </c>
      <c r="Q3594" s="43"/>
      <c r="R3594" s="43"/>
      <c r="S3594" s="43"/>
      <c r="T3594" s="43"/>
      <c r="U3594" s="43"/>
      <c r="V3594" s="43"/>
      <c r="W3594" s="43"/>
      <c r="X3594" s="43"/>
      <c r="Y3594" s="43"/>
      <c r="Z3594" s="43"/>
      <c r="AA3594" s="43"/>
      <c r="AB3594" s="43"/>
      <c r="AC3594" s="43"/>
      <c r="AD3594" s="43"/>
      <c r="AE3594" s="43"/>
      <c r="AF3594" s="43"/>
      <c r="AG3594" s="43"/>
      <c r="AH3594" s="43"/>
      <c r="AI3594" s="43"/>
      <c r="AJ3594" s="43"/>
      <c r="AK3594" s="43"/>
      <c r="AL3594" s="43"/>
      <c r="AM3594" s="43"/>
      <c r="AN3594" s="43"/>
      <c r="AO3594" s="43"/>
      <c r="AP3594" s="43"/>
      <c r="AQ3594" s="43"/>
      <c r="AR3594" s="43"/>
      <c r="AS3594" s="43"/>
      <c r="AT3594" s="43"/>
      <c r="AU3594" s="43"/>
      <c r="AV3594" s="43"/>
    </row>
    <row r="3595" spans="1:16383" s="1799" customFormat="1" ht="14.45" customHeight="1">
      <c r="A3595" s="529"/>
      <c r="B3595" s="412" t="s">
        <v>1248</v>
      </c>
      <c r="C3595" s="412" t="s">
        <v>505</v>
      </c>
      <c r="D3595" s="1590" t="s">
        <v>1963</v>
      </c>
      <c r="E3595" s="2224" t="s">
        <v>1907</v>
      </c>
      <c r="F3595" s="412">
        <v>2262</v>
      </c>
      <c r="G3595" s="2596" t="s">
        <v>3472</v>
      </c>
      <c r="H3595" s="2595"/>
      <c r="I3595" s="1949">
        <v>19200</v>
      </c>
      <c r="J3595" s="1949"/>
      <c r="K3595" s="1950"/>
      <c r="L3595" s="1954"/>
      <c r="M3595" s="2592">
        <v>26780</v>
      </c>
      <c r="N3595" s="2847" t="s">
        <v>3467</v>
      </c>
      <c r="O3595" s="1817"/>
      <c r="P3595" s="1817" t="e">
        <f>INDEX(#REF!,MATCH(F3595,#REF!,0),2)</f>
        <v>#REF!</v>
      </c>
      <c r="Q3595" s="1802"/>
      <c r="R3595" s="1802"/>
      <c r="S3595" s="1802"/>
      <c r="T3595" s="1802"/>
      <c r="U3595" s="1802"/>
      <c r="V3595" s="1802"/>
      <c r="W3595" s="1801"/>
      <c r="X3595" s="1802"/>
      <c r="Y3595" s="1802"/>
      <c r="Z3595" s="1802"/>
      <c r="AA3595" s="1802"/>
      <c r="AB3595" s="1802"/>
      <c r="AC3595" s="1802"/>
      <c r="AD3595" s="1802"/>
      <c r="AE3595" s="1802"/>
      <c r="AF3595" s="1802"/>
      <c r="AG3595" s="1802"/>
      <c r="AH3595" s="1802"/>
      <c r="AI3595" s="1802"/>
      <c r="AJ3595" s="1802"/>
      <c r="AK3595" s="1802"/>
      <c r="AL3595" s="1802"/>
      <c r="AM3595" s="1802"/>
      <c r="AN3595" s="1802"/>
      <c r="AO3595" s="1802"/>
      <c r="AP3595" s="1802"/>
      <c r="AQ3595" s="1802"/>
      <c r="AR3595" s="1802"/>
      <c r="AS3595" s="1802"/>
      <c r="AT3595" s="1802"/>
      <c r="AU3595" s="1802"/>
      <c r="AV3595" s="1802"/>
    </row>
    <row r="3596" spans="1:16383" ht="14.45" customHeight="1">
      <c r="A3596" s="2355"/>
      <c r="B3596" s="412" t="s">
        <v>1248</v>
      </c>
      <c r="C3596" s="412" t="s">
        <v>505</v>
      </c>
      <c r="D3596" s="1590" t="s">
        <v>1963</v>
      </c>
      <c r="E3596" s="2224" t="s">
        <v>1907</v>
      </c>
      <c r="F3596" s="412">
        <v>2262</v>
      </c>
      <c r="G3596" s="2596"/>
      <c r="H3596" s="2595"/>
      <c r="I3596" s="1764">
        <v>7921</v>
      </c>
      <c r="J3596" s="1764"/>
      <c r="K3596" s="1859"/>
      <c r="L3596" s="1763"/>
      <c r="M3596" s="2592"/>
      <c r="N3596" s="2847"/>
      <c r="O3596" s="86"/>
      <c r="P3596" s="1817" t="e">
        <f>INDEX(#REF!,MATCH(F3596,#REF!,0),2)</f>
        <v>#REF!</v>
      </c>
      <c r="Q3596" s="43"/>
      <c r="R3596" s="43"/>
      <c r="S3596" s="43"/>
      <c r="T3596" s="43"/>
      <c r="U3596" s="43"/>
      <c r="V3596" s="43"/>
      <c r="W3596" s="43"/>
      <c r="X3596" s="43"/>
      <c r="Y3596" s="43"/>
      <c r="Z3596" s="43"/>
      <c r="AA3596" s="43"/>
      <c r="AB3596" s="43"/>
      <c r="AC3596" s="43"/>
      <c r="AD3596" s="43"/>
      <c r="AE3596" s="43"/>
      <c r="AF3596" s="43"/>
      <c r="AG3596" s="43"/>
      <c r="AH3596" s="43"/>
      <c r="AI3596" s="43"/>
      <c r="AJ3596" s="43"/>
      <c r="AK3596" s="43"/>
      <c r="AL3596" s="43"/>
      <c r="AM3596" s="43"/>
      <c r="AN3596" s="43"/>
      <c r="AO3596" s="43"/>
      <c r="AP3596" s="43"/>
      <c r="AQ3596" s="43"/>
      <c r="AR3596" s="43"/>
      <c r="AS3596" s="43"/>
      <c r="AT3596" s="43"/>
      <c r="AU3596" s="43"/>
      <c r="AV3596" s="43"/>
    </row>
    <row r="3597" spans="1:16383" ht="14.45" customHeight="1">
      <c r="A3597" s="971"/>
      <c r="B3597" s="506" t="s">
        <v>1248</v>
      </c>
      <c r="C3597" s="506" t="s">
        <v>505</v>
      </c>
      <c r="D3597" s="1589" t="s">
        <v>1907</v>
      </c>
      <c r="E3597" s="2223" t="s">
        <v>1907</v>
      </c>
      <c r="F3597" s="540">
        <v>2262</v>
      </c>
      <c r="G3597" s="411" t="s">
        <v>622</v>
      </c>
      <c r="H3597" s="582">
        <v>63923</v>
      </c>
      <c r="I3597" s="729"/>
      <c r="J3597" s="720"/>
      <c r="K3597" s="721"/>
      <c r="L3597" s="582">
        <v>38220</v>
      </c>
      <c r="M3597" s="2599"/>
      <c r="N3597" s="2847"/>
      <c r="O3597" s="86"/>
      <c r="P3597" s="1817" t="e">
        <f>INDEX(#REF!,MATCH(F3597,#REF!,0),2)</f>
        <v>#REF!</v>
      </c>
      <c r="Q3597" s="43"/>
      <c r="R3597" s="43"/>
      <c r="S3597" s="43"/>
      <c r="T3597" s="43"/>
      <c r="U3597" s="43"/>
      <c r="V3597" s="43"/>
      <c r="W3597" s="43"/>
      <c r="X3597" s="43"/>
      <c r="Y3597" s="43"/>
      <c r="Z3597" s="43"/>
      <c r="AA3597" s="43"/>
      <c r="AB3597" s="43"/>
      <c r="AC3597" s="43"/>
      <c r="AD3597" s="43"/>
      <c r="AE3597" s="43"/>
      <c r="AF3597" s="43"/>
      <c r="AG3597" s="43"/>
      <c r="AH3597" s="43"/>
      <c r="AI3597" s="43"/>
      <c r="AJ3597" s="43"/>
      <c r="AK3597" s="43"/>
      <c r="AL3597" s="43"/>
      <c r="AM3597" s="43"/>
      <c r="AN3597" s="43"/>
      <c r="AO3597" s="43"/>
      <c r="AP3597" s="43"/>
      <c r="AQ3597" s="43"/>
      <c r="AR3597" s="43"/>
      <c r="AS3597" s="43"/>
      <c r="AT3597" s="43"/>
      <c r="AU3597" s="43"/>
      <c r="AV3597" s="43"/>
    </row>
    <row r="3598" spans="1:16383" ht="52.15" customHeight="1">
      <c r="A3598" s="521"/>
      <c r="B3598" s="412" t="s">
        <v>1248</v>
      </c>
      <c r="C3598" s="412" t="s">
        <v>505</v>
      </c>
      <c r="D3598" s="1590" t="s">
        <v>1907</v>
      </c>
      <c r="E3598" s="2224" t="s">
        <v>1907</v>
      </c>
      <c r="F3598" s="505">
        <v>2262</v>
      </c>
      <c r="G3598" s="1014" t="s">
        <v>3469</v>
      </c>
      <c r="H3598" s="456"/>
      <c r="I3598" s="457">
        <v>6000</v>
      </c>
      <c r="J3598" s="441"/>
      <c r="K3598" s="727"/>
      <c r="L3598" s="456"/>
      <c r="M3598" s="2592">
        <v>6695</v>
      </c>
      <c r="N3598" s="2847" t="s">
        <v>3467</v>
      </c>
      <c r="O3598" s="86"/>
      <c r="P3598" s="1817" t="e">
        <f>INDEX(#REF!,MATCH(F3598,#REF!,0),2)</f>
        <v>#REF!</v>
      </c>
      <c r="Q3598" s="43"/>
      <c r="R3598" s="43"/>
      <c r="S3598" s="43"/>
      <c r="T3598" s="43"/>
      <c r="U3598" s="43"/>
      <c r="V3598" s="43"/>
      <c r="W3598" s="43"/>
      <c r="X3598" s="43"/>
      <c r="Y3598" s="43"/>
      <c r="Z3598" s="43"/>
      <c r="AA3598" s="43"/>
      <c r="AB3598" s="43"/>
      <c r="AC3598" s="43"/>
      <c r="AD3598" s="43"/>
      <c r="AE3598" s="43"/>
      <c r="AF3598" s="43"/>
      <c r="AG3598" s="43"/>
      <c r="AH3598" s="43"/>
      <c r="AI3598" s="43"/>
      <c r="AJ3598" s="43"/>
      <c r="AK3598" s="43"/>
      <c r="AL3598" s="43"/>
      <c r="AM3598" s="43"/>
      <c r="AN3598" s="43"/>
      <c r="AO3598" s="43"/>
      <c r="AP3598" s="43"/>
      <c r="AQ3598" s="43"/>
      <c r="AR3598" s="43"/>
      <c r="AS3598" s="43"/>
      <c r="AT3598" s="43"/>
      <c r="AU3598" s="43"/>
      <c r="AV3598" s="43"/>
    </row>
    <row r="3599" spans="1:16383" ht="28.15" customHeight="1">
      <c r="A3599" s="521"/>
      <c r="B3599" s="412" t="s">
        <v>1248</v>
      </c>
      <c r="C3599" s="412" t="s">
        <v>505</v>
      </c>
      <c r="D3599" s="1590" t="s">
        <v>1907</v>
      </c>
      <c r="E3599" s="2224" t="s">
        <v>1907</v>
      </c>
      <c r="F3599" s="505">
        <v>2262</v>
      </c>
      <c r="G3599" s="1085" t="s">
        <v>3470</v>
      </c>
      <c r="H3599" s="457"/>
      <c r="I3599" s="457">
        <v>8500</v>
      </c>
      <c r="J3599" s="456"/>
      <c r="K3599" s="421"/>
      <c r="L3599" s="456"/>
      <c r="M3599" s="2592">
        <v>9165</v>
      </c>
      <c r="N3599" s="2847" t="s">
        <v>3467</v>
      </c>
      <c r="O3599" s="86"/>
      <c r="P3599" s="1817" t="e">
        <f>INDEX(#REF!,MATCH(F3599,#REF!,0),2)</f>
        <v>#REF!</v>
      </c>
      <c r="Q3599" s="43"/>
      <c r="R3599" s="43"/>
      <c r="S3599" s="43"/>
      <c r="T3599" s="43"/>
      <c r="U3599" s="43"/>
      <c r="V3599" s="43"/>
      <c r="W3599" s="43"/>
      <c r="X3599" s="43"/>
      <c r="Y3599" s="43"/>
      <c r="Z3599" s="43"/>
      <c r="AA3599" s="43"/>
      <c r="AB3599" s="43"/>
      <c r="AC3599" s="43"/>
      <c r="AD3599" s="43"/>
      <c r="AE3599" s="43"/>
      <c r="AF3599" s="43"/>
      <c r="AG3599" s="43"/>
      <c r="AH3599" s="43"/>
      <c r="AI3599" s="43"/>
      <c r="AJ3599" s="43"/>
      <c r="AK3599" s="43"/>
      <c r="AL3599" s="43"/>
      <c r="AM3599" s="43"/>
      <c r="AN3599" s="43"/>
      <c r="AO3599" s="43"/>
      <c r="AP3599" s="43"/>
      <c r="AQ3599" s="43"/>
      <c r="AR3599" s="43"/>
      <c r="AS3599" s="43"/>
      <c r="AT3599" s="43"/>
      <c r="AU3599" s="43"/>
      <c r="AV3599" s="43"/>
    </row>
    <row r="3600" spans="1:16383" ht="28.15" customHeight="1">
      <c r="A3600" s="1897"/>
      <c r="B3600" s="412" t="s">
        <v>1248</v>
      </c>
      <c r="C3600" s="412" t="s">
        <v>505</v>
      </c>
      <c r="D3600" s="1590" t="s">
        <v>1907</v>
      </c>
      <c r="E3600" s="2224" t="s">
        <v>1907</v>
      </c>
      <c r="F3600" s="505">
        <v>2262</v>
      </c>
      <c r="G3600" s="2233" t="s">
        <v>3471</v>
      </c>
      <c r="H3600" s="2085"/>
      <c r="I3600" s="2085">
        <v>49423</v>
      </c>
      <c r="J3600" s="1657"/>
      <c r="K3600" s="1652"/>
      <c r="L3600" s="1657"/>
      <c r="M3600" s="2592">
        <v>22360</v>
      </c>
      <c r="N3600" s="2847" t="s">
        <v>3467</v>
      </c>
      <c r="O3600" s="86"/>
      <c r="P3600" s="1817" t="e">
        <f>INDEX(#REF!,MATCH(F3600,#REF!,0),2)</f>
        <v>#REF!</v>
      </c>
      <c r="Q3600" s="43"/>
      <c r="R3600" s="43"/>
      <c r="S3600" s="43"/>
      <c r="T3600" s="43"/>
      <c r="U3600" s="43"/>
      <c r="V3600" s="43"/>
      <c r="W3600" s="43"/>
      <c r="X3600" s="43"/>
      <c r="Y3600" s="43"/>
      <c r="Z3600" s="43"/>
      <c r="AA3600" s="43"/>
      <c r="AB3600" s="43"/>
      <c r="AC3600" s="43"/>
      <c r="AD3600" s="43"/>
      <c r="AE3600" s="43"/>
      <c r="AF3600" s="43"/>
      <c r="AG3600" s="43"/>
      <c r="AH3600" s="43"/>
      <c r="AI3600" s="43"/>
      <c r="AJ3600" s="43"/>
      <c r="AK3600" s="43"/>
      <c r="AL3600" s="43"/>
      <c r="AM3600" s="43"/>
      <c r="AN3600" s="43"/>
      <c r="AO3600" s="43"/>
      <c r="AP3600" s="43"/>
      <c r="AQ3600" s="43"/>
      <c r="AR3600" s="43"/>
      <c r="AS3600" s="43"/>
      <c r="AT3600" s="43"/>
      <c r="AU3600" s="43"/>
      <c r="AV3600" s="43"/>
    </row>
    <row r="3601" spans="1:48" ht="28.15" customHeight="1">
      <c r="A3601" s="971"/>
      <c r="B3601" s="506" t="s">
        <v>1248</v>
      </c>
      <c r="C3601" s="506" t="s">
        <v>505</v>
      </c>
      <c r="D3601" s="1589" t="s">
        <v>1907</v>
      </c>
      <c r="E3601" s="2223" t="s">
        <v>1907</v>
      </c>
      <c r="F3601" s="540">
        <v>2312</v>
      </c>
      <c r="G3601" s="411" t="s">
        <v>363</v>
      </c>
      <c r="H3601" s="582">
        <v>3600</v>
      </c>
      <c r="I3601" s="729"/>
      <c r="J3601" s="720"/>
      <c r="K3601" s="721"/>
      <c r="L3601" s="582">
        <v>3600</v>
      </c>
      <c r="M3601" s="3844"/>
      <c r="N3601" s="2847" t="s">
        <v>2267</v>
      </c>
      <c r="O3601" s="86"/>
      <c r="P3601" s="1817" t="e">
        <f>INDEX(#REF!,MATCH(F3601,#REF!,0),2)</f>
        <v>#REF!</v>
      </c>
      <c r="Q3601" s="43"/>
      <c r="R3601" s="43"/>
      <c r="S3601" s="43"/>
      <c r="T3601" s="43"/>
      <c r="U3601" s="43"/>
      <c r="V3601" s="43"/>
      <c r="W3601" s="43"/>
      <c r="X3601" s="43"/>
      <c r="Y3601" s="43"/>
      <c r="Z3601" s="43"/>
      <c r="AA3601" s="43"/>
      <c r="AB3601" s="43"/>
      <c r="AC3601" s="43"/>
      <c r="AD3601" s="43"/>
      <c r="AE3601" s="43"/>
      <c r="AF3601" s="43"/>
      <c r="AG3601" s="43"/>
      <c r="AH3601" s="43"/>
      <c r="AI3601" s="43"/>
      <c r="AJ3601" s="43"/>
      <c r="AK3601" s="43"/>
      <c r="AL3601" s="43"/>
      <c r="AM3601" s="43"/>
      <c r="AN3601" s="43"/>
      <c r="AO3601" s="43"/>
      <c r="AP3601" s="43"/>
      <c r="AQ3601" s="43"/>
      <c r="AR3601" s="43"/>
      <c r="AS3601" s="43"/>
      <c r="AT3601" s="43"/>
      <c r="AU3601" s="43"/>
      <c r="AV3601" s="43"/>
    </row>
    <row r="3602" spans="1:48" ht="28.15" customHeight="1">
      <c r="A3602" s="1897"/>
      <c r="B3602" s="1882" t="s">
        <v>1248</v>
      </c>
      <c r="C3602" s="1882" t="s">
        <v>505</v>
      </c>
      <c r="D3602" s="1935" t="s">
        <v>1907</v>
      </c>
      <c r="E3602" s="2229" t="s">
        <v>1907</v>
      </c>
      <c r="F3602" s="1936">
        <v>2312</v>
      </c>
      <c r="G3602" s="2233" t="s">
        <v>271</v>
      </c>
      <c r="H3602" s="2085"/>
      <c r="I3602" s="2085">
        <v>3600</v>
      </c>
      <c r="J3602" s="1657"/>
      <c r="K3602" s="1652"/>
      <c r="L3602" s="1650"/>
      <c r="M3602" s="1650">
        <v>3600</v>
      </c>
      <c r="N3602" s="2847"/>
      <c r="O3602" s="86"/>
      <c r="P3602" s="1817"/>
      <c r="Q3602" s="43"/>
      <c r="R3602" s="43"/>
      <c r="S3602" s="43"/>
      <c r="T3602" s="43"/>
      <c r="U3602" s="43"/>
      <c r="V3602" s="43"/>
      <c r="W3602" s="43"/>
      <c r="X3602" s="43"/>
      <c r="Y3602" s="43"/>
      <c r="Z3602" s="43"/>
      <c r="AA3602" s="43"/>
      <c r="AB3602" s="43"/>
      <c r="AC3602" s="43"/>
      <c r="AD3602" s="43"/>
      <c r="AE3602" s="43"/>
      <c r="AF3602" s="43"/>
      <c r="AG3602" s="43"/>
      <c r="AH3602" s="43"/>
      <c r="AI3602" s="43"/>
      <c r="AJ3602" s="43"/>
      <c r="AK3602" s="43"/>
      <c r="AL3602" s="43"/>
      <c r="AM3602" s="43"/>
      <c r="AN3602" s="43"/>
      <c r="AO3602" s="43"/>
      <c r="AP3602" s="43"/>
      <c r="AQ3602" s="43"/>
      <c r="AR3602" s="43"/>
      <c r="AS3602" s="43"/>
      <c r="AT3602" s="43"/>
      <c r="AU3602" s="43"/>
      <c r="AV3602" s="43"/>
    </row>
    <row r="3603" spans="1:48" ht="16.899999999999999" customHeight="1">
      <c r="A3603" s="971"/>
      <c r="B3603" s="506" t="s">
        <v>1248</v>
      </c>
      <c r="C3603" s="506" t="s">
        <v>505</v>
      </c>
      <c r="D3603" s="1589" t="s">
        <v>1907</v>
      </c>
      <c r="E3603" s="2223" t="s">
        <v>1907</v>
      </c>
      <c r="F3603" s="540">
        <v>2321</v>
      </c>
      <c r="G3603" s="411" t="s">
        <v>288</v>
      </c>
      <c r="H3603" s="582">
        <v>21877.000200000002</v>
      </c>
      <c r="I3603" s="729"/>
      <c r="J3603" s="720"/>
      <c r="K3603" s="721"/>
      <c r="L3603" s="582">
        <v>26426</v>
      </c>
      <c r="M3603" s="3844"/>
      <c r="N3603" s="2847"/>
      <c r="O3603" s="86"/>
      <c r="P3603" s="1817"/>
      <c r="Q3603" s="43"/>
      <c r="R3603" s="43"/>
      <c r="S3603" s="43"/>
      <c r="T3603" s="43"/>
      <c r="U3603" s="43"/>
      <c r="V3603" s="43"/>
      <c r="W3603" s="43"/>
      <c r="X3603" s="43"/>
      <c r="Y3603" s="43"/>
      <c r="Z3603" s="43"/>
      <c r="AA3603" s="43"/>
      <c r="AB3603" s="43"/>
      <c r="AC3603" s="43"/>
      <c r="AD3603" s="43"/>
      <c r="AE3603" s="43"/>
      <c r="AF3603" s="43"/>
      <c r="AG3603" s="43"/>
      <c r="AH3603" s="43"/>
      <c r="AI3603" s="43"/>
      <c r="AJ3603" s="43"/>
      <c r="AK3603" s="43"/>
      <c r="AL3603" s="43"/>
      <c r="AM3603" s="43"/>
      <c r="AN3603" s="43"/>
      <c r="AO3603" s="43"/>
      <c r="AP3603" s="43"/>
      <c r="AQ3603" s="43"/>
      <c r="AR3603" s="43"/>
      <c r="AS3603" s="43"/>
      <c r="AT3603" s="43"/>
      <c r="AU3603" s="43"/>
      <c r="AV3603" s="43"/>
    </row>
    <row r="3604" spans="1:48" s="1799" customFormat="1" ht="10.15" customHeight="1">
      <c r="A3604" s="521"/>
      <c r="B3604" s="412" t="s">
        <v>1248</v>
      </c>
      <c r="C3604" s="412" t="s">
        <v>505</v>
      </c>
      <c r="D3604" s="1590" t="s">
        <v>1907</v>
      </c>
      <c r="E3604" s="2224" t="s">
        <v>1907</v>
      </c>
      <c r="F3604" s="505">
        <v>2321</v>
      </c>
      <c r="G3604" s="1085" t="s">
        <v>3050</v>
      </c>
      <c r="H3604" s="457"/>
      <c r="I3604" s="457">
        <v>5000.0002000000004</v>
      </c>
      <c r="J3604" s="456"/>
      <c r="K3604" s="421"/>
      <c r="L3604" s="433"/>
      <c r="M3604" s="3837"/>
      <c r="N3604" s="2847"/>
      <c r="O3604" s="86"/>
      <c r="P3604" s="1817"/>
      <c r="Q3604" s="1798"/>
      <c r="R3604" s="1798"/>
      <c r="S3604" s="1798"/>
      <c r="T3604" s="1798"/>
      <c r="U3604" s="1798"/>
      <c r="V3604" s="1798"/>
      <c r="W3604" s="1798"/>
      <c r="X3604" s="1798"/>
      <c r="Y3604" s="1798"/>
      <c r="Z3604" s="1798"/>
      <c r="AA3604" s="1798"/>
      <c r="AB3604" s="1798"/>
      <c r="AC3604" s="1798"/>
      <c r="AD3604" s="1798"/>
      <c r="AE3604" s="1798"/>
      <c r="AF3604" s="1798"/>
      <c r="AG3604" s="1798"/>
      <c r="AH3604" s="1798"/>
      <c r="AI3604" s="1798"/>
      <c r="AJ3604" s="1798"/>
      <c r="AK3604" s="1798"/>
      <c r="AL3604" s="1798"/>
      <c r="AM3604" s="1798"/>
      <c r="AN3604" s="1798"/>
      <c r="AO3604" s="1798"/>
      <c r="AP3604" s="1798"/>
      <c r="AQ3604" s="1798"/>
      <c r="AR3604" s="1798"/>
      <c r="AS3604" s="1798"/>
      <c r="AT3604" s="1798"/>
      <c r="AU3604" s="1798"/>
      <c r="AV3604" s="1798"/>
    </row>
    <row r="3605" spans="1:48" s="1799" customFormat="1" ht="10.15" customHeight="1">
      <c r="A3605" s="1897"/>
      <c r="B3605" s="412" t="s">
        <v>1248</v>
      </c>
      <c r="C3605" s="412" t="s">
        <v>505</v>
      </c>
      <c r="D3605" s="1590" t="s">
        <v>1907</v>
      </c>
      <c r="E3605" s="2224" t="s">
        <v>1907</v>
      </c>
      <c r="F3605" s="505">
        <v>2321</v>
      </c>
      <c r="G3605" s="1085" t="s">
        <v>3051</v>
      </c>
      <c r="H3605" s="2085"/>
      <c r="I3605" s="2085">
        <v>2600</v>
      </c>
      <c r="J3605" s="1657"/>
      <c r="K3605" s="1652"/>
      <c r="L3605" s="1650"/>
      <c r="M3605" s="2086"/>
      <c r="N3605" s="2847"/>
      <c r="O3605" s="86"/>
      <c r="P3605" s="1817"/>
      <c r="Q3605" s="1798"/>
      <c r="R3605" s="1798"/>
      <c r="S3605" s="1798"/>
      <c r="T3605" s="1798"/>
      <c r="U3605" s="1798"/>
      <c r="V3605" s="1798"/>
      <c r="W3605" s="1798"/>
      <c r="X3605" s="1798"/>
      <c r="Y3605" s="1798"/>
      <c r="Z3605" s="1798"/>
      <c r="AA3605" s="1798"/>
      <c r="AB3605" s="1798"/>
      <c r="AC3605" s="1798"/>
      <c r="AD3605" s="1798"/>
      <c r="AE3605" s="1798"/>
      <c r="AF3605" s="1798"/>
      <c r="AG3605" s="1798"/>
      <c r="AH3605" s="1798"/>
      <c r="AI3605" s="1798"/>
      <c r="AJ3605" s="1798"/>
      <c r="AK3605" s="1801"/>
      <c r="AL3605" s="1801"/>
      <c r="AM3605" s="1801"/>
      <c r="AN3605" s="1801"/>
      <c r="AO3605" s="1801"/>
      <c r="AP3605" s="1801"/>
      <c r="AQ3605" s="1801"/>
      <c r="AR3605" s="1801"/>
      <c r="AS3605" s="1801"/>
      <c r="AT3605" s="1801"/>
      <c r="AU3605" s="1801"/>
      <c r="AV3605" s="1801"/>
    </row>
    <row r="3606" spans="1:48" s="1799" customFormat="1" ht="10.15" customHeight="1">
      <c r="A3606" s="1897"/>
      <c r="B3606" s="412" t="s">
        <v>1248</v>
      </c>
      <c r="C3606" s="412" t="s">
        <v>505</v>
      </c>
      <c r="D3606" s="1590" t="s">
        <v>1907</v>
      </c>
      <c r="E3606" s="2224" t="s">
        <v>1907</v>
      </c>
      <c r="F3606" s="505">
        <v>2321</v>
      </c>
      <c r="G3606" s="1884" t="s">
        <v>3082</v>
      </c>
      <c r="H3606" s="1949"/>
      <c r="I3606" s="1949">
        <v>26426</v>
      </c>
      <c r="J3606" s="1949"/>
      <c r="K3606" s="1950"/>
      <c r="L3606" s="1949"/>
      <c r="M3606" s="1949">
        <v>26426</v>
      </c>
      <c r="N3606" s="2847"/>
      <c r="O3606" s="86"/>
      <c r="P3606" s="1817" t="e">
        <f>INDEX(#REF!,MATCH(F3606,#REF!,0),2)</f>
        <v>#REF!</v>
      </c>
      <c r="Q3606" s="1798"/>
      <c r="R3606" s="1798"/>
      <c r="S3606" s="1798"/>
      <c r="T3606" s="1798"/>
      <c r="U3606" s="1798"/>
      <c r="V3606" s="1798"/>
      <c r="W3606" s="1798"/>
      <c r="X3606" s="1798"/>
      <c r="Y3606" s="1798"/>
      <c r="Z3606" s="1798"/>
      <c r="AA3606" s="1798"/>
      <c r="AB3606" s="1798"/>
      <c r="AC3606" s="1798"/>
      <c r="AD3606" s="1798"/>
      <c r="AE3606" s="1798"/>
      <c r="AF3606" s="1798"/>
      <c r="AG3606" s="1798"/>
      <c r="AH3606" s="1798"/>
      <c r="AI3606" s="1798"/>
      <c r="AJ3606" s="1798"/>
      <c r="AK3606" s="1801"/>
      <c r="AL3606" s="1801"/>
      <c r="AM3606" s="1801"/>
      <c r="AN3606" s="1801"/>
      <c r="AO3606" s="1801"/>
      <c r="AP3606" s="1801"/>
      <c r="AQ3606" s="1801"/>
      <c r="AR3606" s="1801"/>
      <c r="AS3606" s="1801"/>
      <c r="AT3606" s="1801"/>
      <c r="AU3606" s="1801"/>
      <c r="AV3606" s="1801"/>
    </row>
    <row r="3607" spans="1:48" s="1799" customFormat="1" ht="10.15" customHeight="1">
      <c r="A3607" s="1897"/>
      <c r="B3607" s="412" t="s">
        <v>1248</v>
      </c>
      <c r="C3607" s="412" t="s">
        <v>505</v>
      </c>
      <c r="D3607" s="1590" t="s">
        <v>1907</v>
      </c>
      <c r="E3607" s="2224" t="s">
        <v>1907</v>
      </c>
      <c r="F3607" s="505">
        <v>2321</v>
      </c>
      <c r="G3607" s="1884" t="s">
        <v>3089</v>
      </c>
      <c r="H3607" s="1764"/>
      <c r="I3607" s="1764">
        <v>-3146</v>
      </c>
      <c r="J3607" s="1764"/>
      <c r="K3607" s="1859"/>
      <c r="L3607" s="1764"/>
      <c r="M3607" s="3649"/>
      <c r="N3607" s="2847"/>
      <c r="O3607" s="86"/>
      <c r="P3607" s="1817" t="e">
        <f>INDEX(#REF!,MATCH(F3607,#REF!,0),2)</f>
        <v>#REF!</v>
      </c>
      <c r="Q3607" s="1798"/>
      <c r="R3607" s="1798"/>
      <c r="S3607" s="1798"/>
      <c r="T3607" s="1798"/>
      <c r="U3607" s="1798"/>
      <c r="V3607" s="1798"/>
      <c r="W3607" s="1798"/>
      <c r="X3607" s="1798"/>
      <c r="Y3607" s="1798"/>
      <c r="Z3607" s="1798"/>
      <c r="AA3607" s="1798"/>
      <c r="AB3607" s="1798"/>
      <c r="AC3607" s="1798"/>
      <c r="AD3607" s="1798"/>
      <c r="AE3607" s="1798"/>
      <c r="AF3607" s="1798"/>
      <c r="AG3607" s="1798"/>
      <c r="AH3607" s="1798"/>
      <c r="AI3607" s="1798"/>
      <c r="AJ3607" s="1798"/>
      <c r="AK3607" s="1801"/>
      <c r="AL3607" s="1801"/>
      <c r="AM3607" s="1801"/>
      <c r="AN3607" s="1801"/>
      <c r="AO3607" s="1801"/>
      <c r="AP3607" s="1801"/>
      <c r="AQ3607" s="1801"/>
      <c r="AR3607" s="1801"/>
      <c r="AS3607" s="1801"/>
      <c r="AT3607" s="1801"/>
      <c r="AU3607" s="1801"/>
      <c r="AV3607" s="1801"/>
    </row>
    <row r="3608" spans="1:48" s="1799" customFormat="1" ht="10.15" customHeight="1">
      <c r="A3608" s="3845"/>
      <c r="B3608" s="412" t="s">
        <v>1248</v>
      </c>
      <c r="C3608" s="412" t="s">
        <v>505</v>
      </c>
      <c r="D3608" s="1590" t="s">
        <v>1907</v>
      </c>
      <c r="E3608" s="2224" t="s">
        <v>1907</v>
      </c>
      <c r="F3608" s="505">
        <v>2321</v>
      </c>
      <c r="G3608" s="1884" t="s">
        <v>5325</v>
      </c>
      <c r="H3608" s="1764"/>
      <c r="I3608" s="1764">
        <v>-589</v>
      </c>
      <c r="J3608" s="1764"/>
      <c r="K3608" s="1859"/>
      <c r="L3608" s="1764"/>
      <c r="M3608" s="3649"/>
      <c r="N3608" s="2847"/>
      <c r="O3608" s="86"/>
      <c r="P3608" s="1817"/>
      <c r="Q3608" s="1801"/>
      <c r="R3608" s="1801"/>
      <c r="S3608" s="1801"/>
      <c r="T3608" s="1801"/>
      <c r="U3608" s="1801"/>
      <c r="V3608" s="1801"/>
      <c r="W3608" s="1801"/>
      <c r="X3608" s="1801"/>
      <c r="Y3608" s="1801"/>
      <c r="Z3608" s="1801"/>
      <c r="AA3608" s="1801"/>
      <c r="AB3608" s="1801"/>
      <c r="AC3608" s="1801"/>
      <c r="AD3608" s="1801"/>
      <c r="AE3608" s="1801"/>
      <c r="AF3608" s="1801"/>
      <c r="AG3608" s="1801"/>
      <c r="AH3608" s="1801"/>
      <c r="AI3608" s="1801"/>
      <c r="AJ3608" s="1801"/>
      <c r="AK3608" s="1801"/>
      <c r="AL3608" s="1801"/>
      <c r="AM3608" s="1801"/>
      <c r="AN3608" s="1801"/>
      <c r="AO3608" s="1801"/>
      <c r="AP3608" s="1801"/>
      <c r="AQ3608" s="1801"/>
      <c r="AR3608" s="1801"/>
      <c r="AS3608" s="1801"/>
      <c r="AT3608" s="1801"/>
      <c r="AU3608" s="1801"/>
      <c r="AV3608" s="1801"/>
    </row>
    <row r="3609" spans="1:48" s="1799" customFormat="1" ht="10.15" customHeight="1">
      <c r="A3609" s="3845"/>
      <c r="B3609" s="412" t="s">
        <v>1248</v>
      </c>
      <c r="C3609" s="412" t="s">
        <v>505</v>
      </c>
      <c r="D3609" s="1590" t="s">
        <v>1907</v>
      </c>
      <c r="E3609" s="2224" t="s">
        <v>1907</v>
      </c>
      <c r="F3609" s="505">
        <v>2321</v>
      </c>
      <c r="G3609" s="1884" t="s">
        <v>5326</v>
      </c>
      <c r="H3609" s="1764"/>
      <c r="I3609" s="1764">
        <v>-1204</v>
      </c>
      <c r="J3609" s="1764"/>
      <c r="K3609" s="1859"/>
      <c r="L3609" s="1764"/>
      <c r="M3609" s="3649"/>
      <c r="N3609" s="2847"/>
      <c r="O3609" s="86"/>
      <c r="P3609" s="1817"/>
      <c r="Q3609" s="1798"/>
      <c r="R3609" s="1798"/>
      <c r="S3609" s="1798"/>
      <c r="T3609" s="1798"/>
      <c r="U3609" s="1798"/>
      <c r="V3609" s="1798"/>
      <c r="W3609" s="1798"/>
      <c r="X3609" s="1798"/>
      <c r="Y3609" s="1798"/>
      <c r="Z3609" s="1798"/>
      <c r="AA3609" s="1798"/>
      <c r="AB3609" s="1798"/>
      <c r="AC3609" s="1798"/>
      <c r="AD3609" s="1798"/>
      <c r="AE3609" s="1798"/>
      <c r="AF3609" s="1798"/>
      <c r="AG3609" s="1798"/>
      <c r="AH3609" s="1798"/>
      <c r="AI3609" s="1798"/>
      <c r="AJ3609" s="1798"/>
      <c r="AK3609" s="1801"/>
      <c r="AL3609" s="1801"/>
      <c r="AM3609" s="1801"/>
      <c r="AN3609" s="1801"/>
      <c r="AO3609" s="1801"/>
      <c r="AP3609" s="1801"/>
      <c r="AQ3609" s="1801"/>
      <c r="AR3609" s="1801"/>
      <c r="AS3609" s="1801"/>
      <c r="AT3609" s="1801"/>
      <c r="AU3609" s="1801"/>
      <c r="AV3609" s="1801"/>
    </row>
    <row r="3610" spans="1:48" s="1799" customFormat="1" ht="10.15" customHeight="1">
      <c r="A3610" s="3845"/>
      <c r="B3610" s="412" t="s">
        <v>1248</v>
      </c>
      <c r="C3610" s="412" t="s">
        <v>505</v>
      </c>
      <c r="D3610" s="1590" t="s">
        <v>1907</v>
      </c>
      <c r="E3610" s="2224" t="s">
        <v>1907</v>
      </c>
      <c r="F3610" s="505">
        <v>2321</v>
      </c>
      <c r="G3610" s="1884" t="s">
        <v>5327</v>
      </c>
      <c r="H3610" s="1764"/>
      <c r="I3610" s="1764">
        <v>-7000</v>
      </c>
      <c r="J3610" s="1764"/>
      <c r="K3610" s="1859"/>
      <c r="L3610" s="1764"/>
      <c r="M3610" s="3649"/>
      <c r="N3610" s="2847"/>
      <c r="O3610" s="86"/>
      <c r="P3610" s="1817" t="e">
        <f>INDEX(#REF!,MATCH(F3610,#REF!,0),2)</f>
        <v>#REF!</v>
      </c>
      <c r="Q3610" s="1798"/>
      <c r="R3610" s="1798"/>
      <c r="S3610" s="1798"/>
      <c r="T3610" s="1798"/>
      <c r="U3610" s="1798"/>
      <c r="V3610" s="1798"/>
      <c r="W3610" s="1798"/>
      <c r="X3610" s="1798"/>
      <c r="Y3610" s="1798"/>
      <c r="Z3610" s="1798"/>
      <c r="AA3610" s="1798"/>
      <c r="AB3610" s="1798"/>
      <c r="AC3610" s="1798"/>
      <c r="AD3610" s="1798"/>
      <c r="AE3610" s="1798"/>
      <c r="AF3610" s="1798"/>
      <c r="AG3610" s="1798"/>
      <c r="AH3610" s="1798"/>
      <c r="AI3610" s="1798"/>
      <c r="AJ3610" s="1798"/>
      <c r="AK3610" s="1801"/>
      <c r="AL3610" s="1801"/>
      <c r="AM3610" s="1801"/>
      <c r="AN3610" s="1801"/>
      <c r="AO3610" s="1801"/>
      <c r="AP3610" s="1801"/>
      <c r="AQ3610" s="1801"/>
      <c r="AR3610" s="1801"/>
      <c r="AS3610" s="1801"/>
      <c r="AT3610" s="1801"/>
      <c r="AU3610" s="1801"/>
      <c r="AV3610" s="1801"/>
    </row>
    <row r="3611" spans="1:48" s="1799" customFormat="1" ht="10.15" customHeight="1">
      <c r="A3611" s="3845"/>
      <c r="B3611" s="412" t="s">
        <v>1248</v>
      </c>
      <c r="C3611" s="412" t="s">
        <v>505</v>
      </c>
      <c r="D3611" s="1590" t="s">
        <v>1907</v>
      </c>
      <c r="E3611" s="2224" t="s">
        <v>1907</v>
      </c>
      <c r="F3611" s="505">
        <v>2321</v>
      </c>
      <c r="G3611" s="2774" t="s">
        <v>5322</v>
      </c>
      <c r="H3611" s="1764"/>
      <c r="I3611" s="1764">
        <v>-210</v>
      </c>
      <c r="J3611" s="1764"/>
      <c r="K3611" s="1859"/>
      <c r="L3611" s="1764"/>
      <c r="M3611" s="3649"/>
      <c r="N3611" s="2847"/>
      <c r="O3611" s="86"/>
      <c r="P3611" s="1817"/>
      <c r="Q3611" s="1798"/>
      <c r="R3611" s="1798"/>
      <c r="S3611" s="1798"/>
      <c r="T3611" s="1798"/>
      <c r="U3611" s="1798"/>
      <c r="V3611" s="1798"/>
      <c r="W3611" s="1798"/>
      <c r="X3611" s="1798"/>
      <c r="Y3611" s="1798"/>
      <c r="Z3611" s="1798"/>
      <c r="AA3611" s="1798"/>
      <c r="AB3611" s="1798"/>
      <c r="AC3611" s="1798"/>
      <c r="AD3611" s="1798"/>
      <c r="AE3611" s="1798"/>
      <c r="AF3611" s="1798"/>
      <c r="AG3611" s="1798"/>
      <c r="AH3611" s="1798"/>
      <c r="AI3611" s="1798"/>
      <c r="AJ3611" s="1798"/>
      <c r="AK3611" s="1798"/>
      <c r="AL3611" s="1798"/>
      <c r="AM3611" s="1798"/>
      <c r="AN3611" s="1798"/>
      <c r="AO3611" s="1798"/>
      <c r="AP3611" s="1798"/>
      <c r="AQ3611" s="1798"/>
      <c r="AR3611" s="1798"/>
      <c r="AS3611" s="1798"/>
      <c r="AT3611" s="1798"/>
      <c r="AU3611" s="1798"/>
      <c r="AV3611" s="1798"/>
    </row>
    <row r="3612" spans="1:48" s="1799" customFormat="1" ht="10.15" customHeight="1">
      <c r="A3612" s="971"/>
      <c r="B3612" s="506" t="s">
        <v>1248</v>
      </c>
      <c r="C3612" s="506" t="s">
        <v>507</v>
      </c>
      <c r="D3612" s="1589" t="s">
        <v>1907</v>
      </c>
      <c r="E3612" s="2223" t="s">
        <v>1907</v>
      </c>
      <c r="F3612" s="540">
        <v>2512</v>
      </c>
      <c r="G3612" s="411" t="s">
        <v>476</v>
      </c>
      <c r="H3612" s="582">
        <v>42000</v>
      </c>
      <c r="I3612" s="723"/>
      <c r="J3612" s="720"/>
      <c r="K3612" s="721"/>
      <c r="L3612" s="582">
        <v>46000</v>
      </c>
      <c r="M3612" s="582"/>
      <c r="N3612" s="2847"/>
      <c r="O3612" s="86"/>
      <c r="P3612" s="1817"/>
      <c r="Q3612" s="1798"/>
      <c r="R3612" s="1798"/>
      <c r="S3612" s="1798"/>
      <c r="T3612" s="1798"/>
      <c r="U3612" s="1798"/>
      <c r="V3612" s="1798"/>
      <c r="W3612" s="1798"/>
      <c r="X3612" s="1798"/>
      <c r="Y3612" s="1798"/>
      <c r="Z3612" s="1798"/>
      <c r="AA3612" s="1798"/>
      <c r="AB3612" s="1798"/>
      <c r="AC3612" s="1798"/>
      <c r="AD3612" s="1798"/>
      <c r="AE3612" s="1798"/>
      <c r="AF3612" s="1798"/>
      <c r="AG3612" s="1798"/>
      <c r="AH3612" s="1798"/>
      <c r="AI3612" s="1798"/>
      <c r="AJ3612" s="1798"/>
      <c r="AK3612" s="1801"/>
      <c r="AL3612" s="1801"/>
      <c r="AM3612" s="1801"/>
      <c r="AN3612" s="1801"/>
      <c r="AO3612" s="1801"/>
      <c r="AP3612" s="1801"/>
      <c r="AQ3612" s="1801"/>
      <c r="AR3612" s="1801"/>
      <c r="AS3612" s="1801"/>
      <c r="AT3612" s="1801"/>
      <c r="AU3612" s="1801"/>
      <c r="AV3612" s="1801"/>
    </row>
    <row r="3613" spans="1:48" s="1799" customFormat="1" ht="10.15" customHeight="1">
      <c r="A3613" s="521"/>
      <c r="B3613" s="412" t="s">
        <v>1248</v>
      </c>
      <c r="C3613" s="412" t="s">
        <v>505</v>
      </c>
      <c r="D3613" s="1590" t="s">
        <v>1907</v>
      </c>
      <c r="E3613" s="2224" t="s">
        <v>1907</v>
      </c>
      <c r="F3613" s="505">
        <v>2512</v>
      </c>
      <c r="G3613" s="583" t="s">
        <v>871</v>
      </c>
      <c r="H3613" s="419"/>
      <c r="I3613" s="419">
        <v>33000</v>
      </c>
      <c r="J3613" s="511"/>
      <c r="K3613" s="543"/>
      <c r="L3613" s="419"/>
      <c r="M3613" s="419">
        <v>46000</v>
      </c>
      <c r="N3613" s="2847"/>
      <c r="O3613" s="86"/>
      <c r="P3613" s="1817" t="e">
        <f>INDEX(#REF!,MATCH(F3613,#REF!,0),2)</f>
        <v>#REF!</v>
      </c>
      <c r="Q3613" s="1798"/>
      <c r="R3613" s="1798"/>
      <c r="S3613" s="1798"/>
      <c r="T3613" s="1798"/>
      <c r="U3613" s="1798"/>
      <c r="V3613" s="1798"/>
      <c r="W3613" s="1798"/>
      <c r="X3613" s="1798"/>
      <c r="Y3613" s="1798"/>
      <c r="Z3613" s="1798"/>
      <c r="AA3613" s="1798"/>
      <c r="AB3613" s="1798"/>
      <c r="AC3613" s="1798"/>
      <c r="AD3613" s="1798"/>
      <c r="AE3613" s="1798"/>
      <c r="AF3613" s="1798"/>
      <c r="AG3613" s="1798"/>
      <c r="AH3613" s="1798"/>
      <c r="AI3613" s="1798"/>
      <c r="AJ3613" s="1798"/>
      <c r="AK3613" s="1801"/>
      <c r="AL3613" s="1801"/>
      <c r="AM3613" s="1801"/>
      <c r="AN3613" s="1801"/>
      <c r="AO3613" s="1801"/>
      <c r="AP3613" s="1801"/>
      <c r="AQ3613" s="1801"/>
      <c r="AR3613" s="1801"/>
      <c r="AS3613" s="1801"/>
      <c r="AT3613" s="1801"/>
      <c r="AU3613" s="1801"/>
      <c r="AV3613" s="1801"/>
    </row>
    <row r="3614" spans="1:48" s="1799" customFormat="1" ht="21.6" customHeight="1">
      <c r="A3614" s="3845"/>
      <c r="B3614" s="412" t="s">
        <v>1248</v>
      </c>
      <c r="C3614" s="412" t="s">
        <v>505</v>
      </c>
      <c r="D3614" s="1590" t="s">
        <v>1907</v>
      </c>
      <c r="E3614" s="2224" t="s">
        <v>1907</v>
      </c>
      <c r="F3614" s="505">
        <v>2512</v>
      </c>
      <c r="G3614" s="1884" t="s">
        <v>5327</v>
      </c>
      <c r="H3614" s="1650"/>
      <c r="I3614" s="1650">
        <v>7000</v>
      </c>
      <c r="J3614" s="1651"/>
      <c r="K3614" s="1652"/>
      <c r="L3614" s="1650"/>
      <c r="M3614" s="1650"/>
      <c r="N3614" s="2847"/>
      <c r="O3614" s="86"/>
      <c r="P3614" s="1817" t="e">
        <f>INDEX(#REF!,MATCH(F3614,#REF!,0),2)</f>
        <v>#REF!</v>
      </c>
      <c r="Q3614" s="1798"/>
      <c r="R3614" s="1798"/>
      <c r="S3614" s="1798"/>
      <c r="T3614" s="1798"/>
      <c r="U3614" s="1798"/>
      <c r="V3614" s="1798"/>
      <c r="W3614" s="1798"/>
      <c r="X3614" s="1798"/>
      <c r="Y3614" s="1798"/>
      <c r="Z3614" s="1798"/>
      <c r="AA3614" s="1798"/>
      <c r="AB3614" s="1798"/>
      <c r="AC3614" s="1798"/>
      <c r="AD3614" s="1798"/>
      <c r="AE3614" s="1798"/>
      <c r="AF3614" s="1798"/>
      <c r="AG3614" s="1798"/>
      <c r="AH3614" s="1798"/>
      <c r="AI3614" s="1798"/>
      <c r="AJ3614" s="1798"/>
      <c r="AK3614" s="1801"/>
      <c r="AL3614" s="1801"/>
      <c r="AM3614" s="1801"/>
      <c r="AN3614" s="1801"/>
      <c r="AO3614" s="1801"/>
      <c r="AP3614" s="1801"/>
      <c r="AQ3614" s="1801"/>
      <c r="AR3614" s="1801"/>
      <c r="AS3614" s="1801"/>
      <c r="AT3614" s="1801"/>
      <c r="AU3614" s="1801"/>
      <c r="AV3614" s="1801"/>
    </row>
    <row r="3615" spans="1:48" s="1799" customFormat="1" ht="21.6" customHeight="1">
      <c r="A3615" s="3845"/>
      <c r="B3615" s="412" t="s">
        <v>1248</v>
      </c>
      <c r="C3615" s="412" t="s">
        <v>505</v>
      </c>
      <c r="D3615" s="1590" t="s">
        <v>1907</v>
      </c>
      <c r="E3615" s="2224" t="s">
        <v>1907</v>
      </c>
      <c r="F3615" s="505">
        <v>2512</v>
      </c>
      <c r="G3615" s="2774" t="s">
        <v>5328</v>
      </c>
      <c r="H3615" s="1650"/>
      <c r="I3615" s="1650">
        <v>2000</v>
      </c>
      <c r="J3615" s="1651"/>
      <c r="K3615" s="1652"/>
      <c r="L3615" s="1650"/>
      <c r="M3615" s="1650"/>
      <c r="N3615" s="2847"/>
      <c r="O3615" s="86"/>
      <c r="P3615" s="1817" t="e">
        <f>INDEX(#REF!,MATCH(F3615,#REF!,0),2)</f>
        <v>#REF!</v>
      </c>
      <c r="Q3615" s="1798"/>
      <c r="R3615" s="1798"/>
      <c r="S3615" s="1798"/>
      <c r="T3615" s="1798"/>
      <c r="U3615" s="1798"/>
      <c r="V3615" s="1798"/>
      <c r="W3615" s="1798"/>
      <c r="X3615" s="1798"/>
      <c r="Y3615" s="1798"/>
      <c r="Z3615" s="1798"/>
      <c r="AA3615" s="1798"/>
      <c r="AB3615" s="1798"/>
      <c r="AC3615" s="1798"/>
      <c r="AD3615" s="1798"/>
      <c r="AE3615" s="1798"/>
      <c r="AF3615" s="1798"/>
      <c r="AG3615" s="1798"/>
      <c r="AH3615" s="1798"/>
      <c r="AI3615" s="1798"/>
      <c r="AJ3615" s="1798"/>
      <c r="AK3615" s="1801"/>
      <c r="AL3615" s="1801"/>
      <c r="AM3615" s="1801"/>
      <c r="AN3615" s="1801"/>
      <c r="AO3615" s="1801"/>
      <c r="AP3615" s="1801"/>
      <c r="AQ3615" s="1801"/>
      <c r="AR3615" s="1801"/>
      <c r="AS3615" s="1801"/>
      <c r="AT3615" s="1801"/>
      <c r="AU3615" s="1801"/>
      <c r="AV3615" s="1801"/>
    </row>
    <row r="3616" spans="1:48" s="1799" customFormat="1" ht="21.6" customHeight="1">
      <c r="A3616" s="971"/>
      <c r="B3616" s="506" t="s">
        <v>1248</v>
      </c>
      <c r="C3616" s="506" t="s">
        <v>507</v>
      </c>
      <c r="D3616" s="1589" t="s">
        <v>1907</v>
      </c>
      <c r="E3616" s="2223" t="s">
        <v>1907</v>
      </c>
      <c r="F3616" s="540">
        <v>2515</v>
      </c>
      <c r="G3616" s="411" t="s">
        <v>477</v>
      </c>
      <c r="H3616" s="582">
        <v>5824</v>
      </c>
      <c r="I3616" s="723"/>
      <c r="J3616" s="720"/>
      <c r="K3616" s="721"/>
      <c r="L3616" s="582">
        <v>7824</v>
      </c>
      <c r="M3616" s="582"/>
      <c r="N3616" s="2847"/>
      <c r="O3616" s="86"/>
      <c r="P3616" s="1817" t="e">
        <f>INDEX(#REF!,MATCH(F3616,#REF!,0),2)</f>
        <v>#REF!</v>
      </c>
      <c r="Q3616" s="1798"/>
      <c r="R3616" s="1798"/>
      <c r="S3616" s="1798"/>
      <c r="T3616" s="1798"/>
      <c r="U3616" s="1798"/>
      <c r="V3616" s="1798"/>
      <c r="W3616" s="1798"/>
      <c r="X3616" s="1798"/>
      <c r="Y3616" s="1798"/>
      <c r="Z3616" s="1798"/>
      <c r="AA3616" s="1798"/>
      <c r="AB3616" s="1798"/>
      <c r="AC3616" s="1798"/>
      <c r="AD3616" s="1798"/>
      <c r="AE3616" s="1798"/>
      <c r="AF3616" s="1798"/>
      <c r="AG3616" s="1798"/>
      <c r="AH3616" s="1798"/>
      <c r="AI3616" s="1798"/>
      <c r="AJ3616" s="1798"/>
      <c r="AK3616" s="1801"/>
      <c r="AL3616" s="1801"/>
      <c r="AM3616" s="1801"/>
      <c r="AN3616" s="1801"/>
      <c r="AO3616" s="1801"/>
      <c r="AP3616" s="1801"/>
      <c r="AQ3616" s="1801"/>
      <c r="AR3616" s="1801"/>
      <c r="AS3616" s="1801"/>
      <c r="AT3616" s="1801"/>
      <c r="AU3616" s="1801"/>
      <c r="AV3616" s="1801"/>
    </row>
    <row r="3617" spans="1:48" s="1799" customFormat="1" ht="10.15" customHeight="1">
      <c r="A3617" s="521"/>
      <c r="B3617" s="412" t="s">
        <v>1248</v>
      </c>
      <c r="C3617" s="412" t="s">
        <v>507</v>
      </c>
      <c r="D3617" s="1590" t="s">
        <v>1907</v>
      </c>
      <c r="E3617" s="2224" t="s">
        <v>1907</v>
      </c>
      <c r="F3617" s="505">
        <v>2515</v>
      </c>
      <c r="G3617" s="583" t="s">
        <v>477</v>
      </c>
      <c r="H3617" s="419"/>
      <c r="I3617" s="419">
        <v>7824</v>
      </c>
      <c r="J3617" s="511"/>
      <c r="K3617" s="543"/>
      <c r="L3617" s="419"/>
      <c r="M3617" s="419">
        <v>7824</v>
      </c>
      <c r="N3617" s="2847"/>
      <c r="O3617" s="86"/>
      <c r="P3617" s="1817" t="e">
        <f>INDEX(#REF!,MATCH(F3617,#REF!,0),2)</f>
        <v>#REF!</v>
      </c>
      <c r="Q3617" s="1798"/>
      <c r="R3617" s="1798"/>
      <c r="S3617" s="1798"/>
      <c r="T3617" s="1798"/>
      <c r="U3617" s="1798"/>
      <c r="V3617" s="1798"/>
      <c r="W3617" s="1798"/>
      <c r="X3617" s="1798"/>
      <c r="Y3617" s="1798"/>
      <c r="Z3617" s="1798"/>
      <c r="AA3617" s="1798"/>
      <c r="AB3617" s="1798"/>
      <c r="AC3617" s="1798"/>
      <c r="AD3617" s="1798"/>
      <c r="AE3617" s="1798"/>
      <c r="AF3617" s="1798"/>
      <c r="AG3617" s="1798"/>
      <c r="AH3617" s="1798"/>
      <c r="AI3617" s="1798"/>
      <c r="AJ3617" s="1798"/>
      <c r="AK3617" s="1798"/>
      <c r="AL3617" s="1798"/>
      <c r="AM3617" s="1798"/>
      <c r="AN3617" s="1798"/>
      <c r="AO3617" s="1798"/>
      <c r="AP3617" s="1798"/>
      <c r="AQ3617" s="1798"/>
      <c r="AR3617" s="1798"/>
      <c r="AS3617" s="1798"/>
      <c r="AT3617" s="1798"/>
      <c r="AU3617" s="1798"/>
    </row>
    <row r="3618" spans="1:48" s="1799" customFormat="1" ht="20.45" customHeight="1">
      <c r="A3618" s="3845"/>
      <c r="B3618" s="412" t="s">
        <v>1248</v>
      </c>
      <c r="C3618" s="412" t="s">
        <v>507</v>
      </c>
      <c r="D3618" s="1590" t="s">
        <v>1907</v>
      </c>
      <c r="E3618" s="2224" t="s">
        <v>1907</v>
      </c>
      <c r="F3618" s="505">
        <v>2515</v>
      </c>
      <c r="G3618" s="3082" t="s">
        <v>5328</v>
      </c>
      <c r="H3618" s="1650"/>
      <c r="I3618" s="1650">
        <v>-2000</v>
      </c>
      <c r="J3618" s="1651"/>
      <c r="K3618" s="1652"/>
      <c r="L3618" s="1650"/>
      <c r="M3618" s="1650"/>
      <c r="N3618" s="2847"/>
      <c r="O3618" s="86"/>
      <c r="P3618" s="1817" t="e">
        <f>INDEX(#REF!,MATCH(F3618,#REF!,0),2)</f>
        <v>#REF!</v>
      </c>
      <c r="Q3618" s="1798"/>
      <c r="R3618" s="1798"/>
      <c r="S3618" s="1798"/>
      <c r="T3618" s="1798"/>
      <c r="U3618" s="1798"/>
      <c r="V3618" s="1798"/>
      <c r="W3618" s="1798"/>
      <c r="X3618" s="1798"/>
      <c r="Y3618" s="1798"/>
      <c r="Z3618" s="1798"/>
      <c r="AA3618" s="1798"/>
      <c r="AB3618" s="1798"/>
      <c r="AC3618" s="1798"/>
      <c r="AD3618" s="1798"/>
      <c r="AE3618" s="1798"/>
      <c r="AF3618" s="1798"/>
      <c r="AG3618" s="1798"/>
      <c r="AH3618" s="1798"/>
      <c r="AI3618" s="1798"/>
      <c r="AJ3618" s="1798"/>
      <c r="AK3618" s="1801"/>
      <c r="AL3618" s="1801"/>
      <c r="AM3618" s="1801"/>
      <c r="AN3618" s="1801"/>
      <c r="AO3618" s="1801"/>
      <c r="AP3618" s="1801"/>
      <c r="AQ3618" s="1801"/>
      <c r="AR3618" s="1801"/>
      <c r="AS3618" s="1801"/>
      <c r="AT3618" s="1801"/>
      <c r="AU3618" s="1801"/>
      <c r="AV3618" s="1801"/>
    </row>
    <row r="3619" spans="1:48" s="1799" customFormat="1" ht="20.45" customHeight="1">
      <c r="A3619" s="971"/>
      <c r="B3619" s="506" t="s">
        <v>1249</v>
      </c>
      <c r="C3619" s="506" t="s">
        <v>507</v>
      </c>
      <c r="D3619" s="1589" t="s">
        <v>1907</v>
      </c>
      <c r="E3619" s="2223" t="s">
        <v>1907</v>
      </c>
      <c r="F3619" s="1945">
        <v>3261</v>
      </c>
      <c r="G3619" s="2210" t="s">
        <v>478</v>
      </c>
      <c r="H3619" s="582">
        <v>17370</v>
      </c>
      <c r="I3619" s="723"/>
      <c r="J3619" s="720"/>
      <c r="K3619" s="721"/>
      <c r="L3619" s="582">
        <v>5000</v>
      </c>
      <c r="M3619" s="582"/>
      <c r="N3619" s="2847"/>
      <c r="O3619" s="1817"/>
      <c r="P3619" s="1817" t="e">
        <f>INDEX(#REF!,MATCH(F3619,#REF!,0),2)</f>
        <v>#REF!</v>
      </c>
      <c r="Q3619" s="1798"/>
      <c r="R3619" s="1798"/>
      <c r="S3619" s="1798"/>
      <c r="T3619" s="1798"/>
      <c r="U3619" s="1798"/>
      <c r="V3619" s="1798"/>
      <c r="W3619" s="1798"/>
      <c r="X3619" s="1798"/>
      <c r="Y3619" s="1798"/>
      <c r="Z3619" s="1798"/>
      <c r="AA3619" s="1798"/>
      <c r="AB3619" s="1798"/>
      <c r="AC3619" s="1798"/>
      <c r="AD3619" s="1798"/>
      <c r="AE3619" s="1798"/>
      <c r="AF3619" s="1798"/>
      <c r="AG3619" s="1798"/>
      <c r="AH3619" s="1798"/>
      <c r="AI3619" s="1798"/>
      <c r="AJ3619" s="1798"/>
      <c r="AK3619" s="1801"/>
      <c r="AL3619" s="1801"/>
      <c r="AM3619" s="1801"/>
      <c r="AN3619" s="1801"/>
      <c r="AO3619" s="1801"/>
      <c r="AP3619" s="1801"/>
      <c r="AQ3619" s="1801"/>
      <c r="AR3619" s="1801"/>
      <c r="AS3619" s="1801"/>
      <c r="AT3619" s="1801"/>
      <c r="AU3619" s="1801"/>
      <c r="AV3619" s="1801"/>
    </row>
    <row r="3620" spans="1:48" s="1799" customFormat="1" ht="20.45" customHeight="1">
      <c r="A3620" s="521"/>
      <c r="B3620" s="412" t="s">
        <v>1249</v>
      </c>
      <c r="C3620" s="412" t="s">
        <v>505</v>
      </c>
      <c r="D3620" s="1590" t="s">
        <v>1907</v>
      </c>
      <c r="E3620" s="2224" t="s">
        <v>1907</v>
      </c>
      <c r="F3620" s="1936">
        <v>3261</v>
      </c>
      <c r="G3620" s="1886" t="s">
        <v>573</v>
      </c>
      <c r="H3620" s="419"/>
      <c r="I3620" s="419">
        <v>5000</v>
      </c>
      <c r="J3620" s="511"/>
      <c r="K3620" s="543"/>
      <c r="L3620" s="419"/>
      <c r="M3620" s="419">
        <v>5000</v>
      </c>
      <c r="N3620" s="2847"/>
      <c r="O3620" s="86"/>
      <c r="P3620" s="1817" t="e">
        <f>INDEX(#REF!,MATCH(F3620,#REF!,0),2)</f>
        <v>#REF!</v>
      </c>
      <c r="Q3620" s="1798"/>
      <c r="R3620" s="1798"/>
      <c r="S3620" s="1798"/>
      <c r="T3620" s="1798"/>
      <c r="U3620" s="1798"/>
      <c r="V3620" s="1798"/>
      <c r="W3620" s="1798"/>
      <c r="X3620" s="1798"/>
      <c r="Y3620" s="1798"/>
      <c r="Z3620" s="1798"/>
      <c r="AA3620" s="1798"/>
      <c r="AB3620" s="1798"/>
      <c r="AC3620" s="1798"/>
      <c r="AD3620" s="1798"/>
      <c r="AE3620" s="1798"/>
      <c r="AF3620" s="1798"/>
      <c r="AG3620" s="1798"/>
      <c r="AH3620" s="1798"/>
      <c r="AI3620" s="1798"/>
      <c r="AJ3620" s="1798"/>
      <c r="AK3620" s="1801"/>
      <c r="AL3620" s="1801"/>
      <c r="AM3620" s="1801"/>
      <c r="AN3620" s="1801"/>
      <c r="AO3620" s="1801"/>
      <c r="AP3620" s="1801"/>
      <c r="AQ3620" s="1801"/>
      <c r="AR3620" s="1801"/>
      <c r="AS3620" s="1801"/>
      <c r="AT3620" s="1801"/>
      <c r="AU3620" s="1801"/>
      <c r="AV3620" s="1801"/>
    </row>
    <row r="3621" spans="1:48" s="1799" customFormat="1" ht="10.15" customHeight="1">
      <c r="A3621" s="1897"/>
      <c r="B3621" s="412" t="s">
        <v>1249</v>
      </c>
      <c r="C3621" s="412" t="s">
        <v>505</v>
      </c>
      <c r="D3621" s="1590" t="s">
        <v>1907</v>
      </c>
      <c r="E3621" s="2224" t="s">
        <v>1907</v>
      </c>
      <c r="F3621" s="1936">
        <v>3261</v>
      </c>
      <c r="G3621" s="1886" t="s">
        <v>920</v>
      </c>
      <c r="H3621" s="1650"/>
      <c r="I3621" s="1650">
        <v>5000</v>
      </c>
      <c r="J3621" s="1651"/>
      <c r="K3621" s="1652"/>
      <c r="L3621" s="1650"/>
      <c r="M3621" s="1650">
        <v>0</v>
      </c>
      <c r="N3621" s="2847"/>
      <c r="O3621" s="86"/>
      <c r="P3621" s="1817" t="e">
        <f>INDEX(#REF!,MATCH(F3621,#REF!,0),2)</f>
        <v>#REF!</v>
      </c>
      <c r="Q3621" s="1798"/>
      <c r="R3621" s="1798"/>
      <c r="S3621" s="1798"/>
      <c r="T3621" s="1798"/>
      <c r="U3621" s="1798"/>
      <c r="V3621" s="1798"/>
      <c r="W3621" s="1798"/>
      <c r="X3621" s="1798"/>
      <c r="Y3621" s="1798"/>
      <c r="Z3621" s="1798"/>
      <c r="AA3621" s="1798"/>
      <c r="AB3621" s="1798"/>
      <c r="AC3621" s="1798"/>
      <c r="AD3621" s="1798"/>
      <c r="AE3621" s="1798"/>
      <c r="AF3621" s="1798"/>
      <c r="AG3621" s="1798"/>
      <c r="AH3621" s="1798"/>
      <c r="AI3621" s="1798"/>
      <c r="AJ3621" s="1798"/>
      <c r="AK3621" s="1798"/>
      <c r="AL3621" s="1798"/>
      <c r="AM3621" s="1798"/>
      <c r="AN3621" s="1798"/>
      <c r="AO3621" s="1798"/>
      <c r="AP3621" s="1798"/>
      <c r="AQ3621" s="1798"/>
      <c r="AR3621" s="1798"/>
      <c r="AS3621" s="1798"/>
      <c r="AT3621" s="1798"/>
      <c r="AU3621" s="1798"/>
    </row>
    <row r="3622" spans="1:48" s="1799" customFormat="1" ht="31.9" customHeight="1">
      <c r="A3622" s="1897"/>
      <c r="B3622" s="412" t="s">
        <v>1249</v>
      </c>
      <c r="C3622" s="412" t="s">
        <v>505</v>
      </c>
      <c r="D3622" s="1590" t="s">
        <v>1907</v>
      </c>
      <c r="E3622" s="2224" t="s">
        <v>1907</v>
      </c>
      <c r="F3622" s="1936">
        <v>3261</v>
      </c>
      <c r="G3622" s="1886" t="s">
        <v>3227</v>
      </c>
      <c r="H3622" s="1650"/>
      <c r="I3622" s="1650">
        <v>-6600</v>
      </c>
      <c r="J3622" s="1651"/>
      <c r="K3622" s="1652"/>
      <c r="L3622" s="1650"/>
      <c r="M3622" s="1650"/>
      <c r="N3622" s="2847"/>
      <c r="O3622" s="86"/>
      <c r="P3622" s="1817" t="e">
        <f>INDEX(#REF!,MATCH(F3622,#REF!,0),2)</f>
        <v>#REF!</v>
      </c>
      <c r="Q3622" s="1798"/>
      <c r="R3622" s="1798"/>
      <c r="S3622" s="1798"/>
      <c r="T3622" s="1798"/>
      <c r="U3622" s="1798"/>
      <c r="V3622" s="1798"/>
      <c r="W3622" s="1798"/>
      <c r="X3622" s="1798"/>
      <c r="Y3622" s="1798"/>
      <c r="Z3622" s="1798"/>
      <c r="AA3622" s="1798"/>
      <c r="AB3622" s="1798"/>
      <c r="AC3622" s="1798"/>
      <c r="AD3622" s="1798"/>
      <c r="AE3622" s="1798"/>
      <c r="AF3622" s="1798"/>
      <c r="AG3622" s="1798"/>
      <c r="AH3622" s="1798"/>
      <c r="AI3622" s="1798"/>
      <c r="AJ3622" s="1798"/>
      <c r="AK3622" s="1801"/>
      <c r="AL3622" s="1801"/>
      <c r="AM3622" s="1801"/>
      <c r="AN3622" s="1801"/>
      <c r="AO3622" s="1801"/>
      <c r="AP3622" s="1801"/>
      <c r="AQ3622" s="1801"/>
      <c r="AR3622" s="1801"/>
      <c r="AS3622" s="1801"/>
      <c r="AT3622" s="1801"/>
      <c r="AU3622" s="1801"/>
      <c r="AV3622" s="1801"/>
    </row>
    <row r="3623" spans="1:48" s="1799" customFormat="1" ht="31.9" customHeight="1">
      <c r="A3623" s="1897"/>
      <c r="B3623" s="412" t="s">
        <v>1249</v>
      </c>
      <c r="C3623" s="412" t="s">
        <v>505</v>
      </c>
      <c r="D3623" s="1590" t="s">
        <v>1907</v>
      </c>
      <c r="E3623" s="2224" t="s">
        <v>1907</v>
      </c>
      <c r="F3623" s="1936">
        <v>3261</v>
      </c>
      <c r="G3623" s="1886" t="s">
        <v>3274</v>
      </c>
      <c r="H3623" s="1650"/>
      <c r="I3623" s="1650">
        <v>10000</v>
      </c>
      <c r="J3623" s="1651"/>
      <c r="K3623" s="1652"/>
      <c r="L3623" s="1650"/>
      <c r="M3623" s="1650"/>
      <c r="N3623" s="2847"/>
      <c r="O3623" s="1817"/>
      <c r="P3623" s="1817" t="e">
        <f>INDEX(#REF!,MATCH(F3623,#REF!,0),2)</f>
        <v>#REF!</v>
      </c>
      <c r="Q3623" s="1798"/>
      <c r="R3623" s="1798"/>
      <c r="S3623" s="1798"/>
      <c r="T3623" s="1798"/>
      <c r="U3623" s="1798"/>
      <c r="V3623" s="1798"/>
      <c r="W3623" s="1798"/>
      <c r="X3623" s="1798"/>
      <c r="Y3623" s="1798"/>
      <c r="Z3623" s="1798"/>
      <c r="AA3623" s="1798"/>
      <c r="AB3623" s="1798"/>
      <c r="AC3623" s="1798"/>
      <c r="AD3623" s="1798"/>
      <c r="AE3623" s="1798"/>
      <c r="AF3623" s="1798"/>
      <c r="AG3623" s="1798"/>
      <c r="AH3623" s="1798"/>
      <c r="AI3623" s="1798"/>
      <c r="AJ3623" s="1798"/>
      <c r="AK3623" s="1801"/>
      <c r="AL3623" s="1801"/>
      <c r="AM3623" s="1801"/>
      <c r="AN3623" s="1801"/>
      <c r="AO3623" s="1801"/>
      <c r="AP3623" s="1801"/>
      <c r="AQ3623" s="1801"/>
      <c r="AR3623" s="1801"/>
      <c r="AS3623" s="1801"/>
      <c r="AT3623" s="1801"/>
      <c r="AU3623" s="1801"/>
      <c r="AV3623" s="1801"/>
    </row>
    <row r="3624" spans="1:48" s="1799" customFormat="1" ht="10.15" customHeight="1">
      <c r="A3624" s="1897"/>
      <c r="B3624" s="412" t="s">
        <v>1249</v>
      </c>
      <c r="C3624" s="412" t="s">
        <v>505</v>
      </c>
      <c r="D3624" s="1590" t="s">
        <v>1907</v>
      </c>
      <c r="E3624" s="2224" t="s">
        <v>1907</v>
      </c>
      <c r="F3624" s="1936">
        <v>3261</v>
      </c>
      <c r="G3624" s="1886" t="s">
        <v>3305</v>
      </c>
      <c r="H3624" s="1650"/>
      <c r="I3624" s="1650">
        <v>3970</v>
      </c>
      <c r="J3624" s="1651"/>
      <c r="K3624" s="1652"/>
      <c r="L3624" s="1650"/>
      <c r="M3624" s="1650"/>
      <c r="N3624" s="2847"/>
      <c r="O3624" s="86"/>
      <c r="P3624" s="1817" t="e">
        <f>INDEX(#REF!,MATCH(F3624,#REF!,0),2)</f>
        <v>#REF!</v>
      </c>
      <c r="Q3624" s="1798"/>
      <c r="R3624" s="1798"/>
      <c r="S3624" s="1798"/>
      <c r="T3624" s="1798"/>
      <c r="U3624" s="1798"/>
      <c r="V3624" s="1798"/>
      <c r="W3624" s="1798"/>
      <c r="X3624" s="1798"/>
      <c r="Y3624" s="1798"/>
      <c r="Z3624" s="1798"/>
      <c r="AA3624" s="1798"/>
      <c r="AB3624" s="1798"/>
      <c r="AC3624" s="1798"/>
      <c r="AD3624" s="1798"/>
      <c r="AE3624" s="1798"/>
      <c r="AF3624" s="1798"/>
      <c r="AG3624" s="1798"/>
      <c r="AH3624" s="1798"/>
      <c r="AI3624" s="1798"/>
      <c r="AJ3624" s="1798"/>
      <c r="AK3624" s="1798"/>
      <c r="AL3624" s="1798"/>
      <c r="AM3624" s="1798"/>
      <c r="AN3624" s="1798"/>
      <c r="AO3624" s="1798"/>
      <c r="AP3624" s="1798"/>
      <c r="AQ3624" s="1798"/>
      <c r="AR3624" s="1798"/>
      <c r="AS3624" s="1798"/>
      <c r="AT3624" s="1798"/>
      <c r="AU3624" s="1798"/>
      <c r="AV3624" s="1798"/>
    </row>
    <row r="3625" spans="1:48" s="1799" customFormat="1" ht="10.15" customHeight="1">
      <c r="A3625" s="971"/>
      <c r="B3625" s="506" t="s">
        <v>1249</v>
      </c>
      <c r="C3625" s="506" t="s">
        <v>507</v>
      </c>
      <c r="D3625" s="1589" t="s">
        <v>1907</v>
      </c>
      <c r="E3625" s="2223" t="s">
        <v>1907</v>
      </c>
      <c r="F3625" s="1945">
        <v>3263</v>
      </c>
      <c r="G3625" s="2210" t="s">
        <v>314</v>
      </c>
      <c r="H3625" s="582">
        <v>12630</v>
      </c>
      <c r="I3625" s="723"/>
      <c r="J3625" s="720"/>
      <c r="K3625" s="721"/>
      <c r="L3625" s="582">
        <v>5000</v>
      </c>
      <c r="M3625" s="582"/>
      <c r="N3625" s="2847"/>
      <c r="O3625" s="86"/>
      <c r="P3625" s="1817" t="e">
        <f>INDEX(#REF!,MATCH(F3625,#REF!,0),2)</f>
        <v>#REF!</v>
      </c>
      <c r="Q3625" s="1798"/>
      <c r="R3625" s="1798"/>
      <c r="S3625" s="1798"/>
      <c r="T3625" s="1798"/>
      <c r="U3625" s="1798"/>
      <c r="V3625" s="1798"/>
      <c r="W3625" s="1798"/>
      <c r="X3625" s="1798"/>
      <c r="Y3625" s="1798"/>
      <c r="Z3625" s="1798"/>
      <c r="AA3625" s="1798"/>
      <c r="AB3625" s="1798"/>
      <c r="AC3625" s="1798"/>
      <c r="AD3625" s="1798"/>
      <c r="AE3625" s="1798"/>
      <c r="AF3625" s="1798"/>
      <c r="AG3625" s="1798"/>
      <c r="AH3625" s="1798"/>
      <c r="AI3625" s="1798"/>
      <c r="AJ3625" s="1798"/>
      <c r="AK3625" s="1801"/>
      <c r="AL3625" s="1801"/>
      <c r="AM3625" s="1801"/>
      <c r="AN3625" s="1801"/>
      <c r="AO3625" s="1801"/>
      <c r="AP3625" s="1801"/>
      <c r="AQ3625" s="1801"/>
      <c r="AR3625" s="1801"/>
      <c r="AS3625" s="1801"/>
      <c r="AT3625" s="1801"/>
      <c r="AU3625" s="1801"/>
      <c r="AV3625" s="1801"/>
    </row>
    <row r="3626" spans="1:48" ht="21" customHeight="1">
      <c r="A3626" s="1897"/>
      <c r="B3626" s="1882" t="s">
        <v>1249</v>
      </c>
      <c r="C3626" s="1882" t="s">
        <v>505</v>
      </c>
      <c r="D3626" s="1935" t="s">
        <v>1907</v>
      </c>
      <c r="E3626" s="2229" t="s">
        <v>1907</v>
      </c>
      <c r="F3626" s="1936">
        <v>3263</v>
      </c>
      <c r="G3626" s="1886" t="s">
        <v>573</v>
      </c>
      <c r="H3626" s="1650"/>
      <c r="I3626" s="1650">
        <v>6600</v>
      </c>
      <c r="J3626" s="1651"/>
      <c r="K3626" s="1652"/>
      <c r="L3626" s="1650"/>
      <c r="M3626" s="419">
        <v>5000</v>
      </c>
      <c r="N3626" s="2847"/>
      <c r="O3626" s="86"/>
      <c r="P3626" s="1817" t="e">
        <f>INDEX(#REF!,MATCH(F3626,#REF!,0),2)</f>
        <v>#REF!</v>
      </c>
      <c r="Q3626" s="43"/>
      <c r="R3626" s="43"/>
      <c r="S3626" s="43"/>
      <c r="T3626" s="43"/>
      <c r="U3626" s="43"/>
      <c r="V3626" s="43"/>
      <c r="W3626" s="43"/>
      <c r="X3626" s="43"/>
      <c r="Y3626" s="43"/>
      <c r="Z3626" s="43"/>
      <c r="AA3626" s="43"/>
      <c r="AB3626" s="43"/>
      <c r="AC3626" s="43"/>
      <c r="AD3626" s="43"/>
      <c r="AE3626" s="43"/>
      <c r="AF3626" s="43"/>
      <c r="AG3626" s="43"/>
      <c r="AH3626" s="43"/>
      <c r="AI3626" s="43"/>
      <c r="AJ3626" s="43"/>
      <c r="AK3626" s="43"/>
      <c r="AL3626" s="43"/>
      <c r="AM3626" s="43"/>
      <c r="AN3626" s="43"/>
      <c r="AO3626" s="43"/>
      <c r="AP3626" s="43"/>
      <c r="AQ3626" s="43"/>
      <c r="AR3626" s="43"/>
      <c r="AS3626" s="43"/>
      <c r="AT3626" s="43"/>
      <c r="AU3626" s="43"/>
      <c r="AV3626" s="43"/>
    </row>
    <row r="3627" spans="1:48" ht="11.45" customHeight="1">
      <c r="A3627" s="1897"/>
      <c r="B3627" s="1882" t="s">
        <v>1249</v>
      </c>
      <c r="C3627" s="1882" t="s">
        <v>505</v>
      </c>
      <c r="D3627" s="1935" t="s">
        <v>1907</v>
      </c>
      <c r="E3627" s="2229" t="s">
        <v>1907</v>
      </c>
      <c r="F3627" s="1936">
        <v>3263</v>
      </c>
      <c r="G3627" s="1886" t="s">
        <v>920</v>
      </c>
      <c r="H3627" s="1650"/>
      <c r="I3627" s="1650">
        <v>10000</v>
      </c>
      <c r="J3627" s="1651"/>
      <c r="K3627" s="1652"/>
      <c r="L3627" s="1650"/>
      <c r="M3627" s="1650">
        <v>0</v>
      </c>
      <c r="N3627" s="2847"/>
      <c r="O3627" s="86"/>
      <c r="P3627" s="1817" t="e">
        <f>INDEX(#REF!,MATCH(F3627,#REF!,0),2)</f>
        <v>#REF!</v>
      </c>
      <c r="Q3627" s="4"/>
      <c r="R3627" s="4"/>
      <c r="S3627" s="4"/>
      <c r="T3627" s="4"/>
      <c r="U3627" s="4"/>
      <c r="V3627" s="4"/>
      <c r="W3627" s="4"/>
      <c r="X3627" s="4"/>
      <c r="Y3627" s="4"/>
      <c r="Z3627" s="4"/>
      <c r="AA3627" s="4"/>
      <c r="AB3627" s="4"/>
      <c r="AC3627" s="4"/>
      <c r="AD3627" s="4"/>
      <c r="AE3627" s="4"/>
      <c r="AF3627" s="4"/>
      <c r="AG3627" s="4"/>
      <c r="AH3627" s="4"/>
      <c r="AI3627" s="4"/>
      <c r="AJ3627" s="4"/>
      <c r="AK3627" s="4"/>
      <c r="AL3627" s="4"/>
      <c r="AM3627" s="4"/>
      <c r="AN3627" s="4"/>
      <c r="AO3627" s="4"/>
      <c r="AP3627" s="4"/>
      <c r="AQ3627" s="4"/>
      <c r="AR3627" s="4"/>
      <c r="AS3627" s="4"/>
      <c r="AT3627" s="4"/>
      <c r="AU3627" s="4"/>
      <c r="AV3627" s="4"/>
    </row>
    <row r="3628" spans="1:48" ht="11.45" customHeight="1">
      <c r="A3628" s="1897"/>
      <c r="B3628" s="1882" t="s">
        <v>1249</v>
      </c>
      <c r="C3628" s="1882" t="s">
        <v>505</v>
      </c>
      <c r="D3628" s="1935" t="s">
        <v>1907</v>
      </c>
      <c r="E3628" s="2229" t="s">
        <v>1907</v>
      </c>
      <c r="F3628" s="1936">
        <v>3263</v>
      </c>
      <c r="G3628" s="1886" t="s">
        <v>3305</v>
      </c>
      <c r="H3628" s="1650"/>
      <c r="I3628" s="1650">
        <v>-3970</v>
      </c>
      <c r="J3628" s="1651"/>
      <c r="K3628" s="1652"/>
      <c r="L3628" s="1650"/>
      <c r="M3628" s="1650"/>
      <c r="N3628" s="2847"/>
      <c r="O3628" s="86"/>
      <c r="P3628" s="1817" t="e">
        <f>INDEX(#REF!,MATCH(F3628,#REF!,0),2)</f>
        <v>#REF!</v>
      </c>
      <c r="Q3628" s="4"/>
      <c r="R3628" s="4"/>
      <c r="S3628" s="4"/>
      <c r="T3628" s="4"/>
      <c r="U3628" s="4"/>
      <c r="V3628" s="4"/>
      <c r="W3628" s="4"/>
      <c r="X3628" s="4"/>
      <c r="Y3628" s="4"/>
      <c r="Z3628" s="4"/>
      <c r="AA3628" s="4"/>
      <c r="AB3628" s="4"/>
      <c r="AC3628" s="4"/>
      <c r="AD3628" s="4"/>
      <c r="AE3628" s="4"/>
      <c r="AF3628" s="4"/>
      <c r="AG3628" s="4"/>
      <c r="AH3628" s="4"/>
      <c r="AI3628" s="4"/>
      <c r="AJ3628" s="4"/>
      <c r="AK3628" s="4"/>
      <c r="AL3628" s="4"/>
      <c r="AM3628" s="4"/>
      <c r="AN3628" s="4"/>
      <c r="AO3628" s="4"/>
      <c r="AP3628" s="4"/>
      <c r="AQ3628" s="4"/>
      <c r="AR3628" s="4"/>
      <c r="AS3628" s="4"/>
      <c r="AT3628" s="4"/>
      <c r="AU3628" s="4"/>
      <c r="AV3628" s="4"/>
    </row>
    <row r="3629" spans="1:48" ht="11.45" customHeight="1">
      <c r="A3629" s="971"/>
      <c r="B3629" s="506" t="s">
        <v>1249</v>
      </c>
      <c r="C3629" s="506"/>
      <c r="D3629" s="1589"/>
      <c r="E3629" s="2223" t="s">
        <v>1907</v>
      </c>
      <c r="F3629" s="540">
        <v>5231</v>
      </c>
      <c r="G3629" s="411" t="s">
        <v>2849</v>
      </c>
      <c r="H3629" s="582">
        <v>0</v>
      </c>
      <c r="I3629" s="723"/>
      <c r="J3629" s="720"/>
      <c r="K3629" s="721"/>
      <c r="L3629" s="582">
        <v>0</v>
      </c>
      <c r="M3629" s="582"/>
      <c r="N3629" s="2847"/>
      <c r="O3629" s="86"/>
      <c r="P3629" s="1817" t="e">
        <f>INDEX(#REF!,MATCH(F3629,#REF!,0),2)</f>
        <v>#REF!</v>
      </c>
      <c r="Q3629" s="43"/>
      <c r="R3629" s="43"/>
      <c r="S3629" s="43"/>
      <c r="T3629" s="43"/>
      <c r="U3629" s="43"/>
      <c r="V3629" s="43"/>
      <c r="W3629" s="43"/>
      <c r="X3629" s="43"/>
      <c r="Y3629" s="43"/>
      <c r="Z3629" s="43"/>
      <c r="AA3629" s="43"/>
      <c r="AB3629" s="43"/>
      <c r="AC3629" s="43"/>
      <c r="AD3629" s="43"/>
      <c r="AE3629" s="43"/>
      <c r="AF3629" s="43"/>
      <c r="AG3629" s="43"/>
      <c r="AH3629" s="4"/>
      <c r="AI3629" s="4"/>
      <c r="AJ3629" s="4"/>
      <c r="AK3629" s="4"/>
      <c r="AL3629" s="4"/>
      <c r="AM3629" s="4"/>
      <c r="AN3629" s="4"/>
      <c r="AO3629" s="4"/>
      <c r="AP3629" s="4"/>
      <c r="AQ3629" s="4"/>
      <c r="AR3629" s="4"/>
      <c r="AS3629" s="4"/>
      <c r="AT3629" s="4"/>
      <c r="AU3629" s="4"/>
      <c r="AV3629" s="4"/>
    </row>
    <row r="3630" spans="1:48" ht="11.45" customHeight="1">
      <c r="A3630" s="1897"/>
      <c r="B3630" s="1882" t="s">
        <v>1249</v>
      </c>
      <c r="C3630" s="1882"/>
      <c r="D3630" s="1935"/>
      <c r="E3630" s="2224" t="s">
        <v>1907</v>
      </c>
      <c r="F3630" s="1936">
        <v>5231</v>
      </c>
      <c r="G3630" s="1886" t="s">
        <v>2971</v>
      </c>
      <c r="H3630" s="1650"/>
      <c r="I3630" s="1650">
        <v>54930</v>
      </c>
      <c r="J3630" s="1651"/>
      <c r="K3630" s="1652"/>
      <c r="L3630" s="1650"/>
      <c r="M3630" s="1650"/>
      <c r="N3630" s="2847"/>
      <c r="O3630" s="86"/>
      <c r="P3630" s="1817" t="e">
        <f>INDEX(#REF!,MATCH(F3630,#REF!,0),2)</f>
        <v>#REF!</v>
      </c>
      <c r="Q3630" s="43"/>
      <c r="R3630" s="43"/>
      <c r="S3630" s="43"/>
      <c r="T3630" s="43"/>
      <c r="U3630" s="43"/>
      <c r="V3630" s="43"/>
      <c r="W3630" s="43"/>
      <c r="X3630" s="43"/>
      <c r="Y3630" s="43"/>
      <c r="Z3630" s="43"/>
      <c r="AA3630" s="43"/>
      <c r="AB3630" s="43"/>
      <c r="AC3630" s="43"/>
      <c r="AD3630" s="43"/>
      <c r="AE3630" s="43"/>
      <c r="AF3630" s="43"/>
      <c r="AG3630" s="43"/>
      <c r="AH3630" s="4"/>
      <c r="AI3630" s="4"/>
      <c r="AJ3630" s="4"/>
      <c r="AK3630" s="4"/>
      <c r="AL3630" s="4"/>
      <c r="AM3630" s="4"/>
      <c r="AN3630" s="4"/>
      <c r="AO3630" s="4"/>
      <c r="AP3630" s="4"/>
      <c r="AQ3630" s="4"/>
      <c r="AR3630" s="4"/>
      <c r="AS3630" s="4"/>
      <c r="AT3630" s="4"/>
      <c r="AU3630" s="4"/>
      <c r="AV3630" s="4"/>
    </row>
    <row r="3631" spans="1:48" ht="23.45" customHeight="1">
      <c r="A3631" s="1897"/>
      <c r="B3631" s="1882" t="s">
        <v>1249</v>
      </c>
      <c r="C3631" s="1882"/>
      <c r="D3631" s="1935"/>
      <c r="E3631" s="2224" t="s">
        <v>1907</v>
      </c>
      <c r="F3631" s="1936">
        <v>5231</v>
      </c>
      <c r="G3631" s="2233" t="s">
        <v>3179</v>
      </c>
      <c r="H3631" s="1650"/>
      <c r="I3631" s="1650">
        <v>-54930</v>
      </c>
      <c r="J3631" s="1651"/>
      <c r="K3631" s="1652"/>
      <c r="L3631" s="1650"/>
      <c r="M3631" s="1650"/>
      <c r="N3631" s="2847"/>
      <c r="O3631" s="86"/>
      <c r="P3631" s="1817" t="e">
        <f>INDEX(#REF!,MATCH(F3631,#REF!,0),2)</f>
        <v>#REF!</v>
      </c>
      <c r="Q3631" s="43"/>
      <c r="R3631" s="43"/>
      <c r="S3631" s="43"/>
      <c r="T3631" s="43"/>
      <c r="U3631" s="43"/>
      <c r="V3631" s="43"/>
      <c r="W3631" s="43"/>
      <c r="X3631" s="43"/>
      <c r="Y3631" s="43"/>
      <c r="Z3631" s="43"/>
      <c r="AA3631" s="43"/>
      <c r="AB3631" s="43"/>
      <c r="AC3631" s="43"/>
      <c r="AD3631" s="43"/>
      <c r="AE3631" s="43"/>
      <c r="AF3631" s="43"/>
      <c r="AG3631" s="43"/>
      <c r="AH3631" s="4"/>
      <c r="AI3631" s="4"/>
      <c r="AJ3631" s="4"/>
      <c r="AK3631" s="4"/>
      <c r="AL3631" s="4"/>
      <c r="AM3631" s="4"/>
      <c r="AN3631" s="4"/>
      <c r="AO3631" s="4"/>
      <c r="AP3631" s="4"/>
      <c r="AQ3631" s="4"/>
      <c r="AR3631" s="4"/>
      <c r="AS3631" s="4"/>
      <c r="AT3631" s="4"/>
      <c r="AU3631" s="4"/>
      <c r="AV3631" s="4"/>
    </row>
    <row r="3632" spans="1:48" ht="14.45" customHeight="1">
      <c r="A3632" s="971"/>
      <c r="B3632" s="506" t="s">
        <v>1249</v>
      </c>
      <c r="C3632" s="506" t="s">
        <v>510</v>
      </c>
      <c r="D3632" s="1589" t="s">
        <v>1907</v>
      </c>
      <c r="E3632" s="2223" t="s">
        <v>1907</v>
      </c>
      <c r="F3632" s="1945">
        <v>5250</v>
      </c>
      <c r="G3632" s="2210" t="s">
        <v>470</v>
      </c>
      <c r="H3632" s="582">
        <v>3146</v>
      </c>
      <c r="I3632" s="723"/>
      <c r="J3632" s="720"/>
      <c r="K3632" s="721"/>
      <c r="L3632" s="582">
        <v>0</v>
      </c>
      <c r="M3632" s="582"/>
      <c r="N3632" s="2847"/>
      <c r="O3632" s="86"/>
      <c r="P3632" s="1817" t="e">
        <f>INDEX(#REF!,MATCH(F3632,#REF!,0),2)</f>
        <v>#REF!</v>
      </c>
      <c r="Q3632" s="43"/>
      <c r="R3632" s="43"/>
      <c r="S3632" s="43"/>
      <c r="T3632" s="43"/>
      <c r="U3632" s="43"/>
      <c r="V3632" s="43"/>
      <c r="W3632" s="43"/>
      <c r="X3632" s="43"/>
      <c r="Y3632" s="43"/>
      <c r="Z3632" s="43"/>
      <c r="AA3632" s="43"/>
      <c r="AB3632" s="43"/>
      <c r="AC3632" s="43"/>
      <c r="AD3632" s="43"/>
      <c r="AE3632" s="43"/>
      <c r="AF3632" s="43"/>
      <c r="AG3632" s="43"/>
      <c r="AH3632" s="4"/>
      <c r="AI3632" s="4"/>
      <c r="AJ3632" s="4"/>
      <c r="AK3632" s="4"/>
      <c r="AL3632" s="4"/>
      <c r="AM3632" s="4"/>
      <c r="AN3632" s="4"/>
      <c r="AO3632" s="4"/>
      <c r="AP3632" s="4"/>
      <c r="AQ3632" s="4"/>
      <c r="AR3632" s="4"/>
      <c r="AS3632" s="4"/>
      <c r="AT3632" s="4"/>
      <c r="AU3632" s="4"/>
      <c r="AV3632" s="4"/>
    </row>
    <row r="3633" spans="1:48" ht="14.45" customHeight="1">
      <c r="A3633" s="1897"/>
      <c r="B3633" s="412" t="s">
        <v>1249</v>
      </c>
      <c r="C3633" s="412" t="s">
        <v>510</v>
      </c>
      <c r="D3633" s="1590" t="s">
        <v>1907</v>
      </c>
      <c r="E3633" s="2224" t="s">
        <v>1907</v>
      </c>
      <c r="F3633" s="1936">
        <v>5250</v>
      </c>
      <c r="G3633" s="1884" t="s">
        <v>3104</v>
      </c>
      <c r="H3633" s="1650"/>
      <c r="I3633" s="1650">
        <v>3146</v>
      </c>
      <c r="J3633" s="1651"/>
      <c r="K3633" s="1652"/>
      <c r="L3633" s="1650"/>
      <c r="M3633" s="2086"/>
      <c r="N3633" s="2847"/>
      <c r="O3633" s="86"/>
      <c r="P3633" s="1817" t="e">
        <f>INDEX(#REF!,MATCH(F3633,#REF!,0),2)</f>
        <v>#REF!</v>
      </c>
      <c r="Q3633" s="43"/>
      <c r="R3633" s="43"/>
      <c r="S3633" s="43"/>
      <c r="T3633" s="43"/>
      <c r="U3633" s="43"/>
      <c r="V3633" s="43"/>
      <c r="W3633" s="43"/>
      <c r="X3633" s="43"/>
      <c r="Y3633" s="43"/>
      <c r="Z3633" s="43"/>
      <c r="AA3633" s="43"/>
      <c r="AB3633" s="43"/>
      <c r="AC3633" s="43"/>
      <c r="AD3633" s="43"/>
      <c r="AE3633" s="43"/>
      <c r="AF3633" s="43"/>
      <c r="AG3633" s="43"/>
      <c r="AH3633" s="4"/>
      <c r="AI3633" s="4"/>
      <c r="AJ3633" s="4"/>
      <c r="AK3633" s="4"/>
      <c r="AL3633" s="4"/>
      <c r="AM3633" s="4"/>
      <c r="AN3633" s="4"/>
      <c r="AO3633" s="4"/>
      <c r="AP3633" s="4"/>
      <c r="AQ3633" s="4"/>
      <c r="AR3633" s="4"/>
      <c r="AS3633" s="4"/>
      <c r="AT3633" s="4"/>
      <c r="AU3633" s="4"/>
      <c r="AV3633" s="4"/>
    </row>
    <row r="3634" spans="1:48" ht="21" customHeight="1">
      <c r="A3634" s="971"/>
      <c r="B3634" s="506" t="s">
        <v>1248</v>
      </c>
      <c r="C3634" s="506" t="s">
        <v>507</v>
      </c>
      <c r="D3634" s="1632" t="s">
        <v>1765</v>
      </c>
      <c r="E3634" s="2232" t="s">
        <v>1926</v>
      </c>
      <c r="F3634" s="540">
        <v>2239</v>
      </c>
      <c r="G3634" s="411" t="s">
        <v>266</v>
      </c>
      <c r="H3634" s="541"/>
      <c r="I3634" s="541"/>
      <c r="J3634" s="541"/>
      <c r="K3634" s="458"/>
      <c r="L3634" s="620"/>
      <c r="M3634" s="620"/>
      <c r="N3634" s="2847"/>
      <c r="O3634" s="86"/>
      <c r="P3634" s="1817" t="e">
        <f>INDEX(#REF!,MATCH(F3634,#REF!,0),2)</f>
        <v>#REF!</v>
      </c>
      <c r="Q3634" s="43"/>
      <c r="R3634" s="43"/>
      <c r="S3634" s="43"/>
      <c r="T3634" s="43"/>
      <c r="U3634" s="43"/>
      <c r="V3634" s="43"/>
      <c r="W3634" s="43"/>
      <c r="X3634" s="43"/>
      <c r="Y3634" s="43"/>
      <c r="Z3634" s="43"/>
      <c r="AA3634" s="43"/>
      <c r="AB3634" s="43"/>
      <c r="AC3634" s="43"/>
      <c r="AD3634" s="43"/>
      <c r="AE3634" s="43"/>
      <c r="AF3634" s="43"/>
      <c r="AG3634" s="43"/>
      <c r="AH3634" s="4"/>
      <c r="AI3634" s="4"/>
      <c r="AJ3634" s="4"/>
      <c r="AK3634" s="4"/>
      <c r="AL3634" s="4"/>
      <c r="AM3634" s="4"/>
      <c r="AN3634" s="4"/>
      <c r="AO3634" s="4"/>
      <c r="AP3634" s="4"/>
      <c r="AQ3634" s="4"/>
      <c r="AR3634" s="4"/>
      <c r="AS3634" s="4"/>
      <c r="AT3634" s="4"/>
      <c r="AU3634" s="4"/>
      <c r="AV3634" s="4"/>
    </row>
    <row r="3635" spans="1:48" ht="11.45" customHeight="1">
      <c r="A3635" s="521"/>
      <c r="B3635" s="412" t="s">
        <v>1248</v>
      </c>
      <c r="C3635" s="412" t="s">
        <v>507</v>
      </c>
      <c r="D3635" s="1590"/>
      <c r="E3635" s="2224" t="s">
        <v>1926</v>
      </c>
      <c r="F3635" s="505">
        <v>2239</v>
      </c>
      <c r="G3635" s="974"/>
      <c r="H3635" s="532"/>
      <c r="I3635" s="532"/>
      <c r="J3635" s="530"/>
      <c r="K3635" s="610"/>
      <c r="L3635" s="530"/>
      <c r="M3635" s="530"/>
      <c r="N3635" s="2847"/>
      <c r="O3635" s="86"/>
      <c r="P3635" s="1817" t="e">
        <f>INDEX(#REF!,MATCH(F3635,#REF!,0),2)</f>
        <v>#REF!</v>
      </c>
      <c r="Q3635" s="4"/>
      <c r="R3635" s="4"/>
      <c r="S3635" s="4"/>
      <c r="T3635" s="4"/>
      <c r="U3635" s="4"/>
      <c r="V3635" s="4"/>
      <c r="W3635" s="4"/>
      <c r="X3635" s="4"/>
      <c r="Y3635" s="4"/>
      <c r="Z3635" s="4"/>
      <c r="AA3635" s="4"/>
      <c r="AB3635" s="4"/>
      <c r="AC3635" s="4"/>
      <c r="AD3635" s="4"/>
      <c r="AE3635" s="4"/>
      <c r="AF3635" s="4"/>
      <c r="AG3635" s="4"/>
      <c r="AH3635" s="4"/>
      <c r="AI3635" s="4"/>
      <c r="AJ3635" s="4"/>
      <c r="AK3635" s="4"/>
      <c r="AL3635" s="4"/>
      <c r="AM3635" s="4"/>
      <c r="AN3635" s="4"/>
      <c r="AO3635" s="4"/>
      <c r="AP3635" s="4"/>
      <c r="AQ3635" s="4"/>
      <c r="AR3635" s="4"/>
      <c r="AS3635" s="4"/>
      <c r="AT3635" s="4"/>
      <c r="AU3635" s="4"/>
      <c r="AV3635" s="4"/>
    </row>
    <row r="3636" spans="1:48" ht="11.45" customHeight="1">
      <c r="A3636" s="1119"/>
      <c r="B3636" s="412" t="s">
        <v>1248</v>
      </c>
      <c r="C3636" s="412" t="s">
        <v>507</v>
      </c>
      <c r="D3636" s="1590"/>
      <c r="E3636" s="2224" t="s">
        <v>1926</v>
      </c>
      <c r="F3636" s="505">
        <v>2239</v>
      </c>
      <c r="G3636" s="1083"/>
      <c r="H3636" s="1081"/>
      <c r="I3636" s="1081"/>
      <c r="J3636" s="1084"/>
      <c r="K3636" s="1073"/>
      <c r="L3636" s="1084"/>
      <c r="M3636" s="1084"/>
      <c r="N3636" s="2847"/>
      <c r="O3636" s="86"/>
      <c r="P3636" s="1817" t="e">
        <f>INDEX(#REF!,MATCH(F3636,#REF!,0),2)</f>
        <v>#REF!</v>
      </c>
      <c r="Q3636" s="4"/>
      <c r="R3636" s="4"/>
      <c r="S3636" s="4"/>
      <c r="T3636" s="4"/>
      <c r="U3636" s="4"/>
      <c r="V3636" s="4"/>
      <c r="W3636" s="4"/>
      <c r="X3636" s="4"/>
      <c r="Y3636" s="4"/>
      <c r="Z3636" s="4"/>
      <c r="AA3636" s="4"/>
      <c r="AB3636" s="4"/>
      <c r="AC3636" s="4"/>
      <c r="AD3636" s="4"/>
      <c r="AE3636" s="4"/>
      <c r="AF3636" s="4"/>
      <c r="AG3636" s="4"/>
      <c r="AH3636" s="4"/>
      <c r="AI3636" s="4"/>
      <c r="AJ3636" s="4"/>
      <c r="AK3636" s="4"/>
      <c r="AL3636" s="4"/>
      <c r="AM3636" s="4"/>
      <c r="AN3636" s="4"/>
      <c r="AO3636" s="4"/>
      <c r="AP3636" s="4"/>
      <c r="AQ3636" s="4"/>
      <c r="AR3636" s="4"/>
      <c r="AS3636" s="4"/>
      <c r="AT3636" s="4"/>
      <c r="AU3636" s="4"/>
      <c r="AV3636" s="4"/>
    </row>
    <row r="3637" spans="1:48" s="1799" customFormat="1" ht="10.15" customHeight="1">
      <c r="A3637" s="971"/>
      <c r="B3637" s="506" t="s">
        <v>1249</v>
      </c>
      <c r="C3637" s="506" t="s">
        <v>510</v>
      </c>
      <c r="D3637" s="1632" t="s">
        <v>1765</v>
      </c>
      <c r="E3637" s="2223" t="s">
        <v>1926</v>
      </c>
      <c r="F3637" s="540">
        <v>2244</v>
      </c>
      <c r="G3637" s="411" t="s">
        <v>469</v>
      </c>
      <c r="H3637" s="582">
        <v>32076</v>
      </c>
      <c r="I3637" s="582"/>
      <c r="J3637" s="582"/>
      <c r="K3637" s="721"/>
      <c r="L3637" s="723">
        <v>78502</v>
      </c>
      <c r="M3637" s="723"/>
      <c r="N3637" s="2847"/>
      <c r="O3637" s="86"/>
      <c r="P3637" s="1817" t="e">
        <f>INDEX(#REF!,MATCH(F3637,#REF!,0),2)</f>
        <v>#REF!</v>
      </c>
      <c r="Q3637" s="1801"/>
      <c r="R3637" s="1801"/>
      <c r="S3637" s="1801"/>
      <c r="T3637" s="1801"/>
      <c r="U3637" s="1801"/>
      <c r="V3637" s="1801"/>
      <c r="W3637" s="1801"/>
      <c r="X3637" s="1801"/>
      <c r="Y3637" s="1801"/>
      <c r="Z3637" s="1801"/>
      <c r="AA3637" s="1801"/>
      <c r="AB3637" s="1801"/>
      <c r="AC3637" s="1801"/>
      <c r="AD3637" s="1801"/>
      <c r="AE3637" s="1801"/>
      <c r="AF3637" s="1801"/>
      <c r="AG3637" s="1801"/>
      <c r="AH3637" s="1801"/>
      <c r="AI3637" s="1801"/>
      <c r="AJ3637" s="1801"/>
      <c r="AK3637" s="1801"/>
      <c r="AL3637" s="1801"/>
      <c r="AM3637" s="1801"/>
      <c r="AN3637" s="1801"/>
      <c r="AO3637" s="1801"/>
      <c r="AP3637" s="1801"/>
      <c r="AQ3637" s="1801"/>
      <c r="AR3637" s="1801"/>
      <c r="AS3637" s="1801"/>
      <c r="AT3637" s="1801"/>
      <c r="AU3637" s="1801"/>
      <c r="AV3637" s="1801"/>
    </row>
    <row r="3638" spans="1:48" ht="11.45" customHeight="1">
      <c r="A3638" s="520" t="s">
        <v>1583</v>
      </c>
      <c r="B3638" s="418" t="s">
        <v>1249</v>
      </c>
      <c r="C3638" s="418" t="s">
        <v>510</v>
      </c>
      <c r="D3638" s="1614"/>
      <c r="E3638" s="2224" t="s">
        <v>1926</v>
      </c>
      <c r="F3638" s="505">
        <v>2244</v>
      </c>
      <c r="G3638" s="410" t="s">
        <v>918</v>
      </c>
      <c r="H3638" s="433"/>
      <c r="I3638" s="433">
        <v>27387</v>
      </c>
      <c r="J3638" s="456"/>
      <c r="K3638" s="421"/>
      <c r="L3638" s="456"/>
      <c r="M3638" s="456">
        <v>27387</v>
      </c>
      <c r="N3638" s="2847"/>
      <c r="O3638" s="86"/>
      <c r="P3638" s="1817" t="e">
        <f>INDEX(#REF!,MATCH(F3638,#REF!,0),2)</f>
        <v>#REF!</v>
      </c>
      <c r="Q3638" s="4"/>
      <c r="R3638" s="4"/>
      <c r="S3638" s="4"/>
      <c r="T3638" s="4"/>
      <c r="U3638" s="4"/>
      <c r="V3638" s="4"/>
      <c r="W3638" s="4"/>
      <c r="X3638" s="4"/>
      <c r="Y3638" s="4"/>
      <c r="Z3638" s="4"/>
      <c r="AA3638" s="4"/>
      <c r="AB3638" s="4"/>
      <c r="AC3638" s="4"/>
      <c r="AD3638" s="4"/>
      <c r="AE3638" s="4"/>
      <c r="AF3638" s="4"/>
      <c r="AG3638" s="4"/>
      <c r="AH3638" s="4"/>
      <c r="AI3638" s="4"/>
      <c r="AJ3638" s="4"/>
      <c r="AK3638" s="4"/>
      <c r="AL3638" s="4"/>
      <c r="AM3638" s="4"/>
      <c r="AN3638" s="4"/>
      <c r="AO3638" s="4"/>
      <c r="AP3638" s="4"/>
      <c r="AQ3638" s="4"/>
      <c r="AR3638" s="4"/>
      <c r="AS3638" s="4"/>
      <c r="AT3638" s="4"/>
      <c r="AU3638" s="4"/>
      <c r="AV3638" s="4"/>
    </row>
    <row r="3639" spans="1:48" ht="11.45" customHeight="1">
      <c r="A3639" s="520"/>
      <c r="B3639" s="418" t="s">
        <v>1249</v>
      </c>
      <c r="C3639" s="418" t="s">
        <v>510</v>
      </c>
      <c r="D3639" s="1614"/>
      <c r="E3639" s="2224" t="s">
        <v>1926</v>
      </c>
      <c r="F3639" s="505">
        <v>2244</v>
      </c>
      <c r="G3639" s="516" t="s">
        <v>1577</v>
      </c>
      <c r="H3639" s="433"/>
      <c r="I3639" s="433"/>
      <c r="J3639" s="456"/>
      <c r="K3639" s="421"/>
      <c r="L3639" s="456"/>
      <c r="M3639" s="456"/>
      <c r="N3639" s="2847"/>
      <c r="O3639" s="86"/>
      <c r="P3639" s="1817" t="e">
        <f>INDEX(#REF!,MATCH(F3639,#REF!,0),2)</f>
        <v>#REF!</v>
      </c>
      <c r="Q3639" s="4"/>
      <c r="R3639" s="4"/>
      <c r="S3639" s="4"/>
      <c r="T3639" s="4"/>
      <c r="U3639" s="4"/>
      <c r="V3639" s="4"/>
      <c r="W3639" s="4"/>
      <c r="X3639" s="4"/>
      <c r="Y3639" s="4"/>
      <c r="Z3639" s="4"/>
      <c r="AA3639" s="4"/>
      <c r="AB3639" s="4"/>
      <c r="AC3639" s="4"/>
      <c r="AD3639" s="4"/>
      <c r="AE3639" s="4"/>
      <c r="AF3639" s="4"/>
      <c r="AG3639" s="4"/>
      <c r="AH3639" s="4"/>
      <c r="AI3639" s="4"/>
      <c r="AJ3639" s="4"/>
      <c r="AK3639" s="4"/>
      <c r="AL3639" s="4"/>
      <c r="AM3639" s="4"/>
      <c r="AN3639" s="4"/>
      <c r="AO3639" s="4"/>
      <c r="AP3639" s="4"/>
      <c r="AQ3639" s="4"/>
      <c r="AR3639" s="4"/>
      <c r="AS3639" s="4"/>
      <c r="AT3639" s="4"/>
      <c r="AU3639" s="4"/>
      <c r="AV3639" s="4"/>
    </row>
    <row r="3640" spans="1:48" ht="19.899999999999999" customHeight="1">
      <c r="A3640" s="1419"/>
      <c r="B3640" s="418" t="s">
        <v>1249</v>
      </c>
      <c r="C3640" s="418" t="s">
        <v>510</v>
      </c>
      <c r="D3640" s="1614"/>
      <c r="E3640" s="2224" t="s">
        <v>1926</v>
      </c>
      <c r="F3640" s="505">
        <v>2244</v>
      </c>
      <c r="G3640" s="1411" t="s">
        <v>1681</v>
      </c>
      <c r="H3640" s="1375"/>
      <c r="I3640" s="1375">
        <v>4689</v>
      </c>
      <c r="J3640" s="1377"/>
      <c r="K3640" s="1380"/>
      <c r="L3640" s="1377"/>
      <c r="M3640" s="1377">
        <v>51115</v>
      </c>
      <c r="N3640" s="2847"/>
      <c r="O3640" s="86"/>
      <c r="P3640" s="1817" t="e">
        <f>INDEX(#REF!,MATCH(F3640,#REF!,0),2)</f>
        <v>#REF!</v>
      </c>
      <c r="Q3640" s="4"/>
      <c r="R3640" s="4"/>
      <c r="S3640" s="4"/>
      <c r="T3640" s="4"/>
      <c r="U3640" s="4"/>
      <c r="V3640" s="4"/>
      <c r="W3640" s="4"/>
      <c r="X3640" s="4"/>
      <c r="Y3640" s="4"/>
      <c r="Z3640" s="4"/>
      <c r="AA3640" s="4"/>
      <c r="AB3640" s="4"/>
      <c r="AC3640" s="4"/>
      <c r="AD3640" s="4"/>
      <c r="AE3640" s="4"/>
      <c r="AF3640" s="4"/>
      <c r="AG3640" s="4"/>
      <c r="AH3640" s="4"/>
      <c r="AI3640" s="4"/>
      <c r="AJ3640" s="4"/>
      <c r="AK3640" s="4"/>
      <c r="AL3640" s="4"/>
      <c r="AM3640" s="4"/>
      <c r="AN3640" s="4"/>
      <c r="AO3640" s="4"/>
      <c r="AP3640" s="4"/>
      <c r="AQ3640" s="4"/>
      <c r="AR3640" s="4"/>
      <c r="AS3640" s="4"/>
      <c r="AT3640" s="4"/>
      <c r="AU3640" s="4"/>
      <c r="AV3640" s="4"/>
    </row>
    <row r="3641" spans="1:48" ht="11.45" customHeight="1">
      <c r="A3641" s="2234"/>
      <c r="B3641" s="418" t="s">
        <v>1249</v>
      </c>
      <c r="C3641" s="418" t="s">
        <v>510</v>
      </c>
      <c r="D3641" s="1614"/>
      <c r="E3641" s="2224" t="s">
        <v>1926</v>
      </c>
      <c r="F3641" s="505">
        <v>2244</v>
      </c>
      <c r="G3641" s="1911" t="s">
        <v>3106</v>
      </c>
      <c r="H3641" s="1650"/>
      <c r="I3641" s="1650"/>
      <c r="J3641" s="1657"/>
      <c r="K3641" s="1652"/>
      <c r="L3641" s="1657"/>
      <c r="M3641" s="1657"/>
      <c r="N3641" s="2847"/>
      <c r="O3641" s="86"/>
      <c r="P3641" s="1817" t="e">
        <f>INDEX(#REF!,MATCH(F3641,#REF!,0),2)</f>
        <v>#REF!</v>
      </c>
      <c r="Q3641" s="43"/>
      <c r="R3641" s="43"/>
      <c r="S3641" s="43"/>
      <c r="T3641" s="43"/>
      <c r="U3641" s="43"/>
      <c r="V3641" s="43"/>
      <c r="W3641" s="43"/>
      <c r="X3641" s="43"/>
      <c r="Y3641" s="43"/>
      <c r="Z3641" s="43"/>
      <c r="AA3641" s="43"/>
      <c r="AB3641" s="43"/>
      <c r="AC3641" s="43"/>
      <c r="AD3641" s="43"/>
      <c r="AE3641" s="43"/>
      <c r="AF3641" s="43"/>
      <c r="AG3641" s="43"/>
      <c r="AH3641" s="43"/>
      <c r="AI3641" s="43"/>
      <c r="AJ3641" s="43"/>
      <c r="AK3641" s="43"/>
      <c r="AL3641" s="43"/>
      <c r="AM3641" s="43"/>
      <c r="AN3641" s="43"/>
      <c r="AO3641" s="43"/>
      <c r="AP3641" s="43"/>
      <c r="AQ3641" s="43"/>
      <c r="AR3641" s="43"/>
      <c r="AS3641" s="43"/>
      <c r="AT3641" s="43"/>
      <c r="AU3641" s="43"/>
      <c r="AV3641" s="43"/>
    </row>
    <row r="3642" spans="1:48" ht="11.45" customHeight="1">
      <c r="A3642" s="2234"/>
      <c r="B3642" s="418" t="s">
        <v>1249</v>
      </c>
      <c r="C3642" s="418" t="s">
        <v>510</v>
      </c>
      <c r="D3642" s="1614"/>
      <c r="E3642" s="2224" t="s">
        <v>1926</v>
      </c>
      <c r="F3642" s="505">
        <v>2244</v>
      </c>
      <c r="G3642" s="1911" t="s">
        <v>3105</v>
      </c>
      <c r="H3642" s="1650"/>
      <c r="I3642" s="1650"/>
      <c r="J3642" s="1657"/>
      <c r="K3642" s="1652"/>
      <c r="L3642" s="1657"/>
      <c r="M3642" s="1657"/>
      <c r="N3642" s="2847"/>
      <c r="O3642" s="86"/>
      <c r="P3642" s="1817" t="e">
        <f>INDEX(#REF!,MATCH(F3642,#REF!,0),2)</f>
        <v>#REF!</v>
      </c>
      <c r="Q3642" s="4"/>
      <c r="R3642" s="4"/>
      <c r="S3642" s="4"/>
      <c r="T3642" s="4"/>
      <c r="U3642" s="4"/>
      <c r="V3642" s="4"/>
      <c r="W3642" s="4"/>
      <c r="X3642" s="4"/>
      <c r="Y3642" s="4"/>
      <c r="Z3642" s="4"/>
      <c r="AA3642" s="4"/>
      <c r="AB3642" s="4"/>
      <c r="AC3642" s="4"/>
      <c r="AD3642" s="4"/>
      <c r="AE3642" s="4"/>
      <c r="AF3642" s="4"/>
      <c r="AG3642" s="4"/>
      <c r="AH3642" s="4"/>
      <c r="AI3642" s="4"/>
      <c r="AJ3642" s="4"/>
      <c r="AK3642" s="4"/>
      <c r="AL3642" s="4"/>
      <c r="AM3642" s="4"/>
      <c r="AN3642" s="4"/>
      <c r="AO3642" s="4"/>
      <c r="AP3642" s="4"/>
      <c r="AQ3642" s="4"/>
      <c r="AR3642" s="4"/>
      <c r="AS3642" s="4"/>
      <c r="AT3642" s="4"/>
      <c r="AU3642" s="4"/>
      <c r="AV3642" s="4"/>
    </row>
    <row r="3643" spans="1:48" ht="18" customHeight="1">
      <c r="A3643" s="971"/>
      <c r="B3643" s="506" t="s">
        <v>1249</v>
      </c>
      <c r="C3643" s="506" t="s">
        <v>510</v>
      </c>
      <c r="D3643" s="1632" t="s">
        <v>1765</v>
      </c>
      <c r="E3643" s="2223" t="s">
        <v>1926</v>
      </c>
      <c r="F3643" s="540">
        <v>2312</v>
      </c>
      <c r="G3643" s="411" t="s">
        <v>249</v>
      </c>
      <c r="H3643" s="541"/>
      <c r="I3643" s="541"/>
      <c r="J3643" s="541"/>
      <c r="K3643" s="458"/>
      <c r="L3643" s="620"/>
      <c r="M3643" s="620"/>
      <c r="N3643" s="2847"/>
      <c r="O3643" s="86"/>
      <c r="P3643" s="1817" t="e">
        <f>INDEX(#REF!,MATCH(F3643,#REF!,0),2)</f>
        <v>#REF!</v>
      </c>
      <c r="Q3643" s="43"/>
      <c r="R3643" s="43"/>
      <c r="S3643" s="43"/>
      <c r="T3643" s="43"/>
      <c r="U3643" s="43"/>
      <c r="V3643" s="43"/>
      <c r="W3643" s="43"/>
      <c r="X3643" s="43"/>
      <c r="Y3643" s="43"/>
      <c r="Z3643" s="43"/>
      <c r="AA3643" s="43"/>
      <c r="AB3643" s="43"/>
      <c r="AC3643" s="43"/>
      <c r="AD3643" s="43"/>
      <c r="AE3643" s="43"/>
      <c r="AF3643" s="43"/>
      <c r="AG3643" s="43"/>
      <c r="AH3643" s="43"/>
      <c r="AI3643" s="43"/>
      <c r="AJ3643" s="43"/>
      <c r="AK3643" s="43"/>
      <c r="AL3643" s="43"/>
      <c r="AM3643" s="43"/>
      <c r="AN3643" s="43"/>
      <c r="AO3643" s="43"/>
      <c r="AP3643" s="43"/>
      <c r="AQ3643" s="43"/>
      <c r="AR3643" s="43"/>
      <c r="AS3643" s="43"/>
      <c r="AT3643" s="43"/>
      <c r="AU3643" s="43"/>
      <c r="AV3643" s="43"/>
    </row>
    <row r="3644" spans="1:48" ht="22.15" customHeight="1">
      <c r="A3644" s="521"/>
      <c r="B3644" s="412" t="s">
        <v>1249</v>
      </c>
      <c r="C3644" s="412" t="s">
        <v>510</v>
      </c>
      <c r="D3644" s="1590"/>
      <c r="E3644" s="2224" t="s">
        <v>1926</v>
      </c>
      <c r="F3644" s="505">
        <v>2312</v>
      </c>
      <c r="G3644" s="416"/>
      <c r="H3644" s="532"/>
      <c r="I3644" s="532"/>
      <c r="J3644" s="530"/>
      <c r="K3644" s="610"/>
      <c r="L3644" s="530"/>
      <c r="M3644" s="530"/>
      <c r="N3644" s="2847"/>
      <c r="O3644" s="86"/>
      <c r="P3644" s="1817" t="e">
        <f>INDEX(#REF!,MATCH(F3644,#REF!,0),2)</f>
        <v>#REF!</v>
      </c>
      <c r="Q3644" s="4"/>
      <c r="R3644" s="4"/>
      <c r="S3644" s="4"/>
      <c r="T3644" s="4"/>
      <c r="U3644" s="4"/>
      <c r="V3644" s="4"/>
      <c r="W3644" s="4"/>
      <c r="X3644" s="4"/>
      <c r="Y3644" s="4"/>
      <c r="Z3644" s="4"/>
      <c r="AA3644" s="4"/>
      <c r="AB3644" s="4"/>
      <c r="AC3644" s="4"/>
      <c r="AD3644" s="4"/>
      <c r="AE3644" s="4"/>
      <c r="AF3644" s="4"/>
      <c r="AG3644" s="4"/>
      <c r="AH3644" s="4"/>
      <c r="AI3644" s="4"/>
      <c r="AJ3644" s="4"/>
      <c r="AK3644" s="4"/>
      <c r="AL3644" s="4"/>
      <c r="AM3644" s="4"/>
      <c r="AN3644" s="4"/>
      <c r="AO3644" s="4"/>
      <c r="AP3644" s="4"/>
      <c r="AQ3644" s="4"/>
      <c r="AR3644" s="4"/>
      <c r="AS3644" s="4"/>
      <c r="AT3644" s="4"/>
      <c r="AU3644" s="4"/>
      <c r="AV3644" s="4"/>
    </row>
    <row r="3645" spans="1:48" ht="18" customHeight="1">
      <c r="A3645" s="2237"/>
      <c r="B3645" s="2238" t="s">
        <v>1248</v>
      </c>
      <c r="C3645" s="2238" t="s">
        <v>507</v>
      </c>
      <c r="D3645" s="2239" t="s">
        <v>1765</v>
      </c>
      <c r="E3645" s="2253" t="s">
        <v>1926</v>
      </c>
      <c r="F3645" s="1945">
        <v>2515</v>
      </c>
      <c r="G3645" s="1946" t="s">
        <v>477</v>
      </c>
      <c r="H3645" s="2240">
        <v>11300</v>
      </c>
      <c r="I3645" s="2241"/>
      <c r="J3645" s="2242"/>
      <c r="K3645" s="2243"/>
      <c r="L3645" s="2241">
        <v>11300</v>
      </c>
      <c r="M3645" s="2241"/>
      <c r="N3645" s="2847"/>
      <c r="O3645" s="86"/>
      <c r="P3645" s="1817" t="e">
        <f>INDEX(#REF!,MATCH(F3645,#REF!,0),2)</f>
        <v>#REF!</v>
      </c>
      <c r="Q3645" s="43"/>
      <c r="R3645" s="43"/>
      <c r="S3645" s="43"/>
      <c r="T3645" s="43"/>
      <c r="U3645" s="43"/>
      <c r="V3645" s="43"/>
      <c r="W3645" s="43"/>
      <c r="X3645" s="43"/>
      <c r="Y3645" s="43"/>
      <c r="Z3645" s="43"/>
      <c r="AA3645" s="43"/>
      <c r="AB3645" s="43"/>
      <c r="AC3645" s="43"/>
      <c r="AD3645" s="43"/>
      <c r="AE3645" s="43"/>
      <c r="AF3645" s="43"/>
      <c r="AG3645" s="43"/>
      <c r="AH3645" s="43"/>
      <c r="AI3645" s="43"/>
      <c r="AJ3645" s="43"/>
      <c r="AK3645" s="43"/>
      <c r="AL3645" s="43"/>
      <c r="AM3645" s="43"/>
      <c r="AN3645" s="43"/>
      <c r="AO3645" s="43"/>
      <c r="AP3645" s="43"/>
      <c r="AQ3645" s="43"/>
      <c r="AR3645" s="43"/>
      <c r="AS3645" s="43"/>
      <c r="AT3645" s="43"/>
      <c r="AU3645" s="43"/>
      <c r="AV3645" s="43"/>
    </row>
    <row r="3646" spans="1:48" ht="22.15" customHeight="1">
      <c r="A3646" s="1897"/>
      <c r="B3646" s="412" t="s">
        <v>1248</v>
      </c>
      <c r="C3646" s="412" t="s">
        <v>507</v>
      </c>
      <c r="D3646" s="1590"/>
      <c r="E3646" s="2229" t="s">
        <v>1926</v>
      </c>
      <c r="F3646" s="1936">
        <v>2515</v>
      </c>
      <c r="G3646" s="2235"/>
      <c r="H3646" s="1744"/>
      <c r="I3646" s="1744"/>
      <c r="J3646" s="1765"/>
      <c r="K3646" s="2236"/>
      <c r="L3646" s="1765"/>
      <c r="M3646" s="1765">
        <v>11300</v>
      </c>
      <c r="N3646" s="2847"/>
      <c r="O3646" s="86"/>
      <c r="P3646" s="1817" t="e">
        <f>INDEX(#REF!,MATCH(F3646,#REF!,0),2)</f>
        <v>#REF!</v>
      </c>
      <c r="Q3646" s="4"/>
      <c r="R3646" s="4"/>
      <c r="S3646" s="4"/>
      <c r="T3646" s="4"/>
      <c r="U3646" s="4"/>
      <c r="V3646" s="4"/>
      <c r="W3646" s="4"/>
      <c r="X3646" s="4"/>
      <c r="Y3646" s="4"/>
      <c r="Z3646" s="4"/>
      <c r="AA3646" s="4"/>
      <c r="AB3646" s="4"/>
      <c r="AC3646" s="4"/>
      <c r="AD3646" s="4"/>
      <c r="AE3646" s="4"/>
      <c r="AF3646" s="4"/>
      <c r="AG3646" s="4"/>
      <c r="AH3646" s="4"/>
      <c r="AI3646" s="4"/>
      <c r="AJ3646" s="4"/>
      <c r="AK3646" s="4"/>
      <c r="AL3646" s="4"/>
      <c r="AM3646" s="4"/>
      <c r="AN3646" s="4"/>
      <c r="AO3646" s="4"/>
      <c r="AP3646" s="4"/>
      <c r="AQ3646" s="4"/>
      <c r="AR3646" s="4"/>
      <c r="AS3646" s="4"/>
      <c r="AT3646" s="4"/>
      <c r="AU3646" s="4"/>
      <c r="AV3646" s="4"/>
    </row>
    <row r="3647" spans="1:48" ht="22.15" customHeight="1">
      <c r="A3647" s="971"/>
      <c r="B3647" s="506" t="s">
        <v>1249</v>
      </c>
      <c r="C3647" s="506" t="s">
        <v>510</v>
      </c>
      <c r="D3647" s="1632" t="s">
        <v>1765</v>
      </c>
      <c r="E3647" s="2223" t="s">
        <v>1926</v>
      </c>
      <c r="F3647" s="507">
        <v>5110</v>
      </c>
      <c r="G3647" s="411" t="s">
        <v>527</v>
      </c>
      <c r="H3647" s="541">
        <v>0</v>
      </c>
      <c r="I3647" s="541"/>
      <c r="J3647" s="541"/>
      <c r="K3647" s="458"/>
      <c r="L3647" s="620">
        <v>181500</v>
      </c>
      <c r="M3647" s="620"/>
      <c r="N3647" s="2847"/>
      <c r="O3647" s="86"/>
      <c r="P3647" s="1817" t="e">
        <f>INDEX(#REF!,MATCH(F3647,#REF!,0),2)</f>
        <v>#REF!</v>
      </c>
      <c r="Q3647" s="4"/>
      <c r="R3647" s="4"/>
      <c r="S3647" s="4"/>
      <c r="T3647" s="4"/>
      <c r="U3647" s="4"/>
      <c r="V3647" s="4"/>
      <c r="W3647" s="4"/>
      <c r="X3647" s="4"/>
      <c r="Y3647" s="4"/>
      <c r="Z3647" s="4"/>
      <c r="AA3647" s="4"/>
      <c r="AB3647" s="4"/>
      <c r="AC3647" s="4"/>
      <c r="AD3647" s="4"/>
      <c r="AE3647" s="4"/>
      <c r="AF3647" s="4"/>
      <c r="AG3647" s="4"/>
      <c r="AH3647" s="4"/>
      <c r="AI3647" s="4"/>
      <c r="AJ3647" s="4"/>
      <c r="AK3647" s="4"/>
      <c r="AL3647" s="4"/>
      <c r="AM3647" s="4"/>
      <c r="AN3647" s="4"/>
      <c r="AO3647" s="4"/>
      <c r="AP3647" s="4"/>
      <c r="AQ3647" s="4"/>
      <c r="AR3647" s="4"/>
      <c r="AS3647" s="4"/>
      <c r="AT3647" s="4"/>
      <c r="AU3647" s="4"/>
      <c r="AV3647" s="4"/>
    </row>
    <row r="3648" spans="1:48" ht="22.9" customHeight="1">
      <c r="A3648" s="521"/>
      <c r="B3648" s="412" t="s">
        <v>1249</v>
      </c>
      <c r="C3648" s="412" t="s">
        <v>510</v>
      </c>
      <c r="D3648" s="1590"/>
      <c r="E3648" s="2224" t="s">
        <v>1926</v>
      </c>
      <c r="F3648" s="734">
        <v>5110</v>
      </c>
      <c r="G3648" s="416" t="s">
        <v>3078</v>
      </c>
      <c r="H3648" s="532"/>
      <c r="I3648" s="532"/>
      <c r="J3648" s="530"/>
      <c r="K3648" s="610"/>
      <c r="L3648" s="530"/>
      <c r="M3648" s="530">
        <v>181500</v>
      </c>
      <c r="N3648" s="2847"/>
      <c r="O3648" s="86"/>
      <c r="P3648" s="1817" t="e">
        <f>INDEX(#REF!,MATCH(F3648,#REF!,0),2)</f>
        <v>#REF!</v>
      </c>
    </row>
    <row r="3649" spans="1:48" ht="22.9" customHeight="1">
      <c r="A3649" s="971"/>
      <c r="B3649" s="506" t="s">
        <v>1249</v>
      </c>
      <c r="C3649" s="506" t="s">
        <v>510</v>
      </c>
      <c r="D3649" s="1632" t="s">
        <v>1765</v>
      </c>
      <c r="E3649" s="2223" t="s">
        <v>1926</v>
      </c>
      <c r="F3649" s="540">
        <v>5218</v>
      </c>
      <c r="G3649" s="411" t="s">
        <v>480</v>
      </c>
      <c r="H3649" s="541"/>
      <c r="I3649" s="541"/>
      <c r="J3649" s="541"/>
      <c r="K3649" s="458"/>
      <c r="L3649" s="620"/>
      <c r="M3649" s="620"/>
      <c r="N3649" s="2847"/>
      <c r="O3649" s="86"/>
      <c r="P3649" s="1817" t="e">
        <f>INDEX(#REF!,MATCH(F3649,#REF!,0),2)</f>
        <v>#REF!</v>
      </c>
    </row>
    <row r="3650" spans="1:48" ht="13.15" customHeight="1">
      <c r="A3650" s="521"/>
      <c r="B3650" s="412" t="s">
        <v>1249</v>
      </c>
      <c r="C3650" s="412" t="s">
        <v>510</v>
      </c>
      <c r="D3650" s="1590"/>
      <c r="E3650" s="2224" t="s">
        <v>1926</v>
      </c>
      <c r="F3650" s="505">
        <v>5218</v>
      </c>
      <c r="G3650" s="514" t="s">
        <v>299</v>
      </c>
      <c r="H3650" s="532"/>
      <c r="I3650" s="532"/>
      <c r="J3650" s="530"/>
      <c r="K3650" s="610"/>
      <c r="L3650" s="530"/>
      <c r="M3650" s="530"/>
      <c r="N3650" s="2847"/>
      <c r="O3650" s="86"/>
      <c r="P3650" s="1817" t="e">
        <f>INDEX(#REF!,MATCH(F3650,#REF!,0),2)</f>
        <v>#REF!</v>
      </c>
    </row>
    <row r="3651" spans="1:48" ht="11.45" customHeight="1">
      <c r="A3651" s="971"/>
      <c r="B3651" s="506" t="s">
        <v>1249</v>
      </c>
      <c r="C3651" s="506" t="s">
        <v>510</v>
      </c>
      <c r="D3651" s="1632" t="s">
        <v>1765</v>
      </c>
      <c r="E3651" s="2223" t="s">
        <v>1926</v>
      </c>
      <c r="F3651" s="540">
        <v>5240</v>
      </c>
      <c r="G3651" s="411" t="s">
        <v>293</v>
      </c>
      <c r="H3651" s="541">
        <v>131408</v>
      </c>
      <c r="I3651" s="541"/>
      <c r="J3651" s="541"/>
      <c r="K3651" s="458"/>
      <c r="L3651" s="620">
        <v>0</v>
      </c>
      <c r="M3651" s="620"/>
      <c r="N3651" s="2847"/>
      <c r="O3651" s="86"/>
      <c r="P3651" s="1817" t="e">
        <f>INDEX(#REF!,MATCH(F3651,#REF!,0),2)</f>
        <v>#REF!</v>
      </c>
      <c r="Q3651" s="43"/>
      <c r="R3651" s="43"/>
      <c r="S3651" s="43"/>
      <c r="T3651" s="43"/>
      <c r="U3651" s="43"/>
      <c r="V3651" s="43"/>
      <c r="W3651" s="43"/>
      <c r="X3651" s="43"/>
      <c r="Y3651" s="43"/>
      <c r="Z3651" s="43"/>
      <c r="AA3651" s="43"/>
      <c r="AB3651" s="43"/>
      <c r="AC3651" s="43"/>
      <c r="AD3651" s="43"/>
      <c r="AE3651" s="43"/>
      <c r="AF3651" s="43"/>
      <c r="AG3651" s="43"/>
      <c r="AH3651" s="43"/>
      <c r="AI3651" s="43"/>
      <c r="AJ3651" s="43"/>
      <c r="AK3651" s="43"/>
      <c r="AL3651" s="43"/>
      <c r="AM3651" s="43"/>
      <c r="AN3651" s="43"/>
      <c r="AO3651" s="43"/>
      <c r="AP3651" s="43"/>
      <c r="AQ3651" s="43"/>
      <c r="AR3651" s="43"/>
      <c r="AS3651" s="43"/>
      <c r="AT3651" s="43"/>
      <c r="AU3651" s="43"/>
      <c r="AV3651" s="43"/>
    </row>
    <row r="3652" spans="1:48" ht="13.9" customHeight="1">
      <c r="A3652" s="521" t="s">
        <v>1583</v>
      </c>
      <c r="B3652" s="412" t="s">
        <v>1249</v>
      </c>
      <c r="C3652" s="412" t="s">
        <v>510</v>
      </c>
      <c r="D3652" s="1590"/>
      <c r="E3652" s="2224" t="s">
        <v>1926</v>
      </c>
      <c r="F3652" s="505">
        <v>5240</v>
      </c>
      <c r="G3652" s="416" t="s">
        <v>1683</v>
      </c>
      <c r="H3652" s="532"/>
      <c r="I3652" s="532">
        <v>131408</v>
      </c>
      <c r="J3652" s="530"/>
      <c r="K3652" s="458"/>
      <c r="L3652" s="530"/>
      <c r="M3652" s="530"/>
      <c r="N3652" s="2847"/>
      <c r="O3652" s="86"/>
      <c r="P3652" s="1817" t="e">
        <f>INDEX(#REF!,MATCH(F3652,#REF!,0),2)</f>
        <v>#REF!</v>
      </c>
      <c r="Q3652" s="4"/>
      <c r="R3652" s="4"/>
      <c r="S3652" s="4"/>
      <c r="T3652" s="4"/>
      <c r="U3652" s="4"/>
      <c r="V3652" s="4"/>
      <c r="W3652" s="4"/>
      <c r="X3652" s="4"/>
      <c r="Y3652" s="4"/>
      <c r="Z3652" s="4"/>
      <c r="AA3652" s="4"/>
      <c r="AB3652" s="4"/>
      <c r="AC3652" s="4"/>
      <c r="AD3652" s="4"/>
      <c r="AE3652" s="4"/>
      <c r="AF3652" s="4"/>
      <c r="AG3652" s="4"/>
      <c r="AH3652" s="4"/>
      <c r="AI3652" s="4"/>
      <c r="AJ3652" s="4"/>
      <c r="AK3652" s="4"/>
      <c r="AL3652" s="4"/>
      <c r="AM3652" s="4"/>
      <c r="AN3652" s="4"/>
      <c r="AO3652" s="4"/>
      <c r="AP3652" s="4"/>
      <c r="AQ3652" s="4"/>
      <c r="AR3652" s="4"/>
      <c r="AS3652" s="4"/>
      <c r="AT3652" s="4"/>
      <c r="AU3652" s="4"/>
      <c r="AV3652" s="4"/>
    </row>
    <row r="3653" spans="1:48" ht="38.450000000000003" customHeight="1">
      <c r="A3653" s="971"/>
      <c r="B3653" s="506" t="s">
        <v>1249</v>
      </c>
      <c r="C3653" s="506" t="s">
        <v>510</v>
      </c>
      <c r="D3653" s="1632" t="s">
        <v>1765</v>
      </c>
      <c r="E3653" s="2223" t="s">
        <v>1926</v>
      </c>
      <c r="F3653" s="540">
        <v>7230</v>
      </c>
      <c r="G3653" s="411" t="s">
        <v>1848</v>
      </c>
      <c r="H3653" s="541">
        <v>15460</v>
      </c>
      <c r="I3653" s="541"/>
      <c r="J3653" s="541"/>
      <c r="K3653" s="458"/>
      <c r="L3653" s="620">
        <v>0</v>
      </c>
      <c r="M3653" s="620"/>
      <c r="N3653" s="2847"/>
      <c r="O3653" s="86"/>
      <c r="P3653" s="1817" t="e">
        <f>INDEX(#REF!,MATCH(F3653,#REF!,0),2)</f>
        <v>#REF!</v>
      </c>
      <c r="Q3653" s="4"/>
      <c r="R3653" s="4"/>
      <c r="S3653" s="4"/>
      <c r="T3653" s="4"/>
      <c r="U3653" s="4"/>
      <c r="V3653" s="4"/>
      <c r="W3653" s="4"/>
      <c r="X3653" s="4"/>
      <c r="Y3653" s="4"/>
      <c r="Z3653" s="4"/>
      <c r="AA3653" s="4"/>
      <c r="AB3653" s="4"/>
      <c r="AC3653" s="4"/>
      <c r="AD3653" s="4"/>
      <c r="AE3653" s="4"/>
      <c r="AF3653" s="4"/>
      <c r="AG3653" s="4"/>
      <c r="AH3653" s="4"/>
      <c r="AI3653" s="4"/>
      <c r="AJ3653" s="4"/>
      <c r="AK3653" s="4"/>
      <c r="AL3653" s="4"/>
      <c r="AM3653" s="4"/>
      <c r="AN3653" s="4"/>
      <c r="AO3653" s="4"/>
      <c r="AP3653" s="4"/>
      <c r="AQ3653" s="4"/>
      <c r="AR3653" s="4"/>
      <c r="AS3653" s="4"/>
      <c r="AT3653" s="4"/>
      <c r="AU3653" s="4"/>
      <c r="AV3653" s="4"/>
    </row>
    <row r="3654" spans="1:48" ht="20.45" customHeight="1">
      <c r="A3654" s="521" t="s">
        <v>1583</v>
      </c>
      <c r="B3654" s="412" t="s">
        <v>1249</v>
      </c>
      <c r="C3654" s="412" t="s">
        <v>510</v>
      </c>
      <c r="D3654" s="1590"/>
      <c r="E3654" s="2224" t="s">
        <v>1926</v>
      </c>
      <c r="F3654" s="505">
        <v>7230</v>
      </c>
      <c r="G3654" s="416" t="s">
        <v>1972</v>
      </c>
      <c r="H3654" s="532"/>
      <c r="I3654" s="532">
        <v>9000</v>
      </c>
      <c r="J3654" s="530"/>
      <c r="K3654" s="458"/>
      <c r="L3654" s="530"/>
      <c r="M3654" s="530"/>
      <c r="N3654" s="2847"/>
      <c r="O3654" s="86"/>
      <c r="P3654" s="1817" t="e">
        <f>INDEX(#REF!,MATCH(F3654,#REF!,0),2)</f>
        <v>#REF!</v>
      </c>
      <c r="Q3654" s="4"/>
      <c r="R3654" s="4"/>
      <c r="S3654" s="4"/>
      <c r="T3654" s="4"/>
      <c r="U3654" s="4"/>
      <c r="V3654" s="4"/>
      <c r="W3654" s="4"/>
      <c r="X3654" s="4"/>
      <c r="Y3654" s="4"/>
      <c r="Z3654" s="4"/>
      <c r="AA3654" s="4"/>
      <c r="AB3654" s="4"/>
      <c r="AC3654" s="4"/>
      <c r="AD3654" s="4"/>
      <c r="AE3654" s="4"/>
      <c r="AF3654" s="4"/>
      <c r="AG3654" s="4"/>
      <c r="AH3654" s="4"/>
      <c r="AI3654" s="4"/>
      <c r="AJ3654" s="4"/>
      <c r="AK3654" s="4"/>
      <c r="AL3654" s="4"/>
      <c r="AM3654" s="4"/>
      <c r="AN3654" s="4"/>
      <c r="AO3654" s="4"/>
      <c r="AP3654" s="4"/>
      <c r="AQ3654" s="4"/>
      <c r="AR3654" s="4"/>
      <c r="AS3654" s="4"/>
      <c r="AT3654" s="4"/>
      <c r="AU3654" s="4"/>
      <c r="AV3654" s="4"/>
    </row>
    <row r="3655" spans="1:48" ht="20.45" customHeight="1">
      <c r="A3655" s="521" t="s">
        <v>1583</v>
      </c>
      <c r="B3655" s="412" t="s">
        <v>1249</v>
      </c>
      <c r="C3655" s="412" t="s">
        <v>510</v>
      </c>
      <c r="D3655" s="1590"/>
      <c r="E3655" s="2224" t="s">
        <v>1926</v>
      </c>
      <c r="F3655" s="505">
        <v>7230</v>
      </c>
      <c r="G3655" s="416" t="s">
        <v>1971</v>
      </c>
      <c r="H3655" s="532"/>
      <c r="I3655" s="532">
        <v>6460</v>
      </c>
      <c r="J3655" s="530"/>
      <c r="K3655" s="458"/>
      <c r="L3655" s="530"/>
      <c r="M3655" s="530"/>
      <c r="N3655" s="2847"/>
      <c r="O3655" s="86"/>
      <c r="P3655" s="1817" t="e">
        <f>INDEX(#REF!,MATCH(F3655,#REF!,0),2)</f>
        <v>#REF!</v>
      </c>
      <c r="Q3655" s="4"/>
      <c r="R3655" s="4"/>
      <c r="S3655" s="4"/>
      <c r="T3655" s="4"/>
      <c r="U3655" s="4"/>
      <c r="V3655" s="4"/>
      <c r="W3655" s="4"/>
      <c r="X3655" s="4"/>
      <c r="Y3655" s="4"/>
      <c r="Z3655" s="4"/>
      <c r="AA3655" s="4"/>
      <c r="AB3655" s="4"/>
      <c r="AC3655" s="4"/>
      <c r="AD3655" s="4"/>
      <c r="AE3655" s="4"/>
      <c r="AF3655" s="4"/>
      <c r="AG3655" s="4"/>
      <c r="AH3655" s="4"/>
      <c r="AI3655" s="4"/>
      <c r="AJ3655" s="4"/>
      <c r="AK3655" s="4"/>
      <c r="AL3655" s="4"/>
      <c r="AM3655" s="4"/>
      <c r="AN3655" s="4"/>
      <c r="AO3655" s="4"/>
      <c r="AP3655" s="4"/>
      <c r="AQ3655" s="4"/>
      <c r="AR3655" s="4"/>
      <c r="AS3655" s="4"/>
      <c r="AT3655" s="4"/>
      <c r="AU3655" s="4"/>
      <c r="AV3655" s="4"/>
    </row>
    <row r="3656" spans="1:48" ht="20.45" customHeight="1">
      <c r="A3656" s="506"/>
      <c r="B3656" s="506" t="s">
        <v>512</v>
      </c>
      <c r="C3656" s="506" t="s">
        <v>507</v>
      </c>
      <c r="D3656" s="1632" t="s">
        <v>1770</v>
      </c>
      <c r="E3656" s="2223" t="s">
        <v>2033</v>
      </c>
      <c r="F3656" s="540">
        <v>7230</v>
      </c>
      <c r="G3656" s="411" t="s">
        <v>1848</v>
      </c>
      <c r="H3656" s="541">
        <v>381661</v>
      </c>
      <c r="I3656" s="541"/>
      <c r="J3656" s="542"/>
      <c r="K3656" s="458"/>
      <c r="L3656" s="541">
        <v>381661</v>
      </c>
      <c r="M3656" s="541"/>
      <c r="N3656" s="2847"/>
      <c r="O3656" s="86"/>
      <c r="P3656" s="1817" t="e">
        <f>INDEX(#REF!,MATCH(F3656,#REF!,0),2)</f>
        <v>#REF!</v>
      </c>
      <c r="Q3656" s="4"/>
      <c r="R3656" s="4"/>
      <c r="S3656" s="4"/>
      <c r="T3656" s="4"/>
      <c r="U3656" s="4"/>
      <c r="V3656" s="4"/>
      <c r="W3656" s="4"/>
      <c r="X3656" s="4"/>
      <c r="Y3656" s="4"/>
      <c r="Z3656" s="4"/>
      <c r="AA3656" s="4"/>
      <c r="AB3656" s="4"/>
      <c r="AC3656" s="4"/>
      <c r="AD3656" s="4"/>
      <c r="AE3656" s="4"/>
      <c r="AF3656" s="4"/>
      <c r="AG3656" s="4"/>
      <c r="AH3656" s="4"/>
      <c r="AI3656" s="4"/>
      <c r="AJ3656" s="4"/>
      <c r="AK3656" s="4"/>
      <c r="AL3656" s="4"/>
      <c r="AM3656" s="4"/>
      <c r="AN3656" s="4"/>
      <c r="AO3656" s="4"/>
      <c r="AP3656" s="4"/>
      <c r="AQ3656" s="4"/>
      <c r="AR3656" s="4"/>
      <c r="AS3656" s="4"/>
      <c r="AT3656" s="4"/>
      <c r="AU3656" s="4"/>
      <c r="AV3656" s="4"/>
    </row>
    <row r="3657" spans="1:48" ht="19.899999999999999" customHeight="1">
      <c r="A3657" s="412"/>
      <c r="B3657" s="412" t="s">
        <v>512</v>
      </c>
      <c r="C3657" s="412" t="s">
        <v>507</v>
      </c>
      <c r="D3657" s="1590"/>
      <c r="E3657" s="2224" t="s">
        <v>2033</v>
      </c>
      <c r="F3657" s="505">
        <v>7230</v>
      </c>
      <c r="G3657" s="416" t="s">
        <v>2034</v>
      </c>
      <c r="H3657" s="732"/>
      <c r="I3657" s="733">
        <v>381661</v>
      </c>
      <c r="J3657" s="735"/>
      <c r="K3657" s="731"/>
      <c r="L3657" s="4049"/>
      <c r="M3657" s="4048">
        <v>381661</v>
      </c>
      <c r="N3657" s="2847"/>
      <c r="O3657" s="86"/>
      <c r="P3657" s="1817" t="e">
        <f>INDEX(#REF!,MATCH(F3657,#REF!,0),2)</f>
        <v>#REF!</v>
      </c>
      <c r="Q3657" s="43"/>
      <c r="R3657" s="43"/>
      <c r="S3657" s="43"/>
      <c r="T3657" s="43"/>
      <c r="U3657" s="43"/>
      <c r="V3657" s="43"/>
      <c r="W3657" s="43"/>
      <c r="X3657" s="43"/>
      <c r="Y3657" s="43"/>
      <c r="Z3657" s="43"/>
      <c r="AA3657" s="43"/>
      <c r="AB3657" s="43"/>
      <c r="AC3657" s="43"/>
      <c r="AD3657" s="43"/>
      <c r="AE3657" s="43"/>
      <c r="AF3657" s="43"/>
      <c r="AG3657" s="43"/>
      <c r="AH3657" s="4"/>
      <c r="AI3657" s="4"/>
      <c r="AJ3657" s="4"/>
      <c r="AK3657" s="4"/>
      <c r="AL3657" s="4"/>
      <c r="AM3657" s="4"/>
      <c r="AN3657" s="4"/>
      <c r="AO3657" s="4"/>
      <c r="AP3657" s="4"/>
      <c r="AQ3657" s="4"/>
      <c r="AR3657" s="4"/>
      <c r="AS3657" s="4"/>
      <c r="AT3657" s="4"/>
      <c r="AU3657" s="4"/>
      <c r="AV3657" s="4"/>
    </row>
    <row r="3658" spans="1:48" ht="20.45" customHeight="1">
      <c r="A3658" s="412"/>
      <c r="B3658" s="412" t="s">
        <v>512</v>
      </c>
      <c r="C3658" s="412" t="s">
        <v>507</v>
      </c>
      <c r="D3658" s="1590"/>
      <c r="E3658" s="2224" t="s">
        <v>2033</v>
      </c>
      <c r="F3658" s="505">
        <v>7230</v>
      </c>
      <c r="G3658" s="416" t="s">
        <v>3192</v>
      </c>
      <c r="H3658" s="732"/>
      <c r="I3658" s="733"/>
      <c r="J3658" s="735"/>
      <c r="K3658" s="731"/>
      <c r="L3658" s="732"/>
      <c r="M3658" s="2475"/>
      <c r="N3658" s="2847"/>
      <c r="O3658" s="86"/>
      <c r="P3658" s="1817" t="e">
        <f>INDEX(#REF!,MATCH(F3658,#REF!,0),2)</f>
        <v>#REF!</v>
      </c>
      <c r="Q3658" s="4"/>
      <c r="R3658" s="4"/>
      <c r="S3658" s="4"/>
      <c r="T3658" s="4"/>
      <c r="U3658" s="4"/>
      <c r="V3658" s="4"/>
      <c r="W3658" s="4"/>
      <c r="X3658" s="4"/>
      <c r="Y3658" s="4"/>
      <c r="Z3658" s="4"/>
      <c r="AA3658" s="4"/>
      <c r="AB3658" s="4"/>
      <c r="AC3658" s="4"/>
      <c r="AD3658" s="4"/>
      <c r="AE3658" s="4"/>
      <c r="AF3658" s="4"/>
      <c r="AG3658" s="4"/>
      <c r="AH3658" s="4"/>
      <c r="AI3658" s="4"/>
      <c r="AJ3658" s="4"/>
      <c r="AK3658" s="4"/>
      <c r="AL3658" s="4"/>
      <c r="AM3658" s="4"/>
      <c r="AN3658" s="4"/>
      <c r="AO3658" s="4"/>
      <c r="AP3658" s="4"/>
      <c r="AQ3658" s="4"/>
      <c r="AR3658" s="4"/>
      <c r="AS3658" s="4"/>
      <c r="AT3658" s="4"/>
      <c r="AU3658" s="4"/>
      <c r="AV3658" s="4"/>
    </row>
    <row r="3659" spans="1:48" ht="15.75" customHeight="1">
      <c r="A3659" s="506"/>
      <c r="B3659" s="506" t="s">
        <v>663</v>
      </c>
      <c r="C3659" s="506" t="s">
        <v>652</v>
      </c>
      <c r="D3659" s="1632" t="s">
        <v>494</v>
      </c>
      <c r="E3659" s="2257" t="s">
        <v>2448</v>
      </c>
      <c r="F3659" s="540">
        <v>1119</v>
      </c>
      <c r="G3659" s="411" t="s">
        <v>396</v>
      </c>
      <c r="H3659" s="2838">
        <v>146520</v>
      </c>
      <c r="I3659" s="2842"/>
      <c r="J3659" s="2840"/>
      <c r="K3659" s="2816"/>
      <c r="L3659" s="2818">
        <v>226365.69600000003</v>
      </c>
      <c r="M3659" s="2818"/>
      <c r="N3659" s="2847"/>
      <c r="O3659" s="86"/>
      <c r="P3659" s="1817" t="e">
        <f>INDEX(#REF!,MATCH(F3659,#REF!,0),2)</f>
        <v>#REF!</v>
      </c>
      <c r="Q3659" s="43"/>
      <c r="R3659" s="43"/>
      <c r="S3659" s="43"/>
      <c r="T3659" s="43"/>
      <c r="U3659" s="43"/>
      <c r="V3659" s="43"/>
      <c r="W3659" s="43"/>
      <c r="X3659" s="43"/>
      <c r="Y3659" s="43"/>
      <c r="Z3659" s="43"/>
      <c r="AA3659" s="43"/>
      <c r="AB3659" s="43"/>
      <c r="AC3659" s="43"/>
      <c r="AD3659" s="43"/>
      <c r="AE3659" s="43"/>
      <c r="AF3659" s="43"/>
      <c r="AG3659" s="43"/>
      <c r="AH3659" s="4"/>
      <c r="AI3659" s="4"/>
      <c r="AJ3659" s="4"/>
      <c r="AK3659" s="4"/>
      <c r="AL3659" s="4"/>
      <c r="AM3659" s="4"/>
      <c r="AN3659" s="4"/>
      <c r="AO3659" s="4"/>
      <c r="AP3659" s="4"/>
      <c r="AQ3659" s="4"/>
      <c r="AR3659" s="4"/>
      <c r="AS3659" s="4"/>
      <c r="AT3659" s="4"/>
      <c r="AU3659" s="4"/>
      <c r="AV3659" s="4"/>
    </row>
    <row r="3660" spans="1:48" ht="15.75" customHeight="1">
      <c r="A3660" s="412"/>
      <c r="B3660" s="412" t="s">
        <v>663</v>
      </c>
      <c r="C3660" s="412" t="s">
        <v>652</v>
      </c>
      <c r="D3660" s="1590"/>
      <c r="E3660" s="2224" t="s">
        <v>2448</v>
      </c>
      <c r="F3660" s="505">
        <v>1119</v>
      </c>
      <c r="G3660" s="516" t="s">
        <v>663</v>
      </c>
      <c r="H3660" s="2822"/>
      <c r="I3660" s="2779">
        <v>161458</v>
      </c>
      <c r="J3660" s="2776"/>
      <c r="K3660" s="2821"/>
      <c r="L3660" s="2800"/>
      <c r="M3660" s="2800">
        <v>226365.69600000003</v>
      </c>
      <c r="N3660" s="2847"/>
      <c r="O3660" s="86"/>
      <c r="P3660" s="1817"/>
      <c r="Q3660" s="4"/>
      <c r="R3660" s="4"/>
      <c r="S3660" s="4"/>
      <c r="T3660" s="4"/>
      <c r="U3660" s="4"/>
      <c r="V3660" s="4"/>
      <c r="W3660" s="4"/>
      <c r="X3660" s="4"/>
      <c r="Y3660" s="4"/>
      <c r="Z3660" s="4"/>
      <c r="AA3660" s="4"/>
      <c r="AB3660" s="4"/>
      <c r="AC3660" s="4"/>
      <c r="AD3660" s="4"/>
      <c r="AE3660" s="4"/>
      <c r="AF3660" s="4"/>
      <c r="AG3660" s="4"/>
      <c r="AH3660" s="4"/>
      <c r="AI3660" s="4"/>
      <c r="AJ3660" s="4"/>
      <c r="AK3660" s="4"/>
      <c r="AL3660" s="4"/>
      <c r="AM3660" s="4"/>
      <c r="AN3660" s="4"/>
      <c r="AO3660" s="4"/>
      <c r="AP3660" s="4"/>
      <c r="AQ3660" s="4"/>
      <c r="AR3660" s="4"/>
      <c r="AS3660" s="4"/>
      <c r="AT3660" s="4"/>
      <c r="AU3660" s="4"/>
      <c r="AV3660" s="4"/>
    </row>
    <row r="3661" spans="1:48" ht="10.9" customHeight="1">
      <c r="A3661" s="412"/>
      <c r="B3661" s="412" t="s">
        <v>663</v>
      </c>
      <c r="C3661" s="412" t="s">
        <v>652</v>
      </c>
      <c r="D3661" s="1590"/>
      <c r="E3661" s="2224" t="s">
        <v>2448</v>
      </c>
      <c r="F3661" s="505">
        <v>1119</v>
      </c>
      <c r="G3661" s="516" t="s">
        <v>1860</v>
      </c>
      <c r="H3661" s="2822"/>
      <c r="I3661" s="2779"/>
      <c r="J3661" s="2776"/>
      <c r="K3661" s="2821"/>
      <c r="L3661" s="2800"/>
      <c r="M3661" s="2800"/>
      <c r="N3661" s="2847"/>
      <c r="O3661" s="86"/>
      <c r="P3661" s="1817" t="e">
        <f>INDEX(#REF!,MATCH(F3661,#REF!,0),2)</f>
        <v>#REF!</v>
      </c>
      <c r="Q3661" s="4"/>
      <c r="R3661" s="4"/>
      <c r="S3661" s="4"/>
      <c r="T3661" s="4"/>
      <c r="U3661" s="4"/>
      <c r="V3661" s="4"/>
      <c r="W3661" s="4"/>
      <c r="X3661" s="4"/>
      <c r="Y3661" s="4"/>
      <c r="Z3661" s="4"/>
      <c r="AA3661" s="4"/>
      <c r="AB3661" s="4"/>
      <c r="AC3661" s="4"/>
      <c r="AD3661" s="4"/>
      <c r="AE3661" s="4"/>
      <c r="AF3661" s="4"/>
      <c r="AG3661" s="4"/>
      <c r="AH3661" s="4"/>
      <c r="AI3661" s="4"/>
      <c r="AJ3661" s="4"/>
      <c r="AK3661" s="4"/>
      <c r="AL3661" s="4"/>
      <c r="AM3661" s="4"/>
      <c r="AN3661" s="4"/>
      <c r="AO3661" s="4"/>
      <c r="AP3661" s="4"/>
      <c r="AQ3661" s="4"/>
      <c r="AR3661" s="4"/>
      <c r="AS3661" s="4"/>
      <c r="AT3661" s="4"/>
      <c r="AU3661" s="4"/>
      <c r="AV3661" s="4"/>
    </row>
    <row r="3662" spans="1:48" ht="15.75" customHeight="1">
      <c r="A3662" s="412"/>
      <c r="B3662" s="412" t="s">
        <v>663</v>
      </c>
      <c r="C3662" s="412" t="s">
        <v>652</v>
      </c>
      <c r="D3662" s="1590"/>
      <c r="E3662" s="2224" t="s">
        <v>2448</v>
      </c>
      <c r="F3662" s="505">
        <v>1119</v>
      </c>
      <c r="G3662" s="562" t="s">
        <v>3173</v>
      </c>
      <c r="H3662" s="2822"/>
      <c r="I3662" s="3513">
        <v>-1089</v>
      </c>
      <c r="J3662" s="2776"/>
      <c r="K3662" s="2821"/>
      <c r="L3662" s="2800"/>
      <c r="M3662" s="2800"/>
      <c r="N3662" s="2847"/>
      <c r="O3662" s="86"/>
      <c r="P3662" s="1817" t="e">
        <f>INDEX(#REF!,MATCH(F3662,#REF!,0),2)</f>
        <v>#REF!</v>
      </c>
      <c r="Q3662" s="43"/>
      <c r="R3662" s="43"/>
      <c r="S3662" s="43"/>
      <c r="T3662" s="43"/>
      <c r="U3662" s="43"/>
      <c r="V3662" s="43"/>
      <c r="W3662" s="43"/>
      <c r="X3662" s="43"/>
      <c r="Y3662" s="43"/>
      <c r="Z3662" s="43"/>
      <c r="AA3662" s="43"/>
      <c r="AB3662" s="43"/>
      <c r="AC3662" s="43"/>
      <c r="AD3662" s="43"/>
      <c r="AE3662" s="43"/>
      <c r="AF3662" s="43"/>
      <c r="AG3662" s="43"/>
      <c r="AH3662" s="43"/>
      <c r="AI3662" s="43"/>
      <c r="AJ3662" s="43"/>
      <c r="AK3662" s="43"/>
      <c r="AL3662" s="43"/>
      <c r="AM3662" s="43"/>
      <c r="AN3662" s="43"/>
      <c r="AO3662" s="43"/>
      <c r="AP3662" s="43"/>
      <c r="AQ3662" s="43"/>
      <c r="AR3662" s="43"/>
      <c r="AS3662" s="43"/>
      <c r="AT3662" s="43"/>
      <c r="AU3662" s="43"/>
      <c r="AV3662" s="43"/>
    </row>
    <row r="3663" spans="1:48" ht="32.450000000000003" customHeight="1">
      <c r="A3663" s="1465"/>
      <c r="B3663" s="412" t="s">
        <v>663</v>
      </c>
      <c r="C3663" s="412" t="s">
        <v>652</v>
      </c>
      <c r="D3663" s="1590"/>
      <c r="E3663" s="2224" t="s">
        <v>2448</v>
      </c>
      <c r="F3663" s="505">
        <v>1119</v>
      </c>
      <c r="G3663" s="1913" t="s">
        <v>3201</v>
      </c>
      <c r="H3663" s="2822"/>
      <c r="I3663" s="3513">
        <v>-13089</v>
      </c>
      <c r="J3663" s="2776"/>
      <c r="K3663" s="2821"/>
      <c r="L3663" s="2800"/>
      <c r="M3663" s="2800"/>
      <c r="N3663" s="2847"/>
      <c r="O3663" s="86"/>
      <c r="P3663" s="1817" t="e">
        <f>INDEX(#REF!,MATCH(F3663,#REF!,0),2)</f>
        <v>#REF!</v>
      </c>
      <c r="Q3663" s="43"/>
      <c r="R3663" s="43"/>
      <c r="S3663" s="43"/>
      <c r="T3663" s="43"/>
      <c r="U3663" s="43"/>
      <c r="V3663" s="43"/>
      <c r="W3663" s="43"/>
      <c r="X3663" s="43"/>
      <c r="Y3663" s="43"/>
      <c r="Z3663" s="43"/>
      <c r="AA3663" s="43"/>
      <c r="AB3663" s="43"/>
      <c r="AC3663" s="43"/>
      <c r="AD3663" s="43"/>
      <c r="AE3663" s="43"/>
      <c r="AF3663" s="43"/>
      <c r="AG3663" s="43"/>
      <c r="AH3663" s="4"/>
      <c r="AI3663" s="4"/>
      <c r="AJ3663" s="4"/>
      <c r="AK3663" s="4"/>
      <c r="AL3663" s="4"/>
      <c r="AM3663" s="4"/>
      <c r="AN3663" s="4"/>
      <c r="AO3663" s="4"/>
      <c r="AP3663" s="4"/>
      <c r="AQ3663" s="4"/>
      <c r="AR3663" s="4"/>
      <c r="AS3663" s="4"/>
      <c r="AT3663" s="4"/>
      <c r="AU3663" s="4"/>
      <c r="AV3663" s="4"/>
    </row>
    <row r="3664" spans="1:48" ht="12.6" customHeight="1">
      <c r="A3664" s="1882"/>
      <c r="B3664" s="412" t="s">
        <v>663</v>
      </c>
      <c r="C3664" s="412" t="s">
        <v>652</v>
      </c>
      <c r="D3664" s="1590"/>
      <c r="E3664" s="2224" t="s">
        <v>2448</v>
      </c>
      <c r="F3664" s="505">
        <v>1119</v>
      </c>
      <c r="G3664" s="1913" t="s">
        <v>3296</v>
      </c>
      <c r="H3664" s="2822"/>
      <c r="I3664" s="3513">
        <v>-760</v>
      </c>
      <c r="J3664" s="2776"/>
      <c r="K3664" s="2821"/>
      <c r="L3664" s="2800"/>
      <c r="M3664" s="2800"/>
      <c r="N3664" s="2847"/>
      <c r="O3664" s="86"/>
      <c r="P3664" s="1817" t="e">
        <f>INDEX(#REF!,MATCH(F3664,#REF!,0),2)</f>
        <v>#REF!</v>
      </c>
      <c r="Q3664" s="43"/>
      <c r="R3664" s="43"/>
      <c r="S3664" s="43"/>
      <c r="T3664" s="43"/>
      <c r="U3664" s="43"/>
      <c r="V3664" s="43"/>
      <c r="W3664" s="43"/>
      <c r="X3664" s="43"/>
      <c r="Y3664" s="43"/>
      <c r="Z3664" s="43"/>
      <c r="AA3664" s="43"/>
      <c r="AB3664" s="43"/>
      <c r="AC3664" s="43"/>
      <c r="AD3664" s="43"/>
      <c r="AE3664" s="43"/>
      <c r="AF3664" s="43"/>
      <c r="AG3664" s="43"/>
      <c r="AH3664" s="4"/>
      <c r="AI3664" s="4"/>
      <c r="AJ3664" s="4"/>
      <c r="AK3664" s="4"/>
      <c r="AL3664" s="4"/>
      <c r="AM3664" s="4"/>
      <c r="AN3664" s="4"/>
      <c r="AO3664" s="4"/>
      <c r="AP3664" s="4"/>
      <c r="AQ3664" s="4"/>
      <c r="AR3664" s="4"/>
      <c r="AS3664" s="4"/>
      <c r="AT3664" s="4"/>
      <c r="AU3664" s="4"/>
      <c r="AV3664" s="4"/>
    </row>
    <row r="3665" spans="1:48" ht="21.75" customHeight="1">
      <c r="A3665" s="506"/>
      <c r="B3665" s="506" t="s">
        <v>663</v>
      </c>
      <c r="C3665" s="506" t="s">
        <v>652</v>
      </c>
      <c r="D3665" s="1632" t="s">
        <v>494</v>
      </c>
      <c r="E3665" s="2257" t="s">
        <v>2448</v>
      </c>
      <c r="F3665" s="540">
        <v>1146</v>
      </c>
      <c r="G3665" s="411" t="s">
        <v>922</v>
      </c>
      <c r="H3665" s="2838"/>
      <c r="I3665" s="2842"/>
      <c r="J3665" s="2840"/>
      <c r="K3665" s="2816"/>
      <c r="L3665" s="2818"/>
      <c r="M3665" s="2818"/>
      <c r="N3665" s="2847"/>
      <c r="O3665" s="86"/>
      <c r="P3665" s="1817" t="e">
        <f>INDEX(#REF!,MATCH(F3665,#REF!,0),2)</f>
        <v>#REF!</v>
      </c>
      <c r="Q3665" s="43"/>
      <c r="R3665" s="43"/>
      <c r="S3665" s="43"/>
      <c r="T3665" s="43"/>
      <c r="U3665" s="43"/>
      <c r="V3665" s="43"/>
      <c r="W3665" s="43"/>
      <c r="X3665" s="43"/>
      <c r="Y3665" s="43"/>
      <c r="Z3665" s="43"/>
      <c r="AA3665" s="43"/>
      <c r="AB3665" s="43"/>
      <c r="AC3665" s="43"/>
      <c r="AD3665" s="43"/>
      <c r="AE3665" s="43"/>
      <c r="AF3665" s="43"/>
      <c r="AG3665" s="43"/>
      <c r="AH3665" s="4"/>
      <c r="AI3665" s="4"/>
      <c r="AJ3665" s="4"/>
      <c r="AK3665" s="4"/>
      <c r="AL3665" s="4"/>
      <c r="AM3665" s="4"/>
      <c r="AN3665" s="4"/>
      <c r="AO3665" s="4"/>
      <c r="AP3665" s="4"/>
      <c r="AQ3665" s="4"/>
      <c r="AR3665" s="4"/>
      <c r="AS3665" s="4"/>
      <c r="AT3665" s="4"/>
      <c r="AU3665" s="4"/>
      <c r="AV3665" s="4"/>
    </row>
    <row r="3666" spans="1:48" ht="24.6" customHeight="1">
      <c r="A3666" s="1882"/>
      <c r="B3666" s="412" t="s">
        <v>663</v>
      </c>
      <c r="C3666" s="412" t="s">
        <v>652</v>
      </c>
      <c r="D3666" s="1590"/>
      <c r="E3666" s="2224" t="s">
        <v>2448</v>
      </c>
      <c r="F3666" s="505">
        <v>1146</v>
      </c>
      <c r="G3666" s="1913"/>
      <c r="H3666" s="2822"/>
      <c r="I3666" s="3513"/>
      <c r="J3666" s="2776"/>
      <c r="K3666" s="2821"/>
      <c r="L3666" s="2800"/>
      <c r="M3666" s="2800"/>
      <c r="N3666" s="2847"/>
      <c r="O3666" s="86"/>
      <c r="P3666" s="1817" t="e">
        <f>INDEX(#REF!,MATCH(F3666,#REF!,0),2)</f>
        <v>#REF!</v>
      </c>
      <c r="Q3666" s="4"/>
      <c r="R3666" s="4"/>
      <c r="S3666" s="4"/>
      <c r="T3666" s="4"/>
      <c r="U3666" s="4"/>
      <c r="V3666" s="4"/>
      <c r="W3666" s="4"/>
      <c r="X3666" s="4"/>
      <c r="Y3666" s="4"/>
      <c r="Z3666" s="4"/>
      <c r="AA3666" s="4"/>
      <c r="AB3666" s="4"/>
      <c r="AC3666" s="4"/>
      <c r="AD3666" s="4"/>
      <c r="AE3666" s="4"/>
      <c r="AF3666" s="4"/>
      <c r="AG3666" s="4"/>
      <c r="AH3666" s="4"/>
      <c r="AI3666" s="4"/>
      <c r="AJ3666" s="4"/>
      <c r="AK3666" s="4"/>
      <c r="AL3666" s="4"/>
      <c r="AM3666" s="4"/>
      <c r="AN3666" s="4"/>
      <c r="AO3666" s="4"/>
      <c r="AP3666" s="4"/>
      <c r="AQ3666" s="4"/>
      <c r="AR3666" s="4"/>
      <c r="AS3666" s="4"/>
      <c r="AT3666" s="4"/>
      <c r="AU3666" s="4"/>
    </row>
    <row r="3667" spans="1:48" ht="15.75" customHeight="1">
      <c r="A3667" s="506"/>
      <c r="B3667" s="506" t="s">
        <v>663</v>
      </c>
      <c r="C3667" s="506" t="s">
        <v>652</v>
      </c>
      <c r="D3667" s="1632" t="s">
        <v>494</v>
      </c>
      <c r="E3667" s="2257" t="s">
        <v>2448</v>
      </c>
      <c r="F3667" s="540">
        <v>1147</v>
      </c>
      <c r="G3667" s="411" t="s">
        <v>226</v>
      </c>
      <c r="H3667" s="2838">
        <v>14396.800000000001</v>
      </c>
      <c r="I3667" s="2842"/>
      <c r="J3667" s="2840"/>
      <c r="K3667" s="2816"/>
      <c r="L3667" s="2818">
        <v>18863.808000000001</v>
      </c>
      <c r="M3667" s="2818"/>
      <c r="N3667" s="2847"/>
      <c r="O3667" s="86"/>
      <c r="P3667" s="1817" t="e">
        <f>INDEX(#REF!,MATCH(F3667,#REF!,0),2)</f>
        <v>#REF!</v>
      </c>
      <c r="Q3667" s="43"/>
      <c r="R3667" s="43"/>
      <c r="S3667" s="43"/>
      <c r="T3667" s="43"/>
      <c r="U3667" s="43"/>
      <c r="V3667" s="43"/>
      <c r="W3667" s="43"/>
      <c r="X3667" s="43"/>
      <c r="Y3667" s="43"/>
      <c r="Z3667" s="43"/>
      <c r="AA3667" s="43"/>
      <c r="AB3667" s="43"/>
      <c r="AC3667" s="43"/>
      <c r="AD3667" s="43"/>
      <c r="AE3667" s="43"/>
      <c r="AF3667" s="43"/>
      <c r="AG3667" s="43"/>
      <c r="AH3667" s="4"/>
      <c r="AI3667" s="4"/>
      <c r="AJ3667" s="4"/>
      <c r="AK3667" s="4"/>
      <c r="AL3667" s="4"/>
      <c r="AM3667" s="4"/>
      <c r="AN3667" s="4"/>
      <c r="AO3667" s="4"/>
      <c r="AP3667" s="4"/>
      <c r="AQ3667" s="4"/>
      <c r="AR3667" s="4"/>
      <c r="AS3667" s="4"/>
      <c r="AT3667" s="4"/>
      <c r="AU3667" s="4"/>
      <c r="AV3667" s="4"/>
    </row>
    <row r="3668" spans="1:48" ht="20.45" customHeight="1">
      <c r="A3668" s="412"/>
      <c r="B3668" s="412" t="s">
        <v>663</v>
      </c>
      <c r="C3668" s="412" t="s">
        <v>652</v>
      </c>
      <c r="D3668" s="1590"/>
      <c r="E3668" s="2224" t="s">
        <v>2448</v>
      </c>
      <c r="F3668" s="505">
        <v>1147</v>
      </c>
      <c r="G3668" s="516" t="s">
        <v>663</v>
      </c>
      <c r="H3668" s="2822"/>
      <c r="I3668" s="2779">
        <v>14396.800000000001</v>
      </c>
      <c r="J3668" s="2776"/>
      <c r="K3668" s="2821"/>
      <c r="L3668" s="2800"/>
      <c r="M3668" s="2800">
        <v>18863.808000000001</v>
      </c>
      <c r="N3668" s="2847"/>
      <c r="O3668" s="86"/>
      <c r="P3668" s="1817" t="e">
        <f>INDEX(#REF!,MATCH(F3668,#REF!,0),2)</f>
        <v>#REF!</v>
      </c>
      <c r="Q3668" s="1779"/>
      <c r="R3668" s="1779"/>
      <c r="S3668" s="1779"/>
      <c r="T3668" s="1779"/>
      <c r="U3668" s="1779"/>
      <c r="V3668" s="1779"/>
      <c r="W3668" s="43"/>
      <c r="X3668" s="1779"/>
      <c r="Y3668" s="1779"/>
      <c r="Z3668" s="1779"/>
      <c r="AA3668" s="1779"/>
      <c r="AB3668" s="1779"/>
      <c r="AC3668" s="1779"/>
      <c r="AD3668" s="1779"/>
      <c r="AE3668" s="1779"/>
      <c r="AF3668" s="1779"/>
      <c r="AG3668" s="1779"/>
      <c r="AH3668" s="1779"/>
      <c r="AI3668" s="1779"/>
      <c r="AJ3668" s="1779"/>
      <c r="AK3668" s="1779"/>
      <c r="AL3668" s="1779"/>
      <c r="AM3668" s="1779"/>
      <c r="AN3668" s="1779"/>
      <c r="AO3668" s="1779"/>
      <c r="AP3668" s="1779"/>
      <c r="AQ3668" s="1779"/>
      <c r="AR3668" s="1779"/>
      <c r="AS3668" s="1779"/>
      <c r="AT3668" s="1779"/>
      <c r="AU3668" s="1779"/>
      <c r="AV3668" s="1779"/>
    </row>
    <row r="3669" spans="1:48" ht="11.45" customHeight="1">
      <c r="A3669" s="412"/>
      <c r="B3669" s="412" t="s">
        <v>663</v>
      </c>
      <c r="C3669" s="412" t="s">
        <v>652</v>
      </c>
      <c r="D3669" s="1590"/>
      <c r="E3669" s="2224" t="s">
        <v>2448</v>
      </c>
      <c r="F3669" s="505">
        <v>1147</v>
      </c>
      <c r="G3669" s="516" t="s">
        <v>1180</v>
      </c>
      <c r="H3669" s="2822"/>
      <c r="I3669" s="2779"/>
      <c r="J3669" s="2776"/>
      <c r="K3669" s="2821"/>
      <c r="L3669" s="2803"/>
      <c r="M3669" s="2803"/>
      <c r="N3669" s="2847"/>
      <c r="O3669" s="86"/>
      <c r="P3669" s="1817" t="e">
        <f>INDEX(#REF!,MATCH(F3669,#REF!,0),2)</f>
        <v>#REF!</v>
      </c>
      <c r="Q3669" s="1779"/>
      <c r="R3669" s="1779"/>
      <c r="S3669" s="1779"/>
      <c r="T3669" s="1779"/>
      <c r="U3669" s="1779"/>
      <c r="V3669" s="1779"/>
      <c r="W3669" s="43"/>
      <c r="X3669" s="1779"/>
      <c r="Y3669" s="1779"/>
      <c r="Z3669" s="1779"/>
      <c r="AA3669" s="1779"/>
      <c r="AB3669" s="1779"/>
      <c r="AC3669" s="1779"/>
      <c r="AD3669" s="1779"/>
      <c r="AE3669" s="1779"/>
      <c r="AF3669" s="1779"/>
      <c r="AG3669" s="1779"/>
      <c r="AH3669" s="1779"/>
      <c r="AI3669" s="1779"/>
      <c r="AJ3669" s="1779"/>
      <c r="AK3669" s="1779"/>
      <c r="AL3669" s="1779"/>
      <c r="AM3669" s="1779"/>
      <c r="AN3669" s="1779"/>
      <c r="AO3669" s="1779"/>
      <c r="AP3669" s="1779"/>
      <c r="AQ3669" s="1779"/>
      <c r="AR3669" s="1779"/>
      <c r="AS3669" s="1779"/>
      <c r="AT3669" s="1779"/>
      <c r="AU3669" s="1779"/>
      <c r="AV3669" s="1779"/>
    </row>
    <row r="3670" spans="1:48" ht="12.6" customHeight="1">
      <c r="A3670" s="506"/>
      <c r="B3670" s="506" t="s">
        <v>663</v>
      </c>
      <c r="C3670" s="506" t="s">
        <v>652</v>
      </c>
      <c r="D3670" s="1632" t="s">
        <v>494</v>
      </c>
      <c r="E3670" s="2257" t="s">
        <v>2448</v>
      </c>
      <c r="F3670" s="540">
        <v>1148</v>
      </c>
      <c r="G3670" s="411" t="s">
        <v>227</v>
      </c>
      <c r="H3670" s="2838">
        <v>1700</v>
      </c>
      <c r="I3670" s="2842"/>
      <c r="J3670" s="2840"/>
      <c r="K3670" s="2816"/>
      <c r="L3670" s="2818">
        <v>2400</v>
      </c>
      <c r="M3670" s="2802"/>
      <c r="N3670" s="2847"/>
      <c r="O3670" s="86"/>
      <c r="P3670" s="1817" t="e">
        <f>INDEX(#REF!,MATCH(F3670,#REF!,0),2)</f>
        <v>#REF!</v>
      </c>
      <c r="Q3670" s="4"/>
      <c r="R3670" s="4"/>
      <c r="S3670" s="4"/>
      <c r="T3670" s="4"/>
      <c r="U3670" s="4"/>
      <c r="V3670" s="4"/>
      <c r="W3670" s="4"/>
      <c r="X3670" s="4"/>
      <c r="Y3670" s="4"/>
      <c r="Z3670" s="4"/>
      <c r="AA3670" s="4"/>
      <c r="AB3670" s="4"/>
      <c r="AC3670" s="4"/>
      <c r="AD3670" s="4"/>
      <c r="AE3670" s="4"/>
      <c r="AF3670" s="4"/>
      <c r="AG3670" s="4"/>
      <c r="AH3670" s="4"/>
      <c r="AI3670" s="4"/>
      <c r="AJ3670" s="4"/>
      <c r="AK3670" s="4"/>
      <c r="AL3670" s="4"/>
      <c r="AM3670" s="4"/>
      <c r="AN3670" s="4"/>
      <c r="AO3670" s="4"/>
      <c r="AP3670" s="4"/>
      <c r="AQ3670" s="4"/>
      <c r="AR3670" s="4"/>
      <c r="AS3670" s="4"/>
      <c r="AT3670" s="4"/>
      <c r="AU3670" s="4"/>
      <c r="AV3670" s="4"/>
    </row>
    <row r="3671" spans="1:48" ht="24.6" customHeight="1">
      <c r="A3671" s="412"/>
      <c r="B3671" s="412" t="s">
        <v>663</v>
      </c>
      <c r="C3671" s="412" t="s">
        <v>652</v>
      </c>
      <c r="D3671" s="1590"/>
      <c r="E3671" s="2224" t="s">
        <v>2448</v>
      </c>
      <c r="F3671" s="505">
        <v>1148</v>
      </c>
      <c r="G3671" s="2774" t="s">
        <v>4747</v>
      </c>
      <c r="H3671" s="2822"/>
      <c r="I3671" s="2779">
        <v>1400</v>
      </c>
      <c r="J3671" s="2776"/>
      <c r="K3671" s="2821"/>
      <c r="L3671" s="2803"/>
      <c r="M3671" s="2800">
        <v>2100</v>
      </c>
      <c r="N3671" s="2847"/>
      <c r="O3671" s="86"/>
      <c r="P3671" s="1817" t="e">
        <f>INDEX(#REF!,MATCH(F3671,#REF!,0),2)</f>
        <v>#REF!</v>
      </c>
      <c r="Q3671" s="4"/>
      <c r="R3671" s="4"/>
      <c r="S3671" s="4"/>
      <c r="T3671" s="4"/>
      <c r="U3671" s="4"/>
      <c r="V3671" s="4"/>
      <c r="W3671" s="4"/>
      <c r="X3671" s="4"/>
      <c r="Y3671" s="4"/>
      <c r="Z3671" s="4"/>
      <c r="AA3671" s="4"/>
      <c r="AB3671" s="4"/>
      <c r="AC3671" s="4"/>
      <c r="AD3671" s="4"/>
      <c r="AE3671" s="4"/>
      <c r="AF3671" s="4"/>
      <c r="AG3671" s="4"/>
      <c r="AH3671" s="4"/>
      <c r="AI3671" s="4"/>
      <c r="AJ3671" s="4"/>
      <c r="AK3671" s="4"/>
      <c r="AL3671" s="4"/>
      <c r="AM3671" s="4"/>
      <c r="AN3671" s="4"/>
      <c r="AO3671" s="4"/>
      <c r="AP3671" s="4"/>
      <c r="AQ3671" s="4"/>
      <c r="AR3671" s="4"/>
      <c r="AS3671" s="4"/>
      <c r="AT3671" s="4"/>
      <c r="AU3671" s="4"/>
      <c r="AV3671" s="4"/>
    </row>
    <row r="3672" spans="1:48" ht="11.45" customHeight="1">
      <c r="A3672" s="412"/>
      <c r="B3672" s="412" t="s">
        <v>663</v>
      </c>
      <c r="C3672" s="412" t="s">
        <v>652</v>
      </c>
      <c r="D3672" s="1590"/>
      <c r="E3672" s="2224" t="s">
        <v>2448</v>
      </c>
      <c r="F3672" s="505">
        <v>1148</v>
      </c>
      <c r="G3672" s="410" t="s">
        <v>923</v>
      </c>
      <c r="H3672" s="2822"/>
      <c r="I3672" s="2779">
        <v>300</v>
      </c>
      <c r="J3672" s="2776"/>
      <c r="K3672" s="2821"/>
      <c r="L3672" s="2803"/>
      <c r="M3672" s="2800">
        <v>300</v>
      </c>
      <c r="N3672" s="2847"/>
      <c r="O3672" s="86"/>
      <c r="P3672" s="1817" t="e">
        <f>INDEX(#REF!,MATCH(F3672,#REF!,0),2)</f>
        <v>#REF!</v>
      </c>
      <c r="Q3672" s="43"/>
      <c r="R3672" s="43"/>
      <c r="S3672" s="43"/>
      <c r="T3672" s="43"/>
      <c r="U3672" s="43"/>
      <c r="V3672" s="43"/>
      <c r="W3672" s="43"/>
      <c r="X3672" s="43"/>
      <c r="Y3672" s="43"/>
      <c r="Z3672" s="43"/>
      <c r="AA3672" s="43"/>
      <c r="AB3672" s="43"/>
      <c r="AC3672" s="43"/>
      <c r="AD3672" s="43"/>
      <c r="AE3672" s="43"/>
      <c r="AF3672" s="43"/>
      <c r="AG3672" s="43"/>
      <c r="AH3672" s="4"/>
      <c r="AI3672" s="4"/>
      <c r="AJ3672" s="4"/>
      <c r="AK3672" s="4"/>
      <c r="AL3672" s="4"/>
      <c r="AM3672" s="4"/>
      <c r="AN3672" s="4"/>
      <c r="AO3672" s="4"/>
      <c r="AP3672" s="4"/>
      <c r="AQ3672" s="4"/>
      <c r="AR3672" s="4"/>
      <c r="AS3672" s="4"/>
      <c r="AT3672" s="4"/>
      <c r="AU3672" s="4"/>
      <c r="AV3672" s="4"/>
    </row>
    <row r="3673" spans="1:48" ht="12.6" customHeight="1">
      <c r="A3673" s="506"/>
      <c r="B3673" s="506" t="s">
        <v>1248</v>
      </c>
      <c r="C3673" s="506" t="s">
        <v>505</v>
      </c>
      <c r="D3673" s="1632" t="s">
        <v>494</v>
      </c>
      <c r="E3673" s="2257" t="s">
        <v>2448</v>
      </c>
      <c r="F3673" s="540">
        <v>1150</v>
      </c>
      <c r="G3673" s="411" t="s">
        <v>408</v>
      </c>
      <c r="H3673" s="2838">
        <v>300</v>
      </c>
      <c r="I3673" s="2842"/>
      <c r="J3673" s="2840"/>
      <c r="K3673" s="2816"/>
      <c r="L3673" s="2818">
        <v>0</v>
      </c>
      <c r="M3673" s="2818"/>
      <c r="N3673" s="2847"/>
      <c r="O3673" s="86"/>
      <c r="P3673" s="1817" t="e">
        <f>INDEX(#REF!,MATCH(F3673,#REF!,0),2)</f>
        <v>#REF!</v>
      </c>
      <c r="Q3673" s="4"/>
      <c r="R3673" s="4"/>
      <c r="S3673" s="4"/>
      <c r="T3673" s="4"/>
      <c r="U3673" s="4"/>
      <c r="V3673" s="4"/>
      <c r="W3673" s="4"/>
      <c r="X3673" s="4"/>
      <c r="Y3673" s="4"/>
      <c r="Z3673" s="4"/>
      <c r="AA3673" s="4"/>
      <c r="AB3673" s="4"/>
      <c r="AC3673" s="4"/>
      <c r="AD3673" s="4"/>
      <c r="AE3673" s="4"/>
      <c r="AF3673" s="4"/>
      <c r="AG3673" s="4"/>
      <c r="AH3673" s="4"/>
      <c r="AI3673" s="4"/>
      <c r="AJ3673" s="4"/>
      <c r="AK3673" s="4"/>
      <c r="AL3673" s="4"/>
      <c r="AM3673" s="4"/>
      <c r="AN3673" s="4"/>
      <c r="AO3673" s="4"/>
      <c r="AP3673" s="4"/>
      <c r="AQ3673" s="4"/>
      <c r="AR3673" s="4"/>
      <c r="AS3673" s="4"/>
      <c r="AT3673" s="4"/>
      <c r="AU3673" s="4"/>
      <c r="AV3673" s="4"/>
    </row>
    <row r="3674" spans="1:48" ht="30.6" customHeight="1">
      <c r="A3674" s="412"/>
      <c r="B3674" s="412" t="s">
        <v>1248</v>
      </c>
      <c r="C3674" s="412" t="s">
        <v>505</v>
      </c>
      <c r="D3674" s="1590"/>
      <c r="E3674" s="2224" t="s">
        <v>2448</v>
      </c>
      <c r="F3674" s="505">
        <v>1150</v>
      </c>
      <c r="G3674" s="1567" t="s">
        <v>924</v>
      </c>
      <c r="H3674" s="2822"/>
      <c r="I3674" s="2779">
        <v>300</v>
      </c>
      <c r="J3674" s="2776"/>
      <c r="K3674" s="2821"/>
      <c r="L3674" s="2800"/>
      <c r="M3674" s="2800">
        <v>0</v>
      </c>
      <c r="N3674" s="2847"/>
      <c r="O3674" s="86"/>
      <c r="P3674" s="1817" t="e">
        <f>INDEX(#REF!,MATCH(F3674,#REF!,0),2)</f>
        <v>#REF!</v>
      </c>
      <c r="Q3674" s="43"/>
      <c r="R3674" s="43"/>
      <c r="S3674" s="43"/>
      <c r="T3674" s="43"/>
      <c r="U3674" s="43"/>
      <c r="V3674" s="43"/>
      <c r="W3674" s="43"/>
      <c r="X3674" s="43"/>
      <c r="Y3674" s="43"/>
      <c r="Z3674" s="43"/>
      <c r="AA3674" s="43"/>
      <c r="AB3674" s="43"/>
      <c r="AC3674" s="43"/>
      <c r="AD3674" s="43"/>
      <c r="AE3674" s="43"/>
      <c r="AF3674" s="43"/>
      <c r="AG3674" s="43"/>
      <c r="AH3674" s="43"/>
      <c r="AI3674" s="43"/>
      <c r="AJ3674" s="43"/>
      <c r="AK3674" s="43"/>
      <c r="AL3674" s="43"/>
      <c r="AM3674" s="43"/>
      <c r="AN3674" s="43"/>
      <c r="AO3674" s="43"/>
      <c r="AP3674" s="43"/>
      <c r="AQ3674" s="43"/>
      <c r="AR3674" s="43"/>
      <c r="AS3674" s="43"/>
      <c r="AT3674" s="43"/>
      <c r="AU3674" s="43"/>
      <c r="AV3674" s="43"/>
    </row>
    <row r="3675" spans="1:48">
      <c r="A3675" s="506"/>
      <c r="B3675" s="506" t="s">
        <v>663</v>
      </c>
      <c r="C3675" s="506" t="s">
        <v>652</v>
      </c>
      <c r="D3675" s="1632" t="s">
        <v>494</v>
      </c>
      <c r="E3675" s="2257" t="s">
        <v>2448</v>
      </c>
      <c r="F3675" s="540">
        <v>1170</v>
      </c>
      <c r="G3675" s="411" t="s">
        <v>724</v>
      </c>
      <c r="H3675" s="2838">
        <v>120</v>
      </c>
      <c r="I3675" s="2842"/>
      <c r="J3675" s="2840"/>
      <c r="K3675" s="2816"/>
      <c r="L3675" s="2818">
        <v>135</v>
      </c>
      <c r="M3675" s="2818"/>
      <c r="N3675" s="2847"/>
      <c r="O3675" s="86"/>
      <c r="P3675" s="1817" t="e">
        <f>INDEX(#REF!,MATCH(F3675,#REF!,0),2)</f>
        <v>#REF!</v>
      </c>
      <c r="Q3675" s="43"/>
      <c r="R3675" s="43"/>
      <c r="S3675" s="43"/>
      <c r="T3675" s="43"/>
      <c r="U3675" s="43"/>
      <c r="V3675" s="43"/>
      <c r="W3675" s="43"/>
      <c r="X3675" s="43"/>
      <c r="Y3675" s="43"/>
      <c r="Z3675" s="43"/>
      <c r="AA3675" s="43"/>
      <c r="AB3675" s="43"/>
      <c r="AC3675" s="43"/>
      <c r="AD3675" s="43"/>
      <c r="AE3675" s="43"/>
      <c r="AF3675" s="43"/>
      <c r="AG3675" s="43"/>
      <c r="AH3675" s="43"/>
      <c r="AI3675" s="43"/>
      <c r="AJ3675" s="43"/>
      <c r="AL3675" s="43"/>
      <c r="AM3675" s="43"/>
      <c r="AN3675" s="43"/>
      <c r="AO3675" s="43"/>
      <c r="AP3675" s="43"/>
      <c r="AQ3675" s="43"/>
      <c r="AR3675" s="43"/>
      <c r="AS3675" s="43"/>
      <c r="AT3675" s="43"/>
      <c r="AU3675" s="43"/>
      <c r="AV3675" s="43"/>
    </row>
    <row r="3676" spans="1:48" ht="13.15" customHeight="1">
      <c r="A3676" s="412"/>
      <c r="B3676" s="412" t="s">
        <v>663</v>
      </c>
      <c r="C3676" s="412" t="s">
        <v>652</v>
      </c>
      <c r="D3676" s="1590"/>
      <c r="E3676" s="2224" t="s">
        <v>2448</v>
      </c>
      <c r="F3676" s="505">
        <v>1170</v>
      </c>
      <c r="G3676" s="410" t="s">
        <v>1183</v>
      </c>
      <c r="H3676" s="2822"/>
      <c r="I3676" s="2779">
        <v>120</v>
      </c>
      <c r="J3676" s="2776"/>
      <c r="K3676" s="2821"/>
      <c r="L3676" s="2800"/>
      <c r="M3676" s="2800">
        <v>135</v>
      </c>
      <c r="N3676" s="2847"/>
      <c r="O3676" s="86"/>
      <c r="P3676" s="1817" t="e">
        <f>INDEX(#REF!,MATCH(F3676,#REF!,0),2)</f>
        <v>#REF!</v>
      </c>
      <c r="Q3676" s="43"/>
      <c r="R3676" s="43"/>
      <c r="S3676" s="43"/>
      <c r="T3676" s="43"/>
      <c r="U3676" s="43"/>
      <c r="V3676" s="43"/>
      <c r="W3676" s="43"/>
      <c r="X3676" s="43"/>
      <c r="Y3676" s="43"/>
      <c r="Z3676" s="43"/>
      <c r="AA3676" s="43"/>
      <c r="AB3676" s="43"/>
      <c r="AC3676" s="43"/>
      <c r="AD3676" s="43"/>
      <c r="AE3676" s="43"/>
      <c r="AF3676" s="43"/>
      <c r="AG3676" s="43"/>
      <c r="AH3676" s="43"/>
      <c r="AI3676" s="43"/>
      <c r="AJ3676" s="43"/>
      <c r="AK3676" s="43"/>
      <c r="AL3676" s="43"/>
      <c r="AM3676" s="43"/>
      <c r="AN3676" s="43"/>
      <c r="AO3676" s="43"/>
      <c r="AP3676" s="43"/>
      <c r="AQ3676" s="43"/>
      <c r="AR3676" s="43"/>
      <c r="AS3676" s="43"/>
      <c r="AT3676" s="43"/>
      <c r="AU3676" s="43"/>
      <c r="AV3676" s="43"/>
    </row>
    <row r="3677" spans="1:48" s="66" customFormat="1" ht="13.15" customHeight="1">
      <c r="A3677" s="506"/>
      <c r="B3677" s="506" t="s">
        <v>663</v>
      </c>
      <c r="C3677" s="506" t="s">
        <v>652</v>
      </c>
      <c r="D3677" s="1632" t="s">
        <v>494</v>
      </c>
      <c r="E3677" s="2257" t="s">
        <v>2448</v>
      </c>
      <c r="F3677" s="540">
        <v>1210</v>
      </c>
      <c r="G3677" s="411" t="s">
        <v>228</v>
      </c>
      <c r="H3677" s="2838">
        <v>36982.137386000002</v>
      </c>
      <c r="I3677" s="2842"/>
      <c r="J3677" s="2840"/>
      <c r="K3677" s="2816"/>
      <c r="L3677" s="2818">
        <v>57070.894839840003</v>
      </c>
      <c r="M3677" s="2818"/>
      <c r="N3677" s="2847"/>
      <c r="O3677" s="86"/>
      <c r="P3677" s="1817" t="e">
        <f>INDEX(#REF!,MATCH(F3677,#REF!,0),2)</f>
        <v>#REF!</v>
      </c>
      <c r="Q3677" s="168"/>
      <c r="R3677" s="168"/>
      <c r="S3677" s="168"/>
      <c r="T3677" s="168"/>
      <c r="U3677" s="168"/>
      <c r="V3677" s="168"/>
      <c r="W3677" s="43"/>
      <c r="X3677" s="168"/>
      <c r="Y3677" s="168"/>
      <c r="Z3677" s="168"/>
      <c r="AA3677" s="168"/>
      <c r="AB3677" s="168"/>
      <c r="AC3677" s="168"/>
      <c r="AD3677" s="168"/>
      <c r="AE3677" s="168"/>
      <c r="AF3677" s="168"/>
      <c r="AG3677" s="168"/>
      <c r="AH3677" s="168"/>
      <c r="AI3677" s="168"/>
      <c r="AJ3677" s="168"/>
      <c r="AL3677" s="168"/>
      <c r="AM3677" s="168"/>
      <c r="AN3677" s="168"/>
      <c r="AO3677" s="168"/>
      <c r="AP3677" s="168"/>
      <c r="AQ3677" s="168"/>
      <c r="AR3677" s="168"/>
      <c r="AS3677" s="168"/>
      <c r="AT3677" s="168"/>
      <c r="AU3677" s="168"/>
      <c r="AV3677" s="168"/>
    </row>
    <row r="3678" spans="1:48" ht="13.15" customHeight="1">
      <c r="A3678" s="412"/>
      <c r="B3678" s="412" t="s">
        <v>663</v>
      </c>
      <c r="C3678" s="412" t="s">
        <v>652</v>
      </c>
      <c r="D3678" s="1590"/>
      <c r="E3678" s="2224" t="s">
        <v>2448</v>
      </c>
      <c r="F3678" s="505">
        <v>1210</v>
      </c>
      <c r="G3678" s="516" t="s">
        <v>663</v>
      </c>
      <c r="H3678" s="2822"/>
      <c r="I3678" s="2779">
        <v>41023.137386000002</v>
      </c>
      <c r="J3678" s="2776"/>
      <c r="K3678" s="2821"/>
      <c r="L3678" s="2800"/>
      <c r="M3678" s="2800">
        <v>57070.894839840003</v>
      </c>
      <c r="N3678" s="2847"/>
      <c r="O3678" s="86"/>
      <c r="P3678" s="1817" t="e">
        <f>INDEX(#REF!,MATCH(F3678,#REF!,0),2)</f>
        <v>#REF!</v>
      </c>
      <c r="Q3678" s="43"/>
      <c r="R3678" s="43"/>
      <c r="S3678" s="43"/>
      <c r="T3678" s="43"/>
      <c r="U3678" s="43"/>
      <c r="V3678" s="43"/>
      <c r="W3678" s="43"/>
      <c r="X3678" s="43"/>
      <c r="Y3678" s="43"/>
      <c r="Z3678" s="43"/>
      <c r="AA3678" s="43"/>
      <c r="AB3678" s="43"/>
      <c r="AC3678" s="43"/>
      <c r="AD3678" s="43"/>
      <c r="AE3678" s="43"/>
      <c r="AF3678" s="43"/>
      <c r="AG3678" s="43"/>
      <c r="AH3678" s="43"/>
      <c r="AI3678" s="43"/>
      <c r="AJ3678" s="43"/>
      <c r="AL3678" s="43"/>
      <c r="AM3678" s="43"/>
      <c r="AN3678" s="43"/>
      <c r="AO3678" s="43"/>
      <c r="AP3678" s="43"/>
      <c r="AQ3678" s="43"/>
      <c r="AR3678" s="43"/>
      <c r="AS3678" s="43"/>
      <c r="AT3678" s="43"/>
      <c r="AU3678" s="43"/>
      <c r="AV3678" s="43"/>
    </row>
    <row r="3679" spans="1:48" ht="13.15" customHeight="1">
      <c r="A3679" s="1370"/>
      <c r="B3679" s="412" t="s">
        <v>663</v>
      </c>
      <c r="C3679" s="412" t="s">
        <v>652</v>
      </c>
      <c r="D3679" s="1590"/>
      <c r="E3679" s="2224" t="s">
        <v>2448</v>
      </c>
      <c r="F3679" s="505">
        <v>1210</v>
      </c>
      <c r="G3679" s="1913" t="s">
        <v>3201</v>
      </c>
      <c r="H3679" s="2822"/>
      <c r="I3679" s="2779">
        <v>-4041</v>
      </c>
      <c r="J3679" s="2776"/>
      <c r="K3679" s="2821"/>
      <c r="L3679" s="2800"/>
      <c r="M3679" s="2800"/>
      <c r="N3679" s="2847"/>
      <c r="O3679" s="86"/>
      <c r="P3679" s="1817" t="e">
        <f>INDEX(#REF!,MATCH(F3679,#REF!,0),2)</f>
        <v>#REF!</v>
      </c>
      <c r="Q3679" s="43"/>
      <c r="R3679" s="43"/>
      <c r="S3679" s="43"/>
      <c r="T3679" s="43"/>
      <c r="U3679" s="43"/>
      <c r="V3679" s="43"/>
      <c r="W3679" s="43"/>
      <c r="X3679" s="43"/>
      <c r="Y3679" s="43"/>
      <c r="Z3679" s="43"/>
      <c r="AA3679" s="43"/>
      <c r="AB3679" s="43"/>
      <c r="AC3679" s="43"/>
      <c r="AD3679" s="43"/>
      <c r="AE3679" s="43"/>
      <c r="AF3679" s="43"/>
      <c r="AG3679" s="43"/>
      <c r="AH3679" s="43"/>
      <c r="AI3679" s="43"/>
      <c r="AJ3679" s="43"/>
      <c r="AL3679" s="43"/>
      <c r="AM3679" s="43"/>
      <c r="AN3679" s="43"/>
      <c r="AO3679" s="43"/>
      <c r="AP3679" s="43"/>
      <c r="AQ3679" s="43"/>
      <c r="AR3679" s="43"/>
      <c r="AS3679" s="43"/>
      <c r="AT3679" s="43"/>
      <c r="AU3679" s="43"/>
      <c r="AV3679" s="43"/>
    </row>
    <row r="3680" spans="1:48" s="66" customFormat="1" ht="13.15" customHeight="1">
      <c r="A3680" s="506"/>
      <c r="B3680" s="506" t="s">
        <v>663</v>
      </c>
      <c r="C3680" s="506" t="s">
        <v>652</v>
      </c>
      <c r="D3680" s="1632" t="s">
        <v>494</v>
      </c>
      <c r="E3680" s="2257" t="s">
        <v>2448</v>
      </c>
      <c r="F3680" s="540">
        <v>1221</v>
      </c>
      <c r="G3680" s="411" t="s">
        <v>235</v>
      </c>
      <c r="H3680" s="2838">
        <v>9357.5124940000005</v>
      </c>
      <c r="I3680" s="2842"/>
      <c r="J3680" s="2840"/>
      <c r="K3680" s="2816"/>
      <c r="L3680" s="2818">
        <v>12435.63530736</v>
      </c>
      <c r="M3680" s="2818"/>
      <c r="N3680" s="2847"/>
      <c r="O3680" s="86"/>
      <c r="P3680" s="1817" t="e">
        <f>INDEX(#REF!,MATCH(F3680,#REF!,0),2)</f>
        <v>#REF!</v>
      </c>
      <c r="Q3680" s="168"/>
      <c r="R3680" s="168"/>
      <c r="S3680" s="168"/>
      <c r="T3680" s="168"/>
      <c r="U3680" s="168"/>
      <c r="V3680" s="168"/>
      <c r="W3680" s="43"/>
      <c r="X3680" s="168"/>
      <c r="Y3680" s="168"/>
      <c r="Z3680" s="168"/>
      <c r="AA3680" s="168"/>
      <c r="AB3680" s="168"/>
      <c r="AC3680" s="168"/>
      <c r="AD3680" s="168"/>
      <c r="AE3680" s="168"/>
      <c r="AF3680" s="168"/>
      <c r="AG3680" s="168"/>
      <c r="AH3680" s="168"/>
      <c r="AI3680" s="168"/>
      <c r="AJ3680" s="168"/>
      <c r="AL3680" s="168"/>
      <c r="AM3680" s="168"/>
      <c r="AN3680" s="168"/>
      <c r="AO3680" s="168"/>
      <c r="AP3680" s="168"/>
      <c r="AQ3680" s="168"/>
      <c r="AR3680" s="168"/>
      <c r="AS3680" s="168"/>
      <c r="AT3680" s="168"/>
      <c r="AU3680" s="168"/>
      <c r="AV3680" s="168"/>
    </row>
    <row r="3681" spans="1:48" s="66" customFormat="1" ht="13.15" customHeight="1">
      <c r="A3681" s="412"/>
      <c r="B3681" s="412" t="s">
        <v>663</v>
      </c>
      <c r="C3681" s="412" t="s">
        <v>652</v>
      </c>
      <c r="D3681" s="1590"/>
      <c r="E3681" s="2224" t="s">
        <v>2448</v>
      </c>
      <c r="F3681" s="505">
        <v>1221</v>
      </c>
      <c r="G3681" s="516" t="s">
        <v>663</v>
      </c>
      <c r="H3681" s="2822"/>
      <c r="I3681" s="2779">
        <v>9357.5124940000005</v>
      </c>
      <c r="J3681" s="2776"/>
      <c r="K3681" s="2821"/>
      <c r="L3681" s="2800"/>
      <c r="M3681" s="2800">
        <v>12435.63530736</v>
      </c>
      <c r="N3681" s="2847"/>
      <c r="O3681" s="86"/>
      <c r="P3681" s="1817" t="e">
        <f>INDEX(#REF!,MATCH(F3681,#REF!,0),2)</f>
        <v>#REF!</v>
      </c>
      <c r="Q3681" s="168"/>
      <c r="R3681" s="168"/>
      <c r="S3681" s="168"/>
      <c r="T3681" s="168"/>
      <c r="U3681" s="168"/>
      <c r="V3681" s="168"/>
      <c r="W3681" s="43"/>
      <c r="X3681" s="168"/>
      <c r="Y3681" s="168"/>
      <c r="Z3681" s="168"/>
      <c r="AA3681" s="168"/>
      <c r="AB3681" s="168"/>
      <c r="AC3681" s="168"/>
      <c r="AD3681" s="168"/>
      <c r="AE3681" s="168"/>
      <c r="AF3681" s="168"/>
      <c r="AG3681" s="168"/>
      <c r="AH3681" s="168"/>
      <c r="AI3681" s="168"/>
      <c r="AJ3681" s="168"/>
      <c r="AL3681" s="168"/>
      <c r="AM3681" s="168"/>
      <c r="AN3681" s="168"/>
      <c r="AO3681" s="168"/>
      <c r="AP3681" s="168"/>
      <c r="AQ3681" s="168"/>
      <c r="AR3681" s="168"/>
      <c r="AS3681" s="168"/>
      <c r="AT3681" s="168"/>
      <c r="AU3681" s="168"/>
      <c r="AV3681" s="168"/>
    </row>
    <row r="3682" spans="1:48" s="66" customFormat="1" ht="13.15" customHeight="1">
      <c r="A3682" s="506"/>
      <c r="B3682" s="506" t="s">
        <v>1248</v>
      </c>
      <c r="C3682" s="506" t="s">
        <v>652</v>
      </c>
      <c r="D3682" s="1632" t="s">
        <v>494</v>
      </c>
      <c r="E3682" s="2257" t="s">
        <v>2448</v>
      </c>
      <c r="F3682" s="540">
        <v>1228</v>
      </c>
      <c r="G3682" s="411" t="s">
        <v>270</v>
      </c>
      <c r="H3682" s="2838">
        <v>2191</v>
      </c>
      <c r="I3682" s="2842"/>
      <c r="J3682" s="2840"/>
      <c r="K3682" s="2816"/>
      <c r="L3682" s="2838">
        <v>1975</v>
      </c>
      <c r="M3682" s="2818"/>
      <c r="N3682" s="2847"/>
      <c r="O3682" s="86"/>
      <c r="P3682" s="1817" t="e">
        <f>INDEX(#REF!,MATCH(F3682,#REF!,0),2)</f>
        <v>#REF!</v>
      </c>
      <c r="Q3682" s="168"/>
      <c r="R3682" s="168"/>
      <c r="S3682" s="168"/>
      <c r="T3682" s="168"/>
      <c r="U3682" s="168"/>
      <c r="V3682" s="168"/>
      <c r="W3682" s="43"/>
      <c r="X3682" s="168"/>
      <c r="Y3682" s="168"/>
      <c r="Z3682" s="168"/>
      <c r="AA3682" s="168"/>
      <c r="AB3682" s="168"/>
      <c r="AC3682" s="168"/>
      <c r="AD3682" s="168"/>
      <c r="AE3682" s="168"/>
      <c r="AF3682" s="168"/>
      <c r="AG3682" s="168"/>
      <c r="AH3682" s="168"/>
      <c r="AI3682" s="168"/>
      <c r="AJ3682" s="168"/>
      <c r="AL3682" s="168"/>
      <c r="AM3682" s="168"/>
      <c r="AN3682" s="168"/>
      <c r="AO3682" s="168"/>
      <c r="AP3682" s="168"/>
      <c r="AQ3682" s="168"/>
      <c r="AR3682" s="168"/>
      <c r="AS3682" s="168"/>
      <c r="AT3682" s="168"/>
      <c r="AU3682" s="168"/>
      <c r="AV3682" s="168"/>
    </row>
    <row r="3683" spans="1:48" ht="13.15" customHeight="1">
      <c r="A3683" s="412"/>
      <c r="B3683" s="412" t="s">
        <v>1248</v>
      </c>
      <c r="C3683" s="412" t="s">
        <v>652</v>
      </c>
      <c r="D3683" s="1590"/>
      <c r="E3683" s="2224" t="s">
        <v>2448</v>
      </c>
      <c r="F3683" s="505">
        <v>1228</v>
      </c>
      <c r="G3683" s="1567" t="s">
        <v>4748</v>
      </c>
      <c r="H3683" s="2822"/>
      <c r="I3683" s="2779">
        <v>60</v>
      </c>
      <c r="J3683" s="2776"/>
      <c r="K3683" s="2777"/>
      <c r="L3683" s="2779"/>
      <c r="M3683" s="2779"/>
      <c r="N3683" s="2847"/>
      <c r="O3683" s="86"/>
      <c r="P3683" s="1817" t="e">
        <f>INDEX(#REF!,MATCH(F3683,#REF!,0),2)</f>
        <v>#REF!</v>
      </c>
      <c r="Q3683" s="43"/>
      <c r="R3683" s="43"/>
      <c r="S3683" s="43"/>
      <c r="T3683" s="43"/>
      <c r="U3683" s="43"/>
      <c r="V3683" s="43"/>
      <c r="W3683" s="43"/>
      <c r="X3683" s="43"/>
      <c r="Y3683" s="43"/>
      <c r="Z3683" s="43"/>
      <c r="AA3683" s="43"/>
      <c r="AB3683" s="43"/>
      <c r="AC3683" s="43"/>
      <c r="AD3683" s="43"/>
      <c r="AE3683" s="43"/>
      <c r="AF3683" s="43"/>
      <c r="AG3683" s="43"/>
      <c r="AH3683" s="43"/>
      <c r="AI3683" s="43"/>
      <c r="AJ3683" s="43"/>
      <c r="AK3683" s="43"/>
      <c r="AL3683" s="43"/>
      <c r="AM3683" s="43"/>
      <c r="AN3683" s="43"/>
      <c r="AO3683" s="43"/>
      <c r="AP3683" s="43"/>
      <c r="AQ3683" s="43"/>
      <c r="AR3683" s="43"/>
      <c r="AS3683" s="43"/>
      <c r="AT3683" s="43"/>
      <c r="AU3683" s="43"/>
      <c r="AV3683" s="43"/>
    </row>
    <row r="3684" spans="1:48" s="66" customFormat="1" ht="13.15" customHeight="1">
      <c r="A3684" s="412"/>
      <c r="B3684" s="412" t="s">
        <v>1248</v>
      </c>
      <c r="C3684" s="412" t="s">
        <v>652</v>
      </c>
      <c r="D3684" s="1590"/>
      <c r="E3684" s="2224" t="s">
        <v>2448</v>
      </c>
      <c r="F3684" s="505">
        <v>1228</v>
      </c>
      <c r="G3684" s="410" t="s">
        <v>647</v>
      </c>
      <c r="H3684" s="2822"/>
      <c r="I3684" s="2779"/>
      <c r="J3684" s="2776"/>
      <c r="K3684" s="2777"/>
      <c r="L3684" s="2778"/>
      <c r="M3684" s="2778"/>
      <c r="N3684" s="2847"/>
      <c r="O3684" s="86"/>
      <c r="P3684" s="1817" t="e">
        <f>INDEX(#REF!,MATCH(F3684,#REF!,0),2)</f>
        <v>#REF!</v>
      </c>
      <c r="Q3684" s="168"/>
      <c r="R3684" s="168"/>
      <c r="S3684" s="168"/>
      <c r="T3684" s="168"/>
      <c r="U3684" s="168"/>
      <c r="V3684" s="168"/>
      <c r="W3684" s="43"/>
      <c r="X3684" s="168"/>
      <c r="Y3684" s="168"/>
      <c r="Z3684" s="168"/>
      <c r="AA3684" s="168"/>
      <c r="AB3684" s="168"/>
      <c r="AC3684" s="168"/>
      <c r="AD3684" s="168"/>
      <c r="AE3684" s="168"/>
      <c r="AF3684" s="168"/>
      <c r="AG3684" s="168"/>
      <c r="AH3684" s="168"/>
      <c r="AI3684" s="168"/>
      <c r="AJ3684" s="168"/>
      <c r="AL3684" s="168"/>
      <c r="AM3684" s="168"/>
      <c r="AN3684" s="168"/>
      <c r="AO3684" s="168"/>
      <c r="AP3684" s="168"/>
      <c r="AQ3684" s="168"/>
      <c r="AR3684" s="168"/>
      <c r="AS3684" s="168"/>
      <c r="AT3684" s="168"/>
      <c r="AU3684" s="168"/>
      <c r="AV3684" s="168"/>
    </row>
    <row r="3685" spans="1:48" s="66" customFormat="1" ht="13.15" customHeight="1">
      <c r="A3685" s="412"/>
      <c r="B3685" s="412" t="s">
        <v>1248</v>
      </c>
      <c r="C3685" s="412" t="s">
        <v>652</v>
      </c>
      <c r="D3685" s="1590"/>
      <c r="E3685" s="2224" t="s">
        <v>2448</v>
      </c>
      <c r="F3685" s="505">
        <v>1228</v>
      </c>
      <c r="G3685" s="1668" t="s">
        <v>2292</v>
      </c>
      <c r="H3685" s="2822"/>
      <c r="I3685" s="2779">
        <v>378</v>
      </c>
      <c r="J3685" s="2776"/>
      <c r="K3685" s="2777"/>
      <c r="L3685" s="2778"/>
      <c r="M3685" s="2779">
        <v>378</v>
      </c>
      <c r="N3685" s="2847"/>
      <c r="O3685" s="86"/>
      <c r="P3685" s="1817" t="e">
        <f>INDEX(#REF!,MATCH(F3685,#REF!,0),2)</f>
        <v>#REF!</v>
      </c>
      <c r="Q3685" s="168"/>
      <c r="R3685" s="168"/>
      <c r="S3685" s="168"/>
      <c r="T3685" s="168"/>
      <c r="U3685" s="168"/>
      <c r="V3685" s="168"/>
      <c r="W3685" s="43"/>
      <c r="X3685" s="168"/>
      <c r="Y3685" s="168"/>
      <c r="Z3685" s="168"/>
      <c r="AA3685" s="168"/>
      <c r="AB3685" s="168"/>
      <c r="AC3685" s="168"/>
      <c r="AD3685" s="168"/>
      <c r="AE3685" s="168"/>
      <c r="AF3685" s="168"/>
      <c r="AG3685" s="168"/>
      <c r="AH3685" s="168"/>
      <c r="AI3685" s="168"/>
      <c r="AJ3685" s="168"/>
      <c r="AL3685" s="168"/>
      <c r="AM3685" s="168"/>
      <c r="AN3685" s="168"/>
      <c r="AO3685" s="168"/>
      <c r="AP3685" s="168"/>
      <c r="AQ3685" s="168"/>
      <c r="AR3685" s="168"/>
      <c r="AS3685" s="168"/>
      <c r="AT3685" s="168"/>
      <c r="AU3685" s="168"/>
      <c r="AV3685" s="168"/>
    </row>
    <row r="3686" spans="1:48" ht="11.45" customHeight="1">
      <c r="A3686" s="412"/>
      <c r="B3686" s="412" t="s">
        <v>1248</v>
      </c>
      <c r="C3686" s="412" t="s">
        <v>652</v>
      </c>
      <c r="D3686" s="1590"/>
      <c r="E3686" s="2224" t="s">
        <v>2448</v>
      </c>
      <c r="F3686" s="505">
        <v>1228</v>
      </c>
      <c r="G3686" s="1668" t="s">
        <v>2291</v>
      </c>
      <c r="H3686" s="2822"/>
      <c r="I3686" s="2779">
        <v>229</v>
      </c>
      <c r="J3686" s="2776"/>
      <c r="K3686" s="2777"/>
      <c r="L3686" s="2778"/>
      <c r="M3686" s="2779">
        <v>229</v>
      </c>
      <c r="N3686" s="2847"/>
      <c r="O3686" s="86"/>
      <c r="P3686" s="1817" t="e">
        <f>INDEX(#REF!,MATCH(F3686,#REF!,0),2)</f>
        <v>#REF!</v>
      </c>
      <c r="Q3686" s="43"/>
      <c r="R3686" s="43"/>
      <c r="S3686" s="43"/>
      <c r="T3686" s="43"/>
      <c r="U3686" s="43"/>
      <c r="V3686" s="43"/>
      <c r="W3686" s="43"/>
      <c r="X3686" s="43"/>
      <c r="Y3686" s="43"/>
      <c r="Z3686" s="43"/>
      <c r="AA3686" s="43"/>
      <c r="AB3686" s="43"/>
      <c r="AC3686" s="43"/>
      <c r="AD3686" s="43"/>
      <c r="AE3686" s="43"/>
      <c r="AF3686" s="43"/>
      <c r="AG3686" s="43"/>
      <c r="AH3686" s="4"/>
      <c r="AI3686" s="4"/>
      <c r="AJ3686" s="4"/>
      <c r="AK3686" s="4"/>
      <c r="AL3686" s="4"/>
      <c r="AM3686" s="4"/>
      <c r="AN3686" s="4"/>
      <c r="AO3686" s="4"/>
      <c r="AP3686" s="4"/>
      <c r="AQ3686" s="4"/>
      <c r="AR3686" s="4"/>
      <c r="AS3686" s="4"/>
      <c r="AT3686" s="4"/>
      <c r="AU3686" s="4"/>
      <c r="AV3686" s="4"/>
    </row>
    <row r="3687" spans="1:48" ht="13.15" customHeight="1">
      <c r="A3687" s="412"/>
      <c r="B3687" s="412" t="s">
        <v>1248</v>
      </c>
      <c r="C3687" s="412" t="s">
        <v>652</v>
      </c>
      <c r="D3687" s="1590"/>
      <c r="E3687" s="2224" t="s">
        <v>2448</v>
      </c>
      <c r="F3687" s="505">
        <v>1228</v>
      </c>
      <c r="G3687" s="1668" t="s">
        <v>2290</v>
      </c>
      <c r="H3687" s="2822"/>
      <c r="I3687" s="2779">
        <v>228</v>
      </c>
      <c r="J3687" s="2776"/>
      <c r="K3687" s="2777"/>
      <c r="L3687" s="2778"/>
      <c r="M3687" s="2779">
        <v>228</v>
      </c>
      <c r="N3687" s="2847"/>
      <c r="O3687" s="86"/>
      <c r="P3687" s="1817" t="e">
        <f>INDEX(#REF!,MATCH(F3687,#REF!,0),2)</f>
        <v>#REF!</v>
      </c>
      <c r="Q3687" s="43"/>
      <c r="R3687" s="43"/>
      <c r="S3687" s="43"/>
      <c r="T3687" s="43"/>
      <c r="U3687" s="43"/>
      <c r="V3687" s="43"/>
      <c r="W3687" s="43"/>
      <c r="X3687" s="43"/>
      <c r="Y3687" s="43"/>
      <c r="Z3687" s="43"/>
      <c r="AA3687" s="43"/>
      <c r="AB3687" s="43"/>
      <c r="AC3687" s="43"/>
      <c r="AD3687" s="43"/>
      <c r="AE3687" s="43"/>
      <c r="AF3687" s="43"/>
      <c r="AG3687" s="43"/>
      <c r="AH3687" s="43"/>
      <c r="AI3687" s="43"/>
      <c r="AJ3687" s="43"/>
      <c r="AK3687" s="43"/>
      <c r="AL3687" s="43"/>
      <c r="AM3687" s="43"/>
      <c r="AN3687" s="43"/>
      <c r="AO3687" s="43"/>
      <c r="AP3687" s="43"/>
      <c r="AQ3687" s="43"/>
      <c r="AR3687" s="43"/>
      <c r="AS3687" s="43"/>
      <c r="AT3687" s="43"/>
      <c r="AU3687" s="43"/>
      <c r="AV3687" s="43"/>
    </row>
    <row r="3688" spans="1:48" ht="15.75" customHeight="1">
      <c r="A3688" s="412"/>
      <c r="B3688" s="412" t="s">
        <v>1248</v>
      </c>
      <c r="C3688" s="412" t="s">
        <v>652</v>
      </c>
      <c r="D3688" s="1590"/>
      <c r="E3688" s="2224" t="s">
        <v>2448</v>
      </c>
      <c r="F3688" s="505">
        <v>1228</v>
      </c>
      <c r="G3688" s="1668" t="s">
        <v>2293</v>
      </c>
      <c r="H3688" s="2822"/>
      <c r="I3688" s="2779">
        <v>228</v>
      </c>
      <c r="J3688" s="2776"/>
      <c r="K3688" s="2777"/>
      <c r="L3688" s="2778"/>
      <c r="M3688" s="2779">
        <v>228</v>
      </c>
      <c r="N3688" s="2847"/>
      <c r="O3688" s="86"/>
      <c r="P3688" s="1817" t="e">
        <f>INDEX(#REF!,MATCH(F3688,#REF!,0),2)</f>
        <v>#REF!</v>
      </c>
      <c r="Q3688" s="43"/>
      <c r="R3688" s="43"/>
      <c r="S3688" s="43"/>
      <c r="T3688" s="43"/>
      <c r="U3688" s="43"/>
      <c r="V3688" s="43"/>
      <c r="W3688" s="43"/>
      <c r="X3688" s="43"/>
      <c r="Y3688" s="43"/>
      <c r="Z3688" s="43"/>
      <c r="AA3688" s="43"/>
      <c r="AB3688" s="43"/>
      <c r="AC3688" s="43"/>
      <c r="AD3688" s="43"/>
      <c r="AE3688" s="43"/>
      <c r="AF3688" s="43"/>
      <c r="AG3688" s="43"/>
      <c r="AH3688" s="43"/>
      <c r="AI3688" s="43"/>
      <c r="AJ3688" s="43"/>
      <c r="AK3688" s="43"/>
      <c r="AL3688" s="43"/>
      <c r="AM3688" s="43"/>
      <c r="AN3688" s="43"/>
      <c r="AO3688" s="43"/>
      <c r="AP3688" s="43"/>
      <c r="AQ3688" s="43"/>
      <c r="AR3688" s="43"/>
      <c r="AS3688" s="43"/>
      <c r="AT3688" s="43"/>
      <c r="AU3688" s="43"/>
      <c r="AV3688" s="43"/>
    </row>
    <row r="3689" spans="1:48" ht="33.75" customHeight="1">
      <c r="A3689" s="992"/>
      <c r="B3689" s="412" t="s">
        <v>1248</v>
      </c>
      <c r="C3689" s="412" t="s">
        <v>652</v>
      </c>
      <c r="D3689" s="1590"/>
      <c r="E3689" s="2224" t="s">
        <v>2448</v>
      </c>
      <c r="F3689" s="505">
        <v>1228</v>
      </c>
      <c r="G3689" s="1668" t="s">
        <v>2294</v>
      </c>
      <c r="H3689" s="2822"/>
      <c r="I3689" s="2779">
        <v>228</v>
      </c>
      <c r="J3689" s="2776"/>
      <c r="K3689" s="2777"/>
      <c r="L3689" s="2778"/>
      <c r="M3689" s="2779">
        <v>228</v>
      </c>
      <c r="N3689" s="2847"/>
      <c r="O3689" s="86"/>
      <c r="P3689" s="1817" t="e">
        <f>INDEX(#REF!,MATCH(F3689,#REF!,0),2)</f>
        <v>#REF!</v>
      </c>
      <c r="Q3689" s="43"/>
      <c r="R3689" s="43"/>
      <c r="S3689" s="43"/>
      <c r="T3689" s="43"/>
      <c r="U3689" s="43"/>
      <c r="V3689" s="43"/>
      <c r="W3689" s="43"/>
      <c r="X3689" s="43"/>
      <c r="Y3689" s="43"/>
      <c r="Z3689" s="43"/>
      <c r="AA3689" s="43"/>
      <c r="AB3689" s="43"/>
      <c r="AC3689" s="43"/>
      <c r="AD3689" s="43"/>
      <c r="AE3689" s="43"/>
      <c r="AF3689" s="43"/>
      <c r="AG3689" s="43"/>
      <c r="AH3689" s="43"/>
      <c r="AI3689" s="43"/>
      <c r="AJ3689" s="43"/>
      <c r="AK3689" s="43"/>
      <c r="AL3689" s="43"/>
      <c r="AM3689" s="43"/>
      <c r="AN3689" s="43"/>
      <c r="AO3689" s="43"/>
      <c r="AP3689" s="43"/>
      <c r="AQ3689" s="43"/>
      <c r="AR3689" s="43"/>
      <c r="AS3689" s="43"/>
      <c r="AT3689" s="43"/>
      <c r="AU3689" s="43"/>
      <c r="AV3689" s="43"/>
    </row>
    <row r="3690" spans="1:48" ht="15.75" customHeight="1">
      <c r="A3690" s="992"/>
      <c r="B3690" s="412" t="s">
        <v>1248</v>
      </c>
      <c r="C3690" s="412" t="s">
        <v>652</v>
      </c>
      <c r="D3690" s="1590"/>
      <c r="E3690" s="2224" t="s">
        <v>2448</v>
      </c>
      <c r="F3690" s="505">
        <v>1228</v>
      </c>
      <c r="G3690" s="1668" t="s">
        <v>1687</v>
      </c>
      <c r="H3690" s="2822"/>
      <c r="I3690" s="2779">
        <v>228</v>
      </c>
      <c r="J3690" s="2776"/>
      <c r="K3690" s="2777"/>
      <c r="L3690" s="2778"/>
      <c r="M3690" s="2779">
        <v>228</v>
      </c>
      <c r="N3690" s="2847"/>
      <c r="O3690" s="86"/>
      <c r="P3690" s="1817" t="e">
        <f>INDEX(#REF!,MATCH(F3690,#REF!,0),2)</f>
        <v>#REF!</v>
      </c>
      <c r="Q3690" s="43"/>
      <c r="R3690" s="43"/>
      <c r="S3690" s="43"/>
      <c r="T3690" s="43"/>
      <c r="U3690" s="43"/>
      <c r="V3690" s="43"/>
      <c r="W3690" s="43"/>
      <c r="X3690" s="43"/>
      <c r="Y3690" s="43"/>
      <c r="Z3690" s="43"/>
      <c r="AA3690" s="43"/>
      <c r="AB3690" s="43"/>
      <c r="AC3690" s="43"/>
      <c r="AD3690" s="43"/>
      <c r="AE3690" s="43"/>
      <c r="AF3690" s="43"/>
      <c r="AG3690" s="43"/>
      <c r="AH3690" s="43"/>
      <c r="AI3690" s="43"/>
      <c r="AJ3690" s="43"/>
      <c r="AK3690" s="43"/>
      <c r="AL3690" s="43"/>
      <c r="AM3690" s="43"/>
      <c r="AN3690" s="43"/>
      <c r="AO3690" s="43"/>
      <c r="AP3690" s="43"/>
      <c r="AQ3690" s="43"/>
      <c r="AR3690" s="43"/>
      <c r="AS3690" s="43"/>
      <c r="AT3690" s="43"/>
      <c r="AU3690" s="43"/>
      <c r="AV3690" s="43"/>
    </row>
    <row r="3691" spans="1:48" ht="18" customHeight="1">
      <c r="A3691" s="412"/>
      <c r="B3691" s="412" t="s">
        <v>1248</v>
      </c>
      <c r="C3691" s="412" t="s">
        <v>652</v>
      </c>
      <c r="D3691" s="1590"/>
      <c r="E3691" s="2224" t="s">
        <v>2448</v>
      </c>
      <c r="F3691" s="505">
        <v>1228</v>
      </c>
      <c r="G3691" s="1668" t="s">
        <v>4749</v>
      </c>
      <c r="H3691" s="2822"/>
      <c r="I3691" s="2779">
        <v>156</v>
      </c>
      <c r="J3691" s="2776"/>
      <c r="K3691" s="2777"/>
      <c r="L3691" s="2778"/>
      <c r="M3691" s="2779">
        <v>228</v>
      </c>
      <c r="N3691" s="2847"/>
      <c r="O3691" s="86"/>
      <c r="P3691" s="1817" t="e">
        <f>INDEX(#REF!,MATCH(F3691,#REF!,0),2)</f>
        <v>#REF!</v>
      </c>
      <c r="Q3691" s="43"/>
      <c r="R3691" s="43"/>
      <c r="S3691" s="43"/>
      <c r="T3691" s="43"/>
      <c r="U3691" s="43"/>
      <c r="V3691" s="43"/>
      <c r="W3691" s="43"/>
      <c r="X3691" s="43"/>
      <c r="Y3691" s="43"/>
      <c r="Z3691" s="43"/>
      <c r="AA3691" s="43"/>
      <c r="AB3691" s="43"/>
      <c r="AC3691" s="43"/>
      <c r="AD3691" s="43"/>
      <c r="AE3691" s="43"/>
      <c r="AF3691" s="43"/>
      <c r="AG3691" s="43"/>
      <c r="AH3691" s="43"/>
      <c r="AI3691" s="43"/>
      <c r="AJ3691" s="43"/>
      <c r="AK3691" s="43"/>
      <c r="AL3691" s="43"/>
      <c r="AM3691" s="43"/>
      <c r="AN3691" s="43"/>
      <c r="AO3691" s="43"/>
      <c r="AP3691" s="43"/>
      <c r="AQ3691" s="43"/>
      <c r="AR3691" s="43"/>
      <c r="AS3691" s="43"/>
      <c r="AT3691" s="43"/>
      <c r="AU3691" s="43"/>
      <c r="AV3691" s="43"/>
    </row>
    <row r="3692" spans="1:48" ht="15.75" customHeight="1">
      <c r="A3692" s="992"/>
      <c r="B3692" s="412" t="s">
        <v>1248</v>
      </c>
      <c r="C3692" s="412" t="s">
        <v>652</v>
      </c>
      <c r="D3692" s="1590"/>
      <c r="E3692" s="2224" t="s">
        <v>2448</v>
      </c>
      <c r="F3692" s="505">
        <v>1228</v>
      </c>
      <c r="G3692" s="1668" t="s">
        <v>1687</v>
      </c>
      <c r="H3692" s="2822"/>
      <c r="I3692" s="2779">
        <v>228</v>
      </c>
      <c r="J3692" s="2776"/>
      <c r="K3692" s="2777"/>
      <c r="L3692" s="2778"/>
      <c r="M3692" s="2779">
        <v>228</v>
      </c>
      <c r="N3692" s="2847"/>
      <c r="O3692" s="86"/>
      <c r="P3692" s="1817" t="e">
        <f>INDEX(#REF!,MATCH(F3692,#REF!,0),2)</f>
        <v>#REF!</v>
      </c>
      <c r="Q3692" s="43"/>
      <c r="R3692" s="43"/>
      <c r="S3692" s="43"/>
      <c r="T3692" s="43"/>
      <c r="U3692" s="43"/>
      <c r="V3692" s="43"/>
      <c r="W3692" s="43"/>
      <c r="X3692" s="43"/>
      <c r="Y3692" s="43"/>
      <c r="Z3692" s="43"/>
      <c r="AA3692" s="43"/>
      <c r="AB3692" s="43"/>
      <c r="AC3692" s="43"/>
      <c r="AD3692" s="43"/>
      <c r="AE3692" s="43"/>
      <c r="AF3692" s="43"/>
      <c r="AG3692" s="43"/>
      <c r="AH3692" s="43"/>
      <c r="AI3692" s="43"/>
      <c r="AJ3692" s="43"/>
      <c r="AK3692" s="43"/>
      <c r="AL3692" s="43"/>
      <c r="AM3692" s="43"/>
      <c r="AN3692" s="43"/>
      <c r="AO3692" s="43"/>
      <c r="AP3692" s="43"/>
      <c r="AQ3692" s="43"/>
      <c r="AR3692" s="43"/>
      <c r="AS3692" s="43"/>
      <c r="AT3692" s="43"/>
      <c r="AU3692" s="43"/>
      <c r="AV3692" s="43"/>
    </row>
    <row r="3693" spans="1:48" ht="16.149999999999999" customHeight="1">
      <c r="A3693" s="992"/>
      <c r="B3693" s="412" t="s">
        <v>1248</v>
      </c>
      <c r="C3693" s="412" t="s">
        <v>652</v>
      </c>
      <c r="D3693" s="1590"/>
      <c r="E3693" s="2224" t="s">
        <v>2448</v>
      </c>
      <c r="F3693" s="505">
        <v>1228</v>
      </c>
      <c r="G3693" s="1668" t="s">
        <v>1686</v>
      </c>
      <c r="H3693" s="2822"/>
      <c r="I3693" s="2779">
        <v>228</v>
      </c>
      <c r="J3693" s="2776"/>
      <c r="K3693" s="2777"/>
      <c r="L3693" s="2778"/>
      <c r="M3693" s="2778"/>
      <c r="N3693" s="2847"/>
      <c r="O3693" s="86"/>
      <c r="P3693" s="1817" t="e">
        <f>INDEX(#REF!,MATCH(F3693,#REF!,0),2)</f>
        <v>#REF!</v>
      </c>
      <c r="Q3693" s="43"/>
      <c r="R3693" s="43"/>
      <c r="S3693" s="43"/>
      <c r="T3693" s="43"/>
      <c r="U3693" s="43"/>
      <c r="V3693" s="43"/>
      <c r="W3693" s="43"/>
      <c r="X3693" s="43"/>
      <c r="Y3693" s="43"/>
      <c r="Z3693" s="43"/>
      <c r="AA3693" s="43"/>
      <c r="AB3693" s="43"/>
      <c r="AC3693" s="43"/>
      <c r="AD3693" s="43"/>
      <c r="AE3693" s="43"/>
      <c r="AF3693" s="43"/>
      <c r="AG3693" s="43"/>
      <c r="AH3693" s="43"/>
      <c r="AI3693" s="43"/>
      <c r="AJ3693" s="43"/>
      <c r="AK3693" s="43"/>
      <c r="AL3693" s="43"/>
      <c r="AM3693" s="43"/>
      <c r="AN3693" s="43"/>
      <c r="AO3693" s="43"/>
      <c r="AP3693" s="43"/>
      <c r="AQ3693" s="43"/>
      <c r="AR3693" s="43"/>
      <c r="AS3693" s="43"/>
      <c r="AT3693" s="43"/>
      <c r="AU3693" s="43"/>
      <c r="AV3693" s="43"/>
    </row>
    <row r="3694" spans="1:48" ht="28.15" customHeight="1">
      <c r="A3694" s="506"/>
      <c r="B3694" s="506" t="s">
        <v>1248</v>
      </c>
      <c r="C3694" s="506" t="s">
        <v>505</v>
      </c>
      <c r="D3694" s="1632" t="s">
        <v>494</v>
      </c>
      <c r="E3694" s="2257" t="s">
        <v>2448</v>
      </c>
      <c r="F3694" s="540">
        <v>2111</v>
      </c>
      <c r="G3694" s="411" t="s">
        <v>545</v>
      </c>
      <c r="H3694" s="2838">
        <v>110</v>
      </c>
      <c r="I3694" s="2842"/>
      <c r="J3694" s="2840"/>
      <c r="K3694" s="2841"/>
      <c r="L3694" s="2842">
        <v>480</v>
      </c>
      <c r="M3694" s="2842"/>
      <c r="N3694" s="2847"/>
      <c r="O3694" s="86"/>
      <c r="P3694" s="1817" t="e">
        <f>INDEX(#REF!,MATCH(F3694,#REF!,0),2)</f>
        <v>#REF!</v>
      </c>
      <c r="Q3694" s="43"/>
      <c r="R3694" s="43"/>
      <c r="S3694" s="43"/>
      <c r="T3694" s="43"/>
      <c r="U3694" s="43"/>
      <c r="V3694" s="43"/>
      <c r="W3694" s="43"/>
      <c r="X3694" s="43"/>
      <c r="Y3694" s="43"/>
      <c r="Z3694" s="43"/>
      <c r="AA3694" s="43"/>
      <c r="AB3694" s="43"/>
      <c r="AC3694" s="43"/>
      <c r="AD3694" s="43"/>
      <c r="AE3694" s="43"/>
      <c r="AF3694" s="43"/>
      <c r="AG3694" s="43"/>
      <c r="AH3694" s="43"/>
      <c r="AI3694" s="43"/>
      <c r="AJ3694" s="43"/>
      <c r="AK3694" s="43"/>
      <c r="AL3694" s="43"/>
      <c r="AM3694" s="43"/>
      <c r="AN3694" s="43"/>
      <c r="AO3694" s="43"/>
      <c r="AP3694" s="43"/>
      <c r="AQ3694" s="43"/>
      <c r="AR3694" s="43"/>
      <c r="AS3694" s="43"/>
      <c r="AT3694" s="43"/>
      <c r="AU3694" s="43"/>
      <c r="AV3694" s="43"/>
    </row>
    <row r="3695" spans="1:48" ht="12" customHeight="1">
      <c r="A3695" s="412"/>
      <c r="B3695" s="412" t="s">
        <v>1248</v>
      </c>
      <c r="C3695" s="412" t="s">
        <v>505</v>
      </c>
      <c r="D3695" s="1590"/>
      <c r="E3695" s="2224" t="s">
        <v>2448</v>
      </c>
      <c r="F3695" s="505">
        <v>2111</v>
      </c>
      <c r="G3695" s="2774" t="s">
        <v>4750</v>
      </c>
      <c r="H3695" s="2822"/>
      <c r="I3695" s="2779">
        <v>110</v>
      </c>
      <c r="J3695" s="2776"/>
      <c r="K3695" s="2777"/>
      <c r="L3695" s="2779"/>
      <c r="M3695" s="2779">
        <v>480</v>
      </c>
      <c r="N3695" s="2847"/>
      <c r="O3695" s="86"/>
      <c r="P3695" s="1817" t="e">
        <f>INDEX(#REF!,MATCH(F3695,#REF!,0),2)</f>
        <v>#REF!</v>
      </c>
      <c r="Q3695" s="43"/>
      <c r="R3695" s="43"/>
      <c r="S3695" s="43"/>
      <c r="T3695" s="43"/>
      <c r="U3695" s="43"/>
      <c r="V3695" s="43"/>
      <c r="W3695" s="43"/>
      <c r="X3695" s="43"/>
      <c r="Y3695" s="43"/>
      <c r="Z3695" s="43"/>
      <c r="AA3695" s="43"/>
      <c r="AB3695" s="43"/>
      <c r="AC3695" s="43"/>
      <c r="AD3695" s="43"/>
      <c r="AE3695" s="43"/>
      <c r="AF3695" s="43"/>
      <c r="AG3695" s="43"/>
      <c r="AH3695" s="43"/>
      <c r="AI3695" s="43"/>
      <c r="AJ3695" s="43"/>
      <c r="AK3695" s="43"/>
      <c r="AL3695" s="43"/>
      <c r="AM3695" s="43"/>
      <c r="AN3695" s="43"/>
      <c r="AO3695" s="43"/>
      <c r="AP3695" s="43"/>
      <c r="AQ3695" s="43"/>
      <c r="AR3695" s="43"/>
      <c r="AS3695" s="43"/>
      <c r="AT3695" s="43"/>
      <c r="AU3695" s="43"/>
      <c r="AV3695" s="43"/>
    </row>
    <row r="3696" spans="1:48" ht="12" customHeight="1">
      <c r="A3696" s="506"/>
      <c r="B3696" s="506" t="s">
        <v>566</v>
      </c>
      <c r="C3696" s="506" t="s">
        <v>508</v>
      </c>
      <c r="D3696" s="1632" t="s">
        <v>494</v>
      </c>
      <c r="E3696" s="2257" t="s">
        <v>2448</v>
      </c>
      <c r="F3696" s="540">
        <v>2112</v>
      </c>
      <c r="G3696" s="411" t="s">
        <v>619</v>
      </c>
      <c r="H3696" s="2838">
        <v>560</v>
      </c>
      <c r="I3696" s="2842"/>
      <c r="J3696" s="2840"/>
      <c r="K3696" s="3515"/>
      <c r="L3696" s="2842">
        <v>0</v>
      </c>
      <c r="M3696" s="2839"/>
      <c r="N3696" s="2847"/>
      <c r="O3696" s="86"/>
      <c r="P3696" s="1817" t="e">
        <f>INDEX(#REF!,MATCH(F3696,#REF!,0),2)</f>
        <v>#REF!</v>
      </c>
      <c r="Q3696" s="43"/>
      <c r="R3696" s="43"/>
      <c r="S3696" s="43"/>
      <c r="T3696" s="43"/>
      <c r="U3696" s="43"/>
      <c r="V3696" s="43"/>
      <c r="W3696" s="43"/>
      <c r="X3696" s="43"/>
      <c r="Y3696" s="43"/>
      <c r="Z3696" s="43"/>
      <c r="AA3696" s="43"/>
      <c r="AB3696" s="43"/>
      <c r="AC3696" s="43"/>
      <c r="AD3696" s="43"/>
      <c r="AE3696" s="43"/>
      <c r="AF3696" s="43"/>
      <c r="AG3696" s="43"/>
      <c r="AH3696" s="43"/>
      <c r="AI3696" s="43"/>
      <c r="AJ3696" s="43"/>
      <c r="AK3696" s="43"/>
      <c r="AL3696" s="43"/>
      <c r="AM3696" s="43"/>
      <c r="AN3696" s="43"/>
      <c r="AO3696" s="43"/>
      <c r="AP3696" s="43"/>
      <c r="AQ3696" s="43"/>
      <c r="AR3696" s="43"/>
      <c r="AS3696" s="43"/>
      <c r="AT3696" s="43"/>
      <c r="AU3696" s="43"/>
      <c r="AV3696" s="43"/>
    </row>
    <row r="3697" spans="1:48" ht="34.9" customHeight="1">
      <c r="A3697" s="412"/>
      <c r="B3697" s="412" t="s">
        <v>566</v>
      </c>
      <c r="C3697" s="412" t="s">
        <v>508</v>
      </c>
      <c r="D3697" s="1590"/>
      <c r="E3697" s="2224" t="s">
        <v>2448</v>
      </c>
      <c r="F3697" s="505">
        <v>2112</v>
      </c>
      <c r="G3697" s="1913" t="s">
        <v>3296</v>
      </c>
      <c r="H3697" s="2822"/>
      <c r="I3697" s="2779">
        <v>560</v>
      </c>
      <c r="J3697" s="2776"/>
      <c r="K3697" s="3515"/>
      <c r="L3697" s="2778"/>
      <c r="M3697" s="2778"/>
      <c r="N3697" s="2847"/>
      <c r="O3697" s="86"/>
      <c r="P3697" s="1817" t="e">
        <f>INDEX(#REF!,MATCH(F3697,#REF!,0),2)</f>
        <v>#REF!</v>
      </c>
      <c r="Q3697" s="43"/>
      <c r="R3697" s="43"/>
      <c r="S3697" s="43"/>
      <c r="T3697" s="43"/>
      <c r="U3697" s="43"/>
      <c r="V3697" s="43"/>
      <c r="W3697" s="43"/>
      <c r="X3697" s="43"/>
      <c r="Y3697" s="43"/>
      <c r="Z3697" s="43"/>
      <c r="AA3697" s="43"/>
      <c r="AB3697" s="43"/>
      <c r="AC3697" s="43"/>
      <c r="AD3697" s="43"/>
      <c r="AE3697" s="43"/>
      <c r="AF3697" s="43"/>
      <c r="AG3697" s="43"/>
      <c r="AH3697" s="43"/>
      <c r="AI3697" s="43"/>
      <c r="AJ3697" s="43"/>
      <c r="AK3697" s="43"/>
      <c r="AL3697" s="43"/>
      <c r="AM3697" s="43"/>
      <c r="AN3697" s="43"/>
      <c r="AO3697" s="43"/>
      <c r="AP3697" s="43"/>
      <c r="AQ3697" s="43"/>
      <c r="AR3697" s="43"/>
      <c r="AS3697" s="43"/>
      <c r="AT3697" s="43"/>
      <c r="AU3697" s="43"/>
      <c r="AV3697" s="43"/>
    </row>
    <row r="3698" spans="1:48" ht="28.15" customHeight="1">
      <c r="A3698" s="506"/>
      <c r="B3698" s="506" t="s">
        <v>1248</v>
      </c>
      <c r="C3698" s="506" t="s">
        <v>505</v>
      </c>
      <c r="D3698" s="1632" t="s">
        <v>494</v>
      </c>
      <c r="E3698" s="2257" t="s">
        <v>2448</v>
      </c>
      <c r="F3698" s="540">
        <v>2121</v>
      </c>
      <c r="G3698" s="411" t="s">
        <v>546</v>
      </c>
      <c r="H3698" s="2838">
        <v>0</v>
      </c>
      <c r="I3698" s="2842"/>
      <c r="J3698" s="2840"/>
      <c r="K3698" s="2841"/>
      <c r="L3698" s="2842">
        <v>480</v>
      </c>
      <c r="M3698" s="2842"/>
      <c r="N3698" s="2847"/>
      <c r="O3698" s="86"/>
      <c r="P3698" s="1817" t="e">
        <f>INDEX(#REF!,MATCH(F3698,#REF!,0),2)</f>
        <v>#REF!</v>
      </c>
      <c r="Q3698" s="43"/>
      <c r="R3698" s="43"/>
      <c r="S3698" s="43"/>
      <c r="T3698" s="43"/>
      <c r="U3698" s="43"/>
      <c r="V3698" s="43"/>
      <c r="W3698" s="43"/>
      <c r="X3698" s="43"/>
      <c r="Y3698" s="43"/>
      <c r="Z3698" s="43"/>
      <c r="AA3698" s="43"/>
      <c r="AB3698" s="43"/>
      <c r="AC3698" s="43"/>
      <c r="AD3698" s="43"/>
      <c r="AE3698" s="43"/>
      <c r="AF3698" s="43"/>
      <c r="AG3698" s="43"/>
      <c r="AH3698" s="43"/>
      <c r="AI3698" s="43"/>
      <c r="AJ3698" s="43"/>
      <c r="AK3698" s="43"/>
      <c r="AL3698" s="43"/>
      <c r="AM3698" s="43"/>
      <c r="AN3698" s="43"/>
      <c r="AO3698" s="43"/>
      <c r="AP3698" s="43"/>
      <c r="AQ3698" s="43"/>
      <c r="AR3698" s="43"/>
      <c r="AS3698" s="43"/>
      <c r="AT3698" s="43"/>
      <c r="AU3698" s="43"/>
      <c r="AV3698" s="43"/>
    </row>
    <row r="3699" spans="1:48" ht="14.45" customHeight="1">
      <c r="A3699" s="412"/>
      <c r="B3699" s="412" t="s">
        <v>1248</v>
      </c>
      <c r="C3699" s="412" t="s">
        <v>505</v>
      </c>
      <c r="D3699" s="1590"/>
      <c r="E3699" s="2224" t="s">
        <v>2448</v>
      </c>
      <c r="F3699" s="505">
        <v>2121</v>
      </c>
      <c r="G3699" s="2774" t="s">
        <v>4751</v>
      </c>
      <c r="H3699" s="2822"/>
      <c r="I3699" s="2779"/>
      <c r="J3699" s="2776"/>
      <c r="K3699" s="2777"/>
      <c r="L3699" s="2779"/>
      <c r="M3699" s="2779">
        <v>480</v>
      </c>
      <c r="N3699" s="2847"/>
      <c r="O3699" s="86"/>
      <c r="P3699" s="1817" t="e">
        <f>INDEX(#REF!,MATCH(F3699,#REF!,0),2)</f>
        <v>#REF!</v>
      </c>
      <c r="Q3699" s="43"/>
      <c r="R3699" s="43"/>
      <c r="S3699" s="43"/>
      <c r="T3699" s="43"/>
      <c r="U3699" s="43"/>
      <c r="V3699" s="43"/>
      <c r="W3699" s="43"/>
      <c r="X3699" s="43"/>
      <c r="Y3699" s="43"/>
      <c r="Z3699" s="43"/>
      <c r="AA3699" s="43"/>
      <c r="AB3699" s="43"/>
      <c r="AC3699" s="43"/>
      <c r="AD3699" s="43"/>
      <c r="AE3699" s="43"/>
      <c r="AF3699" s="43"/>
      <c r="AG3699" s="43"/>
      <c r="AH3699" s="43"/>
      <c r="AI3699" s="43"/>
      <c r="AJ3699" s="43"/>
      <c r="AK3699" s="43"/>
      <c r="AL3699" s="43"/>
      <c r="AM3699" s="43"/>
      <c r="AN3699" s="43"/>
      <c r="AO3699" s="43"/>
      <c r="AP3699" s="43"/>
      <c r="AQ3699" s="43"/>
      <c r="AR3699" s="43"/>
      <c r="AS3699" s="43"/>
      <c r="AT3699" s="43"/>
      <c r="AU3699" s="43"/>
      <c r="AV3699" s="43"/>
    </row>
    <row r="3700" spans="1:48" ht="33.6" customHeight="1">
      <c r="A3700" s="506"/>
      <c r="B3700" s="506" t="s">
        <v>1248</v>
      </c>
      <c r="C3700" s="506" t="s">
        <v>505</v>
      </c>
      <c r="D3700" s="1632" t="s">
        <v>494</v>
      </c>
      <c r="E3700" s="2257" t="s">
        <v>2448</v>
      </c>
      <c r="F3700" s="540">
        <v>2121</v>
      </c>
      <c r="G3700" s="411" t="s">
        <v>546</v>
      </c>
      <c r="H3700" s="2838">
        <v>672</v>
      </c>
      <c r="I3700" s="2842"/>
      <c r="J3700" s="2840"/>
      <c r="K3700" s="2841"/>
      <c r="L3700" s="2842">
        <v>0</v>
      </c>
      <c r="M3700" s="2839"/>
      <c r="N3700" s="2847"/>
      <c r="O3700" s="86"/>
      <c r="P3700" s="1817" t="e">
        <f>INDEX(#REF!,MATCH(F3700,#REF!,0),2)</f>
        <v>#REF!</v>
      </c>
      <c r="Q3700" s="43"/>
      <c r="R3700" s="43"/>
      <c r="S3700" s="43"/>
      <c r="T3700" s="43"/>
      <c r="U3700" s="43"/>
      <c r="V3700" s="43"/>
      <c r="W3700" s="43"/>
      <c r="X3700" s="43"/>
      <c r="Y3700" s="43"/>
      <c r="Z3700" s="43"/>
      <c r="AA3700" s="43"/>
      <c r="AB3700" s="43"/>
      <c r="AC3700" s="43"/>
      <c r="AD3700" s="43"/>
      <c r="AE3700" s="43"/>
      <c r="AF3700" s="43"/>
      <c r="AG3700" s="43"/>
      <c r="AH3700" s="43"/>
      <c r="AI3700" s="43"/>
      <c r="AJ3700" s="43"/>
      <c r="AK3700" s="43"/>
      <c r="AL3700" s="43"/>
      <c r="AM3700" s="43"/>
      <c r="AN3700" s="43"/>
      <c r="AO3700" s="43"/>
      <c r="AP3700" s="43"/>
      <c r="AQ3700" s="43"/>
      <c r="AR3700" s="43"/>
      <c r="AS3700" s="43"/>
      <c r="AT3700" s="43"/>
      <c r="AU3700" s="43"/>
      <c r="AV3700" s="43"/>
    </row>
    <row r="3701" spans="1:48" ht="15.75" customHeight="1">
      <c r="A3701" s="412"/>
      <c r="B3701" s="412" t="s">
        <v>1248</v>
      </c>
      <c r="C3701" s="412" t="s">
        <v>505</v>
      </c>
      <c r="D3701" s="1590"/>
      <c r="E3701" s="2224" t="s">
        <v>2448</v>
      </c>
      <c r="F3701" s="505">
        <v>2121</v>
      </c>
      <c r="G3701" s="996" t="s">
        <v>1688</v>
      </c>
      <c r="H3701" s="2822"/>
      <c r="I3701" s="2779">
        <v>872</v>
      </c>
      <c r="J3701" s="2776"/>
      <c r="K3701" s="2777"/>
      <c r="L3701" s="2778"/>
      <c r="M3701" s="2778"/>
      <c r="N3701" s="2847"/>
      <c r="O3701" s="86"/>
      <c r="P3701" s="1817" t="e">
        <f>INDEX(#REF!,MATCH(F3701,#REF!,0),2)</f>
        <v>#REF!</v>
      </c>
      <c r="Q3701" s="43"/>
      <c r="R3701" s="43"/>
      <c r="S3701" s="43"/>
      <c r="T3701" s="43"/>
      <c r="U3701" s="43"/>
      <c r="V3701" s="43"/>
      <c r="W3701" s="43"/>
      <c r="X3701" s="43"/>
      <c r="Y3701" s="43"/>
      <c r="Z3701" s="43"/>
      <c r="AA3701" s="43"/>
      <c r="AB3701" s="43"/>
      <c r="AC3701" s="43"/>
      <c r="AD3701" s="43"/>
      <c r="AE3701" s="43"/>
      <c r="AF3701" s="43"/>
      <c r="AG3701" s="43"/>
      <c r="AH3701" s="43"/>
      <c r="AI3701" s="43"/>
      <c r="AJ3701" s="43"/>
      <c r="AK3701" s="43"/>
      <c r="AL3701" s="43"/>
      <c r="AM3701" s="43"/>
      <c r="AN3701" s="43"/>
      <c r="AO3701" s="43"/>
      <c r="AP3701" s="43"/>
      <c r="AQ3701" s="43"/>
      <c r="AR3701" s="43"/>
      <c r="AS3701" s="43"/>
      <c r="AT3701" s="43"/>
      <c r="AU3701" s="43"/>
      <c r="AV3701" s="43"/>
    </row>
    <row r="3702" spans="1:48" ht="13.15" customHeight="1">
      <c r="A3702" s="506"/>
      <c r="B3702" s="506" t="s">
        <v>566</v>
      </c>
      <c r="C3702" s="506" t="s">
        <v>508</v>
      </c>
      <c r="D3702" s="1632" t="s">
        <v>494</v>
      </c>
      <c r="E3702" s="2257" t="s">
        <v>2448</v>
      </c>
      <c r="F3702" s="540">
        <v>2122</v>
      </c>
      <c r="G3702" s="411" t="s">
        <v>619</v>
      </c>
      <c r="H3702" s="2838">
        <v>9000</v>
      </c>
      <c r="I3702" s="2842"/>
      <c r="J3702" s="2840"/>
      <c r="K3702" s="2841"/>
      <c r="L3702" s="2842">
        <v>51674.6</v>
      </c>
      <c r="M3702" s="2839"/>
      <c r="N3702" s="2847"/>
      <c r="O3702" s="86"/>
      <c r="P3702" s="1817" t="e">
        <f>INDEX(#REF!,MATCH(F3702,#REF!,0),2)</f>
        <v>#REF!</v>
      </c>
      <c r="Q3702" s="4"/>
      <c r="R3702" s="4"/>
      <c r="S3702" s="4"/>
      <c r="T3702" s="4"/>
      <c r="U3702" s="4"/>
      <c r="V3702" s="4"/>
      <c r="W3702" s="4"/>
      <c r="X3702" s="4"/>
      <c r="Y3702" s="4"/>
      <c r="Z3702" s="4"/>
      <c r="AA3702" s="4"/>
      <c r="AB3702" s="4"/>
      <c r="AC3702" s="4"/>
      <c r="AD3702" s="4"/>
      <c r="AE3702" s="4"/>
      <c r="AF3702" s="4"/>
      <c r="AG3702" s="4"/>
      <c r="AH3702" s="4"/>
      <c r="AI3702" s="4"/>
      <c r="AJ3702" s="4"/>
      <c r="AK3702" s="4"/>
      <c r="AL3702" s="4"/>
      <c r="AM3702" s="4"/>
      <c r="AN3702" s="4"/>
      <c r="AO3702" s="4"/>
      <c r="AP3702" s="4"/>
      <c r="AQ3702" s="4"/>
      <c r="AR3702" s="4"/>
      <c r="AS3702" s="4"/>
      <c r="AT3702" s="4"/>
      <c r="AU3702" s="4"/>
      <c r="AV3702" s="4"/>
    </row>
    <row r="3703" spans="1:48" ht="13.15" customHeight="1">
      <c r="A3703" s="1882"/>
      <c r="B3703" s="412" t="s">
        <v>566</v>
      </c>
      <c r="C3703" s="412" t="s">
        <v>508</v>
      </c>
      <c r="D3703" s="1590"/>
      <c r="E3703" s="2224" t="s">
        <v>2448</v>
      </c>
      <c r="F3703" s="505">
        <v>2122</v>
      </c>
      <c r="G3703" s="1884" t="s">
        <v>2967</v>
      </c>
      <c r="H3703" s="2822"/>
      <c r="I3703" s="2779">
        <v>9000</v>
      </c>
      <c r="J3703" s="2776"/>
      <c r="K3703" s="3515"/>
      <c r="L3703" s="2778"/>
      <c r="M3703" s="2779">
        <v>9000</v>
      </c>
      <c r="N3703" s="2847" t="s">
        <v>4755</v>
      </c>
      <c r="O3703" s="86"/>
      <c r="P3703" s="1817" t="e">
        <f>INDEX(#REF!,MATCH(F3703,#REF!,0),2)</f>
        <v>#REF!</v>
      </c>
      <c r="Q3703" s="43"/>
      <c r="R3703" s="43"/>
      <c r="S3703" s="43"/>
      <c r="T3703" s="43"/>
      <c r="U3703" s="43"/>
      <c r="V3703" s="43"/>
      <c r="W3703" s="43"/>
      <c r="X3703" s="43"/>
      <c r="Y3703" s="43"/>
      <c r="Z3703" s="43"/>
      <c r="AA3703" s="43"/>
      <c r="AB3703" s="43"/>
      <c r="AC3703" s="43"/>
      <c r="AD3703" s="43"/>
      <c r="AE3703" s="43"/>
      <c r="AF3703" s="43"/>
      <c r="AG3703" s="43"/>
      <c r="AH3703" s="43"/>
      <c r="AI3703" s="43"/>
      <c r="AJ3703" s="43"/>
      <c r="AL3703" s="43"/>
      <c r="AM3703" s="43"/>
      <c r="AN3703" s="43"/>
      <c r="AO3703" s="43"/>
      <c r="AP3703" s="43"/>
      <c r="AQ3703" s="43"/>
      <c r="AR3703" s="43"/>
      <c r="AS3703" s="43"/>
      <c r="AT3703" s="43"/>
      <c r="AU3703" s="43"/>
      <c r="AV3703" s="43"/>
    </row>
    <row r="3704" spans="1:48" ht="13.15" customHeight="1">
      <c r="A3704" s="2790"/>
      <c r="B3704" s="412" t="s">
        <v>566</v>
      </c>
      <c r="C3704" s="412" t="s">
        <v>508</v>
      </c>
      <c r="D3704" s="1590"/>
      <c r="E3704" s="2224" t="s">
        <v>2448</v>
      </c>
      <c r="F3704" s="505">
        <v>2122</v>
      </c>
      <c r="G3704" s="2774" t="s">
        <v>4752</v>
      </c>
      <c r="H3704" s="2822"/>
      <c r="I3704" s="2779"/>
      <c r="J3704" s="2776"/>
      <c r="K3704" s="3515"/>
      <c r="L3704" s="2778"/>
      <c r="M3704" s="2779">
        <v>0</v>
      </c>
      <c r="N3704" s="2847" t="s">
        <v>5313</v>
      </c>
      <c r="O3704" s="86"/>
      <c r="P3704" s="1817" t="e">
        <f>INDEX(#REF!,MATCH(F3704,#REF!,0),2)</f>
        <v>#REF!</v>
      </c>
      <c r="Q3704" s="4"/>
      <c r="R3704" s="4"/>
      <c r="S3704" s="4"/>
      <c r="T3704" s="4"/>
      <c r="U3704" s="4"/>
      <c r="V3704" s="4"/>
      <c r="W3704" s="4"/>
      <c r="X3704" s="4"/>
      <c r="Y3704" s="4"/>
      <c r="Z3704" s="4"/>
      <c r="AA3704" s="4"/>
      <c r="AB3704" s="4"/>
      <c r="AC3704" s="4"/>
      <c r="AD3704" s="4"/>
      <c r="AE3704" s="4"/>
      <c r="AF3704" s="4"/>
      <c r="AG3704" s="4"/>
      <c r="AH3704" s="4"/>
      <c r="AI3704" s="4"/>
      <c r="AJ3704" s="4"/>
      <c r="AK3704" s="4"/>
      <c r="AL3704" s="4"/>
      <c r="AM3704" s="4"/>
      <c r="AN3704" s="4"/>
      <c r="AO3704" s="4"/>
      <c r="AP3704" s="4"/>
      <c r="AQ3704" s="4"/>
      <c r="AR3704" s="4"/>
      <c r="AS3704" s="4"/>
      <c r="AT3704" s="4"/>
      <c r="AU3704" s="4"/>
      <c r="AV3704" s="4"/>
    </row>
    <row r="3705" spans="1:48" ht="15.75" customHeight="1">
      <c r="A3705" s="2790"/>
      <c r="B3705" s="412" t="s">
        <v>566</v>
      </c>
      <c r="C3705" s="412" t="s">
        <v>508</v>
      </c>
      <c r="D3705" s="1590"/>
      <c r="E3705" s="2224" t="s">
        <v>2448</v>
      </c>
      <c r="F3705" s="505">
        <v>2122</v>
      </c>
      <c r="G3705" s="2774" t="s">
        <v>4753</v>
      </c>
      <c r="H3705" s="2822"/>
      <c r="I3705" s="2779"/>
      <c r="J3705" s="2776"/>
      <c r="K3705" s="3515"/>
      <c r="L3705" s="2778"/>
      <c r="M3705" s="2779">
        <v>12020</v>
      </c>
      <c r="N3705" s="2847" t="s">
        <v>4756</v>
      </c>
      <c r="O3705" s="86"/>
      <c r="P3705" s="1817" t="e">
        <f>INDEX(#REF!,MATCH(F3705,#REF!,0),2)</f>
        <v>#REF!</v>
      </c>
      <c r="Q3705" s="43"/>
      <c r="R3705" s="43"/>
      <c r="S3705" s="43"/>
      <c r="T3705" s="43"/>
      <c r="U3705" s="43"/>
      <c r="V3705" s="43"/>
      <c r="W3705" s="43"/>
      <c r="X3705" s="43"/>
      <c r="Y3705" s="43"/>
      <c r="Z3705" s="43"/>
      <c r="AA3705" s="43"/>
      <c r="AB3705" s="43"/>
      <c r="AC3705" s="43"/>
      <c r="AD3705" s="43"/>
      <c r="AE3705" s="43"/>
      <c r="AF3705" s="43"/>
      <c r="AG3705" s="43"/>
      <c r="AH3705" s="43"/>
      <c r="AI3705" s="43"/>
      <c r="AJ3705" s="43"/>
      <c r="AK3705" s="43"/>
      <c r="AL3705" s="43"/>
      <c r="AM3705" s="43"/>
      <c r="AN3705" s="43"/>
      <c r="AO3705" s="43"/>
      <c r="AP3705" s="43"/>
      <c r="AQ3705" s="43"/>
      <c r="AR3705" s="43"/>
      <c r="AS3705" s="43"/>
      <c r="AT3705" s="43"/>
      <c r="AU3705" s="43"/>
      <c r="AV3705" s="43"/>
    </row>
    <row r="3706" spans="1:48" ht="12.6" customHeight="1">
      <c r="A3706" s="412"/>
      <c r="B3706" s="412" t="s">
        <v>566</v>
      </c>
      <c r="C3706" s="412" t="s">
        <v>508</v>
      </c>
      <c r="D3706" s="1590"/>
      <c r="E3706" s="2224" t="s">
        <v>2448</v>
      </c>
      <c r="F3706" s="505">
        <v>2122</v>
      </c>
      <c r="G3706" s="996" t="s">
        <v>4754</v>
      </c>
      <c r="H3706" s="2822"/>
      <c r="I3706" s="2779"/>
      <c r="J3706" s="2776"/>
      <c r="K3706" s="3515"/>
      <c r="L3706" s="2778"/>
      <c r="M3706" s="2779">
        <v>30654.6</v>
      </c>
      <c r="N3706" s="2847" t="s">
        <v>4757</v>
      </c>
      <c r="O3706" s="86"/>
      <c r="P3706" s="1817" t="e">
        <f>INDEX(#REF!,MATCH(F3706,#REF!,0),2)</f>
        <v>#REF!</v>
      </c>
      <c r="Q3706" s="43"/>
      <c r="R3706" s="43"/>
      <c r="S3706" s="43"/>
      <c r="T3706" s="43"/>
      <c r="U3706" s="43"/>
      <c r="V3706" s="43"/>
      <c r="W3706" s="43"/>
      <c r="X3706" s="43"/>
      <c r="Y3706" s="43"/>
      <c r="Z3706" s="43"/>
      <c r="AA3706" s="43"/>
      <c r="AB3706" s="43"/>
      <c r="AC3706" s="43"/>
      <c r="AD3706" s="43"/>
      <c r="AE3706" s="43"/>
      <c r="AF3706" s="43"/>
      <c r="AG3706" s="43"/>
      <c r="AH3706" s="43"/>
      <c r="AI3706" s="43"/>
      <c r="AJ3706" s="43"/>
      <c r="AK3706" s="43"/>
      <c r="AL3706" s="43"/>
      <c r="AM3706" s="43"/>
      <c r="AN3706" s="43"/>
      <c r="AO3706" s="43"/>
      <c r="AP3706" s="43"/>
      <c r="AQ3706" s="43"/>
      <c r="AR3706" s="43"/>
      <c r="AS3706" s="43"/>
      <c r="AT3706" s="43"/>
      <c r="AU3706" s="43"/>
      <c r="AV3706" s="43"/>
    </row>
    <row r="3707" spans="1:48" ht="22.9" customHeight="1">
      <c r="A3707" s="506"/>
      <c r="B3707" s="506" t="s">
        <v>1248</v>
      </c>
      <c r="C3707" s="506" t="s">
        <v>505</v>
      </c>
      <c r="D3707" s="1632" t="s">
        <v>494</v>
      </c>
      <c r="E3707" s="2257" t="s">
        <v>2448</v>
      </c>
      <c r="F3707" s="540">
        <v>2122</v>
      </c>
      <c r="G3707" s="411" t="s">
        <v>619</v>
      </c>
      <c r="H3707" s="2838">
        <v>500</v>
      </c>
      <c r="I3707" s="2842"/>
      <c r="J3707" s="2840"/>
      <c r="K3707" s="2841"/>
      <c r="L3707" s="2842">
        <v>4080</v>
      </c>
      <c r="M3707" s="2842"/>
      <c r="N3707" s="2847"/>
      <c r="O3707" s="86"/>
      <c r="P3707" s="1817" t="e">
        <f>INDEX(#REF!,MATCH(F3707,#REF!,0),2)</f>
        <v>#REF!</v>
      </c>
      <c r="Q3707" s="43"/>
      <c r="R3707" s="43"/>
      <c r="S3707" s="43"/>
      <c r="T3707" s="43"/>
      <c r="U3707" s="43"/>
      <c r="V3707" s="43"/>
      <c r="W3707" s="43"/>
      <c r="X3707" s="43"/>
      <c r="Y3707" s="43"/>
      <c r="Z3707" s="43"/>
      <c r="AA3707" s="43"/>
      <c r="AB3707" s="43"/>
      <c r="AC3707" s="43"/>
      <c r="AD3707" s="43"/>
      <c r="AE3707" s="43"/>
      <c r="AF3707" s="43"/>
      <c r="AG3707" s="43"/>
      <c r="AH3707" s="43"/>
      <c r="AI3707" s="43"/>
      <c r="AJ3707" s="43"/>
      <c r="AK3707" s="43"/>
      <c r="AL3707" s="43"/>
      <c r="AM3707" s="43"/>
      <c r="AN3707" s="43"/>
      <c r="AO3707" s="43"/>
      <c r="AP3707" s="43"/>
      <c r="AQ3707" s="43"/>
      <c r="AR3707" s="43"/>
      <c r="AS3707" s="43"/>
      <c r="AT3707" s="43"/>
      <c r="AU3707" s="43"/>
      <c r="AV3707" s="43"/>
    </row>
    <row r="3708" spans="1:48" s="66" customFormat="1" ht="15.75" customHeight="1">
      <c r="A3708" s="412"/>
      <c r="B3708" s="412" t="s">
        <v>1248</v>
      </c>
      <c r="C3708" s="412" t="s">
        <v>505</v>
      </c>
      <c r="D3708" s="1590"/>
      <c r="E3708" s="2224" t="s">
        <v>2448</v>
      </c>
      <c r="F3708" s="505">
        <v>2122</v>
      </c>
      <c r="G3708" s="2774" t="s">
        <v>4758</v>
      </c>
      <c r="H3708" s="2822"/>
      <c r="I3708" s="2779">
        <v>500</v>
      </c>
      <c r="J3708" s="2776"/>
      <c r="K3708" s="3515"/>
      <c r="L3708" s="2779"/>
      <c r="M3708" s="2779">
        <v>4080</v>
      </c>
      <c r="N3708" s="2847" t="s">
        <v>5316</v>
      </c>
      <c r="O3708" s="86"/>
      <c r="P3708" s="1817" t="e">
        <f>INDEX(#REF!,MATCH(F3708,#REF!,0),2)</f>
        <v>#REF!</v>
      </c>
      <c r="Q3708" s="168"/>
      <c r="R3708" s="168"/>
      <c r="S3708" s="168"/>
      <c r="T3708" s="168"/>
      <c r="U3708" s="168"/>
      <c r="V3708" s="168"/>
      <c r="W3708" s="43"/>
      <c r="X3708" s="168"/>
      <c r="Y3708" s="168"/>
      <c r="Z3708" s="168"/>
      <c r="AA3708" s="168"/>
      <c r="AB3708" s="168"/>
      <c r="AC3708" s="168"/>
      <c r="AD3708" s="168"/>
      <c r="AE3708" s="168"/>
      <c r="AF3708" s="168"/>
      <c r="AG3708" s="168"/>
      <c r="AH3708" s="168"/>
      <c r="AI3708" s="168"/>
      <c r="AJ3708" s="168"/>
      <c r="AL3708" s="168"/>
      <c r="AM3708" s="168"/>
      <c r="AN3708" s="168"/>
      <c r="AO3708" s="168"/>
      <c r="AP3708" s="168"/>
      <c r="AQ3708" s="168"/>
      <c r="AR3708" s="168"/>
      <c r="AS3708" s="168"/>
      <c r="AT3708" s="168"/>
      <c r="AU3708" s="168"/>
      <c r="AV3708" s="168"/>
    </row>
    <row r="3709" spans="1:48">
      <c r="A3709" s="506"/>
      <c r="B3709" s="506" t="s">
        <v>1248</v>
      </c>
      <c r="C3709" s="506" t="s">
        <v>507</v>
      </c>
      <c r="D3709" s="1632" t="s">
        <v>494</v>
      </c>
      <c r="E3709" s="2257" t="s">
        <v>2448</v>
      </c>
      <c r="F3709" s="540">
        <v>2210</v>
      </c>
      <c r="G3709" s="411" t="s">
        <v>879</v>
      </c>
      <c r="H3709" s="2838">
        <v>778</v>
      </c>
      <c r="I3709" s="2842"/>
      <c r="J3709" s="2840"/>
      <c r="K3709" s="2841"/>
      <c r="L3709" s="2842">
        <v>1423.9059999999999</v>
      </c>
      <c r="M3709" s="2839"/>
      <c r="N3709" s="2847"/>
      <c r="O3709" s="86"/>
      <c r="P3709" s="1817" t="e">
        <f>INDEX(#REF!,MATCH(F3709,#REF!,0),2)</f>
        <v>#REF!</v>
      </c>
      <c r="Q3709" s="43"/>
      <c r="R3709" s="43"/>
      <c r="S3709" s="43"/>
      <c r="T3709" s="43"/>
      <c r="U3709" s="43"/>
      <c r="V3709" s="43"/>
      <c r="W3709" s="43"/>
      <c r="X3709" s="43"/>
      <c r="Y3709" s="43"/>
      <c r="Z3709" s="43"/>
      <c r="AA3709" s="43"/>
      <c r="AB3709" s="43"/>
      <c r="AC3709" s="43"/>
      <c r="AD3709" s="43"/>
      <c r="AE3709" s="43"/>
      <c r="AF3709" s="43"/>
      <c r="AG3709" s="43"/>
      <c r="AH3709" s="43"/>
      <c r="AI3709" s="43"/>
      <c r="AJ3709" s="43"/>
      <c r="AL3709" s="43"/>
      <c r="AM3709" s="43"/>
      <c r="AN3709" s="43"/>
      <c r="AO3709" s="43"/>
      <c r="AP3709" s="43"/>
      <c r="AQ3709" s="43"/>
      <c r="AR3709" s="43"/>
      <c r="AS3709" s="43"/>
      <c r="AT3709" s="43"/>
      <c r="AU3709" s="43"/>
      <c r="AV3709" s="43"/>
    </row>
    <row r="3710" spans="1:48" s="66" customFormat="1" ht="17.45" customHeight="1">
      <c r="A3710" s="412"/>
      <c r="B3710" s="412" t="s">
        <v>1248</v>
      </c>
      <c r="C3710" s="412" t="s">
        <v>507</v>
      </c>
      <c r="D3710" s="1590"/>
      <c r="E3710" s="2224" t="s">
        <v>2448</v>
      </c>
      <c r="F3710" s="505">
        <v>2210</v>
      </c>
      <c r="G3710" s="1567" t="s">
        <v>5319</v>
      </c>
      <c r="H3710" s="2822"/>
      <c r="I3710" s="3513">
        <v>393</v>
      </c>
      <c r="J3710" s="2776">
        <v>350</v>
      </c>
      <c r="K3710" s="2821"/>
      <c r="L3710" s="2803"/>
      <c r="M3710" s="2779">
        <v>1038.9059999999999</v>
      </c>
      <c r="N3710" s="2847" t="s">
        <v>5320</v>
      </c>
      <c r="O3710" s="86"/>
      <c r="P3710" s="1817" t="e">
        <f>INDEX(#REF!,MATCH(F3710,#REF!,0),2)</f>
        <v>#REF!</v>
      </c>
      <c r="Q3710" s="168"/>
      <c r="R3710" s="168"/>
      <c r="S3710" s="168"/>
      <c r="T3710" s="168"/>
      <c r="U3710" s="168"/>
      <c r="V3710" s="168"/>
      <c r="W3710" s="43"/>
      <c r="X3710" s="168"/>
      <c r="Y3710" s="168"/>
      <c r="Z3710" s="168"/>
      <c r="AA3710" s="168"/>
      <c r="AB3710" s="168"/>
      <c r="AC3710" s="168"/>
      <c r="AD3710" s="168"/>
      <c r="AE3710" s="168"/>
      <c r="AF3710" s="168"/>
      <c r="AG3710" s="168"/>
      <c r="AH3710" s="168"/>
      <c r="AI3710" s="168"/>
      <c r="AJ3710" s="168"/>
      <c r="AL3710" s="168"/>
      <c r="AM3710" s="168"/>
      <c r="AN3710" s="168"/>
      <c r="AO3710" s="168"/>
      <c r="AP3710" s="168"/>
      <c r="AQ3710" s="168"/>
      <c r="AR3710" s="168"/>
      <c r="AS3710" s="168"/>
      <c r="AT3710" s="168"/>
      <c r="AU3710" s="168"/>
      <c r="AV3710" s="168"/>
    </row>
    <row r="3711" spans="1:48" ht="13.9" customHeight="1">
      <c r="A3711" s="412"/>
      <c r="B3711" s="412" t="s">
        <v>1248</v>
      </c>
      <c r="C3711" s="412" t="s">
        <v>507</v>
      </c>
      <c r="D3711" s="1590"/>
      <c r="E3711" s="2224" t="s">
        <v>2448</v>
      </c>
      <c r="F3711" s="505">
        <v>2210</v>
      </c>
      <c r="G3711" s="996" t="s">
        <v>4827</v>
      </c>
      <c r="H3711" s="2822"/>
      <c r="I3711" s="2779">
        <v>82</v>
      </c>
      <c r="J3711" s="2776">
        <v>82</v>
      </c>
      <c r="K3711" s="2777"/>
      <c r="L3711" s="2778"/>
      <c r="M3711" s="2779">
        <v>82</v>
      </c>
      <c r="N3711" s="2847"/>
      <c r="O3711" s="86"/>
      <c r="P3711" s="1817" t="e">
        <f>INDEX(#REF!,MATCH(F3711,#REF!,0),2)</f>
        <v>#REF!</v>
      </c>
      <c r="Q3711" s="43"/>
      <c r="R3711" s="43"/>
      <c r="S3711" s="43"/>
      <c r="T3711" s="43"/>
      <c r="U3711" s="43"/>
      <c r="V3711" s="43"/>
      <c r="W3711" s="43"/>
      <c r="X3711" s="43"/>
      <c r="Y3711" s="43"/>
      <c r="Z3711" s="43"/>
      <c r="AA3711" s="43"/>
      <c r="AB3711" s="43"/>
      <c r="AC3711" s="43"/>
      <c r="AD3711" s="43"/>
      <c r="AE3711" s="43"/>
      <c r="AF3711" s="43"/>
      <c r="AG3711" s="43"/>
      <c r="AH3711" s="43"/>
      <c r="AI3711" s="43"/>
      <c r="AJ3711" s="43"/>
      <c r="AL3711" s="43"/>
      <c r="AM3711" s="43"/>
      <c r="AN3711" s="43"/>
      <c r="AO3711" s="43"/>
      <c r="AP3711" s="43"/>
      <c r="AQ3711" s="43"/>
      <c r="AR3711" s="43"/>
      <c r="AS3711" s="43"/>
      <c r="AT3711" s="43"/>
      <c r="AU3711" s="43"/>
      <c r="AV3711" s="43"/>
    </row>
    <row r="3712" spans="1:48" s="66" customFormat="1" ht="15.75" customHeight="1">
      <c r="A3712" s="1882"/>
      <c r="B3712" s="412" t="s">
        <v>1248</v>
      </c>
      <c r="C3712" s="412" t="s">
        <v>507</v>
      </c>
      <c r="D3712" s="1590"/>
      <c r="E3712" s="2224" t="s">
        <v>2448</v>
      </c>
      <c r="F3712" s="505">
        <v>2210</v>
      </c>
      <c r="G3712" s="1884" t="s">
        <v>3250</v>
      </c>
      <c r="H3712" s="2822"/>
      <c r="I3712" s="3513">
        <v>303</v>
      </c>
      <c r="J3712" s="2776">
        <v>303</v>
      </c>
      <c r="K3712" s="2821"/>
      <c r="L3712" s="2803"/>
      <c r="M3712" s="2779">
        <v>303</v>
      </c>
      <c r="N3712" s="2847"/>
      <c r="O3712" s="86"/>
      <c r="P3712" s="1817" t="e">
        <f>INDEX(#REF!,MATCH(F3712,#REF!,0),2)</f>
        <v>#REF!</v>
      </c>
      <c r="Q3712" s="168"/>
      <c r="R3712" s="168"/>
      <c r="S3712" s="168"/>
      <c r="T3712" s="168"/>
      <c r="U3712" s="168"/>
      <c r="V3712" s="168"/>
      <c r="W3712" s="43"/>
      <c r="X3712" s="168"/>
      <c r="Y3712" s="168"/>
      <c r="Z3712" s="168"/>
      <c r="AA3712" s="168"/>
      <c r="AB3712" s="168"/>
      <c r="AC3712" s="168"/>
      <c r="AD3712" s="168"/>
      <c r="AE3712" s="168"/>
      <c r="AF3712" s="168"/>
      <c r="AG3712" s="168"/>
      <c r="AH3712" s="168"/>
      <c r="AI3712" s="168"/>
      <c r="AJ3712" s="168"/>
      <c r="AL3712" s="168"/>
      <c r="AM3712" s="168"/>
      <c r="AN3712" s="168"/>
      <c r="AO3712" s="168"/>
      <c r="AP3712" s="168"/>
      <c r="AQ3712" s="168"/>
      <c r="AR3712" s="168"/>
      <c r="AS3712" s="168"/>
      <c r="AT3712" s="168"/>
      <c r="AU3712" s="168"/>
      <c r="AV3712" s="168"/>
    </row>
    <row r="3713" spans="1:48">
      <c r="A3713" s="506"/>
      <c r="B3713" s="506" t="s">
        <v>1248</v>
      </c>
      <c r="C3713" s="506" t="s">
        <v>507</v>
      </c>
      <c r="D3713" s="1632" t="s">
        <v>494</v>
      </c>
      <c r="E3713" s="2257" t="s">
        <v>2448</v>
      </c>
      <c r="F3713" s="540">
        <v>2223</v>
      </c>
      <c r="G3713" s="411" t="s">
        <v>273</v>
      </c>
      <c r="H3713" s="3516">
        <v>2831.4</v>
      </c>
      <c r="I3713" s="3517"/>
      <c r="J3713" s="2840"/>
      <c r="K3713" s="2841"/>
      <c r="L3713" s="3517">
        <v>0</v>
      </c>
      <c r="M3713" s="3514"/>
      <c r="N3713" s="2847"/>
      <c r="O3713" s="86"/>
      <c r="P3713" s="1817" t="e">
        <f>INDEX(#REF!,MATCH(F3713,#REF!,0),2)</f>
        <v>#REF!</v>
      </c>
      <c r="Q3713" s="43"/>
      <c r="R3713" s="43"/>
      <c r="S3713" s="43"/>
      <c r="T3713" s="43"/>
      <c r="U3713" s="43"/>
      <c r="V3713" s="43"/>
      <c r="W3713" s="43"/>
      <c r="X3713" s="43"/>
      <c r="Y3713" s="43"/>
      <c r="Z3713" s="43"/>
      <c r="AA3713" s="43"/>
      <c r="AB3713" s="43"/>
      <c r="AC3713" s="43"/>
      <c r="AD3713" s="43"/>
      <c r="AE3713" s="43"/>
      <c r="AF3713" s="43"/>
      <c r="AG3713" s="43"/>
      <c r="AH3713" s="43"/>
      <c r="AI3713" s="43"/>
      <c r="AJ3713" s="43"/>
      <c r="AL3713" s="43"/>
      <c r="AM3713" s="43"/>
      <c r="AN3713" s="43"/>
      <c r="AO3713" s="43"/>
      <c r="AP3713" s="43"/>
      <c r="AQ3713" s="43"/>
      <c r="AR3713" s="43"/>
      <c r="AS3713" s="43"/>
      <c r="AT3713" s="43"/>
      <c r="AU3713" s="43"/>
      <c r="AV3713" s="43"/>
    </row>
    <row r="3714" spans="1:48" ht="19.899999999999999" customHeight="1">
      <c r="A3714" s="412"/>
      <c r="B3714" s="412" t="s">
        <v>1248</v>
      </c>
      <c r="C3714" s="412" t="s">
        <v>507</v>
      </c>
      <c r="D3714" s="1590"/>
      <c r="E3714" s="2224" t="s">
        <v>2448</v>
      </c>
      <c r="F3714" s="505">
        <v>2223</v>
      </c>
      <c r="G3714" s="410" t="s">
        <v>925</v>
      </c>
      <c r="H3714" s="2822"/>
      <c r="I3714" s="2779">
        <v>2178</v>
      </c>
      <c r="J3714" s="2776"/>
      <c r="K3714" s="2777"/>
      <c r="L3714" s="2778"/>
      <c r="M3714" s="2779"/>
      <c r="N3714" s="2847"/>
      <c r="O3714" s="86"/>
      <c r="P3714" s="1817" t="e">
        <f>INDEX(#REF!,MATCH(F3714,#REF!,0),2)</f>
        <v>#REF!</v>
      </c>
      <c r="Q3714" s="43"/>
      <c r="R3714" s="43"/>
      <c r="S3714" s="43"/>
      <c r="T3714" s="43"/>
      <c r="U3714" s="43"/>
      <c r="V3714" s="43"/>
      <c r="W3714" s="43"/>
      <c r="X3714" s="43"/>
      <c r="Y3714" s="43"/>
      <c r="Z3714" s="43"/>
      <c r="AA3714" s="43"/>
      <c r="AB3714" s="43"/>
      <c r="AC3714" s="43"/>
      <c r="AD3714" s="43"/>
      <c r="AE3714" s="43"/>
      <c r="AF3714" s="43"/>
      <c r="AG3714" s="43"/>
      <c r="AH3714" s="43"/>
      <c r="AI3714" s="43"/>
      <c r="AJ3714" s="43"/>
      <c r="AL3714" s="43"/>
      <c r="AM3714" s="43"/>
      <c r="AN3714" s="43"/>
      <c r="AO3714" s="43"/>
      <c r="AP3714" s="43"/>
      <c r="AQ3714" s="43"/>
      <c r="AR3714" s="43"/>
      <c r="AS3714" s="43"/>
      <c r="AT3714" s="43"/>
      <c r="AU3714" s="43"/>
      <c r="AV3714" s="43"/>
    </row>
    <row r="3715" spans="1:48" ht="28.9" customHeight="1">
      <c r="A3715" s="412"/>
      <c r="B3715" s="412" t="s">
        <v>1248</v>
      </c>
      <c r="C3715" s="412" t="s">
        <v>507</v>
      </c>
      <c r="D3715" s="1590"/>
      <c r="E3715" s="2224" t="s">
        <v>2448</v>
      </c>
      <c r="F3715" s="505">
        <v>2223</v>
      </c>
      <c r="G3715" s="410" t="s">
        <v>2682</v>
      </c>
      <c r="H3715" s="2822"/>
      <c r="I3715" s="2779">
        <v>653.4</v>
      </c>
      <c r="J3715" s="2776"/>
      <c r="K3715" s="2777"/>
      <c r="L3715" s="2778"/>
      <c r="M3715" s="2778"/>
      <c r="N3715" s="2847"/>
      <c r="O3715" s="86"/>
      <c r="P3715" s="1817" t="e">
        <f>INDEX(#REF!,MATCH(F3715,#REF!,0),2)</f>
        <v>#REF!</v>
      </c>
      <c r="Q3715" s="43"/>
      <c r="R3715" s="43"/>
      <c r="S3715" s="43"/>
      <c r="T3715" s="43"/>
      <c r="U3715" s="43"/>
      <c r="V3715" s="43"/>
      <c r="W3715" s="43"/>
      <c r="X3715" s="43"/>
      <c r="Y3715" s="43"/>
      <c r="Z3715" s="43"/>
      <c r="AA3715" s="43"/>
      <c r="AB3715" s="43"/>
      <c r="AC3715" s="43"/>
      <c r="AD3715" s="43"/>
      <c r="AE3715" s="43"/>
      <c r="AF3715" s="43"/>
      <c r="AG3715" s="43"/>
      <c r="AH3715" s="43"/>
      <c r="AI3715" s="43"/>
      <c r="AJ3715" s="43"/>
      <c r="AL3715" s="43"/>
      <c r="AM3715" s="43"/>
      <c r="AN3715" s="43"/>
      <c r="AO3715" s="43"/>
      <c r="AP3715" s="43"/>
      <c r="AQ3715" s="43"/>
      <c r="AR3715" s="43"/>
      <c r="AS3715" s="43"/>
      <c r="AT3715" s="43"/>
      <c r="AU3715" s="43"/>
      <c r="AV3715" s="43"/>
    </row>
    <row r="3716" spans="1:48" ht="24.6" customHeight="1">
      <c r="A3716" s="506"/>
      <c r="B3716" s="506" t="s">
        <v>1248</v>
      </c>
      <c r="C3716" s="506" t="s">
        <v>505</v>
      </c>
      <c r="D3716" s="1632" t="s">
        <v>494</v>
      </c>
      <c r="E3716" s="2257" t="s">
        <v>2448</v>
      </c>
      <c r="F3716" s="540">
        <v>2234</v>
      </c>
      <c r="G3716" s="411" t="s">
        <v>235</v>
      </c>
      <c r="H3716" s="2838">
        <v>400</v>
      </c>
      <c r="I3716" s="2842"/>
      <c r="J3716" s="2840"/>
      <c r="K3716" s="2841"/>
      <c r="L3716" s="2842">
        <v>400</v>
      </c>
      <c r="M3716" s="2839"/>
      <c r="N3716" s="2847"/>
      <c r="O3716" s="86"/>
      <c r="P3716" s="1817" t="e">
        <f>INDEX(#REF!,MATCH(F3716,#REF!,0),2)</f>
        <v>#REF!</v>
      </c>
      <c r="Q3716" s="43"/>
      <c r="R3716" s="43"/>
      <c r="S3716" s="43"/>
      <c r="T3716" s="43"/>
      <c r="U3716" s="43"/>
      <c r="V3716" s="43"/>
      <c r="W3716" s="43"/>
      <c r="X3716" s="43"/>
      <c r="Y3716" s="43"/>
      <c r="Z3716" s="43"/>
      <c r="AA3716" s="43"/>
      <c r="AB3716" s="43"/>
      <c r="AC3716" s="43"/>
      <c r="AD3716" s="43"/>
      <c r="AE3716" s="43"/>
      <c r="AF3716" s="43"/>
      <c r="AG3716" s="43"/>
      <c r="AH3716" s="43"/>
      <c r="AI3716" s="43"/>
      <c r="AJ3716" s="43"/>
      <c r="AL3716" s="43"/>
      <c r="AM3716" s="43"/>
      <c r="AN3716" s="43"/>
      <c r="AO3716" s="43"/>
      <c r="AP3716" s="43"/>
      <c r="AQ3716" s="43"/>
      <c r="AR3716" s="43"/>
      <c r="AS3716" s="43"/>
      <c r="AT3716" s="43"/>
      <c r="AU3716" s="43"/>
      <c r="AV3716" s="43"/>
    </row>
    <row r="3717" spans="1:48" ht="14.45" customHeight="1">
      <c r="A3717" s="412"/>
      <c r="B3717" s="412" t="s">
        <v>1248</v>
      </c>
      <c r="C3717" s="412" t="s">
        <v>505</v>
      </c>
      <c r="D3717" s="1590"/>
      <c r="E3717" s="2224" t="s">
        <v>2448</v>
      </c>
      <c r="F3717" s="505">
        <v>2234</v>
      </c>
      <c r="G3717" s="1669" t="s">
        <v>2295</v>
      </c>
      <c r="H3717" s="2822"/>
      <c r="I3717" s="2779">
        <v>400</v>
      </c>
      <c r="J3717" s="2776"/>
      <c r="K3717" s="2777"/>
      <c r="L3717" s="2778"/>
      <c r="M3717" s="2779">
        <v>400</v>
      </c>
      <c r="N3717" s="2847"/>
      <c r="O3717" s="86"/>
      <c r="P3717" s="1817" t="e">
        <f>INDEX(#REF!,MATCH(F3717,#REF!,0),2)</f>
        <v>#REF!</v>
      </c>
      <c r="Q3717" s="4"/>
      <c r="R3717" s="4"/>
      <c r="S3717" s="4"/>
      <c r="T3717" s="4"/>
      <c r="U3717" s="4"/>
      <c r="V3717" s="4"/>
      <c r="W3717" s="4"/>
      <c r="X3717" s="4"/>
      <c r="Y3717" s="4"/>
      <c r="Z3717" s="4"/>
      <c r="AA3717" s="4"/>
      <c r="AB3717" s="4"/>
      <c r="AC3717" s="4"/>
      <c r="AD3717" s="4"/>
      <c r="AE3717" s="4"/>
      <c r="AF3717" s="4"/>
      <c r="AG3717" s="4"/>
      <c r="AH3717" s="4"/>
      <c r="AI3717" s="4"/>
      <c r="AJ3717" s="4"/>
      <c r="AK3717" s="4"/>
      <c r="AL3717" s="4"/>
      <c r="AM3717" s="4"/>
      <c r="AN3717" s="4"/>
      <c r="AO3717" s="4"/>
      <c r="AP3717" s="4"/>
      <c r="AQ3717" s="4"/>
      <c r="AR3717" s="4"/>
      <c r="AS3717" s="4"/>
      <c r="AT3717" s="4"/>
      <c r="AU3717" s="4"/>
      <c r="AV3717" s="4"/>
    </row>
    <row r="3718" spans="1:48" ht="13.15" customHeight="1">
      <c r="A3718" s="506"/>
      <c r="B3718" s="506" t="s">
        <v>1248</v>
      </c>
      <c r="C3718" s="506" t="s">
        <v>505</v>
      </c>
      <c r="D3718" s="1632" t="s">
        <v>494</v>
      </c>
      <c r="E3718" s="2257" t="s">
        <v>2448</v>
      </c>
      <c r="F3718" s="540">
        <v>2235</v>
      </c>
      <c r="G3718" s="411" t="s">
        <v>2431</v>
      </c>
      <c r="H3718" s="2838">
        <v>680</v>
      </c>
      <c r="I3718" s="2842"/>
      <c r="J3718" s="2840"/>
      <c r="K3718" s="2841"/>
      <c r="L3718" s="2842">
        <v>680</v>
      </c>
      <c r="M3718" s="2839"/>
      <c r="N3718" s="2847"/>
      <c r="O3718" s="86"/>
      <c r="P3718" s="1817" t="e">
        <f>INDEX(#REF!,MATCH(F3718,#REF!,0),2)</f>
        <v>#REF!</v>
      </c>
      <c r="Q3718" s="43"/>
      <c r="R3718" s="43"/>
      <c r="S3718" s="43"/>
      <c r="T3718" s="43"/>
      <c r="U3718" s="43"/>
      <c r="V3718" s="43"/>
      <c r="W3718" s="43"/>
      <c r="X3718" s="43"/>
      <c r="Y3718" s="43"/>
      <c r="Z3718" s="43"/>
      <c r="AA3718" s="43"/>
      <c r="AB3718" s="43"/>
      <c r="AC3718" s="43"/>
      <c r="AD3718" s="43"/>
      <c r="AE3718" s="43"/>
      <c r="AF3718" s="43"/>
      <c r="AG3718" s="43"/>
      <c r="AH3718" s="43"/>
      <c r="AI3718" s="43"/>
      <c r="AJ3718" s="43"/>
      <c r="AK3718" s="43"/>
      <c r="AL3718" s="43"/>
      <c r="AM3718" s="43"/>
      <c r="AN3718" s="43"/>
      <c r="AO3718" s="43"/>
      <c r="AP3718" s="43"/>
      <c r="AQ3718" s="43"/>
      <c r="AR3718" s="43"/>
      <c r="AS3718" s="43"/>
      <c r="AT3718" s="43"/>
      <c r="AU3718" s="43"/>
      <c r="AV3718" s="43"/>
    </row>
    <row r="3719" spans="1:48" ht="48.6" customHeight="1">
      <c r="A3719" s="412"/>
      <c r="B3719" s="412" t="s">
        <v>1248</v>
      </c>
      <c r="C3719" s="412" t="s">
        <v>505</v>
      </c>
      <c r="D3719" s="1590"/>
      <c r="E3719" s="2224" t="s">
        <v>2448</v>
      </c>
      <c r="F3719" s="505">
        <v>2235</v>
      </c>
      <c r="G3719" s="2774" t="s">
        <v>2297</v>
      </c>
      <c r="H3719" s="2822"/>
      <c r="I3719" s="2779">
        <v>680</v>
      </c>
      <c r="J3719" s="2776">
        <v>126</v>
      </c>
      <c r="K3719" s="2777"/>
      <c r="L3719" s="2778"/>
      <c r="M3719" s="2779">
        <v>680</v>
      </c>
      <c r="N3719" s="2847"/>
      <c r="O3719" s="86"/>
      <c r="P3719" s="1817" t="e">
        <f>INDEX(#REF!,MATCH(F3719,#REF!,0),2)</f>
        <v>#REF!</v>
      </c>
      <c r="Q3719" s="43"/>
      <c r="R3719" s="43"/>
      <c r="S3719" s="43"/>
      <c r="T3719" s="43"/>
      <c r="U3719" s="43"/>
      <c r="V3719" s="43"/>
      <c r="W3719" s="43"/>
      <c r="X3719" s="43"/>
      <c r="Y3719" s="43"/>
      <c r="Z3719" s="43"/>
      <c r="AA3719" s="43"/>
      <c r="AB3719" s="43"/>
      <c r="AC3719" s="43"/>
      <c r="AD3719" s="43"/>
      <c r="AE3719" s="43"/>
      <c r="AF3719" s="43"/>
      <c r="AG3719" s="43"/>
      <c r="AH3719" s="43"/>
      <c r="AI3719" s="43"/>
      <c r="AJ3719" s="43"/>
      <c r="AK3719" s="43"/>
      <c r="AL3719" s="43"/>
      <c r="AM3719" s="43"/>
      <c r="AN3719" s="43"/>
      <c r="AO3719" s="43"/>
      <c r="AP3719" s="43"/>
      <c r="AQ3719" s="43"/>
      <c r="AR3719" s="43"/>
      <c r="AS3719" s="43"/>
      <c r="AT3719" s="43"/>
      <c r="AU3719" s="43"/>
      <c r="AV3719" s="43"/>
    </row>
    <row r="3720" spans="1:48" ht="34.15" customHeight="1">
      <c r="A3720" s="506"/>
      <c r="B3720" s="506" t="s">
        <v>1248</v>
      </c>
      <c r="C3720" s="506" t="s">
        <v>505</v>
      </c>
      <c r="D3720" s="1632" t="s">
        <v>494</v>
      </c>
      <c r="E3720" s="2257" t="s">
        <v>2448</v>
      </c>
      <c r="F3720" s="540">
        <v>2236</v>
      </c>
      <c r="G3720" s="411" t="s">
        <v>1975</v>
      </c>
      <c r="H3720" s="2838">
        <v>100</v>
      </c>
      <c r="I3720" s="2842"/>
      <c r="J3720" s="2840"/>
      <c r="K3720" s="2841"/>
      <c r="L3720" s="2842">
        <v>0</v>
      </c>
      <c r="M3720" s="2842"/>
      <c r="N3720" s="2847"/>
      <c r="O3720" s="86"/>
      <c r="P3720" s="1817" t="e">
        <f>INDEX(#REF!,MATCH(F3720,#REF!,0),2)</f>
        <v>#REF!</v>
      </c>
      <c r="Q3720" s="43"/>
      <c r="R3720" s="43"/>
      <c r="S3720" s="43"/>
      <c r="T3720" s="43"/>
      <c r="U3720" s="43"/>
      <c r="V3720" s="43"/>
      <c r="W3720" s="43"/>
      <c r="X3720" s="43"/>
      <c r="Y3720" s="43"/>
      <c r="Z3720" s="43"/>
      <c r="AA3720" s="43"/>
      <c r="AB3720" s="43"/>
      <c r="AC3720" s="43"/>
      <c r="AD3720" s="43"/>
      <c r="AE3720" s="43"/>
      <c r="AF3720" s="43"/>
      <c r="AG3720" s="43"/>
      <c r="AH3720" s="43"/>
      <c r="AI3720" s="43"/>
      <c r="AJ3720" s="43"/>
      <c r="AK3720" s="43"/>
      <c r="AL3720" s="43"/>
      <c r="AM3720" s="43"/>
      <c r="AN3720" s="43"/>
      <c r="AO3720" s="43"/>
      <c r="AP3720" s="43"/>
      <c r="AQ3720" s="43"/>
      <c r="AR3720" s="43"/>
      <c r="AS3720" s="43"/>
      <c r="AT3720" s="43"/>
      <c r="AU3720" s="43"/>
      <c r="AV3720" s="43"/>
    </row>
    <row r="3721" spans="1:48" ht="31.9" customHeight="1">
      <c r="A3721" s="412"/>
      <c r="B3721" s="412" t="s">
        <v>1248</v>
      </c>
      <c r="C3721" s="412" t="s">
        <v>505</v>
      </c>
      <c r="D3721" s="1590"/>
      <c r="E3721" s="2224" t="s">
        <v>2448</v>
      </c>
      <c r="F3721" s="505">
        <v>2236</v>
      </c>
      <c r="G3721" s="1669" t="s">
        <v>2296</v>
      </c>
      <c r="H3721" s="2822"/>
      <c r="I3721" s="2779">
        <v>100</v>
      </c>
      <c r="J3721" s="2776"/>
      <c r="K3721" s="2777"/>
      <c r="L3721" s="2779"/>
      <c r="M3721" s="2779"/>
      <c r="N3721" s="241"/>
      <c r="O3721" s="86"/>
      <c r="P3721" s="1817" t="e">
        <f>INDEX(#REF!,MATCH(F3721,#REF!,0),2)</f>
        <v>#REF!</v>
      </c>
      <c r="Q3721" s="43"/>
      <c r="R3721" s="43"/>
      <c r="S3721" s="43"/>
      <c r="T3721" s="43"/>
      <c r="U3721" s="43"/>
      <c r="V3721" s="43"/>
      <c r="W3721" s="43"/>
      <c r="X3721" s="43"/>
      <c r="Y3721" s="43"/>
      <c r="Z3721" s="43"/>
      <c r="AA3721" s="43"/>
      <c r="AB3721" s="43"/>
      <c r="AC3721" s="43"/>
      <c r="AD3721" s="43"/>
      <c r="AE3721" s="43"/>
      <c r="AF3721" s="43"/>
      <c r="AG3721" s="43"/>
      <c r="AH3721" s="43"/>
      <c r="AI3721" s="43"/>
      <c r="AJ3721" s="43"/>
      <c r="AK3721" s="43"/>
      <c r="AL3721" s="43"/>
      <c r="AM3721" s="43"/>
      <c r="AN3721" s="43"/>
      <c r="AO3721" s="43"/>
      <c r="AP3721" s="43"/>
      <c r="AQ3721" s="43"/>
      <c r="AR3721" s="43"/>
      <c r="AS3721" s="43"/>
      <c r="AT3721" s="43"/>
      <c r="AU3721" s="43"/>
      <c r="AV3721" s="43"/>
    </row>
    <row r="3722" spans="1:48" ht="24" customHeight="1">
      <c r="A3722" s="506"/>
      <c r="B3722" s="506" t="s">
        <v>1248</v>
      </c>
      <c r="C3722" s="506" t="s">
        <v>507</v>
      </c>
      <c r="D3722" s="1632" t="s">
        <v>494</v>
      </c>
      <c r="E3722" s="2257" t="s">
        <v>2448</v>
      </c>
      <c r="F3722" s="540">
        <v>2239</v>
      </c>
      <c r="G3722" s="411" t="s">
        <v>237</v>
      </c>
      <c r="H3722" s="2838">
        <v>127702.2</v>
      </c>
      <c r="I3722" s="2842"/>
      <c r="J3722" s="2840">
        <v>51583</v>
      </c>
      <c r="K3722" s="2841"/>
      <c r="L3722" s="2842">
        <v>68826.44</v>
      </c>
      <c r="M3722" s="2839"/>
      <c r="N3722" s="3506"/>
      <c r="O3722" s="86"/>
      <c r="P3722" s="1817" t="e">
        <f>INDEX(#REF!,MATCH(F3722,#REF!,0),2)</f>
        <v>#REF!</v>
      </c>
      <c r="Q3722" s="43"/>
      <c r="R3722" s="43"/>
      <c r="S3722" s="43"/>
      <c r="T3722" s="43"/>
      <c r="U3722" s="43"/>
      <c r="V3722" s="43"/>
      <c r="W3722" s="43"/>
      <c r="X3722" s="43"/>
      <c r="Y3722" s="43"/>
      <c r="Z3722" s="43"/>
      <c r="AA3722" s="43"/>
      <c r="AB3722" s="43"/>
      <c r="AC3722" s="43"/>
      <c r="AD3722" s="43"/>
      <c r="AE3722" s="43"/>
      <c r="AF3722" s="43"/>
      <c r="AG3722" s="43"/>
      <c r="AH3722" s="43"/>
      <c r="AI3722" s="43"/>
      <c r="AJ3722" s="43"/>
      <c r="AK3722" s="43"/>
      <c r="AL3722" s="43"/>
      <c r="AM3722" s="43"/>
      <c r="AN3722" s="43"/>
      <c r="AO3722" s="43"/>
      <c r="AP3722" s="43"/>
      <c r="AQ3722" s="43"/>
      <c r="AR3722" s="43"/>
      <c r="AS3722" s="43"/>
      <c r="AT3722" s="43"/>
      <c r="AU3722" s="43"/>
      <c r="AV3722" s="43"/>
    </row>
    <row r="3723" spans="1:48" ht="16.899999999999999" customHeight="1">
      <c r="A3723" s="412"/>
      <c r="B3723" s="412" t="s">
        <v>1248</v>
      </c>
      <c r="C3723" s="412" t="s">
        <v>507</v>
      </c>
      <c r="D3723" s="1590"/>
      <c r="E3723" s="2224" t="s">
        <v>2448</v>
      </c>
      <c r="F3723" s="505">
        <v>2239</v>
      </c>
      <c r="G3723" s="2774" t="s">
        <v>4759</v>
      </c>
      <c r="H3723" s="2822"/>
      <c r="I3723" s="2779">
        <v>1200</v>
      </c>
      <c r="J3723" s="2776">
        <v>109</v>
      </c>
      <c r="K3723" s="2777"/>
      <c r="L3723" s="2778"/>
      <c r="M3723" s="4221">
        <v>800</v>
      </c>
      <c r="N3723" s="241" t="s">
        <v>5317</v>
      </c>
      <c r="O3723" s="86"/>
      <c r="P3723" s="1817" t="e">
        <f>INDEX(#REF!,MATCH(F3723,#REF!,0),2)</f>
        <v>#REF!</v>
      </c>
      <c r="Q3723" s="43"/>
      <c r="R3723" s="43"/>
      <c r="S3723" s="43"/>
      <c r="T3723" s="43"/>
      <c r="U3723" s="43"/>
      <c r="V3723" s="43"/>
      <c r="W3723" s="43"/>
      <c r="X3723" s="43"/>
      <c r="Y3723" s="43"/>
      <c r="Z3723" s="43"/>
      <c r="AA3723" s="43"/>
      <c r="AB3723" s="43"/>
      <c r="AC3723" s="43"/>
      <c r="AD3723" s="43"/>
      <c r="AE3723" s="43"/>
      <c r="AF3723" s="43"/>
      <c r="AG3723" s="43"/>
      <c r="AH3723" s="43"/>
      <c r="AI3723" s="43"/>
      <c r="AJ3723" s="43"/>
      <c r="AK3723" s="43"/>
      <c r="AL3723" s="43"/>
      <c r="AM3723" s="43"/>
      <c r="AN3723" s="43"/>
      <c r="AO3723" s="43"/>
      <c r="AP3723" s="43"/>
      <c r="AQ3723" s="43"/>
      <c r="AR3723" s="43"/>
      <c r="AS3723" s="43"/>
      <c r="AT3723" s="43"/>
      <c r="AU3723" s="43"/>
      <c r="AV3723" s="43"/>
    </row>
    <row r="3724" spans="1:48" ht="39.6" customHeight="1">
      <c r="A3724" s="412"/>
      <c r="B3724" s="412" t="s">
        <v>1248</v>
      </c>
      <c r="C3724" s="412" t="s">
        <v>507</v>
      </c>
      <c r="D3724" s="1590"/>
      <c r="E3724" s="2224" t="s">
        <v>2448</v>
      </c>
      <c r="F3724" s="505">
        <v>2239</v>
      </c>
      <c r="G3724" s="2774" t="s">
        <v>725</v>
      </c>
      <c r="H3724" s="2822"/>
      <c r="I3724" s="2779">
        <v>600</v>
      </c>
      <c r="J3724" s="2776">
        <v>51</v>
      </c>
      <c r="K3724" s="2777"/>
      <c r="L3724" s="2778"/>
      <c r="M3724" s="2779">
        <v>600</v>
      </c>
      <c r="N3724" s="2847"/>
      <c r="O3724" s="86"/>
      <c r="P3724" s="1817" t="e">
        <f>INDEX(#REF!,MATCH(F3724,#REF!,0),2)</f>
        <v>#REF!</v>
      </c>
      <c r="Q3724" s="43"/>
      <c r="R3724" s="43"/>
      <c r="S3724" s="43"/>
      <c r="T3724" s="43"/>
      <c r="U3724" s="43"/>
      <c r="V3724" s="43"/>
      <c r="W3724" s="43"/>
      <c r="X3724" s="43"/>
      <c r="Y3724" s="43"/>
      <c r="Z3724" s="43"/>
      <c r="AA3724" s="43"/>
      <c r="AB3724" s="43"/>
      <c r="AC3724" s="43"/>
      <c r="AD3724" s="43"/>
      <c r="AE3724" s="43"/>
      <c r="AF3724" s="43"/>
      <c r="AG3724" s="43"/>
      <c r="AH3724" s="43"/>
      <c r="AI3724" s="43"/>
      <c r="AJ3724" s="43"/>
      <c r="AL3724" s="43"/>
      <c r="AM3724" s="43"/>
      <c r="AN3724" s="43"/>
      <c r="AO3724" s="43"/>
      <c r="AP3724" s="43"/>
      <c r="AQ3724" s="43"/>
      <c r="AR3724" s="43"/>
      <c r="AS3724" s="43"/>
      <c r="AT3724" s="43"/>
      <c r="AU3724" s="43"/>
      <c r="AV3724" s="43"/>
    </row>
    <row r="3725" spans="1:48" ht="22.15" customHeight="1">
      <c r="A3725" s="412"/>
      <c r="B3725" s="412" t="s">
        <v>1248</v>
      </c>
      <c r="C3725" s="412" t="s">
        <v>507</v>
      </c>
      <c r="D3725" s="1590"/>
      <c r="E3725" s="2224" t="s">
        <v>2448</v>
      </c>
      <c r="F3725" s="505">
        <v>2239</v>
      </c>
      <c r="G3725" s="583" t="s">
        <v>1204</v>
      </c>
      <c r="H3725" s="2822"/>
      <c r="I3725" s="2779">
        <v>800</v>
      </c>
      <c r="J3725" s="2776">
        <v>19</v>
      </c>
      <c r="K3725" s="2777"/>
      <c r="L3725" s="2778"/>
      <c r="M3725" s="4221">
        <v>330</v>
      </c>
      <c r="N3725" s="241" t="s">
        <v>5317</v>
      </c>
      <c r="O3725" s="86"/>
      <c r="P3725" s="1817" t="e">
        <f>INDEX(#REF!,MATCH(F3725,#REF!,0),2)</f>
        <v>#REF!</v>
      </c>
      <c r="Q3725" s="43"/>
      <c r="R3725" s="43"/>
      <c r="S3725" s="43"/>
      <c r="T3725" s="43"/>
      <c r="U3725" s="43"/>
      <c r="V3725" s="43"/>
      <c r="W3725" s="43"/>
      <c r="X3725" s="43"/>
      <c r="Y3725" s="43"/>
      <c r="Z3725" s="43"/>
      <c r="AA3725" s="43"/>
      <c r="AB3725" s="43"/>
      <c r="AC3725" s="43"/>
      <c r="AD3725" s="43"/>
      <c r="AE3725" s="43"/>
      <c r="AF3725" s="43"/>
      <c r="AG3725" s="43"/>
      <c r="AH3725" s="43"/>
      <c r="AI3725" s="43"/>
      <c r="AJ3725" s="43"/>
      <c r="AK3725" s="43"/>
      <c r="AL3725" s="43"/>
      <c r="AM3725" s="43"/>
      <c r="AN3725" s="43"/>
      <c r="AO3725" s="43"/>
      <c r="AP3725" s="43"/>
      <c r="AQ3725" s="43"/>
      <c r="AR3725" s="43"/>
      <c r="AS3725" s="43"/>
      <c r="AT3725" s="43"/>
      <c r="AU3725" s="43"/>
      <c r="AV3725" s="43"/>
    </row>
    <row r="3726" spans="1:48" ht="29.45" customHeight="1">
      <c r="A3726" s="412"/>
      <c r="B3726" s="412" t="s">
        <v>1248</v>
      </c>
      <c r="C3726" s="412" t="s">
        <v>507</v>
      </c>
      <c r="D3726" s="1590"/>
      <c r="E3726" s="2224" t="s">
        <v>2448</v>
      </c>
      <c r="F3726" s="505">
        <v>2239</v>
      </c>
      <c r="G3726" s="2774" t="s">
        <v>4760</v>
      </c>
      <c r="H3726" s="2779"/>
      <c r="I3726" s="3505">
        <v>1000</v>
      </c>
      <c r="J3726" s="2776">
        <v>1000</v>
      </c>
      <c r="K3726" s="3515"/>
      <c r="L3726" s="2778"/>
      <c r="M3726" s="3505">
        <v>1000</v>
      </c>
      <c r="N3726" s="2847" t="s">
        <v>4761</v>
      </c>
      <c r="O3726" s="86"/>
      <c r="P3726" s="1817" t="e">
        <f>INDEX(#REF!,MATCH(F3726,#REF!,0),2)</f>
        <v>#REF!</v>
      </c>
      <c r="Q3726" s="43"/>
      <c r="R3726" s="43"/>
      <c r="S3726" s="43"/>
      <c r="T3726" s="43"/>
      <c r="U3726" s="43"/>
      <c r="V3726" s="43"/>
      <c r="W3726" s="43"/>
      <c r="X3726" s="43"/>
      <c r="Y3726" s="43"/>
      <c r="Z3726" s="43"/>
      <c r="AA3726" s="43"/>
      <c r="AB3726" s="43"/>
      <c r="AC3726" s="43"/>
      <c r="AD3726" s="43"/>
      <c r="AE3726" s="43"/>
      <c r="AF3726" s="43"/>
      <c r="AG3726" s="43"/>
      <c r="AH3726" s="43"/>
      <c r="AI3726" s="43"/>
      <c r="AJ3726" s="43"/>
      <c r="AK3726" s="43"/>
      <c r="AL3726" s="43"/>
      <c r="AM3726" s="43"/>
      <c r="AN3726" s="43"/>
      <c r="AO3726" s="43"/>
      <c r="AP3726" s="43"/>
      <c r="AQ3726" s="43"/>
      <c r="AR3726" s="43"/>
      <c r="AS3726" s="43"/>
      <c r="AT3726" s="43"/>
      <c r="AU3726" s="43"/>
      <c r="AV3726" s="43"/>
    </row>
    <row r="3727" spans="1:48" ht="24" customHeight="1">
      <c r="A3727" s="412"/>
      <c r="B3727" s="412" t="s">
        <v>1248</v>
      </c>
      <c r="C3727" s="412" t="s">
        <v>507</v>
      </c>
      <c r="D3727" s="1590"/>
      <c r="E3727" s="2224" t="s">
        <v>2448</v>
      </c>
      <c r="F3727" s="505">
        <v>2239</v>
      </c>
      <c r="G3727" s="2774" t="s">
        <v>4762</v>
      </c>
      <c r="H3727" s="2779"/>
      <c r="I3727" s="3505">
        <v>750</v>
      </c>
      <c r="J3727" s="2776">
        <v>735</v>
      </c>
      <c r="K3727" s="3515"/>
      <c r="L3727" s="2778"/>
      <c r="M3727" s="2779">
        <v>800.24000000000012</v>
      </c>
      <c r="N3727" s="2847" t="s">
        <v>4763</v>
      </c>
      <c r="O3727" s="86"/>
      <c r="P3727" s="1817" t="e">
        <f>INDEX(#REF!,MATCH(F3727,#REF!,0),2)</f>
        <v>#REF!</v>
      </c>
      <c r="Q3727" s="43"/>
      <c r="R3727" s="43"/>
      <c r="S3727" s="43"/>
      <c r="T3727" s="43"/>
      <c r="U3727" s="43"/>
      <c r="V3727" s="43"/>
      <c r="W3727" s="43"/>
      <c r="X3727" s="43"/>
      <c r="Y3727" s="43"/>
      <c r="Z3727" s="43"/>
      <c r="AA3727" s="43"/>
      <c r="AB3727" s="43"/>
      <c r="AC3727" s="43"/>
      <c r="AD3727" s="43"/>
      <c r="AE3727" s="43"/>
      <c r="AF3727" s="43"/>
      <c r="AG3727" s="43"/>
      <c r="AH3727" s="43"/>
      <c r="AI3727" s="43"/>
      <c r="AJ3727" s="43"/>
      <c r="AK3727" s="43"/>
      <c r="AL3727" s="43"/>
      <c r="AM3727" s="43"/>
      <c r="AN3727" s="43"/>
      <c r="AO3727" s="43"/>
      <c r="AP3727" s="43"/>
      <c r="AQ3727" s="43"/>
      <c r="AR3727" s="43"/>
      <c r="AS3727" s="43"/>
      <c r="AT3727" s="43"/>
      <c r="AU3727" s="43"/>
      <c r="AV3727" s="43"/>
    </row>
    <row r="3728" spans="1:48" ht="16.149999999999999" customHeight="1">
      <c r="A3728" s="970" t="s">
        <v>519</v>
      </c>
      <c r="B3728" s="412" t="s">
        <v>1248</v>
      </c>
      <c r="C3728" s="412" t="s">
        <v>507</v>
      </c>
      <c r="D3728" s="1590"/>
      <c r="E3728" s="2224" t="s">
        <v>2448</v>
      </c>
      <c r="F3728" s="505">
        <v>2239</v>
      </c>
      <c r="G3728" s="2774" t="s">
        <v>4765</v>
      </c>
      <c r="H3728" s="2779"/>
      <c r="I3728" s="3505">
        <v>34555</v>
      </c>
      <c r="J3728" s="2776">
        <v>34554</v>
      </c>
      <c r="K3728" s="3515"/>
      <c r="L3728" s="2778"/>
      <c r="M3728" s="3505">
        <v>30800</v>
      </c>
      <c r="N3728" s="2847" t="s">
        <v>4766</v>
      </c>
      <c r="O3728" s="86"/>
      <c r="P3728" s="1817"/>
      <c r="Q3728" s="43"/>
      <c r="R3728" s="43"/>
      <c r="S3728" s="43"/>
      <c r="T3728" s="43"/>
      <c r="U3728" s="43"/>
      <c r="V3728" s="43"/>
      <c r="W3728" s="43"/>
      <c r="X3728" s="43"/>
      <c r="Y3728" s="43"/>
      <c r="Z3728" s="43"/>
      <c r="AA3728" s="43"/>
      <c r="AB3728" s="43"/>
      <c r="AC3728" s="43"/>
      <c r="AD3728" s="43"/>
      <c r="AE3728" s="43"/>
      <c r="AF3728" s="43"/>
      <c r="AG3728" s="43"/>
      <c r="AH3728" s="43"/>
      <c r="AI3728" s="43"/>
      <c r="AJ3728" s="43"/>
      <c r="AK3728" s="43"/>
      <c r="AL3728" s="43"/>
      <c r="AM3728" s="43"/>
      <c r="AN3728" s="43"/>
      <c r="AO3728" s="43"/>
      <c r="AP3728" s="43"/>
      <c r="AQ3728" s="43"/>
      <c r="AR3728" s="43"/>
      <c r="AS3728" s="43"/>
      <c r="AT3728" s="43"/>
      <c r="AU3728" s="43"/>
      <c r="AV3728" s="43"/>
    </row>
    <row r="3729" spans="1:48" ht="16.149999999999999" customHeight="1">
      <c r="A3729" s="584" t="s">
        <v>519</v>
      </c>
      <c r="B3729" s="412" t="s">
        <v>1248</v>
      </c>
      <c r="C3729" s="412" t="s">
        <v>507</v>
      </c>
      <c r="D3729" s="1590"/>
      <c r="E3729" s="2224" t="s">
        <v>2448</v>
      </c>
      <c r="F3729" s="505">
        <v>2239</v>
      </c>
      <c r="G3729" s="2774" t="s">
        <v>4767</v>
      </c>
      <c r="H3729" s="3518"/>
      <c r="I3729" s="3522">
        <v>68950</v>
      </c>
      <c r="J3729" s="3519">
        <v>11938</v>
      </c>
      <c r="K3729" s="3523"/>
      <c r="L3729" s="3520"/>
      <c r="M3729" s="3505">
        <v>20700</v>
      </c>
      <c r="N3729" s="2847" t="s">
        <v>4766</v>
      </c>
      <c r="O3729" s="86"/>
      <c r="P3729" s="1817" t="e">
        <f>INDEX(#REF!,MATCH(F3729,#REF!,0),2)</f>
        <v>#REF!</v>
      </c>
      <c r="Q3729" s="43"/>
      <c r="R3729" s="43"/>
      <c r="S3729" s="43"/>
      <c r="T3729" s="43"/>
      <c r="U3729" s="43"/>
      <c r="V3729" s="43"/>
      <c r="W3729" s="43"/>
      <c r="X3729" s="43"/>
      <c r="Y3729" s="43"/>
      <c r="Z3729" s="43"/>
      <c r="AA3729" s="43"/>
      <c r="AB3729" s="43"/>
      <c r="AC3729" s="43"/>
      <c r="AD3729" s="43"/>
      <c r="AE3729" s="43"/>
      <c r="AF3729" s="43"/>
      <c r="AG3729" s="43"/>
      <c r="AH3729" s="43"/>
      <c r="AI3729" s="43"/>
      <c r="AJ3729" s="43"/>
      <c r="AK3729" s="43"/>
      <c r="AL3729" s="43"/>
      <c r="AM3729" s="43"/>
      <c r="AN3729" s="43"/>
      <c r="AO3729" s="43"/>
      <c r="AP3729" s="43"/>
      <c r="AQ3729" s="43"/>
      <c r="AR3729" s="43"/>
      <c r="AS3729" s="43"/>
      <c r="AT3729" s="43"/>
      <c r="AU3729" s="43"/>
      <c r="AV3729" s="43"/>
    </row>
    <row r="3730" spans="1:48" ht="16.149999999999999" customHeight="1">
      <c r="A3730" s="584" t="s">
        <v>519</v>
      </c>
      <c r="B3730" s="412" t="s">
        <v>1248</v>
      </c>
      <c r="C3730" s="412" t="s">
        <v>507</v>
      </c>
      <c r="D3730" s="1590"/>
      <c r="E3730" s="2224" t="s">
        <v>2448</v>
      </c>
      <c r="F3730" s="505">
        <v>2239</v>
      </c>
      <c r="G3730" s="3082" t="s">
        <v>4795</v>
      </c>
      <c r="H3730" s="3518"/>
      <c r="I3730" s="3522">
        <v>3000</v>
      </c>
      <c r="J3730" s="3519"/>
      <c r="K3730" s="3523"/>
      <c r="L3730" s="3520"/>
      <c r="M3730" s="3518">
        <v>3000</v>
      </c>
      <c r="N3730" s="2847"/>
      <c r="O3730" s="86"/>
      <c r="P3730" s="1817" t="e">
        <f>INDEX(#REF!,MATCH(F3730,#REF!,0),2)</f>
        <v>#REF!</v>
      </c>
      <c r="Q3730" s="43"/>
      <c r="R3730" s="43"/>
      <c r="S3730" s="43"/>
      <c r="T3730" s="43"/>
      <c r="U3730" s="43"/>
      <c r="V3730" s="43"/>
      <c r="W3730" s="43"/>
      <c r="X3730" s="43"/>
      <c r="Y3730" s="43"/>
      <c r="Z3730" s="43"/>
      <c r="AA3730" s="43"/>
      <c r="AB3730" s="43"/>
      <c r="AC3730" s="43"/>
      <c r="AD3730" s="43"/>
      <c r="AE3730" s="43"/>
      <c r="AF3730" s="43"/>
      <c r="AG3730" s="43"/>
      <c r="AH3730" s="43"/>
      <c r="AI3730" s="43"/>
      <c r="AJ3730" s="43"/>
      <c r="AK3730" s="43"/>
      <c r="AL3730" s="43"/>
      <c r="AM3730" s="43"/>
      <c r="AN3730" s="43"/>
      <c r="AO3730" s="43"/>
      <c r="AP3730" s="43"/>
      <c r="AQ3730" s="43"/>
      <c r="AR3730" s="43"/>
      <c r="AS3730" s="43"/>
      <c r="AT3730" s="43"/>
      <c r="AU3730" s="43"/>
      <c r="AV3730" s="43"/>
    </row>
    <row r="3731" spans="1:48" ht="25.15" customHeight="1">
      <c r="A3731" s="1182"/>
      <c r="B3731" s="412" t="s">
        <v>1248</v>
      </c>
      <c r="C3731" s="412" t="s">
        <v>507</v>
      </c>
      <c r="D3731" s="1590"/>
      <c r="E3731" s="2224" t="s">
        <v>2448</v>
      </c>
      <c r="F3731" s="505">
        <v>2239</v>
      </c>
      <c r="G3731" s="1669" t="s">
        <v>2328</v>
      </c>
      <c r="H3731" s="2779"/>
      <c r="I3731" s="3505">
        <v>100</v>
      </c>
      <c r="J3731" s="2776">
        <v>320</v>
      </c>
      <c r="K3731" s="3515"/>
      <c r="L3731" s="2778"/>
      <c r="M3731" s="3505">
        <v>320</v>
      </c>
      <c r="N3731" s="2847"/>
      <c r="O3731" s="86"/>
      <c r="P3731" s="1817"/>
      <c r="Q3731" s="43"/>
      <c r="R3731" s="43"/>
      <c r="S3731" s="43"/>
      <c r="T3731" s="43"/>
      <c r="U3731" s="43"/>
      <c r="V3731" s="43"/>
      <c r="W3731" s="43"/>
      <c r="X3731" s="43"/>
      <c r="Y3731" s="43"/>
      <c r="Z3731" s="43"/>
      <c r="AA3731" s="43"/>
      <c r="AB3731" s="43"/>
      <c r="AC3731" s="43"/>
      <c r="AD3731" s="43"/>
      <c r="AE3731" s="43"/>
      <c r="AF3731" s="43"/>
      <c r="AG3731" s="43"/>
      <c r="AH3731" s="43"/>
      <c r="AI3731" s="43"/>
      <c r="AJ3731" s="43"/>
      <c r="AK3731" s="43"/>
      <c r="AL3731" s="43"/>
      <c r="AM3731" s="43"/>
      <c r="AN3731" s="43"/>
      <c r="AO3731" s="43"/>
      <c r="AP3731" s="43"/>
      <c r="AQ3731" s="43"/>
      <c r="AR3731" s="43"/>
      <c r="AS3731" s="43"/>
      <c r="AT3731" s="43"/>
      <c r="AU3731" s="43"/>
      <c r="AV3731" s="43"/>
    </row>
    <row r="3732" spans="1:48" ht="15" customHeight="1">
      <c r="A3732" s="412"/>
      <c r="B3732" s="412" t="s">
        <v>1248</v>
      </c>
      <c r="C3732" s="412" t="s">
        <v>505</v>
      </c>
      <c r="D3732" s="1590"/>
      <c r="E3732" s="2224" t="s">
        <v>2448</v>
      </c>
      <c r="F3732" s="505">
        <v>2239</v>
      </c>
      <c r="G3732" s="2774" t="s">
        <v>5918</v>
      </c>
      <c r="H3732" s="2822"/>
      <c r="I3732" s="3505">
        <v>700</v>
      </c>
      <c r="J3732" s="2776"/>
      <c r="K3732" s="2777"/>
      <c r="L3732" s="2778"/>
      <c r="M3732" s="2779">
        <v>700</v>
      </c>
      <c r="N3732" s="2847"/>
      <c r="O3732" s="86"/>
      <c r="P3732" s="1817"/>
      <c r="Q3732" s="43"/>
      <c r="R3732" s="43"/>
      <c r="S3732" s="43"/>
      <c r="T3732" s="43"/>
      <c r="U3732" s="43"/>
      <c r="V3732" s="43"/>
      <c r="W3732" s="43"/>
      <c r="X3732" s="43"/>
      <c r="Y3732" s="43"/>
      <c r="Z3732" s="43"/>
      <c r="AA3732" s="43"/>
      <c r="AB3732" s="43"/>
      <c r="AC3732" s="43"/>
      <c r="AD3732" s="43"/>
      <c r="AE3732" s="43"/>
      <c r="AF3732" s="43"/>
      <c r="AG3732" s="43"/>
      <c r="AH3732" s="43"/>
      <c r="AI3732" s="43"/>
      <c r="AJ3732" s="43"/>
      <c r="AK3732" s="43"/>
      <c r="AL3732" s="43"/>
      <c r="AM3732" s="43"/>
      <c r="AN3732" s="43"/>
      <c r="AO3732" s="43"/>
      <c r="AP3732" s="43"/>
      <c r="AQ3732" s="43"/>
      <c r="AR3732" s="43"/>
      <c r="AS3732" s="43"/>
      <c r="AT3732" s="43"/>
      <c r="AU3732" s="43"/>
      <c r="AV3732" s="43"/>
    </row>
    <row r="3733" spans="1:48" ht="18.600000000000001" customHeight="1">
      <c r="A3733" s="412"/>
      <c r="B3733" s="412" t="s">
        <v>1248</v>
      </c>
      <c r="C3733" s="412" t="s">
        <v>505</v>
      </c>
      <c r="D3733" s="1590"/>
      <c r="E3733" s="2224" t="s">
        <v>2448</v>
      </c>
      <c r="F3733" s="505">
        <v>2239</v>
      </c>
      <c r="G3733" s="410" t="s">
        <v>1689</v>
      </c>
      <c r="H3733" s="2822"/>
      <c r="I3733" s="3505">
        <v>2000</v>
      </c>
      <c r="J3733" s="2776">
        <v>463</v>
      </c>
      <c r="K3733" s="2777"/>
      <c r="L3733" s="2778"/>
      <c r="M3733" s="3505">
        <v>2000</v>
      </c>
      <c r="N3733" s="2847"/>
      <c r="O3733" s="86"/>
      <c r="P3733" s="1817"/>
      <c r="Q3733" s="43"/>
      <c r="R3733" s="43"/>
      <c r="S3733" s="43"/>
      <c r="T3733" s="43"/>
      <c r="U3733" s="43"/>
      <c r="V3733" s="43"/>
      <c r="W3733" s="43"/>
      <c r="X3733" s="43"/>
      <c r="Y3733" s="43"/>
      <c r="Z3733" s="43"/>
      <c r="AA3733" s="43"/>
      <c r="AB3733" s="43"/>
      <c r="AC3733" s="43"/>
      <c r="AD3733" s="43"/>
      <c r="AE3733" s="43"/>
      <c r="AF3733" s="43"/>
      <c r="AG3733" s="43"/>
      <c r="AH3733" s="43"/>
      <c r="AI3733" s="43"/>
      <c r="AJ3733" s="43"/>
      <c r="AK3733" s="43"/>
      <c r="AL3733" s="43"/>
      <c r="AM3733" s="43"/>
      <c r="AN3733" s="43"/>
      <c r="AO3733" s="43"/>
      <c r="AP3733" s="43"/>
      <c r="AQ3733" s="43"/>
      <c r="AR3733" s="43"/>
      <c r="AS3733" s="43"/>
      <c r="AT3733" s="43"/>
      <c r="AU3733" s="43"/>
      <c r="AV3733" s="43"/>
    </row>
    <row r="3734" spans="1:48" ht="22.5">
      <c r="A3734" s="2790"/>
      <c r="B3734" s="412" t="s">
        <v>1248</v>
      </c>
      <c r="C3734" s="412" t="s">
        <v>505</v>
      </c>
      <c r="D3734" s="1590"/>
      <c r="E3734" s="2224" t="s">
        <v>2448</v>
      </c>
      <c r="F3734" s="505">
        <v>2239</v>
      </c>
      <c r="G3734" s="2774" t="s">
        <v>5296</v>
      </c>
      <c r="H3734" s="2822"/>
      <c r="I3734" s="3505"/>
      <c r="J3734" s="2776"/>
      <c r="K3734" s="2777"/>
      <c r="L3734" s="2778"/>
      <c r="M3734" s="4221">
        <v>300</v>
      </c>
      <c r="N3734" s="2847" t="s">
        <v>6102</v>
      </c>
      <c r="O3734" s="86"/>
      <c r="P3734" s="1817"/>
      <c r="Q3734" s="43"/>
      <c r="R3734" s="43"/>
      <c r="S3734" s="43"/>
      <c r="T3734" s="43"/>
      <c r="U3734" s="43"/>
      <c r="V3734" s="43"/>
      <c r="W3734" s="43"/>
      <c r="X3734" s="43"/>
      <c r="Y3734" s="43"/>
      <c r="Z3734" s="43"/>
      <c r="AA3734" s="43"/>
      <c r="AB3734" s="43"/>
      <c r="AC3734" s="43"/>
      <c r="AD3734" s="43"/>
      <c r="AE3734" s="43"/>
      <c r="AF3734" s="43"/>
      <c r="AG3734" s="43"/>
      <c r="AH3734" s="43"/>
      <c r="AI3734" s="43"/>
      <c r="AJ3734" s="43"/>
      <c r="AK3734" s="43"/>
      <c r="AL3734" s="43"/>
      <c r="AM3734" s="43"/>
      <c r="AN3734" s="43"/>
      <c r="AO3734" s="43"/>
      <c r="AP3734" s="43"/>
      <c r="AQ3734" s="43"/>
      <c r="AR3734" s="43"/>
      <c r="AS3734" s="43"/>
      <c r="AT3734" s="43"/>
      <c r="AU3734" s="43"/>
      <c r="AV3734" s="43"/>
    </row>
    <row r="3735" spans="1:48" s="3827" customFormat="1" ht="12.6" customHeight="1">
      <c r="A3735" s="412"/>
      <c r="B3735" s="412" t="s">
        <v>1248</v>
      </c>
      <c r="C3735" s="412" t="s">
        <v>505</v>
      </c>
      <c r="D3735" s="1590"/>
      <c r="E3735" s="2224" t="s">
        <v>2448</v>
      </c>
      <c r="F3735" s="505">
        <v>2239</v>
      </c>
      <c r="G3735" s="2774" t="s">
        <v>4797</v>
      </c>
      <c r="H3735" s="2822"/>
      <c r="I3735" s="3505">
        <v>1400</v>
      </c>
      <c r="J3735" s="2776"/>
      <c r="K3735" s="2777"/>
      <c r="L3735" s="2778"/>
      <c r="M3735" s="3505">
        <v>700</v>
      </c>
      <c r="N3735" s="2847"/>
      <c r="O3735" s="86"/>
      <c r="P3735" s="1817"/>
      <c r="Q3735" s="3826"/>
      <c r="R3735" s="3826"/>
      <c r="S3735" s="3826"/>
      <c r="T3735" s="3826"/>
      <c r="U3735" s="3826"/>
      <c r="V3735" s="3826"/>
      <c r="W3735" s="3826"/>
      <c r="X3735" s="3826"/>
      <c r="Y3735" s="3826"/>
      <c r="Z3735" s="3826"/>
      <c r="AA3735" s="3826"/>
      <c r="AB3735" s="3826"/>
      <c r="AC3735" s="3826"/>
      <c r="AD3735" s="3826"/>
      <c r="AE3735" s="3826"/>
      <c r="AF3735" s="3826"/>
      <c r="AG3735" s="3826"/>
      <c r="AH3735" s="3826"/>
      <c r="AI3735" s="3826"/>
      <c r="AJ3735" s="3826"/>
      <c r="AK3735" s="3826"/>
      <c r="AL3735" s="3826"/>
      <c r="AM3735" s="3826"/>
      <c r="AN3735" s="3826"/>
      <c r="AO3735" s="3826"/>
      <c r="AP3735" s="3826"/>
      <c r="AQ3735" s="3826"/>
      <c r="AR3735" s="3826"/>
      <c r="AS3735" s="3826"/>
      <c r="AT3735" s="3826"/>
      <c r="AU3735" s="3826"/>
      <c r="AV3735" s="3826"/>
    </row>
    <row r="3736" spans="1:48" ht="39" customHeight="1">
      <c r="A3736" s="1182"/>
      <c r="B3736" s="412" t="s">
        <v>1248</v>
      </c>
      <c r="C3736" s="412" t="s">
        <v>505</v>
      </c>
      <c r="D3736" s="1590"/>
      <c r="E3736" s="2224" t="s">
        <v>2448</v>
      </c>
      <c r="F3736" s="505">
        <v>2239</v>
      </c>
      <c r="G3736" s="2774" t="s">
        <v>4798</v>
      </c>
      <c r="H3736" s="2822"/>
      <c r="I3736" s="2779">
        <v>1089</v>
      </c>
      <c r="J3736" s="2776"/>
      <c r="K3736" s="3524"/>
      <c r="L3736" s="2778"/>
      <c r="M3736" s="4221">
        <v>0</v>
      </c>
      <c r="N3736" s="241" t="s">
        <v>5734</v>
      </c>
      <c r="O3736" s="86"/>
      <c r="P3736" s="1817" t="e">
        <f>INDEX(#REF!,MATCH(F3736,#REF!,0),2)</f>
        <v>#REF!</v>
      </c>
      <c r="Q3736" s="43"/>
      <c r="R3736" s="43"/>
      <c r="S3736" s="43"/>
      <c r="T3736" s="43"/>
      <c r="U3736" s="43"/>
      <c r="V3736" s="43"/>
      <c r="W3736" s="43"/>
      <c r="X3736" s="43"/>
      <c r="Y3736" s="43"/>
      <c r="Z3736" s="43"/>
      <c r="AA3736" s="43"/>
      <c r="AB3736" s="43"/>
      <c r="AC3736" s="43"/>
      <c r="AD3736" s="43"/>
      <c r="AE3736" s="43"/>
      <c r="AF3736" s="43"/>
      <c r="AG3736" s="43"/>
      <c r="AH3736" s="43"/>
      <c r="AI3736" s="43"/>
      <c r="AJ3736" s="43"/>
      <c r="AK3736" s="43"/>
      <c r="AL3736" s="43"/>
      <c r="AM3736" s="43"/>
      <c r="AN3736" s="43"/>
      <c r="AO3736" s="43"/>
      <c r="AP3736" s="43"/>
      <c r="AQ3736" s="43"/>
      <c r="AR3736" s="43"/>
      <c r="AS3736" s="43"/>
      <c r="AT3736" s="43"/>
      <c r="AU3736" s="43"/>
      <c r="AV3736" s="43"/>
    </row>
    <row r="3737" spans="1:48" ht="21.6" customHeight="1">
      <c r="A3737" s="1921"/>
      <c r="B3737" s="412" t="s">
        <v>1248</v>
      </c>
      <c r="C3737" s="412" t="s">
        <v>505</v>
      </c>
      <c r="D3737" s="1590"/>
      <c r="E3737" s="2224" t="s">
        <v>2448</v>
      </c>
      <c r="F3737" s="505">
        <v>2239</v>
      </c>
      <c r="G3737" s="2774" t="s">
        <v>4799</v>
      </c>
      <c r="H3737" s="2822"/>
      <c r="I3737" s="2779"/>
      <c r="J3737" s="2776"/>
      <c r="K3737" s="3524"/>
      <c r="L3737" s="2778"/>
      <c r="M3737" s="3505">
        <v>1000</v>
      </c>
      <c r="N3737" s="2847"/>
      <c r="O3737" s="3825"/>
      <c r="P3737" s="3826" t="e">
        <f>INDEX(#REF!,MATCH(F3737,#REF!,0),2)</f>
        <v>#REF!</v>
      </c>
      <c r="Q3737" s="43"/>
      <c r="R3737" s="43"/>
      <c r="S3737" s="43"/>
      <c r="T3737" s="43"/>
      <c r="U3737" s="43"/>
      <c r="V3737" s="43"/>
      <c r="W3737" s="43"/>
      <c r="X3737" s="43"/>
      <c r="Y3737" s="43"/>
      <c r="Z3737" s="43"/>
      <c r="AA3737" s="43"/>
      <c r="AB3737" s="43"/>
      <c r="AC3737" s="43"/>
      <c r="AD3737" s="43"/>
      <c r="AE3737" s="43"/>
      <c r="AF3737" s="43"/>
      <c r="AG3737" s="43"/>
      <c r="AH3737" s="43"/>
      <c r="AI3737" s="43"/>
      <c r="AJ3737" s="43"/>
      <c r="AK3737" s="43"/>
      <c r="AL3737" s="43"/>
      <c r="AM3737" s="43"/>
      <c r="AN3737" s="43"/>
      <c r="AO3737" s="43"/>
      <c r="AP3737" s="43"/>
      <c r="AQ3737" s="43"/>
      <c r="AR3737" s="43"/>
      <c r="AS3737" s="43"/>
      <c r="AT3737" s="43"/>
      <c r="AU3737" s="43"/>
      <c r="AV3737" s="43"/>
    </row>
    <row r="3738" spans="1:48" ht="33" customHeight="1">
      <c r="A3738" s="1921"/>
      <c r="B3738" s="412" t="s">
        <v>1248</v>
      </c>
      <c r="C3738" s="412" t="s">
        <v>505</v>
      </c>
      <c r="D3738" s="1590"/>
      <c r="E3738" s="2224" t="s">
        <v>2448</v>
      </c>
      <c r="F3738" s="505">
        <v>2239</v>
      </c>
      <c r="G3738" s="2774" t="s">
        <v>4800</v>
      </c>
      <c r="H3738" s="2822"/>
      <c r="I3738" s="2779"/>
      <c r="J3738" s="2776"/>
      <c r="K3738" s="3524"/>
      <c r="L3738" s="2778"/>
      <c r="M3738" s="3505">
        <v>120</v>
      </c>
      <c r="N3738" s="2847"/>
      <c r="O3738" s="86"/>
      <c r="P3738" s="1817" t="e">
        <f>INDEX(#REF!,MATCH(F3738,#REF!,0),2)</f>
        <v>#REF!</v>
      </c>
      <c r="Q3738" s="43"/>
      <c r="R3738" s="43"/>
      <c r="S3738" s="43"/>
      <c r="T3738" s="43"/>
      <c r="U3738" s="43"/>
      <c r="V3738" s="43"/>
      <c r="W3738" s="43"/>
      <c r="X3738" s="43"/>
      <c r="Y3738" s="43"/>
      <c r="Z3738" s="43"/>
      <c r="AA3738" s="43"/>
      <c r="AB3738" s="43"/>
      <c r="AC3738" s="43"/>
      <c r="AD3738" s="43"/>
      <c r="AE3738" s="43"/>
      <c r="AF3738" s="43"/>
      <c r="AG3738" s="43"/>
      <c r="AH3738" s="43"/>
      <c r="AI3738" s="43"/>
      <c r="AJ3738" s="43"/>
      <c r="AK3738" s="43"/>
      <c r="AL3738" s="43"/>
      <c r="AM3738" s="43"/>
      <c r="AN3738" s="43"/>
      <c r="AO3738" s="43"/>
      <c r="AP3738" s="43"/>
      <c r="AQ3738" s="43"/>
      <c r="AR3738" s="43"/>
      <c r="AS3738" s="43"/>
      <c r="AT3738" s="43"/>
      <c r="AU3738" s="43"/>
      <c r="AV3738" s="43"/>
    </row>
    <row r="3739" spans="1:48" ht="28.15" customHeight="1">
      <c r="A3739" s="1921"/>
      <c r="B3739" s="412" t="s">
        <v>1248</v>
      </c>
      <c r="C3739" s="412" t="s">
        <v>505</v>
      </c>
      <c r="D3739" s="1590"/>
      <c r="E3739" s="2224" t="s">
        <v>2448</v>
      </c>
      <c r="F3739" s="505">
        <v>2239</v>
      </c>
      <c r="G3739" s="2774" t="s">
        <v>4801</v>
      </c>
      <c r="H3739" s="2822"/>
      <c r="I3739" s="2779"/>
      <c r="J3739" s="2776"/>
      <c r="K3739" s="3524"/>
      <c r="L3739" s="2778"/>
      <c r="M3739" s="3505">
        <v>220</v>
      </c>
      <c r="N3739" s="2847"/>
      <c r="O3739" s="86"/>
      <c r="P3739" s="1817" t="e">
        <f>INDEX(#REF!,MATCH(F3739,#REF!,0),2)</f>
        <v>#REF!</v>
      </c>
      <c r="Q3739" s="43"/>
      <c r="R3739" s="43"/>
      <c r="S3739" s="43"/>
      <c r="T3739" s="43"/>
      <c r="U3739" s="43"/>
      <c r="V3739" s="43"/>
      <c r="W3739" s="43"/>
      <c r="X3739" s="43"/>
      <c r="Y3739" s="43"/>
      <c r="Z3739" s="43"/>
      <c r="AA3739" s="43"/>
      <c r="AB3739" s="43"/>
      <c r="AC3739" s="43"/>
      <c r="AD3739" s="43"/>
      <c r="AE3739" s="43"/>
      <c r="AF3739" s="43"/>
      <c r="AG3739" s="43"/>
      <c r="AH3739" s="43"/>
      <c r="AI3739" s="43"/>
      <c r="AJ3739" s="43"/>
      <c r="AK3739" s="43"/>
      <c r="AL3739" s="43"/>
      <c r="AM3739" s="43"/>
      <c r="AN3739" s="43"/>
      <c r="AO3739" s="43"/>
      <c r="AP3739" s="43"/>
      <c r="AQ3739" s="43"/>
      <c r="AR3739" s="43"/>
      <c r="AS3739" s="43"/>
      <c r="AT3739" s="43"/>
      <c r="AU3739" s="43"/>
      <c r="AV3739" s="43"/>
    </row>
    <row r="3740" spans="1:48" ht="35.450000000000003" customHeight="1">
      <c r="A3740" s="1921"/>
      <c r="B3740" s="412" t="s">
        <v>1248</v>
      </c>
      <c r="C3740" s="412" t="s">
        <v>505</v>
      </c>
      <c r="D3740" s="1590"/>
      <c r="E3740" s="2224" t="s">
        <v>2448</v>
      </c>
      <c r="F3740" s="505">
        <v>2239</v>
      </c>
      <c r="G3740" s="2774" t="s">
        <v>4802</v>
      </c>
      <c r="H3740" s="2822"/>
      <c r="I3740" s="2779"/>
      <c r="J3740" s="2776"/>
      <c r="K3740" s="3524"/>
      <c r="L3740" s="2778"/>
      <c r="M3740" s="3505">
        <v>4236.2</v>
      </c>
      <c r="N3740" s="2847" t="s">
        <v>5503</v>
      </c>
      <c r="O3740" s="86"/>
      <c r="P3740" s="1817" t="e">
        <f>INDEX(#REF!,MATCH(F3740,#REF!,0),2)</f>
        <v>#REF!</v>
      </c>
      <c r="Q3740" s="43"/>
      <c r="R3740" s="43"/>
      <c r="S3740" s="43"/>
      <c r="T3740" s="43"/>
      <c r="U3740" s="43"/>
      <c r="V3740" s="43"/>
      <c r="W3740" s="43"/>
      <c r="X3740" s="43"/>
      <c r="Y3740" s="43"/>
      <c r="Z3740" s="43"/>
      <c r="AA3740" s="43"/>
      <c r="AB3740" s="43"/>
      <c r="AC3740" s="43"/>
      <c r="AD3740" s="43"/>
      <c r="AE3740" s="43"/>
      <c r="AF3740" s="43"/>
      <c r="AG3740" s="43"/>
      <c r="AH3740" s="43"/>
      <c r="AI3740" s="43"/>
      <c r="AJ3740" s="43"/>
      <c r="AK3740" s="43"/>
      <c r="AL3740" s="43"/>
      <c r="AM3740" s="43"/>
      <c r="AN3740" s="43"/>
      <c r="AO3740" s="43"/>
      <c r="AP3740" s="43"/>
      <c r="AQ3740" s="43"/>
      <c r="AR3740" s="43"/>
      <c r="AS3740" s="43"/>
      <c r="AT3740" s="43"/>
      <c r="AU3740" s="43"/>
      <c r="AV3740" s="43"/>
    </row>
    <row r="3741" spans="1:48" ht="14.45" customHeight="1">
      <c r="A3741" s="1921"/>
      <c r="B3741" s="412" t="s">
        <v>1248</v>
      </c>
      <c r="C3741" s="412" t="s">
        <v>505</v>
      </c>
      <c r="D3741" s="1590"/>
      <c r="E3741" s="2224" t="s">
        <v>2448</v>
      </c>
      <c r="F3741" s="505">
        <v>2239</v>
      </c>
      <c r="G3741" s="2774" t="s">
        <v>4803</v>
      </c>
      <c r="H3741" s="2822"/>
      <c r="I3741" s="2779"/>
      <c r="J3741" s="2776"/>
      <c r="K3741" s="3524"/>
      <c r="L3741" s="2778"/>
      <c r="M3741" s="3505">
        <v>1200</v>
      </c>
      <c r="N3741" s="2847" t="s">
        <v>4804</v>
      </c>
      <c r="O3741" s="86"/>
      <c r="P3741" s="1817" t="e">
        <f>INDEX(#REF!,MATCH(F3741,#REF!,0),2)</f>
        <v>#REF!</v>
      </c>
      <c r="Q3741" s="43"/>
      <c r="R3741" s="43"/>
      <c r="S3741" s="43"/>
      <c r="T3741" s="43"/>
      <c r="U3741" s="43"/>
      <c r="V3741" s="43"/>
      <c r="W3741" s="43"/>
      <c r="X3741" s="43"/>
      <c r="Y3741" s="43"/>
      <c r="Z3741" s="43"/>
      <c r="AA3741" s="43"/>
      <c r="AB3741" s="43"/>
      <c r="AC3741" s="43"/>
      <c r="AD3741" s="43"/>
      <c r="AE3741" s="43"/>
      <c r="AF3741" s="43"/>
      <c r="AG3741" s="43"/>
      <c r="AH3741" s="43"/>
      <c r="AI3741" s="43"/>
      <c r="AJ3741" s="43"/>
      <c r="AK3741" s="43"/>
      <c r="AL3741" s="43"/>
      <c r="AM3741" s="43"/>
      <c r="AN3741" s="43"/>
      <c r="AO3741" s="43"/>
      <c r="AP3741" s="43"/>
      <c r="AQ3741" s="43"/>
      <c r="AR3741" s="43"/>
      <c r="AS3741" s="43"/>
      <c r="AT3741" s="43"/>
      <c r="AU3741" s="43"/>
      <c r="AV3741" s="43"/>
    </row>
    <row r="3742" spans="1:48" ht="43.9" customHeight="1">
      <c r="A3742" s="970" t="s">
        <v>1543</v>
      </c>
      <c r="B3742" s="412" t="s">
        <v>1248</v>
      </c>
      <c r="C3742" s="412" t="s">
        <v>507</v>
      </c>
      <c r="D3742" s="1590"/>
      <c r="E3742" s="2224" t="s">
        <v>2448</v>
      </c>
      <c r="F3742" s="505">
        <v>2239</v>
      </c>
      <c r="G3742" s="2774" t="s">
        <v>4764</v>
      </c>
      <c r="H3742" s="2779"/>
      <c r="I3742" s="3505">
        <v>1800</v>
      </c>
      <c r="J3742" s="2776"/>
      <c r="K3742" s="3515"/>
      <c r="L3742" s="2778"/>
      <c r="M3742" s="3521"/>
      <c r="N3742" s="2847"/>
      <c r="O3742" s="86"/>
      <c r="P3742" s="1817" t="e">
        <f>INDEX(#REF!,MATCH(F3742,#REF!,0),2)</f>
        <v>#REF!</v>
      </c>
      <c r="Q3742" s="43"/>
      <c r="R3742" s="43"/>
      <c r="S3742" s="43"/>
      <c r="T3742" s="43"/>
      <c r="U3742" s="43"/>
      <c r="V3742" s="43"/>
      <c r="W3742" s="43"/>
      <c r="X3742" s="43"/>
      <c r="Y3742" s="43"/>
      <c r="Z3742" s="43"/>
      <c r="AA3742" s="43"/>
      <c r="AB3742" s="43"/>
      <c r="AC3742" s="43"/>
      <c r="AD3742" s="43"/>
      <c r="AE3742" s="43"/>
      <c r="AF3742" s="43"/>
      <c r="AG3742" s="43"/>
      <c r="AH3742" s="43"/>
      <c r="AI3742" s="43"/>
      <c r="AJ3742" s="43"/>
      <c r="AK3742" s="43"/>
      <c r="AL3742" s="43"/>
      <c r="AM3742" s="43"/>
      <c r="AN3742" s="43"/>
      <c r="AO3742" s="43"/>
      <c r="AP3742" s="43"/>
      <c r="AQ3742" s="43"/>
      <c r="AR3742" s="43"/>
      <c r="AS3742" s="43"/>
      <c r="AT3742" s="43"/>
      <c r="AU3742" s="43"/>
      <c r="AV3742" s="43"/>
    </row>
    <row r="3743" spans="1:48" ht="21" customHeight="1">
      <c r="A3743" s="2216"/>
      <c r="B3743" s="3817" t="s">
        <v>1248</v>
      </c>
      <c r="C3743" s="3817" t="s">
        <v>507</v>
      </c>
      <c r="D3743" s="3818"/>
      <c r="E3743" s="3817" t="s">
        <v>2448</v>
      </c>
      <c r="F3743" s="3819">
        <v>2239</v>
      </c>
      <c r="G3743" s="3820" t="s">
        <v>4796</v>
      </c>
      <c r="H3743" s="3821"/>
      <c r="I3743" s="3821"/>
      <c r="J3743" s="2776"/>
      <c r="K3743" s="3822"/>
      <c r="L3743" s="3823"/>
      <c r="M3743" s="3823"/>
      <c r="N3743" s="3824" t="s">
        <v>5294</v>
      </c>
      <c r="O3743" s="86"/>
      <c r="P3743" s="1817"/>
      <c r="Q3743" s="43"/>
      <c r="R3743" s="43"/>
      <c r="S3743" s="43"/>
      <c r="T3743" s="43"/>
      <c r="U3743" s="43"/>
      <c r="V3743" s="43"/>
      <c r="W3743" s="43"/>
      <c r="X3743" s="43"/>
      <c r="Y3743" s="43"/>
      <c r="Z3743" s="43"/>
      <c r="AA3743" s="43"/>
      <c r="AB3743" s="43"/>
      <c r="AC3743" s="43"/>
      <c r="AD3743" s="43"/>
      <c r="AE3743" s="43"/>
      <c r="AF3743" s="43"/>
      <c r="AG3743" s="43"/>
      <c r="AH3743" s="43"/>
      <c r="AI3743" s="43"/>
      <c r="AJ3743" s="43"/>
      <c r="AK3743" s="43"/>
      <c r="AL3743" s="43"/>
      <c r="AM3743" s="43"/>
      <c r="AN3743" s="43"/>
      <c r="AO3743" s="43"/>
      <c r="AP3743" s="43"/>
      <c r="AQ3743" s="43"/>
      <c r="AR3743" s="43"/>
      <c r="AS3743" s="43"/>
      <c r="AT3743" s="43"/>
      <c r="AU3743" s="43"/>
      <c r="AV3743" s="43"/>
    </row>
    <row r="3744" spans="1:48" ht="10.9" customHeight="1">
      <c r="A3744" s="584" t="s">
        <v>519</v>
      </c>
      <c r="B3744" s="412" t="s">
        <v>1248</v>
      </c>
      <c r="C3744" s="412" t="s">
        <v>507</v>
      </c>
      <c r="D3744" s="1590"/>
      <c r="E3744" s="2224" t="s">
        <v>2448</v>
      </c>
      <c r="F3744" s="505">
        <v>2239</v>
      </c>
      <c r="G3744" s="583" t="s">
        <v>1544</v>
      </c>
      <c r="H3744" s="3518"/>
      <c r="I3744" s="3522">
        <v>10368</v>
      </c>
      <c r="J3744" s="3519"/>
      <c r="K3744" s="3523"/>
      <c r="L3744" s="3520"/>
      <c r="M3744" s="3520"/>
      <c r="N3744" s="2847"/>
      <c r="O3744" s="86"/>
      <c r="P3744" s="1817" t="e">
        <f>INDEX(#REF!,MATCH(F3744,#REF!,0),2)</f>
        <v>#REF!</v>
      </c>
      <c r="Q3744" s="43"/>
      <c r="R3744" s="43"/>
      <c r="S3744" s="43"/>
      <c r="T3744" s="43"/>
      <c r="U3744" s="43"/>
      <c r="V3744" s="43"/>
      <c r="W3744" s="43"/>
      <c r="X3744" s="43"/>
      <c r="Y3744" s="43"/>
      <c r="Z3744" s="43"/>
      <c r="AA3744" s="43"/>
      <c r="AB3744" s="43"/>
      <c r="AC3744" s="43"/>
      <c r="AD3744" s="43"/>
      <c r="AE3744" s="43"/>
      <c r="AF3744" s="43"/>
      <c r="AG3744" s="43"/>
      <c r="AH3744" s="43"/>
      <c r="AI3744" s="43"/>
      <c r="AJ3744" s="43"/>
      <c r="AK3744" s="43"/>
      <c r="AL3744" s="43"/>
      <c r="AM3744" s="43"/>
      <c r="AN3744" s="43"/>
      <c r="AO3744" s="43"/>
      <c r="AP3744" s="43"/>
      <c r="AQ3744" s="43"/>
      <c r="AR3744" s="43"/>
      <c r="AS3744" s="43"/>
      <c r="AT3744" s="43"/>
      <c r="AU3744" s="43"/>
      <c r="AV3744" s="43"/>
    </row>
    <row r="3745" spans="1:48" ht="26.45" customHeight="1">
      <c r="A3745" s="970"/>
      <c r="B3745" s="412" t="s">
        <v>1248</v>
      </c>
      <c r="C3745" s="412" t="s">
        <v>507</v>
      </c>
      <c r="D3745" s="1590"/>
      <c r="E3745" s="2224" t="s">
        <v>2448</v>
      </c>
      <c r="F3745" s="505">
        <v>2239</v>
      </c>
      <c r="G3745" s="996" t="s">
        <v>1545</v>
      </c>
      <c r="H3745" s="2779"/>
      <c r="I3745" s="3505">
        <v>91.2</v>
      </c>
      <c r="J3745" s="2776"/>
      <c r="K3745" s="3515"/>
      <c r="L3745" s="2778"/>
      <c r="M3745" s="2778"/>
      <c r="N3745" s="2847"/>
      <c r="O3745" s="86"/>
      <c r="P3745" s="1817" t="e">
        <f>INDEX(#REF!,MATCH(F3745,#REF!,0),2)</f>
        <v>#REF!</v>
      </c>
      <c r="Q3745" s="43"/>
      <c r="R3745" s="43"/>
      <c r="S3745" s="43"/>
      <c r="T3745" s="43"/>
      <c r="U3745" s="43"/>
      <c r="V3745" s="43"/>
      <c r="W3745" s="43"/>
      <c r="X3745" s="43"/>
      <c r="Y3745" s="43"/>
      <c r="Z3745" s="43"/>
      <c r="AA3745" s="43"/>
      <c r="AB3745" s="43"/>
      <c r="AC3745" s="43"/>
      <c r="AD3745" s="43"/>
      <c r="AE3745" s="43"/>
      <c r="AF3745" s="43"/>
      <c r="AG3745" s="43"/>
      <c r="AH3745" s="43"/>
      <c r="AI3745" s="43"/>
      <c r="AJ3745" s="43"/>
      <c r="AK3745" s="43"/>
      <c r="AL3745" s="43"/>
      <c r="AM3745" s="43"/>
      <c r="AN3745" s="43"/>
      <c r="AO3745" s="43"/>
      <c r="AP3745" s="43"/>
      <c r="AQ3745" s="43"/>
      <c r="AR3745" s="43"/>
      <c r="AS3745" s="43"/>
      <c r="AT3745" s="43"/>
      <c r="AU3745" s="43"/>
      <c r="AV3745" s="43"/>
    </row>
    <row r="3746" spans="1:48" ht="13.15" customHeight="1">
      <c r="A3746" s="1921"/>
      <c r="B3746" s="412" t="s">
        <v>1248</v>
      </c>
      <c r="C3746" s="412" t="s">
        <v>505</v>
      </c>
      <c r="D3746" s="1590"/>
      <c r="E3746" s="2224" t="s">
        <v>2448</v>
      </c>
      <c r="F3746" s="505">
        <v>2239</v>
      </c>
      <c r="G3746" s="562" t="s">
        <v>3175</v>
      </c>
      <c r="H3746" s="2822"/>
      <c r="I3746" s="2779">
        <v>-1200</v>
      </c>
      <c r="J3746" s="2776"/>
      <c r="K3746" s="3524"/>
      <c r="L3746" s="2778"/>
      <c r="M3746" s="3521"/>
      <c r="N3746" s="2847"/>
      <c r="O3746" s="86"/>
      <c r="P3746" s="1817" t="e">
        <f>INDEX(#REF!,MATCH(F3746,#REF!,0),2)</f>
        <v>#REF!</v>
      </c>
      <c r="Q3746" s="43"/>
      <c r="R3746" s="43"/>
      <c r="S3746" s="43"/>
      <c r="T3746" s="43"/>
      <c r="U3746" s="43"/>
      <c r="V3746" s="43"/>
      <c r="W3746" s="43"/>
      <c r="X3746" s="43"/>
      <c r="Y3746" s="43"/>
      <c r="Z3746" s="43"/>
      <c r="AA3746" s="43"/>
      <c r="AB3746" s="43"/>
      <c r="AC3746" s="43"/>
      <c r="AD3746" s="43"/>
      <c r="AE3746" s="43"/>
      <c r="AF3746" s="43"/>
      <c r="AG3746" s="43"/>
      <c r="AH3746" s="43"/>
      <c r="AI3746" s="43"/>
      <c r="AJ3746" s="43"/>
      <c r="AK3746" s="43"/>
      <c r="AL3746" s="43"/>
      <c r="AM3746" s="43"/>
      <c r="AN3746" s="43"/>
      <c r="AO3746" s="43"/>
      <c r="AP3746" s="43"/>
      <c r="AQ3746" s="43"/>
      <c r="AR3746" s="43"/>
      <c r="AS3746" s="43"/>
      <c r="AT3746" s="43"/>
      <c r="AU3746" s="43"/>
      <c r="AV3746" s="43"/>
    </row>
    <row r="3747" spans="1:48" s="158" customFormat="1" ht="20.45" customHeight="1">
      <c r="A3747" s="1921"/>
      <c r="B3747" s="412" t="s">
        <v>1248</v>
      </c>
      <c r="C3747" s="412" t="s">
        <v>505</v>
      </c>
      <c r="D3747" s="1590"/>
      <c r="E3747" s="2224" t="s">
        <v>2448</v>
      </c>
      <c r="F3747" s="505">
        <v>2239</v>
      </c>
      <c r="G3747" s="2075" t="s">
        <v>3250</v>
      </c>
      <c r="H3747" s="2822"/>
      <c r="I3747" s="2779">
        <v>-303</v>
      </c>
      <c r="J3747" s="2776"/>
      <c r="K3747" s="3524"/>
      <c r="L3747" s="2778"/>
      <c r="M3747" s="3521"/>
      <c r="N3747" s="2847"/>
      <c r="O3747" s="86"/>
      <c r="P3747" s="1817" t="e">
        <f>INDEX(#REF!,MATCH(F3747,#REF!,0),2)</f>
        <v>#REF!</v>
      </c>
      <c r="W3747" s="1812"/>
    </row>
    <row r="3748" spans="1:48" s="158" customFormat="1" ht="15" customHeight="1">
      <c r="A3748" s="1921"/>
      <c r="B3748" s="412" t="s">
        <v>1248</v>
      </c>
      <c r="C3748" s="412" t="s">
        <v>505</v>
      </c>
      <c r="D3748" s="1590"/>
      <c r="E3748" s="2224" t="s">
        <v>2448</v>
      </c>
      <c r="F3748" s="505">
        <v>2239</v>
      </c>
      <c r="G3748" s="2075" t="s">
        <v>3276</v>
      </c>
      <c r="H3748" s="2822"/>
      <c r="I3748" s="2779">
        <v>-73</v>
      </c>
      <c r="J3748" s="2776"/>
      <c r="K3748" s="3524"/>
      <c r="L3748" s="2778"/>
      <c r="M3748" s="3521"/>
      <c r="N3748" s="2847"/>
      <c r="O3748" s="86"/>
      <c r="P3748" s="1817" t="e">
        <f>INDEX(#REF!,MATCH(F3748,#REF!,0),2)</f>
        <v>#REF!</v>
      </c>
      <c r="W3748" s="1812"/>
    </row>
    <row r="3749" spans="1:48" ht="15.6" customHeight="1">
      <c r="A3749" s="1921"/>
      <c r="B3749" s="412" t="s">
        <v>1248</v>
      </c>
      <c r="C3749" s="412" t="s">
        <v>505</v>
      </c>
      <c r="D3749" s="1590"/>
      <c r="E3749" s="2224" t="s">
        <v>2448</v>
      </c>
      <c r="F3749" s="505">
        <v>2239</v>
      </c>
      <c r="G3749" s="3377" t="s">
        <v>5295</v>
      </c>
      <c r="H3749" s="2822"/>
      <c r="I3749" s="2779">
        <v>-125</v>
      </c>
      <c r="J3749" s="2776"/>
      <c r="K3749" s="3524"/>
      <c r="L3749" s="2778"/>
      <c r="M3749" s="3521"/>
      <c r="N3749" s="2847"/>
      <c r="O3749" s="86"/>
      <c r="P3749" s="1817" t="e">
        <f>INDEX(#REF!,MATCH(F3749,#REF!,0),2)</f>
        <v>#REF!</v>
      </c>
      <c r="Q3749" s="43"/>
      <c r="R3749" s="43"/>
      <c r="S3749" s="43"/>
      <c r="T3749" s="43"/>
      <c r="U3749" s="43"/>
      <c r="V3749" s="43"/>
      <c r="W3749" s="43"/>
      <c r="X3749" s="43"/>
      <c r="Y3749" s="43"/>
      <c r="Z3749" s="43"/>
      <c r="AA3749" s="43"/>
      <c r="AB3749" s="43"/>
      <c r="AC3749" s="43"/>
      <c r="AD3749" s="43"/>
      <c r="AE3749" s="43"/>
      <c r="AF3749" s="43"/>
      <c r="AG3749" s="43"/>
      <c r="AH3749" s="43"/>
      <c r="AI3749" s="43"/>
      <c r="AJ3749" s="43"/>
      <c r="AK3749" s="43"/>
      <c r="AL3749" s="43"/>
      <c r="AM3749" s="43"/>
      <c r="AN3749" s="43"/>
      <c r="AO3749" s="43"/>
      <c r="AP3749" s="43"/>
      <c r="AQ3749" s="43"/>
      <c r="AR3749" s="43"/>
      <c r="AS3749" s="43"/>
      <c r="AT3749" s="43"/>
      <c r="AU3749" s="43"/>
      <c r="AV3749" s="43"/>
    </row>
    <row r="3750" spans="1:48" ht="15" customHeight="1">
      <c r="A3750" s="1921"/>
      <c r="B3750" s="412" t="s">
        <v>1248</v>
      </c>
      <c r="C3750" s="412" t="s">
        <v>505</v>
      </c>
      <c r="D3750" s="1590"/>
      <c r="E3750" s="2224" t="s">
        <v>2448</v>
      </c>
      <c r="F3750" s="505">
        <v>2239</v>
      </c>
      <c r="G3750" s="2075" t="s">
        <v>3275</v>
      </c>
      <c r="H3750" s="2822"/>
      <c r="I3750" s="2779">
        <v>1000</v>
      </c>
      <c r="J3750" s="2776"/>
      <c r="K3750" s="3524"/>
      <c r="L3750" s="2778"/>
      <c r="M3750" s="3521"/>
      <c r="N3750" s="2847"/>
      <c r="O3750" s="86"/>
      <c r="P3750" s="1817" t="e">
        <f>INDEX(#REF!,MATCH(F3750,#REF!,0),2)</f>
        <v>#REF!</v>
      </c>
      <c r="Q3750" s="43"/>
      <c r="R3750" s="43"/>
      <c r="S3750" s="43"/>
      <c r="T3750" s="43"/>
      <c r="U3750" s="43"/>
      <c r="V3750" s="43"/>
      <c r="W3750" s="43"/>
      <c r="X3750" s="43"/>
      <c r="Y3750" s="43"/>
      <c r="Z3750" s="43"/>
      <c r="AA3750" s="43"/>
      <c r="AB3750" s="43"/>
      <c r="AC3750" s="43"/>
      <c r="AD3750" s="43"/>
      <c r="AE3750" s="43"/>
      <c r="AF3750" s="43"/>
      <c r="AG3750" s="43"/>
      <c r="AH3750" s="43"/>
      <c r="AI3750" s="43"/>
      <c r="AJ3750" s="43"/>
      <c r="AK3750" s="43"/>
      <c r="AL3750" s="43"/>
      <c r="AM3750" s="43"/>
      <c r="AN3750" s="43"/>
      <c r="AO3750" s="43"/>
      <c r="AP3750" s="43"/>
      <c r="AQ3750" s="43"/>
      <c r="AR3750" s="43"/>
      <c r="AS3750" s="43"/>
      <c r="AT3750" s="43"/>
      <c r="AU3750" s="43"/>
      <c r="AV3750" s="43"/>
    </row>
    <row r="3751" spans="1:48" ht="15" customHeight="1">
      <c r="A3751" s="506"/>
      <c r="B3751" s="775" t="s">
        <v>1249</v>
      </c>
      <c r="C3751" s="506" t="s">
        <v>570</v>
      </c>
      <c r="D3751" s="1632" t="s">
        <v>494</v>
      </c>
      <c r="E3751" s="2257" t="s">
        <v>2448</v>
      </c>
      <c r="F3751" s="507">
        <v>2239</v>
      </c>
      <c r="G3751" s="411" t="s">
        <v>266</v>
      </c>
      <c r="H3751" s="2838">
        <v>0</v>
      </c>
      <c r="I3751" s="3525"/>
      <c r="J3751" s="2840"/>
      <c r="K3751" s="2841"/>
      <c r="L3751" s="2842">
        <v>30000</v>
      </c>
      <c r="M3751" s="3525"/>
      <c r="N3751" s="2847"/>
      <c r="O3751" s="86"/>
      <c r="P3751" s="1817" t="e">
        <f>INDEX(#REF!,MATCH(F3751,#REF!,0),2)</f>
        <v>#REF!</v>
      </c>
      <c r="Q3751" s="43"/>
      <c r="R3751" s="43"/>
      <c r="S3751" s="43"/>
      <c r="T3751" s="43"/>
      <c r="U3751" s="43"/>
      <c r="V3751" s="43"/>
      <c r="W3751" s="43"/>
      <c r="X3751" s="43"/>
      <c r="Y3751" s="43"/>
      <c r="Z3751" s="43"/>
      <c r="AA3751" s="43"/>
      <c r="AB3751" s="43"/>
      <c r="AC3751" s="43"/>
      <c r="AD3751" s="43"/>
      <c r="AE3751" s="43"/>
      <c r="AF3751" s="43"/>
      <c r="AG3751" s="43"/>
      <c r="AH3751" s="43"/>
      <c r="AI3751" s="43"/>
      <c r="AJ3751" s="43"/>
      <c r="AK3751" s="43"/>
      <c r="AL3751" s="43"/>
      <c r="AM3751" s="43"/>
      <c r="AN3751" s="43"/>
      <c r="AO3751" s="43"/>
      <c r="AP3751" s="43"/>
      <c r="AQ3751" s="43"/>
      <c r="AR3751" s="43"/>
      <c r="AS3751" s="43"/>
      <c r="AT3751" s="43"/>
      <c r="AU3751" s="43"/>
      <c r="AV3751" s="43"/>
    </row>
    <row r="3752" spans="1:48" ht="15" customHeight="1">
      <c r="A3752" s="443"/>
      <c r="B3752" s="489" t="s">
        <v>1249</v>
      </c>
      <c r="C3752" s="412" t="s">
        <v>570</v>
      </c>
      <c r="D3752" s="1590"/>
      <c r="E3752" s="2224" t="s">
        <v>2448</v>
      </c>
      <c r="F3752" s="505">
        <v>2239</v>
      </c>
      <c r="G3752" s="410" t="s">
        <v>5920</v>
      </c>
      <c r="H3752" s="2822"/>
      <c r="I3752" s="2822"/>
      <c r="J3752" s="2776"/>
      <c r="K3752" s="2777"/>
      <c r="L3752" s="2779"/>
      <c r="M3752" s="2779">
        <v>30000</v>
      </c>
      <c r="N3752" s="2847"/>
      <c r="O3752" s="86"/>
      <c r="P3752" s="1817" t="e">
        <f>INDEX(#REF!,MATCH(F3752,#REF!,0),2)</f>
        <v>#REF!</v>
      </c>
      <c r="Q3752" s="43"/>
      <c r="R3752" s="43"/>
      <c r="S3752" s="43"/>
      <c r="T3752" s="43"/>
      <c r="U3752" s="43"/>
      <c r="V3752" s="43"/>
      <c r="W3752" s="43"/>
      <c r="X3752" s="43"/>
      <c r="Y3752" s="43"/>
      <c r="Z3752" s="43"/>
      <c r="AA3752" s="43"/>
      <c r="AB3752" s="43"/>
      <c r="AC3752" s="43"/>
      <c r="AD3752" s="43"/>
      <c r="AE3752" s="43"/>
      <c r="AF3752" s="43"/>
      <c r="AG3752" s="43"/>
      <c r="AH3752" s="43"/>
      <c r="AI3752" s="43"/>
      <c r="AJ3752" s="43"/>
      <c r="AK3752" s="43"/>
      <c r="AL3752" s="43"/>
      <c r="AM3752" s="43"/>
      <c r="AN3752" s="43"/>
      <c r="AO3752" s="43"/>
      <c r="AP3752" s="43"/>
      <c r="AQ3752" s="43"/>
      <c r="AR3752" s="43"/>
      <c r="AS3752" s="43"/>
      <c r="AT3752" s="43"/>
      <c r="AU3752" s="43"/>
      <c r="AV3752" s="43"/>
    </row>
    <row r="3753" spans="1:48" ht="21.6" customHeight="1">
      <c r="A3753" s="506"/>
      <c r="B3753" s="506" t="s">
        <v>512</v>
      </c>
      <c r="C3753" s="506" t="s">
        <v>506</v>
      </c>
      <c r="D3753" s="1632" t="s">
        <v>494</v>
      </c>
      <c r="E3753" s="2257" t="s">
        <v>2448</v>
      </c>
      <c r="F3753" s="507">
        <v>2239</v>
      </c>
      <c r="G3753" s="411" t="s">
        <v>266</v>
      </c>
      <c r="H3753" s="2838">
        <v>1200</v>
      </c>
      <c r="I3753" s="3525"/>
      <c r="J3753" s="2840"/>
      <c r="K3753" s="2841"/>
      <c r="L3753" s="2842">
        <v>1200</v>
      </c>
      <c r="M3753" s="3526"/>
      <c r="N3753" s="2847"/>
      <c r="O3753" s="86"/>
      <c r="P3753" s="1817" t="e">
        <f>INDEX(#REF!,MATCH(F3753,#REF!,0),2)</f>
        <v>#REF!</v>
      </c>
      <c r="Q3753" s="43"/>
      <c r="R3753" s="43"/>
      <c r="S3753" s="43"/>
      <c r="T3753" s="43"/>
      <c r="U3753" s="43"/>
      <c r="V3753" s="43"/>
      <c r="W3753" s="43"/>
      <c r="X3753" s="43"/>
      <c r="Y3753" s="43"/>
      <c r="Z3753" s="43"/>
      <c r="AA3753" s="43"/>
      <c r="AB3753" s="43"/>
      <c r="AC3753" s="43"/>
      <c r="AD3753" s="43"/>
      <c r="AE3753" s="43"/>
      <c r="AF3753" s="43"/>
      <c r="AG3753" s="43"/>
      <c r="AH3753" s="43"/>
      <c r="AI3753" s="43"/>
      <c r="AJ3753" s="43"/>
      <c r="AK3753" s="43"/>
      <c r="AL3753" s="43"/>
      <c r="AM3753" s="43"/>
      <c r="AN3753" s="43"/>
      <c r="AO3753" s="43"/>
      <c r="AP3753" s="43"/>
      <c r="AQ3753" s="43"/>
      <c r="AR3753" s="43"/>
      <c r="AS3753" s="43"/>
      <c r="AT3753" s="43"/>
      <c r="AU3753" s="43"/>
      <c r="AV3753" s="43"/>
    </row>
    <row r="3754" spans="1:48" ht="21.6" customHeight="1">
      <c r="A3754" s="443" t="s">
        <v>1546</v>
      </c>
      <c r="B3754" s="412" t="s">
        <v>512</v>
      </c>
      <c r="C3754" s="412" t="s">
        <v>506</v>
      </c>
      <c r="D3754" s="1590"/>
      <c r="E3754" s="2224" t="s">
        <v>2448</v>
      </c>
      <c r="F3754" s="505">
        <v>2239</v>
      </c>
      <c r="G3754" s="410" t="s">
        <v>802</v>
      </c>
      <c r="H3754" s="2822"/>
      <c r="I3754" s="3505">
        <v>1200</v>
      </c>
      <c r="J3754" s="2776"/>
      <c r="K3754" s="2777"/>
      <c r="L3754" s="2778"/>
      <c r="M3754" s="3505">
        <v>1200</v>
      </c>
      <c r="N3754" s="2847"/>
      <c r="O3754" s="86"/>
      <c r="P3754" s="1817" t="e">
        <f>INDEX(#REF!,MATCH(F3754,#REF!,0),2)</f>
        <v>#REF!</v>
      </c>
      <c r="Q3754" s="43"/>
      <c r="R3754" s="43"/>
      <c r="S3754" s="43"/>
      <c r="T3754" s="43"/>
      <c r="U3754" s="43"/>
      <c r="V3754" s="43"/>
      <c r="W3754" s="43"/>
      <c r="X3754" s="43"/>
      <c r="Y3754" s="43"/>
      <c r="Z3754" s="43"/>
      <c r="AA3754" s="43"/>
      <c r="AB3754" s="43"/>
      <c r="AC3754" s="43"/>
      <c r="AD3754" s="43"/>
      <c r="AE3754" s="43"/>
      <c r="AF3754" s="43"/>
      <c r="AG3754" s="43"/>
      <c r="AH3754" s="43"/>
      <c r="AI3754" s="43"/>
      <c r="AJ3754" s="43"/>
      <c r="AK3754" s="43"/>
      <c r="AL3754" s="43"/>
      <c r="AM3754" s="43"/>
      <c r="AN3754" s="43"/>
      <c r="AO3754" s="43"/>
      <c r="AP3754" s="43"/>
      <c r="AQ3754" s="43"/>
      <c r="AR3754" s="43"/>
      <c r="AS3754" s="43"/>
      <c r="AT3754" s="43"/>
      <c r="AU3754" s="43"/>
      <c r="AV3754" s="43"/>
    </row>
    <row r="3755" spans="1:48" ht="15" customHeight="1">
      <c r="A3755" s="506"/>
      <c r="B3755" s="506" t="s">
        <v>1248</v>
      </c>
      <c r="C3755" s="506" t="s">
        <v>505</v>
      </c>
      <c r="D3755" s="1632" t="s">
        <v>494</v>
      </c>
      <c r="E3755" s="2257" t="s">
        <v>2448</v>
      </c>
      <c r="F3755" s="540">
        <v>2243</v>
      </c>
      <c r="G3755" s="411" t="s">
        <v>329</v>
      </c>
      <c r="H3755" s="2838">
        <v>450</v>
      </c>
      <c r="I3755" s="2842"/>
      <c r="J3755" s="2840"/>
      <c r="K3755" s="2841"/>
      <c r="L3755" s="2842">
        <v>450</v>
      </c>
      <c r="M3755" s="2842"/>
      <c r="N3755" s="2847"/>
      <c r="O3755" s="86"/>
      <c r="P3755" s="1817" t="e">
        <f>INDEX(#REF!,MATCH(F3755,#REF!,0),2)</f>
        <v>#REF!</v>
      </c>
      <c r="Q3755" s="43"/>
      <c r="R3755" s="43"/>
      <c r="S3755" s="43"/>
      <c r="T3755" s="43"/>
      <c r="U3755" s="43"/>
      <c r="V3755" s="43"/>
      <c r="W3755" s="43"/>
      <c r="X3755" s="43"/>
      <c r="Y3755" s="43"/>
      <c r="Z3755" s="43"/>
      <c r="AA3755" s="43"/>
      <c r="AB3755" s="43"/>
      <c r="AC3755" s="43"/>
      <c r="AD3755" s="43"/>
      <c r="AE3755" s="43"/>
      <c r="AF3755" s="43"/>
      <c r="AG3755" s="43"/>
      <c r="AH3755" s="43"/>
      <c r="AI3755" s="43"/>
      <c r="AJ3755" s="43"/>
      <c r="AK3755" s="43"/>
      <c r="AL3755" s="43"/>
      <c r="AM3755" s="43"/>
      <c r="AN3755" s="43"/>
      <c r="AO3755" s="43"/>
      <c r="AP3755" s="43"/>
      <c r="AQ3755" s="43"/>
      <c r="AR3755" s="43"/>
      <c r="AS3755" s="43"/>
      <c r="AT3755" s="43"/>
      <c r="AU3755" s="43"/>
      <c r="AV3755" s="43"/>
    </row>
    <row r="3756" spans="1:48" ht="15" customHeight="1">
      <c r="A3756" s="412"/>
      <c r="B3756" s="412" t="s">
        <v>1248</v>
      </c>
      <c r="C3756" s="412" t="s">
        <v>505</v>
      </c>
      <c r="D3756" s="1590"/>
      <c r="E3756" s="2224" t="s">
        <v>2448</v>
      </c>
      <c r="F3756" s="505">
        <v>2243</v>
      </c>
      <c r="G3756" s="449" t="s">
        <v>481</v>
      </c>
      <c r="H3756" s="2822"/>
      <c r="I3756" s="2779">
        <v>150</v>
      </c>
      <c r="J3756" s="2776"/>
      <c r="K3756" s="2777"/>
      <c r="L3756" s="2779"/>
      <c r="M3756" s="2779">
        <v>150</v>
      </c>
      <c r="N3756" s="2847"/>
      <c r="O3756" s="86"/>
      <c r="P3756" s="1817"/>
      <c r="Q3756" s="43"/>
      <c r="R3756" s="43"/>
      <c r="S3756" s="43"/>
      <c r="T3756" s="43"/>
      <c r="U3756" s="43"/>
      <c r="V3756" s="43"/>
      <c r="W3756" s="43"/>
      <c r="X3756" s="43"/>
      <c r="Y3756" s="43"/>
      <c r="Z3756" s="43"/>
      <c r="AA3756" s="43"/>
      <c r="AB3756" s="43"/>
      <c r="AC3756" s="43"/>
      <c r="AD3756" s="43"/>
      <c r="AE3756" s="43"/>
      <c r="AF3756" s="43"/>
      <c r="AG3756" s="43"/>
      <c r="AH3756" s="43"/>
      <c r="AI3756" s="43"/>
      <c r="AJ3756" s="43"/>
      <c r="AK3756" s="43"/>
      <c r="AL3756" s="43"/>
      <c r="AM3756" s="43"/>
      <c r="AN3756" s="43"/>
      <c r="AO3756" s="43"/>
      <c r="AP3756" s="43"/>
      <c r="AQ3756" s="43"/>
      <c r="AR3756" s="43"/>
      <c r="AS3756" s="43"/>
      <c r="AT3756" s="43"/>
      <c r="AU3756" s="43"/>
      <c r="AV3756" s="43"/>
    </row>
    <row r="3757" spans="1:48" ht="13.9" customHeight="1">
      <c r="A3757" s="412"/>
      <c r="B3757" s="412" t="s">
        <v>1248</v>
      </c>
      <c r="C3757" s="412" t="s">
        <v>505</v>
      </c>
      <c r="D3757" s="1590"/>
      <c r="E3757" s="2224" t="s">
        <v>2448</v>
      </c>
      <c r="F3757" s="505">
        <v>2243</v>
      </c>
      <c r="G3757" s="449" t="s">
        <v>1022</v>
      </c>
      <c r="H3757" s="2822"/>
      <c r="I3757" s="2779">
        <v>300</v>
      </c>
      <c r="J3757" s="2776"/>
      <c r="K3757" s="2777"/>
      <c r="L3757" s="2779"/>
      <c r="M3757" s="2779">
        <v>300</v>
      </c>
      <c r="N3757" s="2847"/>
      <c r="O3757" s="86"/>
      <c r="P3757" s="1817" t="e">
        <f>INDEX(#REF!,MATCH(F3757,#REF!,0),2)</f>
        <v>#REF!</v>
      </c>
      <c r="Q3757" s="43"/>
      <c r="R3757" s="43"/>
      <c r="S3757" s="43"/>
      <c r="T3757" s="43"/>
      <c r="U3757" s="43"/>
      <c r="V3757" s="43"/>
      <c r="W3757" s="43"/>
      <c r="X3757" s="43"/>
      <c r="Y3757" s="43"/>
      <c r="Z3757" s="43"/>
      <c r="AA3757" s="43"/>
      <c r="AB3757" s="43"/>
      <c r="AC3757" s="43"/>
      <c r="AD3757" s="43"/>
      <c r="AE3757" s="43"/>
      <c r="AF3757" s="43"/>
      <c r="AG3757" s="43"/>
      <c r="AH3757" s="43"/>
      <c r="AI3757" s="43"/>
      <c r="AJ3757" s="43"/>
      <c r="AK3757" s="43"/>
      <c r="AL3757" s="43"/>
      <c r="AM3757" s="43"/>
      <c r="AN3757" s="43"/>
      <c r="AO3757" s="43"/>
      <c r="AP3757" s="43"/>
      <c r="AQ3757" s="43"/>
      <c r="AR3757" s="43"/>
      <c r="AS3757" s="43"/>
      <c r="AT3757" s="43"/>
      <c r="AU3757" s="43"/>
      <c r="AV3757" s="43"/>
    </row>
    <row r="3758" spans="1:48" ht="15" customHeight="1">
      <c r="A3758" s="506"/>
      <c r="B3758" s="506" t="s">
        <v>1248</v>
      </c>
      <c r="C3758" s="506" t="s">
        <v>507</v>
      </c>
      <c r="D3758" s="1632" t="s">
        <v>494</v>
      </c>
      <c r="E3758" s="2257" t="s">
        <v>2448</v>
      </c>
      <c r="F3758" s="540">
        <v>2247</v>
      </c>
      <c r="G3758" s="411" t="s">
        <v>2581</v>
      </c>
      <c r="H3758" s="2838">
        <v>740</v>
      </c>
      <c r="I3758" s="2842"/>
      <c r="J3758" s="2840"/>
      <c r="K3758" s="2841"/>
      <c r="L3758" s="2842">
        <v>1800</v>
      </c>
      <c r="M3758" s="2842"/>
      <c r="N3758" s="2847"/>
      <c r="O3758" s="86"/>
      <c r="P3758" s="1817" t="e">
        <f>INDEX(#REF!,MATCH(F3758,#REF!,0),2)</f>
        <v>#REF!</v>
      </c>
      <c r="Q3758" s="43"/>
      <c r="R3758" s="43"/>
      <c r="S3758" s="43"/>
      <c r="T3758" s="43"/>
      <c r="U3758" s="43"/>
      <c r="V3758" s="43"/>
      <c r="W3758" s="43"/>
      <c r="X3758" s="43"/>
      <c r="Y3758" s="43"/>
      <c r="Z3758" s="43"/>
      <c r="AA3758" s="43"/>
      <c r="AB3758" s="43"/>
      <c r="AC3758" s="43"/>
      <c r="AD3758" s="43"/>
      <c r="AE3758" s="43"/>
      <c r="AF3758" s="43"/>
      <c r="AG3758" s="43"/>
      <c r="AH3758" s="43"/>
      <c r="AI3758" s="43"/>
      <c r="AJ3758" s="43"/>
      <c r="AK3758" s="43"/>
      <c r="AL3758" s="43"/>
      <c r="AM3758" s="43"/>
      <c r="AN3758" s="43"/>
      <c r="AO3758" s="43"/>
      <c r="AP3758" s="43"/>
      <c r="AQ3758" s="43"/>
      <c r="AR3758" s="43"/>
      <c r="AS3758" s="43"/>
      <c r="AT3758" s="43"/>
      <c r="AU3758" s="43"/>
      <c r="AV3758" s="43"/>
    </row>
    <row r="3759" spans="1:48" ht="13.9" customHeight="1">
      <c r="A3759" s="412"/>
      <c r="B3759" s="412" t="s">
        <v>1248</v>
      </c>
      <c r="C3759" s="412" t="s">
        <v>507</v>
      </c>
      <c r="D3759" s="1590"/>
      <c r="E3759" s="2224" t="s">
        <v>2448</v>
      </c>
      <c r="F3759" s="505">
        <v>2247</v>
      </c>
      <c r="G3759" s="3082" t="s">
        <v>5321</v>
      </c>
      <c r="H3759" s="2822"/>
      <c r="I3759" s="2779">
        <v>740</v>
      </c>
      <c r="J3759" s="2776"/>
      <c r="K3759" s="2777"/>
      <c r="L3759" s="2779"/>
      <c r="M3759" s="2779">
        <v>1800</v>
      </c>
      <c r="N3759" s="2847"/>
      <c r="O3759" s="86"/>
      <c r="P3759" s="1817" t="e">
        <f>INDEX(#REF!,MATCH(F3759,#REF!,0),2)</f>
        <v>#REF!</v>
      </c>
      <c r="Q3759" s="43"/>
      <c r="R3759" s="43"/>
      <c r="S3759" s="43"/>
      <c r="T3759" s="43"/>
      <c r="U3759" s="43"/>
      <c r="V3759" s="43"/>
      <c r="W3759" s="43"/>
      <c r="X3759" s="43"/>
      <c r="Y3759" s="43"/>
      <c r="Z3759" s="43"/>
      <c r="AA3759" s="43"/>
      <c r="AB3759" s="43"/>
      <c r="AC3759" s="43"/>
      <c r="AD3759" s="43"/>
      <c r="AE3759" s="43"/>
      <c r="AF3759" s="43"/>
      <c r="AG3759" s="43"/>
      <c r="AH3759" s="43"/>
      <c r="AI3759" s="43"/>
      <c r="AJ3759" s="43"/>
      <c r="AL3759" s="43"/>
      <c r="AM3759" s="43"/>
      <c r="AN3759" s="43"/>
      <c r="AO3759" s="43"/>
      <c r="AP3759" s="43"/>
      <c r="AQ3759" s="43"/>
      <c r="AR3759" s="43"/>
      <c r="AS3759" s="43"/>
      <c r="AT3759" s="43"/>
      <c r="AU3759" s="43"/>
      <c r="AV3759" s="43"/>
    </row>
    <row r="3760" spans="1:48" ht="22.9" customHeight="1">
      <c r="A3760" s="506"/>
      <c r="B3760" s="506" t="s">
        <v>1248</v>
      </c>
      <c r="C3760" s="506" t="s">
        <v>507</v>
      </c>
      <c r="D3760" s="1632" t="s">
        <v>494</v>
      </c>
      <c r="E3760" s="2257" t="s">
        <v>2448</v>
      </c>
      <c r="F3760" s="540">
        <v>2250</v>
      </c>
      <c r="G3760" s="411" t="s">
        <v>2435</v>
      </c>
      <c r="H3760" s="2842">
        <v>1200</v>
      </c>
      <c r="I3760" s="2842"/>
      <c r="J3760" s="2840">
        <v>1001</v>
      </c>
      <c r="K3760" s="2777"/>
      <c r="L3760" s="2842">
        <v>1200.25</v>
      </c>
      <c r="M3760" s="2842"/>
      <c r="N3760" s="2847"/>
      <c r="O3760" s="86"/>
      <c r="P3760" s="1817" t="e">
        <f>INDEX(#REF!,MATCH(F3760,#REF!,0),2)</f>
        <v>#REF!</v>
      </c>
      <c r="Q3760" s="43"/>
      <c r="R3760" s="43"/>
      <c r="S3760" s="43"/>
      <c r="T3760" s="43"/>
      <c r="U3760" s="43"/>
      <c r="V3760" s="43"/>
      <c r="W3760" s="43"/>
      <c r="X3760" s="43"/>
      <c r="Y3760" s="43"/>
      <c r="Z3760" s="43"/>
      <c r="AA3760" s="43"/>
      <c r="AB3760" s="43"/>
      <c r="AC3760" s="43"/>
      <c r="AD3760" s="43"/>
      <c r="AE3760" s="43"/>
      <c r="AF3760" s="43"/>
      <c r="AG3760" s="43"/>
      <c r="AH3760" s="43"/>
      <c r="AI3760" s="43"/>
      <c r="AJ3760" s="43"/>
      <c r="AL3760" s="43"/>
      <c r="AM3760" s="43"/>
      <c r="AN3760" s="43"/>
      <c r="AO3760" s="43"/>
      <c r="AP3760" s="43"/>
      <c r="AQ3760" s="43"/>
      <c r="AR3760" s="43"/>
      <c r="AS3760" s="43"/>
      <c r="AT3760" s="43"/>
      <c r="AU3760" s="43"/>
      <c r="AV3760" s="43"/>
    </row>
    <row r="3761" spans="1:48" ht="14.45" customHeight="1">
      <c r="A3761" s="412"/>
      <c r="B3761" s="412" t="s">
        <v>1248</v>
      </c>
      <c r="C3761" s="412" t="s">
        <v>507</v>
      </c>
      <c r="D3761" s="1590"/>
      <c r="E3761" s="2224" t="s">
        <v>2448</v>
      </c>
      <c r="F3761" s="505">
        <v>2250</v>
      </c>
      <c r="G3761" s="583" t="s">
        <v>3175</v>
      </c>
      <c r="H3761" s="2779"/>
      <c r="I3761" s="2779">
        <v>1200</v>
      </c>
      <c r="J3761" s="2776"/>
      <c r="K3761" s="2777"/>
      <c r="L3761" s="2779"/>
      <c r="M3761" s="2779">
        <v>1200</v>
      </c>
      <c r="N3761" s="241"/>
      <c r="O3761" s="86"/>
      <c r="P3761" s="1817" t="e">
        <f>INDEX(#REF!,MATCH(F3761,#REF!,0),2)</f>
        <v>#REF!</v>
      </c>
      <c r="Q3761" s="43"/>
      <c r="R3761" s="43"/>
      <c r="S3761" s="43"/>
      <c r="T3761" s="43"/>
      <c r="U3761" s="43"/>
      <c r="V3761" s="43"/>
      <c r="W3761" s="43"/>
      <c r="X3761" s="43"/>
      <c r="Y3761" s="43"/>
      <c r="Z3761" s="43"/>
      <c r="AA3761" s="43"/>
      <c r="AB3761" s="43"/>
      <c r="AC3761" s="43"/>
      <c r="AD3761" s="43"/>
      <c r="AE3761" s="43"/>
      <c r="AF3761" s="43"/>
      <c r="AG3761" s="43"/>
      <c r="AH3761" s="43"/>
      <c r="AI3761" s="43"/>
      <c r="AJ3761" s="43"/>
      <c r="AK3761" s="43"/>
      <c r="AL3761" s="43"/>
      <c r="AM3761" s="43"/>
      <c r="AN3761" s="43"/>
      <c r="AO3761" s="43"/>
      <c r="AP3761" s="43"/>
      <c r="AQ3761" s="43"/>
      <c r="AR3761" s="43"/>
      <c r="AS3761" s="43"/>
      <c r="AT3761" s="43"/>
      <c r="AU3761" s="43"/>
      <c r="AV3761" s="43"/>
    </row>
    <row r="3762" spans="1:48" ht="15.6" customHeight="1">
      <c r="A3762" s="2790" t="s">
        <v>5741</v>
      </c>
      <c r="B3762" s="412" t="s">
        <v>1248</v>
      </c>
      <c r="C3762" s="412" t="s">
        <v>507</v>
      </c>
      <c r="D3762" s="1590"/>
      <c r="E3762" s="2224" t="s">
        <v>2448</v>
      </c>
      <c r="F3762" s="505">
        <v>2250</v>
      </c>
      <c r="G3762" s="3082" t="s">
        <v>5742</v>
      </c>
      <c r="H3762" s="2779"/>
      <c r="I3762" s="2779"/>
      <c r="J3762" s="2776"/>
      <c r="K3762" s="2777"/>
      <c r="L3762" s="2779"/>
      <c r="M3762" s="4222">
        <v>0.25</v>
      </c>
      <c r="N3762" s="241" t="s">
        <v>5744</v>
      </c>
      <c r="O3762" s="86"/>
      <c r="P3762" s="1817" t="e">
        <f>INDEX(#REF!,MATCH(F3762,#REF!,0),2)</f>
        <v>#REF!</v>
      </c>
      <c r="Q3762" s="43"/>
      <c r="R3762" s="43"/>
      <c r="S3762" s="43"/>
      <c r="T3762" s="43"/>
      <c r="U3762" s="43"/>
      <c r="V3762" s="43"/>
      <c r="W3762" s="43"/>
      <c r="X3762" s="43"/>
      <c r="Y3762" s="43"/>
      <c r="Z3762" s="43"/>
      <c r="AA3762" s="43"/>
      <c r="AB3762" s="43"/>
      <c r="AC3762" s="43"/>
      <c r="AD3762" s="43"/>
      <c r="AE3762" s="43"/>
      <c r="AF3762" s="43"/>
      <c r="AG3762" s="43"/>
      <c r="AH3762" s="43"/>
      <c r="AI3762" s="43"/>
      <c r="AJ3762" s="43"/>
      <c r="AK3762" s="43"/>
      <c r="AL3762" s="43"/>
      <c r="AM3762" s="43"/>
      <c r="AN3762" s="43"/>
      <c r="AO3762" s="43"/>
      <c r="AP3762" s="43"/>
      <c r="AQ3762" s="43"/>
      <c r="AR3762" s="43"/>
      <c r="AS3762" s="43"/>
      <c r="AT3762" s="43"/>
      <c r="AU3762" s="43"/>
      <c r="AV3762" s="43"/>
    </row>
    <row r="3763" spans="1:48" ht="28.9" customHeight="1">
      <c r="A3763" s="506"/>
      <c r="B3763" s="506" t="s">
        <v>1248</v>
      </c>
      <c r="C3763" s="506" t="s">
        <v>507</v>
      </c>
      <c r="D3763" s="1632" t="s">
        <v>494</v>
      </c>
      <c r="E3763" s="2257" t="s">
        <v>2448</v>
      </c>
      <c r="F3763" s="540">
        <v>2264</v>
      </c>
      <c r="G3763" s="411" t="s">
        <v>240</v>
      </c>
      <c r="H3763" s="2838">
        <v>0</v>
      </c>
      <c r="I3763" s="2842"/>
      <c r="J3763" s="2840"/>
      <c r="K3763" s="2841"/>
      <c r="L3763" s="2842">
        <v>0</v>
      </c>
      <c r="M3763" s="2839"/>
      <c r="N3763" s="2847"/>
      <c r="O3763" s="86"/>
      <c r="P3763" s="1817" t="e">
        <f>INDEX(#REF!,MATCH(F3763,#REF!,0),2)</f>
        <v>#REF!</v>
      </c>
      <c r="Q3763" s="43"/>
      <c r="R3763" s="43"/>
      <c r="S3763" s="43"/>
      <c r="T3763" s="43"/>
      <c r="U3763" s="43"/>
      <c r="V3763" s="43"/>
      <c r="W3763" s="43"/>
      <c r="X3763" s="43"/>
      <c r="Y3763" s="43"/>
      <c r="Z3763" s="43"/>
      <c r="AA3763" s="43"/>
      <c r="AB3763" s="43"/>
      <c r="AC3763" s="43"/>
      <c r="AD3763" s="43"/>
      <c r="AE3763" s="43"/>
      <c r="AF3763" s="43"/>
      <c r="AG3763" s="43"/>
      <c r="AH3763" s="43"/>
      <c r="AI3763" s="43"/>
      <c r="AJ3763" s="43"/>
      <c r="AK3763" s="43"/>
      <c r="AL3763" s="43"/>
      <c r="AM3763" s="43"/>
      <c r="AN3763" s="43"/>
      <c r="AO3763" s="43"/>
      <c r="AP3763" s="43"/>
      <c r="AQ3763" s="43"/>
      <c r="AR3763" s="43"/>
      <c r="AS3763" s="43"/>
      <c r="AT3763" s="43"/>
      <c r="AU3763" s="43"/>
      <c r="AV3763" s="43"/>
    </row>
    <row r="3764" spans="1:48" ht="13.15" customHeight="1">
      <c r="A3764" s="412"/>
      <c r="B3764" s="412" t="s">
        <v>1248</v>
      </c>
      <c r="C3764" s="412" t="s">
        <v>507</v>
      </c>
      <c r="D3764" s="1590"/>
      <c r="E3764" s="2224" t="s">
        <v>2448</v>
      </c>
      <c r="F3764" s="505">
        <v>2264</v>
      </c>
      <c r="G3764" s="583"/>
      <c r="H3764" s="2822"/>
      <c r="I3764" s="2779"/>
      <c r="J3764" s="2776"/>
      <c r="K3764" s="2777"/>
      <c r="L3764" s="2778"/>
      <c r="M3764" s="2778"/>
      <c r="N3764" s="2847"/>
      <c r="O3764" s="86"/>
      <c r="P3764" s="1817" t="e">
        <f>INDEX(#REF!,MATCH(F3764,#REF!,0),2)</f>
        <v>#REF!</v>
      </c>
      <c r="Q3764" s="43"/>
      <c r="R3764" s="43"/>
      <c r="S3764" s="43"/>
      <c r="T3764" s="43"/>
      <c r="U3764" s="43"/>
      <c r="V3764" s="43"/>
      <c r="W3764" s="43"/>
      <c r="X3764" s="43"/>
      <c r="Y3764" s="43"/>
      <c r="Z3764" s="43"/>
      <c r="AA3764" s="43"/>
      <c r="AB3764" s="43"/>
      <c r="AC3764" s="43"/>
      <c r="AD3764" s="43"/>
      <c r="AE3764" s="43"/>
      <c r="AF3764" s="43"/>
      <c r="AG3764" s="43"/>
      <c r="AH3764" s="43"/>
      <c r="AI3764" s="43"/>
      <c r="AJ3764" s="43"/>
      <c r="AK3764" s="43"/>
      <c r="AL3764" s="43"/>
      <c r="AM3764" s="43"/>
      <c r="AN3764" s="43"/>
      <c r="AO3764" s="43"/>
      <c r="AP3764" s="43"/>
      <c r="AQ3764" s="43"/>
      <c r="AR3764" s="43"/>
      <c r="AS3764" s="43"/>
      <c r="AT3764" s="43"/>
      <c r="AU3764" s="43"/>
      <c r="AV3764" s="43"/>
    </row>
    <row r="3765" spans="1:48" ht="15.75" customHeight="1">
      <c r="A3765" s="506"/>
      <c r="B3765" s="506" t="s">
        <v>1248</v>
      </c>
      <c r="C3765" s="506" t="s">
        <v>507</v>
      </c>
      <c r="D3765" s="1632" t="s">
        <v>494</v>
      </c>
      <c r="E3765" s="2257" t="s">
        <v>2448</v>
      </c>
      <c r="F3765" s="540">
        <v>2311</v>
      </c>
      <c r="G3765" s="411" t="s">
        <v>245</v>
      </c>
      <c r="H3765" s="2838">
        <v>1340</v>
      </c>
      <c r="I3765" s="3525"/>
      <c r="J3765" s="2840">
        <v>606</v>
      </c>
      <c r="K3765" s="2841"/>
      <c r="L3765" s="2842">
        <v>1340</v>
      </c>
      <c r="M3765" s="3525"/>
      <c r="N3765" s="2847"/>
      <c r="O3765" s="86"/>
      <c r="P3765" s="1817" t="e">
        <f>INDEX(#REF!,MATCH(F3765,#REF!,0),2)</f>
        <v>#REF!</v>
      </c>
      <c r="Q3765" s="43"/>
      <c r="R3765" s="43"/>
      <c r="S3765" s="43"/>
      <c r="T3765" s="43"/>
      <c r="U3765" s="43"/>
      <c r="V3765" s="43"/>
      <c r="W3765" s="43"/>
      <c r="X3765" s="43"/>
      <c r="Y3765" s="43"/>
      <c r="Z3765" s="43"/>
      <c r="AA3765" s="43"/>
      <c r="AB3765" s="43"/>
      <c r="AC3765" s="43"/>
      <c r="AD3765" s="43"/>
      <c r="AE3765" s="43"/>
      <c r="AF3765" s="43"/>
      <c r="AG3765" s="43"/>
      <c r="AH3765" s="43"/>
      <c r="AI3765" s="43"/>
      <c r="AJ3765" s="43"/>
      <c r="AK3765" s="43"/>
      <c r="AL3765" s="43"/>
      <c r="AM3765" s="43"/>
      <c r="AN3765" s="43"/>
      <c r="AO3765" s="43"/>
      <c r="AP3765" s="43"/>
      <c r="AQ3765" s="43"/>
      <c r="AR3765" s="43"/>
      <c r="AS3765" s="43"/>
      <c r="AT3765" s="43"/>
      <c r="AU3765" s="43"/>
      <c r="AV3765" s="43"/>
    </row>
    <row r="3766" spans="1:48" ht="13.15" customHeight="1">
      <c r="A3766" s="412"/>
      <c r="B3766" s="412" t="s">
        <v>1248</v>
      </c>
      <c r="C3766" s="412" t="s">
        <v>507</v>
      </c>
      <c r="D3766" s="1590"/>
      <c r="E3766" s="2224" t="s">
        <v>2448</v>
      </c>
      <c r="F3766" s="505">
        <v>2311</v>
      </c>
      <c r="G3766" s="3507" t="s">
        <v>2683</v>
      </c>
      <c r="H3766" s="2822"/>
      <c r="I3766" s="3505">
        <v>840</v>
      </c>
      <c r="J3766" s="2776">
        <v>270</v>
      </c>
      <c r="K3766" s="2777"/>
      <c r="L3766" s="2779"/>
      <c r="M3766" s="3505">
        <v>740</v>
      </c>
      <c r="N3766" s="241"/>
      <c r="O3766" s="86"/>
      <c r="P3766" s="1817" t="e">
        <f>INDEX(#REF!,MATCH(F3766,#REF!,0),2)</f>
        <v>#REF!</v>
      </c>
      <c r="Q3766" s="43"/>
      <c r="R3766" s="43"/>
      <c r="S3766" s="43"/>
      <c r="T3766" s="43"/>
      <c r="U3766" s="43"/>
      <c r="V3766" s="43"/>
      <c r="W3766" s="43"/>
      <c r="X3766" s="43"/>
      <c r="Y3766" s="43"/>
      <c r="Z3766" s="43"/>
      <c r="AA3766" s="43"/>
      <c r="AB3766" s="43"/>
      <c r="AC3766" s="43"/>
      <c r="AD3766" s="43"/>
      <c r="AE3766" s="43"/>
      <c r="AF3766" s="43"/>
      <c r="AG3766" s="43"/>
      <c r="AH3766" s="43"/>
      <c r="AI3766" s="43"/>
      <c r="AJ3766" s="43"/>
      <c r="AK3766" s="43"/>
      <c r="AL3766" s="43"/>
      <c r="AM3766" s="43"/>
      <c r="AN3766" s="43"/>
      <c r="AO3766" s="43"/>
      <c r="AP3766" s="43"/>
      <c r="AQ3766" s="43"/>
      <c r="AR3766" s="43"/>
      <c r="AS3766" s="43"/>
      <c r="AT3766" s="43"/>
      <c r="AU3766" s="43"/>
      <c r="AV3766" s="43"/>
    </row>
    <row r="3767" spans="1:48" ht="13.15" customHeight="1">
      <c r="A3767" s="412"/>
      <c r="B3767" s="412" t="s">
        <v>1248</v>
      </c>
      <c r="C3767" s="412" t="s">
        <v>507</v>
      </c>
      <c r="D3767" s="1590"/>
      <c r="E3767" s="2224" t="s">
        <v>2448</v>
      </c>
      <c r="F3767" s="505">
        <v>2311</v>
      </c>
      <c r="G3767" s="2774" t="s">
        <v>2329</v>
      </c>
      <c r="H3767" s="2822"/>
      <c r="I3767" s="3505">
        <v>300</v>
      </c>
      <c r="J3767" s="2776">
        <v>240</v>
      </c>
      <c r="K3767" s="3515"/>
      <c r="L3767" s="2779"/>
      <c r="M3767" s="2779">
        <v>400</v>
      </c>
      <c r="N3767" s="2847"/>
      <c r="O3767" s="86"/>
      <c r="P3767" s="1817" t="e">
        <f>INDEX(#REF!,MATCH(F3767,#REF!,0),2)</f>
        <v>#REF!</v>
      </c>
      <c r="Q3767" s="43"/>
      <c r="R3767" s="43"/>
      <c r="S3767" s="43"/>
      <c r="T3767" s="43"/>
      <c r="U3767" s="43"/>
      <c r="V3767" s="43"/>
      <c r="W3767" s="43"/>
      <c r="X3767" s="43"/>
      <c r="Y3767" s="43"/>
      <c r="Z3767" s="43"/>
      <c r="AA3767" s="43"/>
      <c r="AB3767" s="43"/>
      <c r="AC3767" s="43"/>
      <c r="AD3767" s="43"/>
      <c r="AE3767" s="43"/>
      <c r="AF3767" s="43"/>
      <c r="AG3767" s="43"/>
      <c r="AH3767" s="43"/>
      <c r="AI3767" s="43"/>
      <c r="AJ3767" s="43"/>
      <c r="AK3767" s="43"/>
      <c r="AL3767" s="43"/>
      <c r="AM3767" s="43"/>
      <c r="AN3767" s="43"/>
      <c r="AO3767" s="43"/>
      <c r="AP3767" s="43"/>
      <c r="AQ3767" s="43"/>
      <c r="AR3767" s="43"/>
      <c r="AS3767" s="43"/>
      <c r="AT3767" s="43"/>
      <c r="AU3767" s="43"/>
      <c r="AV3767" s="43"/>
    </row>
    <row r="3768" spans="1:48" ht="13.15" customHeight="1">
      <c r="A3768" s="412"/>
      <c r="B3768" s="412" t="s">
        <v>1248</v>
      </c>
      <c r="C3768" s="412" t="s">
        <v>507</v>
      </c>
      <c r="D3768" s="1590"/>
      <c r="E3768" s="2224" t="s">
        <v>2448</v>
      </c>
      <c r="F3768" s="505">
        <v>2311</v>
      </c>
      <c r="G3768" s="3508" t="s">
        <v>648</v>
      </c>
      <c r="H3768" s="2822"/>
      <c r="I3768" s="3505">
        <v>200</v>
      </c>
      <c r="J3768" s="2776"/>
      <c r="K3768" s="2777"/>
      <c r="L3768" s="2779"/>
      <c r="M3768" s="2800">
        <v>200</v>
      </c>
      <c r="N3768" s="2847"/>
      <c r="O3768" s="86"/>
      <c r="P3768" s="1817" t="e">
        <f>INDEX(#REF!,MATCH(F3768,#REF!,0),2)</f>
        <v>#REF!</v>
      </c>
      <c r="Q3768" s="43"/>
      <c r="R3768" s="43"/>
      <c r="S3768" s="43"/>
      <c r="T3768" s="43"/>
      <c r="U3768" s="43"/>
      <c r="V3768" s="43"/>
      <c r="W3768" s="43"/>
      <c r="X3768" s="43"/>
      <c r="Y3768" s="43"/>
      <c r="Z3768" s="43"/>
      <c r="AA3768" s="43"/>
      <c r="AB3768" s="43"/>
      <c r="AC3768" s="43"/>
      <c r="AD3768" s="43"/>
      <c r="AE3768" s="43"/>
      <c r="AF3768" s="43"/>
      <c r="AG3768" s="43"/>
      <c r="AH3768" s="43"/>
      <c r="AI3768" s="43"/>
      <c r="AJ3768" s="43"/>
      <c r="AK3768" s="43"/>
      <c r="AL3768" s="43"/>
      <c r="AM3768" s="43"/>
      <c r="AN3768" s="43"/>
      <c r="AO3768" s="43"/>
      <c r="AP3768" s="43"/>
      <c r="AQ3768" s="43"/>
      <c r="AR3768" s="43"/>
      <c r="AS3768" s="43"/>
      <c r="AT3768" s="43"/>
      <c r="AU3768" s="43"/>
      <c r="AV3768" s="43"/>
    </row>
    <row r="3769" spans="1:48" ht="15.6" customHeight="1">
      <c r="A3769" s="506"/>
      <c r="B3769" s="506" t="s">
        <v>1248</v>
      </c>
      <c r="C3769" s="506" t="s">
        <v>507</v>
      </c>
      <c r="D3769" s="1632" t="s">
        <v>494</v>
      </c>
      <c r="E3769" s="2257" t="s">
        <v>2448</v>
      </c>
      <c r="F3769" s="540">
        <v>2312</v>
      </c>
      <c r="G3769" s="411" t="s">
        <v>331</v>
      </c>
      <c r="H3769" s="2838">
        <v>12211</v>
      </c>
      <c r="I3769" s="3525"/>
      <c r="J3769" s="2840">
        <v>6610</v>
      </c>
      <c r="K3769" s="2841"/>
      <c r="L3769" s="2842">
        <v>11400</v>
      </c>
      <c r="M3769" s="3525"/>
      <c r="N3769" s="2847"/>
      <c r="O3769" s="86"/>
      <c r="P3769" s="1817" t="e">
        <f>INDEX(#REF!,MATCH(F3769,#REF!,0),2)</f>
        <v>#REF!</v>
      </c>
      <c r="Q3769" s="43"/>
      <c r="R3769" s="43"/>
      <c r="S3769" s="43"/>
      <c r="T3769" s="43"/>
      <c r="U3769" s="43"/>
      <c r="V3769" s="43"/>
      <c r="W3769" s="43"/>
      <c r="X3769" s="43"/>
      <c r="Y3769" s="43"/>
      <c r="Z3769" s="43"/>
      <c r="AA3769" s="43"/>
      <c r="AB3769" s="43"/>
      <c r="AC3769" s="43"/>
      <c r="AD3769" s="43"/>
      <c r="AE3769" s="43"/>
      <c r="AF3769" s="43"/>
      <c r="AG3769" s="43"/>
      <c r="AH3769" s="43"/>
      <c r="AI3769" s="43"/>
      <c r="AJ3769" s="43"/>
      <c r="AK3769" s="43"/>
      <c r="AL3769" s="43"/>
      <c r="AM3769" s="43"/>
      <c r="AN3769" s="43"/>
      <c r="AO3769" s="43"/>
      <c r="AP3769" s="43"/>
      <c r="AQ3769" s="43"/>
      <c r="AR3769" s="43"/>
      <c r="AS3769" s="43"/>
      <c r="AT3769" s="43"/>
      <c r="AU3769" s="43"/>
      <c r="AV3769" s="43"/>
    </row>
    <row r="3770" spans="1:48" ht="26.45" customHeight="1">
      <c r="A3770" s="412"/>
      <c r="B3770" s="412" t="s">
        <v>1248</v>
      </c>
      <c r="C3770" s="412" t="s">
        <v>507</v>
      </c>
      <c r="D3770" s="1590"/>
      <c r="E3770" s="2224" t="s">
        <v>2448</v>
      </c>
      <c r="F3770" s="505">
        <v>2312</v>
      </c>
      <c r="G3770" s="583" t="s">
        <v>2330</v>
      </c>
      <c r="H3770" s="2822"/>
      <c r="I3770" s="3505">
        <v>9000</v>
      </c>
      <c r="J3770" s="2776"/>
      <c r="K3770" s="2777"/>
      <c r="L3770" s="2779"/>
      <c r="M3770" s="3505">
        <v>8000</v>
      </c>
      <c r="N3770" s="2847"/>
      <c r="O3770" s="86"/>
      <c r="P3770" s="1817"/>
      <c r="Q3770" s="1569"/>
      <c r="R3770" s="1569"/>
      <c r="S3770" s="1569"/>
      <c r="T3770" s="1569"/>
      <c r="U3770" s="1569"/>
      <c r="V3770" s="1569"/>
      <c r="W3770" s="43"/>
      <c r="X3770" s="1569"/>
      <c r="Y3770" s="1569"/>
      <c r="Z3770" s="1569"/>
      <c r="AA3770" s="1569"/>
      <c r="AB3770" s="1569"/>
      <c r="AC3770" s="1569"/>
      <c r="AD3770" s="1569"/>
      <c r="AE3770" s="1569"/>
      <c r="AF3770" s="1569"/>
      <c r="AG3770" s="1569"/>
      <c r="AH3770" s="1569"/>
      <c r="AI3770" s="1569"/>
      <c r="AJ3770" s="1569"/>
      <c r="AK3770" s="1569"/>
      <c r="AL3770" s="1569"/>
      <c r="AM3770" s="1569"/>
      <c r="AN3770" s="1569"/>
      <c r="AO3770" s="1569"/>
      <c r="AP3770" s="1569"/>
      <c r="AQ3770" s="1569"/>
      <c r="AR3770" s="1569"/>
      <c r="AS3770" s="1569"/>
      <c r="AT3770" s="1569"/>
      <c r="AU3770" s="1569"/>
      <c r="AV3770" s="1569"/>
    </row>
    <row r="3771" spans="1:48" ht="23.45" customHeight="1">
      <c r="A3771" s="1882"/>
      <c r="B3771" s="412" t="s">
        <v>1248</v>
      </c>
      <c r="C3771" s="412" t="s">
        <v>507</v>
      </c>
      <c r="D3771" s="1590"/>
      <c r="E3771" s="2224" t="s">
        <v>2448</v>
      </c>
      <c r="F3771" s="505">
        <v>2312</v>
      </c>
      <c r="G3771" s="1960" t="s">
        <v>3178</v>
      </c>
      <c r="H3771" s="2822"/>
      <c r="I3771" s="3505">
        <v>-2545</v>
      </c>
      <c r="J3771" s="2776"/>
      <c r="K3771" s="2777"/>
      <c r="L3771" s="2779"/>
      <c r="M3771" s="3505"/>
      <c r="N3771" s="2847"/>
      <c r="O3771" s="86"/>
      <c r="P3771" s="1817" t="e">
        <f>INDEX(#REF!,MATCH(F3771,#REF!,0),2)</f>
        <v>#REF!</v>
      </c>
      <c r="Q3771" s="43"/>
      <c r="R3771" s="43"/>
      <c r="S3771" s="43"/>
      <c r="T3771" s="43"/>
      <c r="U3771" s="43"/>
      <c r="V3771" s="43"/>
      <c r="W3771" s="43"/>
      <c r="X3771" s="43"/>
      <c r="Y3771" s="43"/>
      <c r="Z3771" s="43"/>
      <c r="AA3771" s="43"/>
      <c r="AB3771" s="43"/>
      <c r="AC3771" s="43"/>
      <c r="AD3771" s="43"/>
      <c r="AE3771" s="43"/>
      <c r="AF3771" s="43"/>
      <c r="AG3771" s="43"/>
      <c r="AH3771" s="1774"/>
      <c r="AI3771" s="1030"/>
      <c r="AJ3771" s="1030"/>
      <c r="AK3771" s="43"/>
      <c r="AL3771" s="43"/>
      <c r="AM3771" s="43"/>
      <c r="AN3771" s="43"/>
      <c r="AO3771" s="43"/>
      <c r="AP3771" s="43"/>
      <c r="AQ3771" s="43"/>
      <c r="AR3771" s="43"/>
      <c r="AS3771" s="43"/>
      <c r="AT3771" s="43"/>
      <c r="AU3771" s="43"/>
      <c r="AV3771" s="43"/>
    </row>
    <row r="3772" spans="1:48" ht="27.75" customHeight="1">
      <c r="A3772" s="1882"/>
      <c r="B3772" s="412" t="s">
        <v>1248</v>
      </c>
      <c r="C3772" s="412" t="s">
        <v>507</v>
      </c>
      <c r="D3772" s="1590"/>
      <c r="E3772" s="2224" t="s">
        <v>2448</v>
      </c>
      <c r="F3772" s="505">
        <v>2312</v>
      </c>
      <c r="G3772" s="1960" t="s">
        <v>3290</v>
      </c>
      <c r="H3772" s="2822"/>
      <c r="I3772" s="3505">
        <v>-899</v>
      </c>
      <c r="J3772" s="2776"/>
      <c r="K3772" s="2777"/>
      <c r="L3772" s="2779"/>
      <c r="M3772" s="3505"/>
      <c r="N3772" s="2847"/>
      <c r="O3772" s="86"/>
      <c r="P3772" s="1817" t="e">
        <f>INDEX(#REF!,MATCH(F3772,#REF!,0),2)</f>
        <v>#REF!</v>
      </c>
      <c r="Q3772" s="43"/>
      <c r="R3772" s="43"/>
      <c r="S3772" s="43"/>
      <c r="T3772" s="43"/>
      <c r="U3772" s="43"/>
      <c r="V3772" s="43"/>
      <c r="W3772" s="43"/>
      <c r="X3772" s="43"/>
      <c r="Y3772" s="43"/>
      <c r="Z3772" s="43"/>
      <c r="AA3772" s="43"/>
      <c r="AB3772" s="43"/>
      <c r="AC3772" s="43"/>
      <c r="AD3772" s="43"/>
      <c r="AE3772" s="43"/>
      <c r="AF3772" s="43"/>
      <c r="AG3772" s="43"/>
      <c r="AH3772" s="43"/>
      <c r="AI3772" s="43"/>
      <c r="AJ3772" s="43"/>
      <c r="AK3772" s="43"/>
      <c r="AL3772" s="43"/>
      <c r="AM3772" s="43"/>
      <c r="AN3772" s="43"/>
      <c r="AO3772" s="43"/>
      <c r="AP3772" s="43"/>
      <c r="AQ3772" s="43"/>
      <c r="AR3772" s="43"/>
      <c r="AS3772" s="43"/>
      <c r="AT3772" s="43"/>
      <c r="AU3772" s="43"/>
      <c r="AV3772" s="43"/>
    </row>
    <row r="3773" spans="1:48" ht="15.75" customHeight="1">
      <c r="A3773" s="412" t="s">
        <v>519</v>
      </c>
      <c r="B3773" s="412" t="s">
        <v>1248</v>
      </c>
      <c r="C3773" s="412" t="s">
        <v>507</v>
      </c>
      <c r="D3773" s="1590"/>
      <c r="E3773" s="2224" t="s">
        <v>2448</v>
      </c>
      <c r="F3773" s="505">
        <v>2312</v>
      </c>
      <c r="G3773" s="3082" t="s">
        <v>4805</v>
      </c>
      <c r="H3773" s="2822"/>
      <c r="I3773" s="3505">
        <v>5000</v>
      </c>
      <c r="J3773" s="2776"/>
      <c r="K3773" s="2777"/>
      <c r="L3773" s="2779"/>
      <c r="M3773" s="3505">
        <v>2500</v>
      </c>
      <c r="N3773" s="2847"/>
      <c r="O3773" s="86"/>
      <c r="P3773" s="1817" t="e">
        <f>INDEX(#REF!,MATCH(F3773,#REF!,0),2)</f>
        <v>#REF!</v>
      </c>
      <c r="Q3773" s="43"/>
      <c r="R3773" s="43"/>
      <c r="S3773" s="43"/>
      <c r="T3773" s="43"/>
      <c r="U3773" s="43"/>
      <c r="V3773" s="43"/>
      <c r="W3773" s="43"/>
      <c r="X3773" s="43"/>
      <c r="Y3773" s="43"/>
      <c r="Z3773" s="43"/>
      <c r="AA3773" s="43"/>
      <c r="AB3773" s="43"/>
      <c r="AC3773" s="43"/>
      <c r="AD3773" s="43"/>
      <c r="AE3773" s="43"/>
      <c r="AF3773" s="43"/>
      <c r="AG3773" s="43"/>
      <c r="AH3773" s="43"/>
      <c r="AI3773" s="43"/>
      <c r="AJ3773" s="43"/>
      <c r="AK3773" s="43"/>
      <c r="AL3773" s="43"/>
      <c r="AM3773" s="43"/>
      <c r="AN3773" s="43"/>
      <c r="AO3773" s="43"/>
      <c r="AP3773" s="43"/>
      <c r="AQ3773" s="43"/>
      <c r="AR3773" s="43"/>
      <c r="AS3773" s="43"/>
      <c r="AT3773" s="43"/>
      <c r="AU3773" s="43"/>
      <c r="AV3773" s="43"/>
    </row>
    <row r="3774" spans="1:48" ht="23.45" customHeight="1">
      <c r="A3774" s="412"/>
      <c r="B3774" s="412" t="s">
        <v>1248</v>
      </c>
      <c r="C3774" s="412" t="s">
        <v>505</v>
      </c>
      <c r="D3774" s="1590"/>
      <c r="E3774" s="2224" t="s">
        <v>2448</v>
      </c>
      <c r="F3774" s="505">
        <v>2312</v>
      </c>
      <c r="G3774" s="410" t="s">
        <v>2684</v>
      </c>
      <c r="H3774" s="2822"/>
      <c r="I3774" s="2779">
        <v>700</v>
      </c>
      <c r="J3774" s="2776"/>
      <c r="K3774" s="2777"/>
      <c r="L3774" s="2779"/>
      <c r="M3774" s="2779">
        <v>700</v>
      </c>
      <c r="N3774" s="2847"/>
      <c r="O3774" s="86"/>
      <c r="P3774" s="1817" t="e">
        <f>INDEX(#REF!,MATCH(F3774,#REF!,0),2)</f>
        <v>#REF!</v>
      </c>
      <c r="Q3774" s="43"/>
      <c r="R3774" s="43"/>
      <c r="S3774" s="43"/>
      <c r="T3774" s="43"/>
      <c r="U3774" s="43"/>
      <c r="V3774" s="43"/>
      <c r="W3774" s="43"/>
      <c r="X3774" s="43"/>
      <c r="Y3774" s="43"/>
      <c r="Z3774" s="43"/>
      <c r="AA3774" s="43"/>
      <c r="AB3774" s="43"/>
      <c r="AC3774" s="43"/>
      <c r="AD3774" s="43"/>
      <c r="AE3774" s="43"/>
      <c r="AF3774" s="43"/>
      <c r="AG3774" s="43"/>
      <c r="AH3774" s="1774"/>
      <c r="AI3774" s="1030"/>
      <c r="AJ3774" s="1030"/>
      <c r="AK3774" s="43"/>
      <c r="AL3774" s="43"/>
      <c r="AM3774" s="43"/>
      <c r="AN3774" s="43"/>
      <c r="AO3774" s="43"/>
      <c r="AP3774" s="43"/>
      <c r="AQ3774" s="43"/>
      <c r="AR3774" s="43"/>
      <c r="AS3774" s="43"/>
      <c r="AT3774" s="43"/>
      <c r="AU3774" s="43"/>
      <c r="AV3774" s="43"/>
    </row>
    <row r="3775" spans="1:48" ht="19.149999999999999" customHeight="1">
      <c r="A3775" s="412"/>
      <c r="B3775" s="412" t="s">
        <v>1248</v>
      </c>
      <c r="C3775" s="412" t="s">
        <v>505</v>
      </c>
      <c r="D3775" s="1590"/>
      <c r="E3775" s="2224" t="s">
        <v>2448</v>
      </c>
      <c r="F3775" s="505">
        <v>2312</v>
      </c>
      <c r="G3775" s="410" t="s">
        <v>4816</v>
      </c>
      <c r="H3775" s="2822"/>
      <c r="I3775" s="2779"/>
      <c r="J3775" s="2776"/>
      <c r="K3775" s="2777"/>
      <c r="L3775" s="2779"/>
      <c r="M3775" s="2779">
        <v>200</v>
      </c>
      <c r="N3775" s="2847"/>
      <c r="O3775" s="86"/>
      <c r="P3775" s="1817" t="e">
        <f>INDEX(#REF!,MATCH(F3775,#REF!,0),2)</f>
        <v>#REF!</v>
      </c>
      <c r="Q3775" s="43"/>
      <c r="R3775" s="43"/>
      <c r="S3775" s="43"/>
      <c r="T3775" s="43"/>
      <c r="U3775" s="43"/>
      <c r="V3775" s="43"/>
      <c r="W3775" s="43"/>
      <c r="X3775" s="43"/>
      <c r="Y3775" s="43"/>
      <c r="Z3775" s="43"/>
      <c r="AA3775" s="43"/>
      <c r="AB3775" s="43"/>
      <c r="AC3775" s="43"/>
      <c r="AD3775" s="43"/>
      <c r="AE3775" s="43"/>
      <c r="AF3775" s="43"/>
      <c r="AG3775" s="43"/>
      <c r="AH3775" s="1774"/>
      <c r="AI3775" s="1030"/>
      <c r="AJ3775" s="1030"/>
      <c r="AK3775" s="43"/>
      <c r="AL3775" s="43"/>
      <c r="AM3775" s="43"/>
      <c r="AN3775" s="43"/>
      <c r="AO3775" s="43"/>
      <c r="AP3775" s="43"/>
      <c r="AQ3775" s="43"/>
      <c r="AR3775" s="43"/>
      <c r="AS3775" s="43"/>
      <c r="AT3775" s="43"/>
      <c r="AU3775" s="43"/>
      <c r="AV3775" s="43"/>
    </row>
    <row r="3776" spans="1:48" ht="27.6" customHeight="1">
      <c r="A3776" s="2790"/>
      <c r="B3776" s="412" t="s">
        <v>1248</v>
      </c>
      <c r="C3776" s="412" t="s">
        <v>505</v>
      </c>
      <c r="D3776" s="1590"/>
      <c r="E3776" s="2224" t="s">
        <v>2448</v>
      </c>
      <c r="F3776" s="505">
        <v>2312</v>
      </c>
      <c r="G3776" s="2774" t="s">
        <v>5297</v>
      </c>
      <c r="H3776" s="2822"/>
      <c r="I3776" s="2779">
        <v>955</v>
      </c>
      <c r="J3776" s="2776"/>
      <c r="K3776" s="2777"/>
      <c r="L3776" s="2779"/>
      <c r="M3776" s="2779"/>
      <c r="N3776" s="2847"/>
      <c r="O3776" s="86"/>
      <c r="P3776" s="1817" t="e">
        <f>INDEX(#REF!,MATCH(F3776,#REF!,0),2)</f>
        <v>#REF!</v>
      </c>
      <c r="Q3776" s="43"/>
      <c r="R3776" s="43"/>
      <c r="S3776" s="43"/>
      <c r="T3776" s="43"/>
      <c r="U3776" s="43"/>
      <c r="V3776" s="43"/>
      <c r="W3776" s="43"/>
      <c r="X3776" s="43"/>
      <c r="Y3776" s="43"/>
      <c r="Z3776" s="43"/>
      <c r="AA3776" s="43"/>
      <c r="AB3776" s="43"/>
      <c r="AC3776" s="43"/>
      <c r="AD3776" s="43"/>
      <c r="AE3776" s="43"/>
      <c r="AF3776" s="43"/>
      <c r="AG3776" s="43"/>
      <c r="AH3776" s="43"/>
      <c r="AI3776" s="43"/>
      <c r="AJ3776" s="43"/>
      <c r="AK3776" s="43"/>
      <c r="AL3776" s="43"/>
      <c r="AM3776" s="43"/>
      <c r="AN3776" s="43"/>
      <c r="AO3776" s="43"/>
      <c r="AP3776" s="43"/>
      <c r="AQ3776" s="43"/>
      <c r="AR3776" s="43"/>
      <c r="AS3776" s="43"/>
      <c r="AT3776" s="43"/>
      <c r="AU3776" s="43"/>
      <c r="AV3776" s="43"/>
    </row>
    <row r="3777" spans="1:48" ht="29.45" customHeight="1">
      <c r="A3777" s="590"/>
      <c r="B3777" s="590" t="s">
        <v>1248</v>
      </c>
      <c r="C3777" s="590" t="s">
        <v>507</v>
      </c>
      <c r="D3777" s="1632" t="s">
        <v>494</v>
      </c>
      <c r="E3777" s="2257" t="s">
        <v>2448</v>
      </c>
      <c r="F3777" s="590">
        <v>2322</v>
      </c>
      <c r="G3777" s="411" t="s">
        <v>289</v>
      </c>
      <c r="H3777" s="3527">
        <v>5165</v>
      </c>
      <c r="I3777" s="3509"/>
      <c r="J3777" s="3528">
        <v>805</v>
      </c>
      <c r="K3777" s="3529"/>
      <c r="L3777" s="3509">
        <v>4710</v>
      </c>
      <c r="M3777" s="3509"/>
      <c r="N3777" s="241" t="s">
        <v>5299</v>
      </c>
      <c r="O3777" s="86"/>
      <c r="P3777" s="1817" t="e">
        <f>INDEX(#REF!,MATCH(F3777,#REF!,0),2)</f>
        <v>#REF!</v>
      </c>
      <c r="Q3777" s="43"/>
      <c r="R3777" s="43"/>
      <c r="S3777" s="43"/>
      <c r="T3777" s="43"/>
      <c r="U3777" s="43"/>
      <c r="V3777" s="43"/>
      <c r="W3777" s="43"/>
      <c r="X3777" s="43"/>
      <c r="Y3777" s="43"/>
      <c r="Z3777" s="43"/>
      <c r="AA3777" s="43"/>
      <c r="AB3777" s="43"/>
      <c r="AC3777" s="43"/>
      <c r="AD3777" s="43"/>
      <c r="AE3777" s="43"/>
      <c r="AF3777" s="43"/>
      <c r="AG3777" s="43"/>
      <c r="AH3777" s="1774"/>
      <c r="AI3777" s="1030"/>
      <c r="AJ3777" s="1030"/>
      <c r="AK3777" s="43"/>
      <c r="AL3777" s="43"/>
      <c r="AM3777" s="43"/>
      <c r="AN3777" s="43"/>
      <c r="AO3777" s="43"/>
      <c r="AP3777" s="43"/>
      <c r="AQ3777" s="43"/>
      <c r="AR3777" s="43"/>
      <c r="AS3777" s="43"/>
      <c r="AT3777" s="43"/>
      <c r="AU3777" s="43"/>
      <c r="AV3777" s="43"/>
    </row>
    <row r="3778" spans="1:48" ht="29.45" customHeight="1">
      <c r="A3778" s="412"/>
      <c r="B3778" s="412" t="s">
        <v>1248</v>
      </c>
      <c r="C3778" s="412" t="s">
        <v>507</v>
      </c>
      <c r="D3778" s="1590"/>
      <c r="E3778" s="2224" t="s">
        <v>2448</v>
      </c>
      <c r="F3778" s="505">
        <v>2322</v>
      </c>
      <c r="G3778" s="2820" t="s">
        <v>4806</v>
      </c>
      <c r="H3778" s="2822"/>
      <c r="I3778" s="2779">
        <v>1440</v>
      </c>
      <c r="J3778" s="2776"/>
      <c r="K3778" s="2777"/>
      <c r="L3778" s="2779"/>
      <c r="M3778" s="4221">
        <v>1090</v>
      </c>
      <c r="N3778" s="241" t="s">
        <v>5156</v>
      </c>
      <c r="O3778" s="86"/>
      <c r="P3778" s="1817" t="e">
        <f>INDEX(#REF!,MATCH(F3778,#REF!,0),2)</f>
        <v>#REF!</v>
      </c>
      <c r="Q3778" s="43"/>
      <c r="R3778" s="43"/>
      <c r="S3778" s="43"/>
      <c r="T3778" s="43"/>
      <c r="U3778" s="43"/>
      <c r="V3778" s="43"/>
      <c r="W3778" s="43"/>
      <c r="X3778" s="43"/>
      <c r="Y3778" s="43"/>
      <c r="Z3778" s="43"/>
      <c r="AA3778" s="43"/>
      <c r="AB3778" s="43"/>
      <c r="AC3778" s="43"/>
      <c r="AD3778" s="43"/>
      <c r="AE3778" s="43"/>
      <c r="AF3778" s="43"/>
      <c r="AG3778" s="43"/>
      <c r="AH3778" s="1774"/>
      <c r="AI3778" s="1030"/>
      <c r="AJ3778" s="1030"/>
      <c r="AK3778" s="43"/>
      <c r="AL3778" s="43"/>
      <c r="AM3778" s="43"/>
      <c r="AN3778" s="43"/>
      <c r="AO3778" s="43"/>
      <c r="AP3778" s="43"/>
      <c r="AQ3778" s="43"/>
      <c r="AR3778" s="43"/>
      <c r="AS3778" s="43"/>
      <c r="AT3778" s="43"/>
      <c r="AU3778" s="43"/>
      <c r="AV3778" s="43"/>
    </row>
    <row r="3779" spans="1:48" ht="22.9" customHeight="1">
      <c r="A3779" s="412"/>
      <c r="B3779" s="412" t="s">
        <v>1248</v>
      </c>
      <c r="C3779" s="412" t="s">
        <v>507</v>
      </c>
      <c r="D3779" s="1590"/>
      <c r="E3779" s="2224" t="s">
        <v>2448</v>
      </c>
      <c r="F3779" s="505">
        <v>2322</v>
      </c>
      <c r="G3779" s="1668" t="s">
        <v>4808</v>
      </c>
      <c r="H3779" s="2822"/>
      <c r="I3779" s="2779">
        <v>960</v>
      </c>
      <c r="J3779" s="2776"/>
      <c r="K3779" s="2777"/>
      <c r="L3779" s="2779"/>
      <c r="M3779" s="4221">
        <v>810</v>
      </c>
      <c r="N3779" s="241" t="s">
        <v>5156</v>
      </c>
      <c r="O3779" s="86"/>
      <c r="P3779" s="1817" t="e">
        <f>INDEX(#REF!,MATCH(F3779,#REF!,0),2)</f>
        <v>#REF!</v>
      </c>
      <c r="Q3779" s="43"/>
      <c r="R3779" s="43"/>
      <c r="S3779" s="43"/>
      <c r="T3779" s="43"/>
      <c r="U3779" s="43"/>
      <c r="V3779" s="43"/>
      <c r="W3779" s="43"/>
      <c r="X3779" s="43"/>
      <c r="Y3779" s="43"/>
      <c r="Z3779" s="43"/>
      <c r="AA3779" s="43"/>
      <c r="AB3779" s="43"/>
      <c r="AC3779" s="43"/>
      <c r="AD3779" s="43"/>
      <c r="AE3779" s="43"/>
      <c r="AF3779" s="43"/>
      <c r="AG3779" s="43"/>
      <c r="AH3779" s="1774"/>
      <c r="AI3779" s="1030"/>
      <c r="AJ3779" s="1030"/>
      <c r="AK3779" s="43"/>
      <c r="AL3779" s="43"/>
      <c r="AM3779" s="43"/>
      <c r="AN3779" s="43"/>
      <c r="AO3779" s="43"/>
      <c r="AP3779" s="43"/>
      <c r="AQ3779" s="43"/>
      <c r="AR3779" s="43"/>
      <c r="AS3779" s="43"/>
      <c r="AT3779" s="43"/>
      <c r="AU3779" s="43"/>
      <c r="AV3779" s="43"/>
    </row>
    <row r="3780" spans="1:48" ht="24.6" customHeight="1">
      <c r="A3780" s="412"/>
      <c r="B3780" s="412" t="s">
        <v>1248</v>
      </c>
      <c r="C3780" s="412" t="s">
        <v>507</v>
      </c>
      <c r="D3780" s="1590"/>
      <c r="E3780" s="2224" t="s">
        <v>2448</v>
      </c>
      <c r="F3780" s="505">
        <v>2322</v>
      </c>
      <c r="G3780" s="1668" t="s">
        <v>4809</v>
      </c>
      <c r="H3780" s="2822"/>
      <c r="I3780" s="2779">
        <v>960</v>
      </c>
      <c r="J3780" s="2776"/>
      <c r="K3780" s="2777"/>
      <c r="L3780" s="2779"/>
      <c r="M3780" s="4221">
        <v>810</v>
      </c>
      <c r="N3780" s="241" t="s">
        <v>5156</v>
      </c>
      <c r="O3780" s="86"/>
      <c r="P3780" s="1817"/>
      <c r="Q3780" s="43"/>
      <c r="R3780" s="43"/>
      <c r="S3780" s="43"/>
      <c r="T3780" s="43"/>
      <c r="U3780" s="43"/>
      <c r="V3780" s="43"/>
      <c r="W3780" s="43"/>
      <c r="X3780" s="43"/>
      <c r="Y3780" s="43"/>
      <c r="Z3780" s="43"/>
      <c r="AA3780" s="43"/>
      <c r="AB3780" s="43"/>
      <c r="AC3780" s="43"/>
      <c r="AD3780" s="43"/>
      <c r="AE3780" s="43"/>
      <c r="AF3780" s="43"/>
      <c r="AG3780" s="43"/>
      <c r="AH3780" s="1774"/>
      <c r="AI3780" s="1030"/>
      <c r="AJ3780" s="1030"/>
      <c r="AK3780" s="43"/>
      <c r="AL3780" s="43"/>
      <c r="AM3780" s="43"/>
      <c r="AN3780" s="43"/>
      <c r="AO3780" s="43"/>
      <c r="AP3780" s="43"/>
      <c r="AQ3780" s="43"/>
      <c r="AR3780" s="43"/>
      <c r="AS3780" s="43"/>
      <c r="AT3780" s="43"/>
      <c r="AU3780" s="43"/>
      <c r="AV3780" s="43"/>
    </row>
    <row r="3781" spans="1:48" ht="19.899999999999999" customHeight="1">
      <c r="A3781" s="412"/>
      <c r="B3781" s="412" t="s">
        <v>1248</v>
      </c>
      <c r="C3781" s="412" t="s">
        <v>507</v>
      </c>
      <c r="D3781" s="1590"/>
      <c r="E3781" s="2224" t="s">
        <v>2448</v>
      </c>
      <c r="F3781" s="505">
        <v>2322</v>
      </c>
      <c r="G3781" s="1668" t="s">
        <v>2331</v>
      </c>
      <c r="H3781" s="2822"/>
      <c r="I3781" s="2779">
        <v>600</v>
      </c>
      <c r="J3781" s="2776"/>
      <c r="K3781" s="2777"/>
      <c r="L3781" s="2779"/>
      <c r="M3781" s="4221">
        <v>500</v>
      </c>
      <c r="N3781" s="241" t="s">
        <v>5156</v>
      </c>
      <c r="O3781" s="86"/>
      <c r="P3781" s="1817" t="e">
        <f>INDEX(#REF!,MATCH(F3781,#REF!,0),2)</f>
        <v>#REF!</v>
      </c>
      <c r="Q3781" s="43"/>
      <c r="R3781" s="43"/>
      <c r="S3781" s="43"/>
      <c r="T3781" s="43"/>
      <c r="U3781" s="43"/>
      <c r="V3781" s="43"/>
      <c r="W3781" s="43"/>
      <c r="X3781" s="43"/>
      <c r="Y3781" s="43"/>
      <c r="Z3781" s="43"/>
      <c r="AA3781" s="43"/>
      <c r="AB3781" s="43"/>
      <c r="AC3781" s="43"/>
      <c r="AD3781" s="43"/>
      <c r="AE3781" s="43"/>
      <c r="AF3781" s="43"/>
      <c r="AG3781" s="43"/>
      <c r="AH3781" s="1774"/>
      <c r="AI3781" s="1030"/>
      <c r="AJ3781" s="1030"/>
      <c r="AK3781" s="43"/>
      <c r="AL3781" s="43"/>
      <c r="AM3781" s="43"/>
      <c r="AN3781" s="43"/>
      <c r="AO3781" s="43"/>
      <c r="AP3781" s="43"/>
      <c r="AQ3781" s="43"/>
      <c r="AR3781" s="43"/>
      <c r="AS3781" s="43"/>
      <c r="AT3781" s="43"/>
      <c r="AU3781" s="43"/>
      <c r="AV3781" s="43"/>
    </row>
    <row r="3782" spans="1:48" ht="15.6" customHeight="1">
      <c r="A3782" s="992"/>
      <c r="B3782" s="992" t="s">
        <v>1248</v>
      </c>
      <c r="C3782" s="412" t="s">
        <v>507</v>
      </c>
      <c r="D3782" s="1590"/>
      <c r="E3782" s="2224" t="s">
        <v>2448</v>
      </c>
      <c r="F3782" s="505">
        <v>2322</v>
      </c>
      <c r="G3782" s="1668" t="s">
        <v>2332</v>
      </c>
      <c r="H3782" s="2822"/>
      <c r="I3782" s="2779">
        <v>600</v>
      </c>
      <c r="J3782" s="2776"/>
      <c r="K3782" s="2777"/>
      <c r="L3782" s="2779"/>
      <c r="M3782" s="4221">
        <v>500</v>
      </c>
      <c r="N3782" s="241" t="s">
        <v>5156</v>
      </c>
      <c r="O3782" s="86"/>
      <c r="P3782" s="1817" t="e">
        <f>INDEX(#REF!,MATCH(F3782,#REF!,0),2)</f>
        <v>#REF!</v>
      </c>
      <c r="Q3782" s="43"/>
      <c r="R3782" s="43"/>
      <c r="S3782" s="43"/>
      <c r="T3782" s="43"/>
      <c r="U3782" s="43"/>
      <c r="V3782" s="43"/>
      <c r="W3782" s="43"/>
      <c r="X3782" s="43"/>
      <c r="Y3782" s="43"/>
      <c r="Z3782" s="43"/>
      <c r="AA3782" s="43"/>
      <c r="AB3782" s="43"/>
      <c r="AC3782" s="43"/>
      <c r="AD3782" s="43"/>
      <c r="AE3782" s="43"/>
      <c r="AF3782" s="43"/>
      <c r="AG3782" s="43"/>
      <c r="AH3782" s="43"/>
      <c r="AI3782" s="43"/>
      <c r="AJ3782" s="43"/>
      <c r="AK3782" s="43"/>
      <c r="AL3782" s="43"/>
      <c r="AM3782" s="43"/>
      <c r="AN3782" s="43"/>
      <c r="AO3782" s="43"/>
      <c r="AP3782" s="43"/>
      <c r="AQ3782" s="43"/>
      <c r="AR3782" s="43"/>
      <c r="AS3782" s="43"/>
      <c r="AT3782" s="43"/>
      <c r="AU3782" s="43"/>
      <c r="AV3782" s="43"/>
    </row>
    <row r="3783" spans="1:48" ht="44.45" customHeight="1">
      <c r="A3783" s="992"/>
      <c r="B3783" s="992" t="s">
        <v>1248</v>
      </c>
      <c r="C3783" s="412" t="s">
        <v>507</v>
      </c>
      <c r="D3783" s="1590"/>
      <c r="E3783" s="2224" t="s">
        <v>2448</v>
      </c>
      <c r="F3783" s="505">
        <v>2322</v>
      </c>
      <c r="G3783" s="1668" t="s">
        <v>2333</v>
      </c>
      <c r="H3783" s="2822"/>
      <c r="I3783" s="2779">
        <v>600</v>
      </c>
      <c r="J3783" s="2776"/>
      <c r="K3783" s="2777"/>
      <c r="L3783" s="2779"/>
      <c r="M3783" s="4221">
        <v>500</v>
      </c>
      <c r="N3783" s="241" t="s">
        <v>5156</v>
      </c>
      <c r="O3783" s="86"/>
      <c r="P3783" s="1817" t="e">
        <f>INDEX(#REF!,MATCH(F3783,#REF!,0),2)</f>
        <v>#REF!</v>
      </c>
      <c r="Q3783" s="43"/>
      <c r="R3783" s="43"/>
      <c r="S3783" s="43"/>
      <c r="T3783" s="43"/>
      <c r="U3783" s="43"/>
      <c r="V3783" s="43"/>
      <c r="W3783" s="43"/>
      <c r="X3783" s="43"/>
      <c r="Y3783" s="43"/>
      <c r="Z3783" s="43"/>
      <c r="AA3783" s="43"/>
      <c r="AB3783" s="43"/>
      <c r="AC3783" s="43"/>
      <c r="AD3783" s="43"/>
      <c r="AE3783" s="43"/>
      <c r="AF3783" s="43"/>
      <c r="AG3783" s="43"/>
      <c r="AH3783" s="43"/>
      <c r="AI3783" s="43"/>
      <c r="AJ3783" s="43"/>
      <c r="AK3783" s="43"/>
      <c r="AL3783" s="43"/>
      <c r="AM3783" s="43"/>
      <c r="AN3783" s="43"/>
      <c r="AO3783" s="43"/>
      <c r="AP3783" s="43"/>
      <c r="AQ3783" s="43"/>
      <c r="AR3783" s="43"/>
      <c r="AS3783" s="43"/>
      <c r="AT3783" s="43"/>
      <c r="AU3783" s="43"/>
      <c r="AV3783" s="43"/>
    </row>
    <row r="3784" spans="1:48" s="1804" customFormat="1" ht="13.9" customHeight="1">
      <c r="A3784" s="412"/>
      <c r="B3784" s="412" t="s">
        <v>1248</v>
      </c>
      <c r="C3784" s="412" t="s">
        <v>507</v>
      </c>
      <c r="D3784" s="1590"/>
      <c r="E3784" s="2224" t="s">
        <v>2448</v>
      </c>
      <c r="F3784" s="505">
        <v>2322</v>
      </c>
      <c r="G3784" s="2820" t="s">
        <v>4807</v>
      </c>
      <c r="H3784" s="2822"/>
      <c r="I3784" s="2779">
        <v>0</v>
      </c>
      <c r="J3784" s="2776"/>
      <c r="K3784" s="2777"/>
      <c r="L3784" s="2779"/>
      <c r="M3784" s="4221">
        <v>500</v>
      </c>
      <c r="N3784" s="241" t="s">
        <v>5156</v>
      </c>
      <c r="O3784" s="86"/>
      <c r="P3784" s="1817" t="e">
        <f>INDEX(#REF!,MATCH(F3784,#REF!,0),2)</f>
        <v>#REF!</v>
      </c>
      <c r="Q3784" s="1803"/>
      <c r="R3784" s="1803"/>
      <c r="S3784" s="1803"/>
      <c r="T3784" s="1803"/>
      <c r="U3784" s="1803"/>
      <c r="V3784" s="1803"/>
      <c r="W3784" s="1803"/>
      <c r="X3784" s="1803"/>
      <c r="Y3784" s="1803"/>
      <c r="Z3784" s="1803"/>
      <c r="AA3784" s="1803"/>
      <c r="AB3784" s="1803"/>
      <c r="AC3784" s="1803"/>
      <c r="AD3784" s="1803"/>
      <c r="AE3784" s="1803"/>
      <c r="AF3784" s="1803"/>
      <c r="AG3784" s="1803"/>
      <c r="AH3784" s="1803"/>
      <c r="AI3784" s="1803"/>
      <c r="AJ3784" s="1803"/>
      <c r="AK3784" s="1803"/>
      <c r="AL3784" s="1803"/>
      <c r="AM3784" s="1803"/>
      <c r="AN3784" s="1803"/>
      <c r="AO3784" s="1803"/>
      <c r="AP3784" s="1803"/>
      <c r="AQ3784" s="1803"/>
      <c r="AR3784" s="1803"/>
      <c r="AS3784" s="1803"/>
      <c r="AT3784" s="1803"/>
      <c r="AU3784" s="1803"/>
      <c r="AV3784" s="1803"/>
    </row>
    <row r="3785" spans="1:48" s="1804" customFormat="1" ht="12" customHeight="1">
      <c r="A3785" s="992"/>
      <c r="B3785" s="992" t="s">
        <v>1248</v>
      </c>
      <c r="C3785" s="412" t="s">
        <v>507</v>
      </c>
      <c r="D3785" s="1590"/>
      <c r="E3785" s="2224" t="s">
        <v>2448</v>
      </c>
      <c r="F3785" s="505">
        <v>2322</v>
      </c>
      <c r="G3785" s="1668" t="s">
        <v>5917</v>
      </c>
      <c r="H3785" s="2822"/>
      <c r="I3785" s="2779">
        <v>960</v>
      </c>
      <c r="J3785" s="2776"/>
      <c r="K3785" s="2777"/>
      <c r="L3785" s="2778"/>
      <c r="M3785" s="2778"/>
      <c r="N3785" s="2847"/>
      <c r="O3785" s="86"/>
      <c r="P3785" s="1817" t="e">
        <f>INDEX(#REF!,MATCH(F3785,#REF!,0),2)</f>
        <v>#REF!</v>
      </c>
      <c r="Q3785" s="1803"/>
      <c r="R3785" s="1803"/>
      <c r="S3785" s="1803"/>
      <c r="T3785" s="1803"/>
      <c r="U3785" s="1803"/>
      <c r="V3785" s="1803"/>
      <c r="W3785" s="1803"/>
      <c r="X3785" s="1803"/>
      <c r="Y3785" s="1803"/>
      <c r="Z3785" s="1803"/>
      <c r="AA3785" s="1803"/>
      <c r="AB3785" s="1803"/>
      <c r="AC3785" s="1803"/>
      <c r="AD3785" s="1803"/>
      <c r="AE3785" s="1803"/>
      <c r="AF3785" s="1803"/>
      <c r="AG3785" s="1803"/>
      <c r="AH3785" s="1803"/>
      <c r="AI3785" s="1803"/>
      <c r="AJ3785" s="1803"/>
      <c r="AK3785" s="1803"/>
      <c r="AL3785" s="1803"/>
      <c r="AM3785" s="1803"/>
      <c r="AN3785" s="1803"/>
      <c r="AO3785" s="1803"/>
      <c r="AP3785" s="1803"/>
      <c r="AQ3785" s="1803"/>
      <c r="AR3785" s="1803"/>
      <c r="AS3785" s="1803"/>
      <c r="AT3785" s="1803"/>
      <c r="AU3785" s="1803"/>
      <c r="AV3785" s="1803"/>
    </row>
    <row r="3786" spans="1:48" ht="21" customHeight="1">
      <c r="A3786" s="2790"/>
      <c r="B3786" s="992" t="s">
        <v>1248</v>
      </c>
      <c r="C3786" s="412" t="s">
        <v>507</v>
      </c>
      <c r="D3786" s="1590"/>
      <c r="E3786" s="2224" t="s">
        <v>2448</v>
      </c>
      <c r="F3786" s="505">
        <v>2322</v>
      </c>
      <c r="G3786" s="2820" t="s">
        <v>5298</v>
      </c>
      <c r="H3786" s="2822"/>
      <c r="I3786" s="2779">
        <v>-955</v>
      </c>
      <c r="J3786" s="2776"/>
      <c r="K3786" s="2777"/>
      <c r="L3786" s="2778"/>
      <c r="M3786" s="2778"/>
      <c r="N3786" s="2847"/>
      <c r="O3786" s="86"/>
      <c r="P3786" s="1817" t="e">
        <f>INDEX(#REF!,MATCH(F3786,#REF!,0),2)</f>
        <v>#REF!</v>
      </c>
      <c r="Q3786" s="43"/>
      <c r="R3786" s="43"/>
      <c r="S3786" s="43"/>
      <c r="T3786" s="43"/>
      <c r="U3786" s="43"/>
      <c r="V3786" s="43"/>
      <c r="W3786" s="43"/>
      <c r="X3786" s="43"/>
      <c r="Y3786" s="43"/>
      <c r="Z3786" s="43"/>
      <c r="AA3786" s="43"/>
      <c r="AB3786" s="43"/>
      <c r="AC3786" s="43"/>
      <c r="AD3786" s="43"/>
      <c r="AE3786" s="43"/>
      <c r="AF3786" s="43"/>
      <c r="AG3786" s="43"/>
      <c r="AH3786" s="43"/>
      <c r="AI3786" s="43"/>
      <c r="AJ3786" s="43"/>
      <c r="AK3786" s="43"/>
      <c r="AL3786" s="43"/>
      <c r="AM3786" s="43"/>
      <c r="AN3786" s="43"/>
      <c r="AO3786" s="43"/>
      <c r="AP3786" s="43"/>
      <c r="AQ3786" s="43"/>
      <c r="AR3786" s="43"/>
      <c r="AS3786" s="43"/>
      <c r="AT3786" s="43"/>
      <c r="AU3786" s="43"/>
      <c r="AV3786" s="43"/>
    </row>
    <row r="3787" spans="1:48" ht="10.15" customHeight="1">
      <c r="A3787" s="506"/>
      <c r="B3787" s="506" t="s">
        <v>1248</v>
      </c>
      <c r="C3787" s="506" t="s">
        <v>507</v>
      </c>
      <c r="D3787" s="1632" t="s">
        <v>494</v>
      </c>
      <c r="E3787" s="2257" t="s">
        <v>2448</v>
      </c>
      <c r="F3787" s="540">
        <v>2350</v>
      </c>
      <c r="G3787" s="411" t="s">
        <v>251</v>
      </c>
      <c r="H3787" s="2838">
        <v>3400</v>
      </c>
      <c r="I3787" s="2842"/>
      <c r="J3787" s="2840"/>
      <c r="K3787" s="2841"/>
      <c r="L3787" s="2842">
        <v>0</v>
      </c>
      <c r="M3787" s="2842"/>
      <c r="N3787" s="2847"/>
      <c r="O3787" s="86"/>
      <c r="P3787" s="1817" t="e">
        <f>INDEX(#REF!,MATCH(F3787,#REF!,0),2)</f>
        <v>#REF!</v>
      </c>
      <c r="Q3787" s="43"/>
      <c r="R3787" s="43"/>
      <c r="S3787" s="43"/>
      <c r="T3787" s="43"/>
      <c r="U3787" s="43"/>
      <c r="V3787" s="43"/>
      <c r="W3787" s="43"/>
      <c r="X3787" s="43"/>
      <c r="Y3787" s="43"/>
      <c r="Z3787" s="43"/>
      <c r="AA3787" s="43"/>
      <c r="AB3787" s="43"/>
      <c r="AC3787" s="43"/>
      <c r="AD3787" s="43"/>
      <c r="AE3787" s="43"/>
      <c r="AF3787" s="43"/>
      <c r="AG3787" s="43"/>
      <c r="AH3787" s="43"/>
      <c r="AI3787" s="43"/>
      <c r="AJ3787" s="43"/>
      <c r="AK3787" s="43"/>
      <c r="AL3787" s="43"/>
      <c r="AM3787" s="43"/>
      <c r="AN3787" s="43"/>
      <c r="AO3787" s="43"/>
      <c r="AP3787" s="43"/>
      <c r="AQ3787" s="43"/>
      <c r="AR3787" s="43"/>
      <c r="AS3787" s="43"/>
      <c r="AT3787" s="43"/>
      <c r="AU3787" s="43"/>
      <c r="AV3787" s="43"/>
    </row>
    <row r="3788" spans="1:48" ht="10.15" customHeight="1">
      <c r="A3788" s="412" t="s">
        <v>519</v>
      </c>
      <c r="B3788" s="412" t="s">
        <v>1248</v>
      </c>
      <c r="C3788" s="412" t="s">
        <v>507</v>
      </c>
      <c r="D3788" s="1590"/>
      <c r="E3788" s="2224" t="s">
        <v>2448</v>
      </c>
      <c r="F3788" s="505">
        <v>2350</v>
      </c>
      <c r="G3788" s="2774" t="s">
        <v>4810</v>
      </c>
      <c r="H3788" s="2822"/>
      <c r="I3788" s="2779">
        <v>400</v>
      </c>
      <c r="J3788" s="2776"/>
      <c r="K3788" s="2777"/>
      <c r="L3788" s="2779"/>
      <c r="M3788" s="4221">
        <v>0</v>
      </c>
      <c r="N3788" s="2847"/>
      <c r="O3788" s="86"/>
      <c r="P3788" s="1817" t="e">
        <f>INDEX(#REF!,MATCH(F3788,#REF!,0),2)</f>
        <v>#REF!</v>
      </c>
      <c r="Q3788" s="43"/>
      <c r="R3788" s="43"/>
      <c r="S3788" s="43"/>
      <c r="T3788" s="43"/>
      <c r="U3788" s="43"/>
      <c r="V3788" s="43"/>
      <c r="W3788" s="43"/>
      <c r="X3788" s="43"/>
      <c r="Y3788" s="43"/>
      <c r="Z3788" s="43"/>
      <c r="AA3788" s="43"/>
      <c r="AB3788" s="43"/>
      <c r="AC3788" s="43"/>
      <c r="AD3788" s="43"/>
      <c r="AE3788" s="43"/>
      <c r="AF3788" s="43"/>
      <c r="AG3788" s="43"/>
      <c r="AH3788" s="43"/>
      <c r="AI3788" s="43"/>
      <c r="AJ3788" s="43"/>
      <c r="AK3788" s="43"/>
      <c r="AL3788" s="43"/>
      <c r="AM3788" s="43"/>
      <c r="AN3788" s="43"/>
      <c r="AO3788" s="43"/>
      <c r="AP3788" s="43"/>
      <c r="AQ3788" s="43"/>
      <c r="AR3788" s="43"/>
      <c r="AS3788" s="43"/>
      <c r="AT3788" s="43"/>
      <c r="AU3788" s="43"/>
      <c r="AV3788" s="43"/>
    </row>
    <row r="3789" spans="1:48" ht="10.15" customHeight="1">
      <c r="A3789" s="412" t="s">
        <v>519</v>
      </c>
      <c r="B3789" s="412" t="s">
        <v>1248</v>
      </c>
      <c r="C3789" s="412" t="s">
        <v>507</v>
      </c>
      <c r="D3789" s="1590"/>
      <c r="E3789" s="2224" t="s">
        <v>2448</v>
      </c>
      <c r="F3789" s="505">
        <v>2350</v>
      </c>
      <c r="G3789" s="2774" t="s">
        <v>679</v>
      </c>
      <c r="H3789" s="2822"/>
      <c r="I3789" s="3505">
        <v>3000</v>
      </c>
      <c r="J3789" s="2776"/>
      <c r="K3789" s="2777"/>
      <c r="L3789" s="2778"/>
      <c r="M3789" s="3521"/>
      <c r="N3789" s="2847"/>
      <c r="O3789" s="86"/>
      <c r="P3789" s="1817" t="e">
        <f>INDEX(#REF!,MATCH(F3789,#REF!,0),2)</f>
        <v>#REF!</v>
      </c>
      <c r="Q3789" s="43"/>
      <c r="R3789" s="43"/>
      <c r="S3789" s="43"/>
      <c r="T3789" s="43"/>
      <c r="U3789" s="43"/>
      <c r="V3789" s="43"/>
      <c r="W3789" s="43"/>
      <c r="X3789" s="43"/>
      <c r="Y3789" s="43"/>
      <c r="Z3789" s="43"/>
      <c r="AA3789" s="43"/>
      <c r="AB3789" s="43"/>
      <c r="AC3789" s="43"/>
      <c r="AD3789" s="43"/>
      <c r="AE3789" s="43"/>
      <c r="AF3789" s="43"/>
      <c r="AG3789" s="43"/>
      <c r="AH3789" s="43"/>
      <c r="AI3789" s="43"/>
      <c r="AJ3789" s="43"/>
      <c r="AK3789" s="43"/>
      <c r="AL3789" s="43"/>
      <c r="AM3789" s="43"/>
      <c r="AN3789" s="43"/>
      <c r="AO3789" s="43"/>
      <c r="AP3789" s="43"/>
      <c r="AQ3789" s="43"/>
      <c r="AR3789" s="43"/>
      <c r="AS3789" s="43"/>
      <c r="AT3789" s="43"/>
      <c r="AU3789" s="43"/>
      <c r="AV3789" s="43"/>
    </row>
    <row r="3790" spans="1:48" s="1804" customFormat="1" ht="28.9" customHeight="1">
      <c r="A3790" s="506"/>
      <c r="B3790" s="506" t="s">
        <v>1248</v>
      </c>
      <c r="C3790" s="506" t="s">
        <v>505</v>
      </c>
      <c r="D3790" s="1632" t="s">
        <v>494</v>
      </c>
      <c r="E3790" s="2257" t="s">
        <v>2448</v>
      </c>
      <c r="F3790" s="540">
        <v>2390</v>
      </c>
      <c r="G3790" s="411" t="s">
        <v>294</v>
      </c>
      <c r="H3790" s="2838">
        <v>4500</v>
      </c>
      <c r="I3790" s="2842"/>
      <c r="J3790" s="2840"/>
      <c r="K3790" s="2841"/>
      <c r="L3790" s="2842">
        <v>4500</v>
      </c>
      <c r="M3790" s="2842"/>
      <c r="N3790" s="2847"/>
      <c r="O3790" s="86"/>
      <c r="P3790" s="1817" t="e">
        <f>INDEX(#REF!,MATCH(F3790,#REF!,0),2)</f>
        <v>#REF!</v>
      </c>
      <c r="Q3790" s="1803"/>
      <c r="R3790" s="1803"/>
      <c r="S3790" s="1803"/>
      <c r="T3790" s="1803"/>
      <c r="U3790" s="1803"/>
      <c r="V3790" s="1803"/>
      <c r="W3790" s="1803"/>
      <c r="X3790" s="1803"/>
      <c r="Y3790" s="1803"/>
      <c r="Z3790" s="1803"/>
      <c r="AA3790" s="1803"/>
      <c r="AB3790" s="1803"/>
      <c r="AC3790" s="1803"/>
      <c r="AD3790" s="1803"/>
      <c r="AE3790" s="1803"/>
      <c r="AF3790" s="1803"/>
      <c r="AG3790" s="1803"/>
      <c r="AH3790" s="1803"/>
      <c r="AI3790" s="1803"/>
      <c r="AJ3790" s="1803"/>
      <c r="AK3790" s="1803"/>
      <c r="AL3790" s="1803"/>
      <c r="AM3790" s="1803"/>
      <c r="AN3790" s="1803"/>
      <c r="AO3790" s="1803"/>
      <c r="AP3790" s="1803"/>
      <c r="AQ3790" s="1803"/>
      <c r="AR3790" s="1803"/>
      <c r="AS3790" s="1803"/>
      <c r="AT3790" s="1803"/>
      <c r="AU3790" s="1803"/>
      <c r="AV3790" s="1803"/>
    </row>
    <row r="3791" spans="1:48" ht="15.6" customHeight="1">
      <c r="A3791" s="412"/>
      <c r="B3791" s="412" t="s">
        <v>1248</v>
      </c>
      <c r="C3791" s="412" t="s">
        <v>505</v>
      </c>
      <c r="D3791" s="1590"/>
      <c r="E3791" s="2224" t="s">
        <v>2448</v>
      </c>
      <c r="F3791" s="505">
        <v>2390</v>
      </c>
      <c r="G3791" s="2774" t="s">
        <v>4811</v>
      </c>
      <c r="H3791" s="2822"/>
      <c r="I3791" s="2779">
        <v>2500</v>
      </c>
      <c r="J3791" s="2776"/>
      <c r="K3791" s="2777"/>
      <c r="L3791" s="2779"/>
      <c r="M3791" s="2779">
        <v>2500</v>
      </c>
      <c r="N3791" s="2847"/>
      <c r="O3791" s="86"/>
      <c r="P3791" s="1817" t="e">
        <f>INDEX(#REF!,MATCH(F3791,#REF!,0),2)</f>
        <v>#REF!</v>
      </c>
      <c r="Q3791" s="43"/>
      <c r="R3791" s="43"/>
      <c r="S3791" s="43"/>
      <c r="T3791" s="43"/>
      <c r="U3791" s="43"/>
      <c r="V3791" s="43"/>
      <c r="W3791" s="43"/>
      <c r="X3791" s="43"/>
      <c r="Y3791" s="43"/>
      <c r="Z3791" s="43"/>
      <c r="AA3791" s="43"/>
      <c r="AB3791" s="43"/>
      <c r="AC3791" s="43"/>
      <c r="AD3791" s="43"/>
      <c r="AE3791" s="43"/>
      <c r="AF3791" s="43"/>
      <c r="AG3791" s="43"/>
      <c r="AH3791" s="43"/>
      <c r="AI3791" s="43"/>
      <c r="AJ3791" s="43"/>
      <c r="AK3791" s="43"/>
      <c r="AL3791" s="43"/>
      <c r="AM3791" s="43"/>
      <c r="AN3791" s="43"/>
      <c r="AO3791" s="43"/>
      <c r="AP3791" s="43"/>
      <c r="AQ3791" s="43"/>
      <c r="AR3791" s="43"/>
      <c r="AS3791" s="43"/>
      <c r="AT3791" s="43"/>
      <c r="AU3791" s="43"/>
      <c r="AV3791" s="43"/>
    </row>
    <row r="3792" spans="1:48" ht="12" customHeight="1">
      <c r="A3792" s="412"/>
      <c r="B3792" s="412" t="s">
        <v>1248</v>
      </c>
      <c r="C3792" s="412" t="s">
        <v>505</v>
      </c>
      <c r="D3792" s="1590"/>
      <c r="E3792" s="2224" t="s">
        <v>2448</v>
      </c>
      <c r="F3792" s="505">
        <v>2390</v>
      </c>
      <c r="G3792" s="2774" t="s">
        <v>2334</v>
      </c>
      <c r="H3792" s="2822"/>
      <c r="I3792" s="2779">
        <v>2000</v>
      </c>
      <c r="J3792" s="2776"/>
      <c r="K3792" s="3515"/>
      <c r="L3792" s="2779"/>
      <c r="M3792" s="2779">
        <v>2000</v>
      </c>
      <c r="N3792" s="2847"/>
      <c r="O3792" s="86"/>
      <c r="P3792" s="1817" t="e">
        <f>INDEX(#REF!,MATCH(F3792,#REF!,0),2)</f>
        <v>#REF!</v>
      </c>
      <c r="Q3792" s="43"/>
      <c r="R3792" s="43"/>
      <c r="S3792" s="43"/>
      <c r="T3792" s="43"/>
      <c r="U3792" s="43"/>
      <c r="V3792" s="43"/>
      <c r="W3792" s="43"/>
      <c r="X3792" s="43"/>
      <c r="Y3792" s="43"/>
      <c r="Z3792" s="43"/>
      <c r="AA3792" s="43"/>
      <c r="AB3792" s="43"/>
      <c r="AC3792" s="43"/>
      <c r="AD3792" s="43"/>
      <c r="AE3792" s="43"/>
      <c r="AF3792" s="43"/>
      <c r="AG3792" s="43"/>
      <c r="AH3792" s="43"/>
      <c r="AI3792" s="43"/>
      <c r="AJ3792" s="43"/>
      <c r="AK3792" s="43"/>
      <c r="AL3792" s="43"/>
      <c r="AM3792" s="43"/>
      <c r="AN3792" s="43"/>
      <c r="AO3792" s="43"/>
      <c r="AP3792" s="43"/>
      <c r="AQ3792" s="43"/>
      <c r="AR3792" s="43"/>
      <c r="AS3792" s="43"/>
      <c r="AT3792" s="43"/>
      <c r="AU3792" s="43"/>
      <c r="AV3792" s="43"/>
    </row>
    <row r="3793" spans="1:48" ht="45" customHeight="1">
      <c r="A3793" s="992"/>
      <c r="B3793" s="412" t="s">
        <v>1248</v>
      </c>
      <c r="C3793" s="412" t="s">
        <v>505</v>
      </c>
      <c r="D3793" s="1590"/>
      <c r="E3793" s="2224" t="s">
        <v>2448</v>
      </c>
      <c r="F3793" s="505">
        <v>2390</v>
      </c>
      <c r="G3793" s="2774" t="s">
        <v>4813</v>
      </c>
      <c r="H3793" s="2822"/>
      <c r="I3793" s="2779">
        <v>1000</v>
      </c>
      <c r="J3793" s="2776"/>
      <c r="K3793" s="3515"/>
      <c r="L3793" s="2779"/>
      <c r="M3793" s="2779">
        <v>300</v>
      </c>
      <c r="N3793" s="2847"/>
      <c r="O3793" s="86"/>
      <c r="P3793" s="1817" t="e">
        <f>INDEX(#REF!,MATCH(F3793,#REF!,0),2)</f>
        <v>#REF!</v>
      </c>
      <c r="Q3793" s="43"/>
      <c r="R3793" s="43"/>
      <c r="S3793" s="43"/>
      <c r="T3793" s="43"/>
      <c r="U3793" s="43"/>
      <c r="V3793" s="43"/>
      <c r="W3793" s="43"/>
      <c r="X3793" s="43"/>
      <c r="Y3793" s="43"/>
      <c r="Z3793" s="43"/>
      <c r="AA3793" s="43"/>
      <c r="AB3793" s="43"/>
      <c r="AC3793" s="43"/>
      <c r="AD3793" s="43"/>
      <c r="AE3793" s="43"/>
      <c r="AF3793" s="43"/>
      <c r="AG3793" s="43"/>
      <c r="AH3793" s="43"/>
      <c r="AI3793" s="43"/>
      <c r="AJ3793" s="43"/>
      <c r="AK3793" s="43"/>
      <c r="AL3793" s="43"/>
      <c r="AM3793" s="43"/>
      <c r="AN3793" s="43"/>
      <c r="AO3793" s="43"/>
      <c r="AP3793" s="43"/>
      <c r="AQ3793" s="43"/>
      <c r="AR3793" s="43"/>
      <c r="AS3793" s="43"/>
      <c r="AT3793" s="43"/>
      <c r="AU3793" s="43"/>
      <c r="AV3793" s="43"/>
    </row>
    <row r="3794" spans="1:48" ht="25.9" customHeight="1">
      <c r="A3794" s="506"/>
      <c r="B3794" s="775" t="s">
        <v>1249</v>
      </c>
      <c r="C3794" s="506" t="s">
        <v>570</v>
      </c>
      <c r="D3794" s="1632" t="s">
        <v>494</v>
      </c>
      <c r="E3794" s="2257" t="s">
        <v>2448</v>
      </c>
      <c r="F3794" s="540">
        <v>2390</v>
      </c>
      <c r="G3794" s="411" t="s">
        <v>294</v>
      </c>
      <c r="H3794" s="2838">
        <v>3000</v>
      </c>
      <c r="I3794" s="2842"/>
      <c r="J3794" s="2840"/>
      <c r="K3794" s="2841"/>
      <c r="L3794" s="2842">
        <v>1800</v>
      </c>
      <c r="M3794" s="2842"/>
      <c r="N3794" s="2847"/>
      <c r="O3794" s="86"/>
      <c r="P3794" s="1817" t="e">
        <f>INDEX(#REF!,MATCH(F3794,#REF!,0),2)</f>
        <v>#REF!</v>
      </c>
      <c r="Q3794" s="43"/>
      <c r="R3794" s="43"/>
      <c r="S3794" s="43"/>
      <c r="T3794" s="43"/>
      <c r="U3794" s="43"/>
      <c r="V3794" s="43"/>
      <c r="W3794" s="43"/>
      <c r="X3794" s="43"/>
      <c r="Y3794" s="43"/>
      <c r="Z3794" s="43"/>
      <c r="AA3794" s="43"/>
      <c r="AB3794" s="43"/>
      <c r="AC3794" s="43"/>
      <c r="AD3794" s="43"/>
      <c r="AE3794" s="43"/>
      <c r="AF3794" s="43"/>
      <c r="AG3794" s="43"/>
      <c r="AH3794" s="43"/>
      <c r="AI3794" s="43"/>
      <c r="AJ3794" s="43"/>
      <c r="AK3794" s="43"/>
      <c r="AL3794" s="43"/>
      <c r="AM3794" s="43"/>
      <c r="AN3794" s="43"/>
      <c r="AO3794" s="43"/>
      <c r="AP3794" s="43"/>
      <c r="AQ3794" s="43"/>
      <c r="AR3794" s="43"/>
      <c r="AS3794" s="43"/>
      <c r="AT3794" s="43"/>
      <c r="AU3794" s="43"/>
      <c r="AV3794" s="43"/>
    </row>
    <row r="3795" spans="1:48" ht="15" customHeight="1">
      <c r="A3795" s="412" t="s">
        <v>1547</v>
      </c>
      <c r="B3795" s="489" t="s">
        <v>1249</v>
      </c>
      <c r="C3795" s="412" t="s">
        <v>570</v>
      </c>
      <c r="D3795" s="1590"/>
      <c r="E3795" s="2224" t="s">
        <v>2448</v>
      </c>
      <c r="F3795" s="505">
        <v>2390</v>
      </c>
      <c r="G3795" s="2774" t="s">
        <v>482</v>
      </c>
      <c r="H3795" s="2822"/>
      <c r="I3795" s="2779">
        <v>1000</v>
      </c>
      <c r="J3795" s="2776"/>
      <c r="K3795" s="2777"/>
      <c r="L3795" s="2779"/>
      <c r="M3795" s="2779">
        <v>900</v>
      </c>
      <c r="N3795" s="2847"/>
      <c r="O3795" s="86"/>
      <c r="P3795" s="1817" t="e">
        <f>INDEX(#REF!,MATCH(F3795,#REF!,0),2)</f>
        <v>#REF!</v>
      </c>
      <c r="Q3795" s="43"/>
      <c r="R3795" s="43"/>
      <c r="S3795" s="43"/>
      <c r="T3795" s="43"/>
      <c r="U3795" s="43"/>
      <c r="V3795" s="43"/>
      <c r="W3795" s="43"/>
      <c r="X3795" s="43"/>
      <c r="Y3795" s="43"/>
      <c r="Z3795" s="43"/>
      <c r="AA3795" s="43"/>
      <c r="AB3795" s="43"/>
      <c r="AC3795" s="43"/>
      <c r="AD3795" s="43"/>
      <c r="AE3795" s="43"/>
      <c r="AF3795" s="43"/>
      <c r="AG3795" s="43"/>
      <c r="AH3795" s="43"/>
      <c r="AI3795" s="43"/>
      <c r="AJ3795" s="43"/>
      <c r="AK3795" s="43"/>
      <c r="AL3795" s="43"/>
      <c r="AM3795" s="43"/>
      <c r="AN3795" s="43"/>
      <c r="AO3795" s="43"/>
      <c r="AP3795" s="43"/>
      <c r="AQ3795" s="43"/>
      <c r="AR3795" s="43"/>
      <c r="AS3795" s="43"/>
      <c r="AT3795" s="43"/>
      <c r="AU3795" s="43"/>
      <c r="AV3795" s="43"/>
    </row>
    <row r="3796" spans="1:48" ht="33.75">
      <c r="A3796" s="412" t="s">
        <v>1548</v>
      </c>
      <c r="B3796" s="489" t="s">
        <v>1249</v>
      </c>
      <c r="C3796" s="412" t="s">
        <v>570</v>
      </c>
      <c r="D3796" s="1590"/>
      <c r="E3796" s="2224" t="s">
        <v>2448</v>
      </c>
      <c r="F3796" s="505">
        <v>2390</v>
      </c>
      <c r="G3796" s="2774" t="s">
        <v>4812</v>
      </c>
      <c r="H3796" s="2822"/>
      <c r="I3796" s="2779">
        <v>1000</v>
      </c>
      <c r="J3796" s="2776"/>
      <c r="K3796" s="2777"/>
      <c r="L3796" s="2779"/>
      <c r="M3796" s="2779">
        <v>900</v>
      </c>
      <c r="N3796" s="2847"/>
      <c r="O3796" s="86"/>
      <c r="P3796" s="1817" t="e">
        <f>INDEX(#REF!,MATCH(F3796,#REF!,0),2)</f>
        <v>#REF!</v>
      </c>
      <c r="Q3796" s="43"/>
      <c r="R3796" s="43"/>
      <c r="S3796" s="43"/>
      <c r="T3796" s="43"/>
      <c r="U3796" s="43"/>
      <c r="V3796" s="43"/>
      <c r="W3796" s="43"/>
      <c r="X3796" s="43"/>
      <c r="Y3796" s="43"/>
      <c r="Z3796" s="43"/>
      <c r="AA3796" s="43"/>
      <c r="AB3796" s="43"/>
      <c r="AC3796" s="43"/>
      <c r="AD3796" s="43"/>
      <c r="AE3796" s="43"/>
      <c r="AF3796" s="43"/>
      <c r="AG3796" s="43"/>
      <c r="AH3796" s="43"/>
      <c r="AI3796" s="43"/>
      <c r="AJ3796" s="43"/>
      <c r="AK3796" s="43"/>
      <c r="AL3796" s="43"/>
      <c r="AM3796" s="43"/>
      <c r="AN3796" s="43"/>
      <c r="AO3796" s="43"/>
      <c r="AP3796" s="43"/>
      <c r="AQ3796" s="43"/>
      <c r="AR3796" s="43"/>
      <c r="AS3796" s="43"/>
      <c r="AT3796" s="43"/>
      <c r="AU3796" s="43"/>
      <c r="AV3796" s="43"/>
    </row>
    <row r="3797" spans="1:48" ht="22.15" customHeight="1">
      <c r="A3797" s="591"/>
      <c r="B3797" s="775" t="s">
        <v>1249</v>
      </c>
      <c r="C3797" s="591" t="s">
        <v>570</v>
      </c>
      <c r="D3797" s="1632" t="s">
        <v>494</v>
      </c>
      <c r="E3797" s="2257" t="s">
        <v>2448</v>
      </c>
      <c r="F3797" s="540">
        <v>3262</v>
      </c>
      <c r="G3797" s="411" t="s">
        <v>674</v>
      </c>
      <c r="H3797" s="2838">
        <v>5167</v>
      </c>
      <c r="I3797" s="2842"/>
      <c r="J3797" s="2840"/>
      <c r="K3797" s="2841"/>
      <c r="L3797" s="2842">
        <v>9000</v>
      </c>
      <c r="M3797" s="2842"/>
      <c r="N3797" s="2847"/>
      <c r="O3797" s="86"/>
      <c r="P3797" s="1817" t="e">
        <f>INDEX(#REF!,MATCH(F3797,#REF!,0),2)</f>
        <v>#REF!</v>
      </c>
      <c r="Q3797" s="43"/>
      <c r="R3797" s="43"/>
      <c r="S3797" s="43"/>
      <c r="T3797" s="43"/>
      <c r="U3797" s="43"/>
      <c r="V3797" s="43"/>
      <c r="W3797" s="43"/>
      <c r="X3797" s="43"/>
      <c r="Y3797" s="43"/>
      <c r="Z3797" s="43"/>
      <c r="AA3797" s="43"/>
      <c r="AB3797" s="43"/>
      <c r="AC3797" s="43"/>
      <c r="AD3797" s="43"/>
      <c r="AE3797" s="43"/>
      <c r="AF3797" s="43"/>
      <c r="AG3797" s="43"/>
      <c r="AH3797" s="43"/>
      <c r="AI3797" s="43"/>
      <c r="AJ3797" s="43"/>
      <c r="AK3797" s="43"/>
      <c r="AL3797" s="43"/>
      <c r="AM3797" s="43"/>
      <c r="AN3797" s="43"/>
      <c r="AO3797" s="43"/>
      <c r="AP3797" s="43"/>
      <c r="AQ3797" s="43"/>
      <c r="AR3797" s="43"/>
      <c r="AS3797" s="43"/>
      <c r="AT3797" s="43"/>
      <c r="AU3797" s="43"/>
      <c r="AV3797" s="43"/>
    </row>
    <row r="3798" spans="1:48" ht="33.75">
      <c r="A3798" s="412"/>
      <c r="B3798" s="489" t="s">
        <v>1249</v>
      </c>
      <c r="C3798" s="412" t="s">
        <v>570</v>
      </c>
      <c r="D3798" s="1590"/>
      <c r="E3798" s="2224" t="s">
        <v>2448</v>
      </c>
      <c r="F3798" s="505">
        <v>3262</v>
      </c>
      <c r="G3798" s="3510" t="s">
        <v>5919</v>
      </c>
      <c r="H3798" s="2822"/>
      <c r="I3798" s="3505">
        <v>5167</v>
      </c>
      <c r="J3798" s="2776"/>
      <c r="K3798" s="2777"/>
      <c r="L3798" s="2779"/>
      <c r="M3798" s="3505">
        <v>9000</v>
      </c>
      <c r="N3798" s="241"/>
      <c r="O3798" s="86"/>
      <c r="P3798" s="1817" t="e">
        <f>INDEX(#REF!,MATCH(F3798,#REF!,0),2)</f>
        <v>#REF!</v>
      </c>
      <c r="Q3798" s="43"/>
      <c r="R3798" s="43"/>
      <c r="S3798" s="43"/>
      <c r="T3798" s="43"/>
      <c r="U3798" s="43"/>
      <c r="V3798" s="43"/>
      <c r="W3798" s="43"/>
      <c r="X3798" s="43"/>
      <c r="Y3798" s="43"/>
      <c r="Z3798" s="43"/>
      <c r="AA3798" s="43"/>
      <c r="AB3798" s="43"/>
      <c r="AC3798" s="43"/>
      <c r="AD3798" s="43"/>
      <c r="AE3798" s="43"/>
      <c r="AF3798" s="43"/>
      <c r="AG3798" s="43"/>
      <c r="AH3798" s="43"/>
      <c r="AI3798" s="43"/>
      <c r="AJ3798" s="43"/>
      <c r="AK3798" s="43"/>
      <c r="AL3798" s="43"/>
      <c r="AM3798" s="43"/>
      <c r="AN3798" s="43"/>
      <c r="AO3798" s="43"/>
      <c r="AP3798" s="43"/>
      <c r="AQ3798" s="43"/>
      <c r="AR3798" s="43"/>
      <c r="AS3798" s="43"/>
      <c r="AT3798" s="43"/>
      <c r="AU3798" s="43"/>
      <c r="AV3798" s="43"/>
    </row>
    <row r="3799" spans="1:48">
      <c r="A3799" s="591" t="s">
        <v>600</v>
      </c>
      <c r="B3799" s="775" t="s">
        <v>566</v>
      </c>
      <c r="C3799" s="591" t="s">
        <v>570</v>
      </c>
      <c r="D3799" s="1632" t="s">
        <v>494</v>
      </c>
      <c r="E3799" s="2257" t="s">
        <v>2448</v>
      </c>
      <c r="F3799" s="540">
        <v>3291</v>
      </c>
      <c r="G3799" s="411"/>
      <c r="H3799" s="2838">
        <v>8987</v>
      </c>
      <c r="I3799" s="2842"/>
      <c r="J3799" s="2840"/>
      <c r="K3799" s="2841"/>
      <c r="L3799" s="2842">
        <v>0</v>
      </c>
      <c r="M3799" s="2842"/>
      <c r="N3799" s="2847"/>
      <c r="O3799" s="86"/>
      <c r="P3799" s="1817" t="e">
        <f>INDEX(#REF!,MATCH(F3799,#REF!,0),2)</f>
        <v>#REF!</v>
      </c>
      <c r="Q3799" s="43"/>
      <c r="R3799" s="43"/>
      <c r="S3799" s="43"/>
      <c r="T3799" s="43"/>
      <c r="U3799" s="43"/>
      <c r="V3799" s="43"/>
      <c r="W3799" s="43"/>
      <c r="X3799" s="43"/>
      <c r="Y3799" s="43"/>
      <c r="Z3799" s="43"/>
      <c r="AA3799" s="43"/>
      <c r="AB3799" s="43"/>
      <c r="AC3799" s="43"/>
      <c r="AD3799" s="43"/>
      <c r="AE3799" s="43"/>
      <c r="AF3799" s="43"/>
      <c r="AG3799" s="43"/>
      <c r="AH3799" s="43"/>
      <c r="AI3799" s="43"/>
      <c r="AJ3799" s="43"/>
      <c r="AK3799" s="43"/>
      <c r="AL3799" s="43"/>
      <c r="AM3799" s="43"/>
      <c r="AN3799" s="43"/>
      <c r="AO3799" s="43"/>
      <c r="AP3799" s="43"/>
      <c r="AQ3799" s="43"/>
      <c r="AR3799" s="43"/>
      <c r="AS3799" s="43"/>
      <c r="AT3799" s="43"/>
      <c r="AU3799" s="43"/>
      <c r="AV3799" s="43"/>
    </row>
    <row r="3800" spans="1:48" ht="22.15" customHeight="1">
      <c r="A3800" s="412" t="s">
        <v>1549</v>
      </c>
      <c r="B3800" s="489" t="s">
        <v>566</v>
      </c>
      <c r="C3800" s="412" t="s">
        <v>570</v>
      </c>
      <c r="D3800" s="1590"/>
      <c r="E3800" s="2224" t="s">
        <v>2448</v>
      </c>
      <c r="F3800" s="505">
        <v>3291</v>
      </c>
      <c r="G3800" s="1669" t="s">
        <v>2335</v>
      </c>
      <c r="H3800" s="2822"/>
      <c r="I3800" s="2779">
        <v>32020</v>
      </c>
      <c r="J3800" s="2776"/>
      <c r="K3800" s="2841"/>
      <c r="L3800" s="2779"/>
      <c r="M3800" s="2778"/>
      <c r="N3800" s="241"/>
      <c r="O3800" s="86"/>
      <c r="P3800" s="1817" t="e">
        <f>INDEX(#REF!,MATCH(F3800,#REF!,0),2)</f>
        <v>#REF!</v>
      </c>
      <c r="Q3800" s="43"/>
      <c r="R3800" s="43"/>
      <c r="S3800" s="43"/>
      <c r="T3800" s="43"/>
      <c r="U3800" s="43"/>
      <c r="V3800" s="43"/>
      <c r="W3800" s="43"/>
      <c r="X3800" s="43"/>
      <c r="Y3800" s="43"/>
      <c r="Z3800" s="43"/>
      <c r="AA3800" s="43"/>
      <c r="AB3800" s="43"/>
      <c r="AC3800" s="43"/>
      <c r="AD3800" s="43"/>
      <c r="AE3800" s="43"/>
      <c r="AF3800" s="43"/>
      <c r="AG3800" s="43"/>
      <c r="AH3800" s="43"/>
      <c r="AI3800" s="43"/>
      <c r="AJ3800" s="43"/>
      <c r="AK3800" s="43"/>
      <c r="AL3800" s="43"/>
      <c r="AM3800" s="43"/>
      <c r="AN3800" s="43"/>
      <c r="AO3800" s="43"/>
      <c r="AP3800" s="43"/>
      <c r="AQ3800" s="43"/>
      <c r="AR3800" s="43"/>
      <c r="AS3800" s="43"/>
      <c r="AT3800" s="43"/>
      <c r="AU3800" s="43"/>
      <c r="AV3800" s="43"/>
    </row>
    <row r="3801" spans="1:48" s="2103" customFormat="1" ht="20.45" customHeight="1">
      <c r="A3801" s="1882"/>
      <c r="B3801" s="489" t="s">
        <v>566</v>
      </c>
      <c r="C3801" s="412" t="s">
        <v>570</v>
      </c>
      <c r="D3801" s="1590"/>
      <c r="E3801" s="2224" t="s">
        <v>2448</v>
      </c>
      <c r="F3801" s="505">
        <v>3291</v>
      </c>
      <c r="G3801" s="3843" t="s">
        <v>5318</v>
      </c>
      <c r="H3801" s="2822"/>
      <c r="I3801" s="2779">
        <v>-18000</v>
      </c>
      <c r="J3801" s="2776"/>
      <c r="K3801" s="2841"/>
      <c r="L3801" s="2778"/>
      <c r="M3801" s="2778"/>
      <c r="N3801" s="2847"/>
      <c r="O3801" s="86"/>
      <c r="P3801" s="1817"/>
      <c r="Q3801" s="159"/>
      <c r="R3801" s="159"/>
      <c r="S3801" s="159"/>
      <c r="T3801" s="159"/>
      <c r="U3801" s="159"/>
      <c r="V3801" s="159"/>
      <c r="W3801" s="159"/>
      <c r="X3801" s="159"/>
      <c r="Y3801" s="159"/>
      <c r="Z3801" s="159"/>
      <c r="AA3801" s="159"/>
      <c r="AB3801" s="159"/>
      <c r="AC3801" s="159"/>
      <c r="AD3801" s="159"/>
      <c r="AE3801" s="159"/>
      <c r="AF3801" s="159"/>
      <c r="AG3801" s="159"/>
      <c r="AH3801" s="159"/>
      <c r="AI3801" s="159"/>
      <c r="AJ3801" s="159"/>
      <c r="AK3801" s="159"/>
      <c r="AL3801" s="159"/>
      <c r="AM3801" s="159"/>
      <c r="AN3801" s="159"/>
      <c r="AO3801" s="159"/>
      <c r="AP3801" s="159"/>
      <c r="AQ3801" s="159"/>
      <c r="AR3801" s="159"/>
      <c r="AS3801" s="159"/>
      <c r="AT3801" s="159"/>
      <c r="AU3801" s="159"/>
      <c r="AV3801" s="159"/>
    </row>
    <row r="3802" spans="1:48" ht="22.15" customHeight="1">
      <c r="A3802" s="1882"/>
      <c r="B3802" s="489" t="s">
        <v>566</v>
      </c>
      <c r="C3802" s="412" t="s">
        <v>570</v>
      </c>
      <c r="D3802" s="1590"/>
      <c r="E3802" s="2224" t="s">
        <v>2448</v>
      </c>
      <c r="F3802" s="505">
        <v>3291</v>
      </c>
      <c r="G3802" s="2304" t="s">
        <v>3126</v>
      </c>
      <c r="H3802" s="2822"/>
      <c r="I3802" s="2779">
        <v>-5033</v>
      </c>
      <c r="J3802" s="2776"/>
      <c r="K3802" s="2841"/>
      <c r="L3802" s="2778"/>
      <c r="M3802" s="2778"/>
      <c r="N3802" s="2847"/>
      <c r="O3802" s="86"/>
      <c r="P3802" s="1817" t="e">
        <f>INDEX(#REF!,MATCH(F3802,#REF!,0),2)</f>
        <v>#REF!</v>
      </c>
      <c r="Q3802" s="43"/>
      <c r="R3802" s="43"/>
      <c r="S3802" s="43"/>
      <c r="T3802" s="43"/>
      <c r="U3802" s="43"/>
      <c r="V3802" s="43"/>
      <c r="W3802" s="43"/>
      <c r="X3802" s="43"/>
      <c r="Y3802" s="43"/>
      <c r="Z3802" s="43"/>
      <c r="AA3802" s="43"/>
      <c r="AB3802" s="43"/>
      <c r="AC3802" s="43"/>
      <c r="AD3802" s="43"/>
      <c r="AE3802" s="43"/>
      <c r="AF3802" s="43"/>
      <c r="AG3802" s="43"/>
      <c r="AH3802" s="43"/>
      <c r="AI3802" s="43"/>
      <c r="AJ3802" s="43"/>
      <c r="AK3802" s="43"/>
      <c r="AL3802" s="43"/>
      <c r="AM3802" s="43"/>
      <c r="AN3802" s="43"/>
      <c r="AO3802" s="43"/>
      <c r="AP3802" s="43"/>
      <c r="AQ3802" s="43"/>
      <c r="AR3802" s="43"/>
      <c r="AS3802" s="43"/>
      <c r="AT3802" s="43"/>
      <c r="AU3802" s="43"/>
      <c r="AV3802" s="43"/>
    </row>
    <row r="3803" spans="1:48" ht="22.5">
      <c r="A3803" s="593"/>
      <c r="B3803" s="593" t="s">
        <v>1249</v>
      </c>
      <c r="C3803" s="593" t="s">
        <v>509</v>
      </c>
      <c r="D3803" s="1632" t="s">
        <v>494</v>
      </c>
      <c r="E3803" s="2257" t="s">
        <v>2448</v>
      </c>
      <c r="F3803" s="594">
        <v>5120</v>
      </c>
      <c r="G3803" s="411" t="s">
        <v>899</v>
      </c>
      <c r="H3803" s="2838"/>
      <c r="I3803" s="2842"/>
      <c r="J3803" s="2840"/>
      <c r="K3803" s="2841"/>
      <c r="L3803" s="2842">
        <v>7520</v>
      </c>
      <c r="M3803" s="2842"/>
      <c r="N3803" s="2847"/>
      <c r="O3803" s="2101"/>
      <c r="P3803" s="159" t="e">
        <f>INDEX(#REF!,MATCH(F3803,#REF!,0),2)</f>
        <v>#REF!</v>
      </c>
      <c r="Q3803" s="43"/>
      <c r="R3803" s="43"/>
      <c r="S3803" s="43"/>
      <c r="T3803" s="43"/>
      <c r="U3803" s="43"/>
      <c r="V3803" s="43"/>
      <c r="W3803" s="43"/>
      <c r="X3803" s="43"/>
      <c r="Y3803" s="43"/>
      <c r="Z3803" s="43"/>
      <c r="AA3803" s="43"/>
      <c r="AB3803" s="43"/>
      <c r="AC3803" s="43"/>
      <c r="AD3803" s="43"/>
      <c r="AE3803" s="43"/>
      <c r="AF3803" s="43"/>
      <c r="AG3803" s="43"/>
      <c r="AH3803" s="43"/>
      <c r="AI3803" s="43"/>
      <c r="AJ3803" s="43"/>
      <c r="AK3803" s="43"/>
      <c r="AL3803" s="43"/>
      <c r="AM3803" s="43"/>
      <c r="AN3803" s="43"/>
      <c r="AO3803" s="43"/>
      <c r="AP3803" s="43"/>
      <c r="AQ3803" s="43"/>
      <c r="AR3803" s="43"/>
      <c r="AS3803" s="43"/>
      <c r="AT3803" s="43"/>
      <c r="AU3803" s="43"/>
      <c r="AV3803" s="43"/>
    </row>
    <row r="3804" spans="1:48" ht="21.6" customHeight="1">
      <c r="A3804" s="596"/>
      <c r="B3804" s="412" t="s">
        <v>1249</v>
      </c>
      <c r="C3804" s="412" t="s">
        <v>509</v>
      </c>
      <c r="D3804" s="1590"/>
      <c r="E3804" s="2224" t="s">
        <v>2448</v>
      </c>
      <c r="F3804" s="505">
        <v>5120</v>
      </c>
      <c r="G3804" s="2774" t="s">
        <v>4814</v>
      </c>
      <c r="H3804" s="2822"/>
      <c r="I3804" s="2779"/>
      <c r="J3804" s="2776"/>
      <c r="K3804" s="3524"/>
      <c r="L3804" s="2779"/>
      <c r="M3804" s="2779">
        <v>7520</v>
      </c>
      <c r="N3804" s="2847"/>
      <c r="O3804" s="86"/>
      <c r="P3804" s="1817" t="e">
        <f>INDEX(#REF!,MATCH(F3804,#REF!,0),2)</f>
        <v>#REF!</v>
      </c>
      <c r="Q3804" s="43"/>
      <c r="R3804" s="43"/>
      <c r="S3804" s="43"/>
      <c r="T3804" s="43"/>
      <c r="U3804" s="43"/>
      <c r="V3804" s="43"/>
      <c r="W3804" s="43"/>
      <c r="X3804" s="43"/>
      <c r="Y3804" s="43"/>
      <c r="Z3804" s="43"/>
      <c r="AA3804" s="43"/>
      <c r="AB3804" s="43"/>
      <c r="AC3804" s="43"/>
      <c r="AD3804" s="43"/>
      <c r="AE3804" s="43"/>
      <c r="AF3804" s="43"/>
      <c r="AG3804" s="43"/>
      <c r="AH3804" s="43"/>
      <c r="AI3804" s="43"/>
      <c r="AJ3804" s="43"/>
      <c r="AK3804" s="43"/>
      <c r="AL3804" s="43"/>
      <c r="AM3804" s="43"/>
      <c r="AN3804" s="43"/>
      <c r="AO3804" s="43"/>
      <c r="AP3804" s="43"/>
      <c r="AQ3804" s="43"/>
      <c r="AR3804" s="43"/>
      <c r="AS3804" s="43"/>
      <c r="AT3804" s="43"/>
      <c r="AU3804" s="43"/>
      <c r="AV3804" s="43"/>
    </row>
    <row r="3805" spans="1:48" ht="17.45" customHeight="1">
      <c r="A3805" s="593"/>
      <c r="B3805" s="593" t="s">
        <v>1249</v>
      </c>
      <c r="C3805" s="593" t="s">
        <v>509</v>
      </c>
      <c r="D3805" s="1632" t="s">
        <v>494</v>
      </c>
      <c r="E3805" s="2257" t="s">
        <v>2448</v>
      </c>
      <c r="F3805" s="594">
        <v>5217</v>
      </c>
      <c r="G3805" s="595" t="s">
        <v>3092</v>
      </c>
      <c r="H3805" s="2838">
        <v>17936</v>
      </c>
      <c r="I3805" s="2842"/>
      <c r="J3805" s="2840"/>
      <c r="K3805" s="2841"/>
      <c r="L3805" s="2839">
        <v>0</v>
      </c>
      <c r="M3805" s="2842"/>
      <c r="N3805" s="241"/>
      <c r="O3805" s="86"/>
      <c r="P3805" s="1817" t="e">
        <f>INDEX(#REF!,MATCH(F3805,#REF!,0),2)</f>
        <v>#REF!</v>
      </c>
      <c r="Q3805" s="43"/>
      <c r="R3805" s="43"/>
      <c r="S3805" s="43"/>
      <c r="T3805" s="43"/>
      <c r="U3805" s="43"/>
      <c r="V3805" s="43"/>
      <c r="W3805" s="43"/>
      <c r="X3805" s="43"/>
      <c r="Y3805" s="43"/>
      <c r="Z3805" s="43"/>
      <c r="AA3805" s="43"/>
      <c r="AB3805" s="43"/>
      <c r="AC3805" s="43"/>
      <c r="AD3805" s="43"/>
      <c r="AE3805" s="43"/>
      <c r="AF3805" s="43"/>
      <c r="AG3805" s="43"/>
      <c r="AH3805" s="43"/>
      <c r="AI3805" s="43"/>
      <c r="AJ3805" s="43"/>
      <c r="AK3805" s="43"/>
      <c r="AL3805" s="43"/>
      <c r="AM3805" s="43"/>
      <c r="AN3805" s="43"/>
      <c r="AO3805" s="43"/>
      <c r="AP3805" s="43"/>
      <c r="AQ3805" s="43"/>
      <c r="AR3805" s="43"/>
      <c r="AS3805" s="43"/>
      <c r="AT3805" s="43"/>
      <c r="AU3805" s="43"/>
      <c r="AV3805" s="43"/>
    </row>
    <row r="3806" spans="1:48" ht="33" customHeight="1">
      <c r="A3806" s="596"/>
      <c r="B3806" s="412" t="s">
        <v>1249</v>
      </c>
      <c r="C3806" s="412" t="s">
        <v>509</v>
      </c>
      <c r="D3806" s="1590"/>
      <c r="E3806" s="2224" t="s">
        <v>2448</v>
      </c>
      <c r="F3806" s="505">
        <v>5217</v>
      </c>
      <c r="G3806" s="413" t="s">
        <v>3195</v>
      </c>
      <c r="H3806" s="2822"/>
      <c r="I3806" s="2779">
        <v>250000</v>
      </c>
      <c r="J3806" s="2776"/>
      <c r="K3806" s="3524"/>
      <c r="L3806" s="2779"/>
      <c r="M3806" s="2779"/>
      <c r="N3806" s="2847"/>
      <c r="O3806" s="86"/>
      <c r="P3806" s="1817" t="e">
        <f>INDEX(#REF!,MATCH(F3806,#REF!,0),2)</f>
        <v>#REF!</v>
      </c>
      <c r="Q3806" s="43"/>
      <c r="R3806" s="43"/>
      <c r="S3806" s="43"/>
      <c r="T3806" s="43"/>
      <c r="U3806" s="43"/>
      <c r="V3806" s="43"/>
      <c r="W3806" s="43"/>
      <c r="X3806" s="43"/>
      <c r="Y3806" s="43"/>
      <c r="Z3806" s="43"/>
      <c r="AA3806" s="43"/>
      <c r="AB3806" s="43"/>
      <c r="AC3806" s="43"/>
      <c r="AD3806" s="43"/>
      <c r="AE3806" s="43"/>
      <c r="AF3806" s="43"/>
      <c r="AG3806" s="43"/>
      <c r="AH3806" s="43"/>
      <c r="AI3806" s="43"/>
      <c r="AJ3806" s="43"/>
      <c r="AK3806" s="43"/>
      <c r="AL3806" s="43"/>
      <c r="AM3806" s="43"/>
      <c r="AN3806" s="43"/>
      <c r="AO3806" s="43"/>
      <c r="AP3806" s="43"/>
      <c r="AQ3806" s="43"/>
      <c r="AR3806" s="43"/>
      <c r="AS3806" s="43"/>
      <c r="AT3806" s="43"/>
      <c r="AU3806" s="43"/>
      <c r="AV3806" s="43"/>
    </row>
    <row r="3807" spans="1:48" ht="21.6" customHeight="1">
      <c r="A3807" s="3828"/>
      <c r="B3807" s="412" t="s">
        <v>1249</v>
      </c>
      <c r="C3807" s="412" t="s">
        <v>509</v>
      </c>
      <c r="D3807" s="1590"/>
      <c r="E3807" s="2224" t="s">
        <v>2448</v>
      </c>
      <c r="F3807" s="505">
        <v>5217</v>
      </c>
      <c r="G3807" s="3829" t="s">
        <v>5300</v>
      </c>
      <c r="H3807" s="2822"/>
      <c r="I3807" s="2779">
        <v>-232064</v>
      </c>
      <c r="J3807" s="2776"/>
      <c r="K3807" s="3524"/>
      <c r="L3807" s="2779"/>
      <c r="M3807" s="2779"/>
      <c r="N3807" s="2847"/>
      <c r="O3807" s="86"/>
      <c r="P3807" s="1817" t="e">
        <f>INDEX(#REF!,MATCH(F3807,#REF!,0),2)</f>
        <v>#REF!</v>
      </c>
      <c r="Q3807" s="43"/>
      <c r="R3807" s="43"/>
      <c r="S3807" s="43"/>
      <c r="T3807" s="43"/>
      <c r="U3807" s="43"/>
      <c r="V3807" s="43"/>
      <c r="W3807" s="43"/>
      <c r="X3807" s="43"/>
      <c r="Y3807" s="43"/>
      <c r="Z3807" s="43"/>
      <c r="AA3807" s="43"/>
      <c r="AB3807" s="43"/>
      <c r="AC3807" s="43"/>
      <c r="AD3807" s="43"/>
      <c r="AE3807" s="43"/>
      <c r="AF3807" s="43"/>
      <c r="AG3807" s="43"/>
      <c r="AH3807" s="43"/>
      <c r="AI3807" s="43"/>
      <c r="AJ3807" s="43"/>
      <c r="AK3807" s="43"/>
      <c r="AL3807" s="43"/>
      <c r="AM3807" s="43"/>
      <c r="AN3807" s="43"/>
      <c r="AO3807" s="43"/>
      <c r="AP3807" s="43"/>
      <c r="AQ3807" s="43"/>
      <c r="AR3807" s="43"/>
      <c r="AS3807" s="43"/>
      <c r="AT3807" s="43"/>
      <c r="AU3807" s="43"/>
      <c r="AV3807" s="43"/>
    </row>
    <row r="3808" spans="1:48" ht="25.9" customHeight="1">
      <c r="A3808" s="593"/>
      <c r="B3808" s="593" t="s">
        <v>1249</v>
      </c>
      <c r="C3808" s="593" t="s">
        <v>509</v>
      </c>
      <c r="D3808" s="1632" t="s">
        <v>494</v>
      </c>
      <c r="E3808" s="2257" t="s">
        <v>2448</v>
      </c>
      <c r="F3808" s="594">
        <v>5218</v>
      </c>
      <c r="G3808" s="595" t="s">
        <v>2026</v>
      </c>
      <c r="H3808" s="2838">
        <v>3700</v>
      </c>
      <c r="I3808" s="2842"/>
      <c r="J3808" s="2840"/>
      <c r="K3808" s="2841"/>
      <c r="L3808" s="2842">
        <v>5600</v>
      </c>
      <c r="M3808" s="2839"/>
      <c r="N3808" s="2847"/>
      <c r="O3808" s="86"/>
      <c r="P3808" s="1817" t="e">
        <f>INDEX(#REF!,MATCH(F3808,#REF!,0),2)</f>
        <v>#REF!</v>
      </c>
      <c r="Q3808" s="43"/>
      <c r="R3808" s="43"/>
      <c r="S3808" s="43"/>
      <c r="T3808" s="43"/>
      <c r="U3808" s="43"/>
      <c r="V3808" s="43"/>
      <c r="W3808" s="43"/>
      <c r="X3808" s="43"/>
      <c r="Y3808" s="43"/>
      <c r="Z3808" s="43"/>
      <c r="AA3808" s="43"/>
      <c r="AB3808" s="43"/>
      <c r="AC3808" s="43"/>
      <c r="AD3808" s="43"/>
      <c r="AE3808" s="43"/>
      <c r="AF3808" s="43"/>
      <c r="AG3808" s="43"/>
      <c r="AH3808" s="43"/>
      <c r="AI3808" s="43"/>
      <c r="AJ3808" s="43"/>
      <c r="AK3808" s="43"/>
      <c r="AL3808" s="43"/>
      <c r="AM3808" s="43"/>
      <c r="AN3808" s="43"/>
      <c r="AO3808" s="43"/>
      <c r="AP3808" s="43"/>
      <c r="AQ3808" s="43"/>
      <c r="AR3808" s="43"/>
      <c r="AS3808" s="43"/>
      <c r="AT3808" s="43"/>
      <c r="AU3808" s="43"/>
      <c r="AV3808" s="43"/>
    </row>
    <row r="3809" spans="1:48" ht="24" customHeight="1">
      <c r="A3809" s="2229"/>
      <c r="B3809" s="2224" t="s">
        <v>1249</v>
      </c>
      <c r="C3809" s="2224" t="s">
        <v>507</v>
      </c>
      <c r="D3809" s="3830"/>
      <c r="E3809" s="2224" t="s">
        <v>2448</v>
      </c>
      <c r="F3809" s="3831">
        <v>5218</v>
      </c>
      <c r="G3809" s="3388" t="s">
        <v>4796</v>
      </c>
      <c r="H3809" s="3832"/>
      <c r="I3809" s="3832">
        <v>3700</v>
      </c>
      <c r="J3809" s="2776"/>
      <c r="K3809" s="3833"/>
      <c r="L3809" s="3834"/>
      <c r="M3809" s="3834">
        <v>5600</v>
      </c>
      <c r="N3809" s="3835" t="s">
        <v>4766</v>
      </c>
      <c r="O3809" s="86"/>
      <c r="P3809" s="1817" t="e">
        <f>INDEX(#REF!,MATCH(F3809,#REF!,0),2)</f>
        <v>#REF!</v>
      </c>
      <c r="Q3809" s="43"/>
      <c r="R3809" s="43"/>
      <c r="S3809" s="43"/>
      <c r="T3809" s="43"/>
      <c r="U3809" s="43"/>
      <c r="V3809" s="43"/>
      <c r="W3809" s="43"/>
      <c r="X3809" s="43"/>
      <c r="Y3809" s="43"/>
      <c r="Z3809" s="43"/>
      <c r="AA3809" s="43"/>
      <c r="AB3809" s="43"/>
      <c r="AC3809" s="43"/>
      <c r="AD3809" s="43"/>
      <c r="AE3809" s="43"/>
      <c r="AF3809" s="43"/>
      <c r="AG3809" s="43"/>
      <c r="AH3809" s="43"/>
      <c r="AI3809" s="43"/>
      <c r="AJ3809" s="43"/>
      <c r="AK3809" s="43"/>
      <c r="AL3809" s="43"/>
      <c r="AM3809" s="43"/>
      <c r="AN3809" s="43"/>
      <c r="AO3809" s="43"/>
      <c r="AP3809" s="43"/>
      <c r="AQ3809" s="43"/>
      <c r="AR3809" s="43"/>
      <c r="AS3809" s="43"/>
      <c r="AT3809" s="43"/>
      <c r="AU3809" s="43"/>
      <c r="AV3809" s="43"/>
    </row>
    <row r="3810" spans="1:48" ht="24.75" customHeight="1">
      <c r="A3810" s="593"/>
      <c r="B3810" s="593" t="s">
        <v>1250</v>
      </c>
      <c r="C3810" s="593" t="s">
        <v>509</v>
      </c>
      <c r="D3810" s="1632" t="s">
        <v>494</v>
      </c>
      <c r="E3810" s="2257" t="s">
        <v>2448</v>
      </c>
      <c r="F3810" s="594">
        <v>5238</v>
      </c>
      <c r="G3810" s="595" t="s">
        <v>257</v>
      </c>
      <c r="H3810" s="2838">
        <v>3000</v>
      </c>
      <c r="I3810" s="2842"/>
      <c r="J3810" s="2840"/>
      <c r="K3810" s="2841"/>
      <c r="L3810" s="2842">
        <v>1000</v>
      </c>
      <c r="M3810" s="2839"/>
      <c r="N3810" s="2847"/>
      <c r="O3810" s="86"/>
      <c r="P3810" s="1817" t="e">
        <f>INDEX(#REF!,MATCH(F3810,#REF!,0),2)</f>
        <v>#REF!</v>
      </c>
      <c r="Q3810" s="43"/>
      <c r="R3810" s="43"/>
      <c r="S3810" s="43"/>
      <c r="T3810" s="43"/>
      <c r="U3810" s="43"/>
      <c r="V3810" s="43"/>
      <c r="W3810" s="43"/>
      <c r="X3810" s="43"/>
      <c r="Y3810" s="43"/>
      <c r="Z3810" s="43"/>
      <c r="AA3810" s="43"/>
      <c r="AB3810" s="43"/>
      <c r="AC3810" s="43"/>
      <c r="AD3810" s="43"/>
      <c r="AE3810" s="43"/>
      <c r="AF3810" s="43"/>
      <c r="AG3810" s="43"/>
      <c r="AH3810" s="43"/>
      <c r="AI3810" s="43"/>
      <c r="AJ3810" s="43"/>
      <c r="AK3810" s="43"/>
      <c r="AL3810" s="43"/>
      <c r="AM3810" s="43"/>
      <c r="AN3810" s="43"/>
      <c r="AO3810" s="43"/>
      <c r="AP3810" s="43"/>
      <c r="AQ3810" s="43"/>
      <c r="AR3810" s="43"/>
      <c r="AS3810" s="43"/>
      <c r="AT3810" s="43"/>
      <c r="AU3810" s="43"/>
      <c r="AV3810" s="43"/>
    </row>
    <row r="3811" spans="1:48" ht="24.75" customHeight="1">
      <c r="A3811" s="596"/>
      <c r="B3811" s="412" t="s">
        <v>1250</v>
      </c>
      <c r="C3811" s="412" t="s">
        <v>509</v>
      </c>
      <c r="D3811" s="1590"/>
      <c r="E3811" s="2224" t="s">
        <v>2448</v>
      </c>
      <c r="F3811" s="505">
        <v>5238</v>
      </c>
      <c r="G3811" s="2810" t="s">
        <v>4815</v>
      </c>
      <c r="H3811" s="2822"/>
      <c r="I3811" s="2779">
        <v>3000</v>
      </c>
      <c r="J3811" s="2776"/>
      <c r="K3811" s="3524"/>
      <c r="L3811" s="2778"/>
      <c r="M3811" s="2779">
        <v>1000</v>
      </c>
      <c r="N3811" s="2847"/>
      <c r="O3811" s="86"/>
      <c r="P3811" s="1817" t="e">
        <f>INDEX(#REF!,MATCH(F3811,#REF!,0),2)</f>
        <v>#REF!</v>
      </c>
      <c r="Q3811" s="43"/>
      <c r="R3811" s="43"/>
      <c r="S3811" s="43"/>
      <c r="T3811" s="43"/>
      <c r="U3811" s="43"/>
      <c r="V3811" s="43"/>
      <c r="W3811" s="43"/>
      <c r="X3811" s="43"/>
      <c r="Y3811" s="43"/>
      <c r="Z3811" s="43"/>
      <c r="AA3811" s="43"/>
      <c r="AB3811" s="43"/>
      <c r="AC3811" s="43"/>
      <c r="AD3811" s="43"/>
      <c r="AE3811" s="43"/>
      <c r="AF3811" s="43"/>
      <c r="AG3811" s="43"/>
      <c r="AH3811" s="43"/>
      <c r="AI3811" s="43"/>
      <c r="AJ3811" s="43"/>
      <c r="AK3811" s="43"/>
      <c r="AL3811" s="43"/>
      <c r="AM3811" s="43"/>
      <c r="AN3811" s="43"/>
      <c r="AO3811" s="43"/>
      <c r="AP3811" s="43"/>
      <c r="AQ3811" s="43"/>
      <c r="AR3811" s="43"/>
      <c r="AS3811" s="43"/>
      <c r="AT3811" s="43"/>
      <c r="AU3811" s="43"/>
      <c r="AV3811" s="43"/>
    </row>
    <row r="3812" spans="1:48" ht="24" customHeight="1">
      <c r="A3812" s="506"/>
      <c r="B3812" s="506" t="s">
        <v>1250</v>
      </c>
      <c r="C3812" s="506" t="s">
        <v>509</v>
      </c>
      <c r="D3812" s="1632" t="s">
        <v>494</v>
      </c>
      <c r="E3812" s="2257" t="s">
        <v>2448</v>
      </c>
      <c r="F3812" s="540">
        <v>5239</v>
      </c>
      <c r="G3812" s="411" t="s">
        <v>256</v>
      </c>
      <c r="H3812" s="2838">
        <v>3444</v>
      </c>
      <c r="I3812" s="2842"/>
      <c r="J3812" s="2840"/>
      <c r="K3812" s="2841"/>
      <c r="L3812" s="2842">
        <v>2500</v>
      </c>
      <c r="M3812" s="2842"/>
      <c r="N3812" s="2847"/>
      <c r="O3812" s="86"/>
      <c r="P3812" s="1817" t="e">
        <f>INDEX(#REF!,MATCH(F3812,#REF!,0),2)</f>
        <v>#REF!</v>
      </c>
      <c r="Q3812" s="43"/>
      <c r="R3812" s="43"/>
      <c r="S3812" s="43"/>
      <c r="T3812" s="43"/>
      <c r="U3812" s="43"/>
      <c r="V3812" s="43"/>
      <c r="W3812" s="43"/>
      <c r="X3812" s="43"/>
      <c r="Y3812" s="43"/>
      <c r="Z3812" s="43"/>
      <c r="AA3812" s="43"/>
      <c r="AB3812" s="43"/>
      <c r="AC3812" s="43"/>
      <c r="AD3812" s="43"/>
      <c r="AE3812" s="43"/>
      <c r="AF3812" s="43"/>
      <c r="AG3812" s="43"/>
      <c r="AH3812" s="43"/>
      <c r="AI3812" s="43"/>
      <c r="AJ3812" s="43"/>
      <c r="AK3812" s="43"/>
      <c r="AL3812" s="43"/>
      <c r="AM3812" s="43"/>
      <c r="AN3812" s="43"/>
      <c r="AO3812" s="43"/>
      <c r="AP3812" s="43"/>
      <c r="AQ3812" s="43"/>
      <c r="AR3812" s="43"/>
      <c r="AS3812" s="43"/>
      <c r="AT3812" s="43"/>
      <c r="AU3812" s="43"/>
      <c r="AV3812" s="43"/>
    </row>
    <row r="3813" spans="1:48" ht="27.6" customHeight="1">
      <c r="A3813" s="1182"/>
      <c r="B3813" s="412" t="s">
        <v>1250</v>
      </c>
      <c r="C3813" s="412" t="s">
        <v>509</v>
      </c>
      <c r="D3813" s="1615"/>
      <c r="E3813" s="2224" t="s">
        <v>2448</v>
      </c>
      <c r="F3813" s="505">
        <v>5239</v>
      </c>
      <c r="G3813" s="3082" t="s">
        <v>4817</v>
      </c>
      <c r="H3813" s="2822"/>
      <c r="I3813" s="2779">
        <v>899</v>
      </c>
      <c r="J3813" s="2776"/>
      <c r="K3813" s="3524"/>
      <c r="L3813" s="2779"/>
      <c r="M3813" s="2779">
        <v>2500</v>
      </c>
      <c r="N3813" s="2847"/>
      <c r="O3813" s="86"/>
      <c r="P3813" s="1817"/>
      <c r="Q3813" s="43"/>
      <c r="R3813" s="43"/>
      <c r="S3813" s="43"/>
      <c r="T3813" s="43"/>
      <c r="U3813" s="43"/>
      <c r="V3813" s="43"/>
      <c r="W3813" s="43"/>
      <c r="X3813" s="43"/>
      <c r="Y3813" s="43"/>
      <c r="Z3813" s="43"/>
      <c r="AA3813" s="43"/>
      <c r="AB3813" s="43"/>
      <c r="AC3813" s="43"/>
      <c r="AD3813" s="43"/>
      <c r="AE3813" s="43"/>
      <c r="AF3813" s="43"/>
      <c r="AG3813" s="43"/>
      <c r="AH3813" s="43"/>
      <c r="AI3813" s="43"/>
      <c r="AJ3813" s="43"/>
      <c r="AK3813" s="43"/>
      <c r="AL3813" s="43"/>
      <c r="AM3813" s="43"/>
      <c r="AN3813" s="43"/>
      <c r="AO3813" s="43"/>
      <c r="AP3813" s="43"/>
      <c r="AQ3813" s="43"/>
      <c r="AR3813" s="43"/>
      <c r="AS3813" s="43"/>
      <c r="AT3813" s="43"/>
      <c r="AU3813" s="43"/>
      <c r="AV3813" s="43"/>
    </row>
    <row r="3814" spans="1:48" ht="19.899999999999999" customHeight="1">
      <c r="A3814" s="443"/>
      <c r="B3814" s="412" t="s">
        <v>1250</v>
      </c>
      <c r="C3814" s="412" t="s">
        <v>509</v>
      </c>
      <c r="D3814" s="1615"/>
      <c r="E3814" s="2224" t="s">
        <v>2448</v>
      </c>
      <c r="F3814" s="505">
        <v>5239</v>
      </c>
      <c r="G3814" s="1960" t="s">
        <v>3178</v>
      </c>
      <c r="H3814" s="2822"/>
      <c r="I3814" s="2779">
        <v>2545</v>
      </c>
      <c r="J3814" s="2776"/>
      <c r="K3814" s="3524"/>
      <c r="L3814" s="2779"/>
      <c r="M3814" s="2779"/>
      <c r="N3814" s="2847"/>
      <c r="O3814" s="86"/>
      <c r="P3814" s="1817" t="e">
        <f>INDEX(#REF!,MATCH(F3814,#REF!,0),2)</f>
        <v>#REF!</v>
      </c>
      <c r="Q3814" s="43"/>
      <c r="R3814" s="43"/>
      <c r="S3814" s="43"/>
      <c r="T3814" s="43"/>
      <c r="U3814" s="43"/>
      <c r="V3814" s="43"/>
      <c r="W3814" s="43"/>
      <c r="X3814" s="43"/>
      <c r="Y3814" s="43"/>
      <c r="Z3814" s="43"/>
      <c r="AA3814" s="43"/>
      <c r="AB3814" s="43"/>
      <c r="AC3814" s="43"/>
      <c r="AD3814" s="43"/>
      <c r="AE3814" s="43"/>
      <c r="AF3814" s="43"/>
      <c r="AG3814" s="43"/>
      <c r="AH3814" s="43"/>
      <c r="AI3814" s="43"/>
      <c r="AJ3814" s="43"/>
      <c r="AK3814" s="43"/>
      <c r="AL3814" s="43"/>
      <c r="AM3814" s="43"/>
      <c r="AN3814" s="43"/>
      <c r="AO3814" s="43"/>
      <c r="AP3814" s="43"/>
      <c r="AQ3814" s="43"/>
      <c r="AR3814" s="43"/>
      <c r="AS3814" s="43"/>
      <c r="AT3814" s="43"/>
      <c r="AU3814" s="43"/>
      <c r="AV3814" s="43"/>
    </row>
    <row r="3815" spans="1:48" ht="19.899999999999999" customHeight="1">
      <c r="A3815" s="506"/>
      <c r="B3815" s="506" t="s">
        <v>1249</v>
      </c>
      <c r="C3815" s="506" t="s">
        <v>510</v>
      </c>
      <c r="D3815" s="1632" t="s">
        <v>494</v>
      </c>
      <c r="E3815" s="2257" t="s">
        <v>2448</v>
      </c>
      <c r="F3815" s="540">
        <v>5239</v>
      </c>
      <c r="G3815" s="411" t="s">
        <v>256</v>
      </c>
      <c r="H3815" s="2838">
        <v>0</v>
      </c>
      <c r="I3815" s="2842"/>
      <c r="J3815" s="2840"/>
      <c r="K3815" s="2841"/>
      <c r="L3815" s="2842">
        <v>5000</v>
      </c>
      <c r="M3815" s="2839"/>
      <c r="N3815" s="2847"/>
      <c r="O3815" s="86"/>
      <c r="P3815" s="1817" t="e">
        <f>INDEX(#REF!,MATCH(F3815,#REF!,0),2)</f>
        <v>#REF!</v>
      </c>
      <c r="Q3815" s="43"/>
      <c r="R3815" s="43"/>
      <c r="S3815" s="43"/>
      <c r="T3815" s="43"/>
      <c r="U3815" s="43"/>
      <c r="V3815" s="43"/>
      <c r="W3815" s="43"/>
      <c r="X3815" s="43"/>
      <c r="Y3815" s="43"/>
      <c r="Z3815" s="43"/>
      <c r="AA3815" s="43"/>
      <c r="AB3815" s="43"/>
      <c r="AC3815" s="43"/>
      <c r="AD3815" s="43"/>
      <c r="AE3815" s="43"/>
      <c r="AF3815" s="43"/>
      <c r="AG3815" s="43"/>
      <c r="AH3815" s="43"/>
      <c r="AI3815" s="43"/>
      <c r="AJ3815" s="43"/>
      <c r="AK3815" s="43"/>
      <c r="AL3815" s="43"/>
      <c r="AM3815" s="43"/>
      <c r="AN3815" s="43"/>
      <c r="AO3815" s="43"/>
      <c r="AP3815" s="43"/>
      <c r="AQ3815" s="43"/>
      <c r="AR3815" s="43"/>
      <c r="AS3815" s="43"/>
      <c r="AT3815" s="43"/>
      <c r="AU3815" s="43"/>
      <c r="AV3815" s="43"/>
    </row>
    <row r="3816" spans="1:48" ht="24" customHeight="1">
      <c r="A3816" s="1268"/>
      <c r="B3816" s="412" t="s">
        <v>1249</v>
      </c>
      <c r="C3816" s="412" t="s">
        <v>510</v>
      </c>
      <c r="D3816" s="1590"/>
      <c r="E3816" s="2224" t="s">
        <v>2448</v>
      </c>
      <c r="F3816" s="505">
        <v>5239</v>
      </c>
      <c r="G3816" s="3507" t="s">
        <v>4819</v>
      </c>
      <c r="H3816" s="2822"/>
      <c r="I3816" s="2779"/>
      <c r="J3816" s="2776"/>
      <c r="K3816" s="2777"/>
      <c r="L3816" s="2778"/>
      <c r="M3816" s="2779">
        <v>5000</v>
      </c>
      <c r="N3816" s="2847" t="s">
        <v>4766</v>
      </c>
      <c r="O3816" s="86"/>
      <c r="P3816" s="1817" t="e">
        <f>INDEX(#REF!,MATCH(F3816,#REF!,0),2)</f>
        <v>#REF!</v>
      </c>
      <c r="Q3816" s="43"/>
      <c r="R3816" s="43"/>
      <c r="S3816" s="43"/>
      <c r="T3816" s="43"/>
      <c r="U3816" s="43"/>
      <c r="V3816" s="43"/>
      <c r="W3816" s="43"/>
      <c r="X3816" s="43"/>
      <c r="Y3816" s="43"/>
      <c r="Z3816" s="43"/>
      <c r="AA3816" s="43"/>
      <c r="AB3816" s="43"/>
      <c r="AC3816" s="43"/>
      <c r="AD3816" s="43"/>
      <c r="AE3816" s="43"/>
      <c r="AF3816" s="43"/>
      <c r="AG3816" s="43"/>
      <c r="AH3816" s="43"/>
      <c r="AI3816" s="43"/>
      <c r="AJ3816" s="43"/>
      <c r="AK3816" s="43"/>
      <c r="AL3816" s="43"/>
      <c r="AM3816" s="43"/>
      <c r="AN3816" s="43"/>
      <c r="AO3816" s="43"/>
      <c r="AP3816" s="43"/>
      <c r="AQ3816" s="43"/>
      <c r="AR3816" s="43"/>
      <c r="AS3816" s="43"/>
      <c r="AT3816" s="43"/>
      <c r="AU3816" s="43"/>
      <c r="AV3816" s="43"/>
    </row>
    <row r="3817" spans="1:48" ht="30.6" customHeight="1">
      <c r="A3817" s="506"/>
      <c r="B3817" s="506" t="s">
        <v>566</v>
      </c>
      <c r="C3817" s="506" t="s">
        <v>510</v>
      </c>
      <c r="D3817" s="1632" t="s">
        <v>494</v>
      </c>
      <c r="E3817" s="2257" t="s">
        <v>2448</v>
      </c>
      <c r="F3817" s="540">
        <v>5239</v>
      </c>
      <c r="G3817" s="411" t="s">
        <v>256</v>
      </c>
      <c r="H3817" s="2838">
        <v>2459</v>
      </c>
      <c r="I3817" s="2842"/>
      <c r="J3817" s="2840"/>
      <c r="K3817" s="2841"/>
      <c r="L3817" s="2842">
        <v>0</v>
      </c>
      <c r="M3817" s="2842"/>
      <c r="N3817" s="2847"/>
      <c r="O3817" s="86"/>
      <c r="P3817" s="1817"/>
      <c r="Q3817" s="43"/>
      <c r="R3817" s="43"/>
      <c r="S3817" s="43"/>
      <c r="T3817" s="43"/>
      <c r="U3817" s="43"/>
      <c r="V3817" s="43"/>
      <c r="W3817" s="43"/>
      <c r="X3817" s="43"/>
      <c r="Y3817" s="43"/>
      <c r="Z3817" s="43"/>
      <c r="AA3817" s="43"/>
      <c r="AB3817" s="43"/>
      <c r="AC3817" s="43"/>
      <c r="AD3817" s="43"/>
      <c r="AE3817" s="43"/>
      <c r="AF3817" s="43"/>
      <c r="AG3817" s="43"/>
      <c r="AH3817" s="43"/>
      <c r="AI3817" s="43"/>
      <c r="AJ3817" s="43"/>
      <c r="AK3817" s="43"/>
      <c r="AL3817" s="43"/>
      <c r="AM3817" s="43"/>
      <c r="AN3817" s="43"/>
      <c r="AO3817" s="43"/>
      <c r="AP3817" s="43"/>
      <c r="AQ3817" s="43"/>
      <c r="AR3817" s="43"/>
      <c r="AS3817" s="43"/>
      <c r="AT3817" s="43"/>
      <c r="AU3817" s="43"/>
      <c r="AV3817" s="43"/>
    </row>
    <row r="3818" spans="1:48" ht="16.899999999999999" customHeight="1">
      <c r="A3818" s="1921"/>
      <c r="B3818" s="1882" t="s">
        <v>566</v>
      </c>
      <c r="C3818" s="1882" t="s">
        <v>510</v>
      </c>
      <c r="D3818" s="1935" t="s">
        <v>494</v>
      </c>
      <c r="E3818" s="2229" t="s">
        <v>2448</v>
      </c>
      <c r="F3818" s="1936">
        <v>5239</v>
      </c>
      <c r="G3818" s="3507" t="s">
        <v>4818</v>
      </c>
      <c r="H3818" s="2822"/>
      <c r="I3818" s="2779">
        <v>1259</v>
      </c>
      <c r="J3818" s="2776"/>
      <c r="K3818" s="2777"/>
      <c r="L3818" s="2779"/>
      <c r="M3818" s="2778"/>
      <c r="N3818" s="2396"/>
      <c r="O3818" s="86"/>
      <c r="P3818" s="1817" t="e">
        <f>INDEX(#REF!,MATCH(F3818,#REF!,0),2)</f>
        <v>#REF!</v>
      </c>
      <c r="Q3818" s="43"/>
      <c r="R3818" s="43"/>
      <c r="S3818" s="43"/>
      <c r="T3818" s="43"/>
      <c r="U3818" s="43"/>
      <c r="V3818" s="43"/>
      <c r="W3818" s="43"/>
      <c r="X3818" s="43"/>
      <c r="Y3818" s="43"/>
      <c r="Z3818" s="43"/>
      <c r="AA3818" s="43"/>
      <c r="AB3818" s="43"/>
      <c r="AC3818" s="43"/>
      <c r="AD3818" s="43"/>
      <c r="AE3818" s="43"/>
      <c r="AF3818" s="43"/>
      <c r="AG3818" s="43"/>
      <c r="AH3818" s="43"/>
      <c r="AI3818" s="43"/>
      <c r="AJ3818" s="43"/>
      <c r="AK3818" s="43"/>
      <c r="AL3818" s="43"/>
      <c r="AM3818" s="43"/>
      <c r="AN3818" s="43"/>
      <c r="AO3818" s="43"/>
      <c r="AP3818" s="43"/>
      <c r="AQ3818" s="43"/>
      <c r="AR3818" s="43"/>
      <c r="AS3818" s="43"/>
      <c r="AT3818" s="43"/>
      <c r="AU3818" s="43"/>
      <c r="AV3818" s="43"/>
    </row>
    <row r="3819" spans="1:48" ht="16.899999999999999" customHeight="1">
      <c r="A3819" s="1921"/>
      <c r="B3819" s="1882" t="s">
        <v>566</v>
      </c>
      <c r="C3819" s="1882" t="s">
        <v>510</v>
      </c>
      <c r="D3819" s="1935" t="s">
        <v>494</v>
      </c>
      <c r="E3819" s="2229" t="s">
        <v>2448</v>
      </c>
      <c r="F3819" s="1936">
        <v>5239</v>
      </c>
      <c r="G3819" s="3507" t="s">
        <v>5301</v>
      </c>
      <c r="H3819" s="2822"/>
      <c r="I3819" s="2779">
        <v>1200</v>
      </c>
      <c r="J3819" s="2776"/>
      <c r="K3819" s="2777"/>
      <c r="L3819" s="2779"/>
      <c r="M3819" s="2779"/>
      <c r="N3819" s="2847"/>
      <c r="O3819" s="86"/>
      <c r="P3819" s="1817" t="e">
        <f>INDEX(#REF!,MATCH(F3819,#REF!,0),2)</f>
        <v>#REF!</v>
      </c>
      <c r="Q3819" s="43"/>
      <c r="R3819" s="43"/>
      <c r="S3819" s="43"/>
      <c r="T3819" s="43"/>
      <c r="U3819" s="43"/>
      <c r="V3819" s="43"/>
      <c r="W3819" s="43"/>
      <c r="X3819" s="43"/>
      <c r="Y3819" s="43"/>
      <c r="Z3819" s="43"/>
      <c r="AA3819" s="43"/>
      <c r="AB3819" s="43"/>
      <c r="AC3819" s="43"/>
      <c r="AD3819" s="43"/>
      <c r="AE3819" s="43"/>
      <c r="AF3819" s="43"/>
      <c r="AG3819" s="43"/>
      <c r="AH3819" s="43"/>
      <c r="AI3819" s="43"/>
      <c r="AJ3819" s="43"/>
      <c r="AK3819" s="43"/>
      <c r="AL3819" s="43"/>
      <c r="AM3819" s="43"/>
      <c r="AN3819" s="43"/>
      <c r="AO3819" s="43"/>
      <c r="AP3819" s="43"/>
      <c r="AQ3819" s="43"/>
      <c r="AR3819" s="43"/>
      <c r="AS3819" s="43"/>
      <c r="AT3819" s="43"/>
      <c r="AU3819" s="43"/>
      <c r="AV3819" s="43"/>
    </row>
    <row r="3820" spans="1:48" ht="16.899999999999999" customHeight="1">
      <c r="A3820" s="506"/>
      <c r="B3820" s="506" t="s">
        <v>566</v>
      </c>
      <c r="C3820" s="506" t="s">
        <v>510</v>
      </c>
      <c r="D3820" s="1632" t="s">
        <v>494</v>
      </c>
      <c r="E3820" s="2257" t="s">
        <v>2448</v>
      </c>
      <c r="F3820" s="540">
        <v>5240</v>
      </c>
      <c r="G3820" s="411" t="s">
        <v>328</v>
      </c>
      <c r="H3820" s="2838">
        <v>1496</v>
      </c>
      <c r="I3820" s="2842"/>
      <c r="J3820" s="2840"/>
      <c r="K3820" s="2841"/>
      <c r="L3820" s="2842">
        <v>10621</v>
      </c>
      <c r="M3820" s="2839"/>
      <c r="N3820" s="2847"/>
      <c r="O3820" s="86"/>
      <c r="P3820" s="1817"/>
      <c r="Q3820" s="43"/>
      <c r="R3820" s="43"/>
      <c r="S3820" s="43"/>
      <c r="T3820" s="43"/>
      <c r="U3820" s="43"/>
      <c r="V3820" s="43"/>
      <c r="W3820" s="43"/>
      <c r="X3820" s="43"/>
      <c r="Y3820" s="43"/>
      <c r="Z3820" s="43"/>
      <c r="AA3820" s="43"/>
      <c r="AB3820" s="43"/>
      <c r="AC3820" s="43"/>
      <c r="AD3820" s="43"/>
      <c r="AE3820" s="43"/>
      <c r="AF3820" s="43"/>
      <c r="AG3820" s="43"/>
      <c r="AH3820" s="43"/>
      <c r="AI3820" s="43"/>
      <c r="AJ3820" s="43"/>
      <c r="AK3820" s="43"/>
      <c r="AL3820" s="43"/>
      <c r="AM3820" s="43"/>
      <c r="AN3820" s="43"/>
      <c r="AO3820" s="43"/>
      <c r="AP3820" s="43"/>
      <c r="AQ3820" s="43"/>
      <c r="AR3820" s="43"/>
      <c r="AS3820" s="43"/>
      <c r="AT3820" s="43"/>
      <c r="AU3820" s="43"/>
      <c r="AV3820" s="43"/>
    </row>
    <row r="3821" spans="1:48" ht="19.899999999999999" customHeight="1">
      <c r="A3821" s="1182"/>
      <c r="B3821" s="412" t="s">
        <v>566</v>
      </c>
      <c r="C3821" s="412" t="s">
        <v>510</v>
      </c>
      <c r="D3821" s="1590"/>
      <c r="E3821" s="2224" t="s">
        <v>2448</v>
      </c>
      <c r="F3821" s="505">
        <v>5240</v>
      </c>
      <c r="G3821" s="1324" t="s">
        <v>1851</v>
      </c>
      <c r="H3821" s="2822"/>
      <c r="I3821" s="2779">
        <v>11000</v>
      </c>
      <c r="J3821" s="2776"/>
      <c r="K3821" s="2777"/>
      <c r="L3821" s="2778"/>
      <c r="M3821" s="2779">
        <v>10621</v>
      </c>
      <c r="N3821" s="2847"/>
      <c r="O3821" s="86"/>
      <c r="P3821" s="1817"/>
      <c r="Q3821" s="43"/>
      <c r="R3821" s="43"/>
      <c r="S3821" s="43"/>
      <c r="T3821" s="43"/>
      <c r="U3821" s="43"/>
      <c r="V3821" s="43"/>
      <c r="W3821" s="43"/>
      <c r="X3821" s="43"/>
      <c r="Y3821" s="43"/>
      <c r="Z3821" s="43"/>
      <c r="AA3821" s="43"/>
      <c r="AB3821" s="43"/>
      <c r="AC3821" s="43"/>
      <c r="AD3821" s="43"/>
      <c r="AE3821" s="43"/>
      <c r="AF3821" s="43"/>
      <c r="AG3821" s="43"/>
      <c r="AH3821" s="43"/>
      <c r="AI3821" s="43"/>
      <c r="AJ3821" s="43"/>
      <c r="AK3821" s="43"/>
      <c r="AL3821" s="43"/>
      <c r="AM3821" s="43"/>
      <c r="AN3821" s="43"/>
      <c r="AO3821" s="43"/>
      <c r="AP3821" s="43"/>
      <c r="AQ3821" s="43"/>
      <c r="AR3821" s="43"/>
      <c r="AS3821" s="43"/>
      <c r="AT3821" s="43"/>
      <c r="AU3821" s="43"/>
      <c r="AV3821" s="43"/>
    </row>
    <row r="3822" spans="1:48" ht="19.899999999999999" customHeight="1">
      <c r="A3822" s="1921"/>
      <c r="B3822" s="412" t="s">
        <v>566</v>
      </c>
      <c r="C3822" s="412" t="s">
        <v>510</v>
      </c>
      <c r="D3822" s="1590"/>
      <c r="E3822" s="2224" t="s">
        <v>2448</v>
      </c>
      <c r="F3822" s="505">
        <v>5240</v>
      </c>
      <c r="G3822" s="2377" t="s">
        <v>3291</v>
      </c>
      <c r="H3822" s="2822"/>
      <c r="I3822" s="2779">
        <v>-1259</v>
      </c>
      <c r="J3822" s="2776"/>
      <c r="K3822" s="2777"/>
      <c r="L3822" s="2778"/>
      <c r="M3822" s="2778"/>
      <c r="N3822" s="2847"/>
      <c r="O3822" s="86"/>
      <c r="P3822" s="1817"/>
      <c r="Q3822" s="43"/>
      <c r="R3822" s="43"/>
      <c r="S3822" s="43"/>
      <c r="T3822" s="43"/>
      <c r="U3822" s="43"/>
      <c r="V3822" s="43"/>
      <c r="W3822" s="43"/>
      <c r="X3822" s="43"/>
      <c r="Y3822" s="43"/>
      <c r="Z3822" s="43"/>
      <c r="AA3822" s="43"/>
      <c r="AB3822" s="43"/>
      <c r="AC3822" s="43"/>
      <c r="AD3822" s="43"/>
      <c r="AE3822" s="43"/>
      <c r="AF3822" s="43"/>
      <c r="AG3822" s="43"/>
      <c r="AH3822" s="43"/>
      <c r="AI3822" s="43"/>
      <c r="AJ3822" s="43"/>
      <c r="AK3822" s="43"/>
      <c r="AL3822" s="43"/>
      <c r="AM3822" s="43"/>
      <c r="AN3822" s="43"/>
      <c r="AO3822" s="43"/>
      <c r="AP3822" s="43"/>
      <c r="AQ3822" s="43"/>
      <c r="AR3822" s="43"/>
      <c r="AS3822" s="43"/>
      <c r="AT3822" s="43"/>
      <c r="AU3822" s="43"/>
      <c r="AV3822" s="43"/>
    </row>
    <row r="3823" spans="1:48" ht="31.15" customHeight="1">
      <c r="A3823" s="1921"/>
      <c r="B3823" s="412" t="s">
        <v>566</v>
      </c>
      <c r="C3823" s="412" t="s">
        <v>510</v>
      </c>
      <c r="D3823" s="1590"/>
      <c r="E3823" s="2224" t="s">
        <v>2448</v>
      </c>
      <c r="F3823" s="505">
        <v>5240</v>
      </c>
      <c r="G3823" s="2377" t="s">
        <v>5302</v>
      </c>
      <c r="H3823" s="2822"/>
      <c r="I3823" s="2779">
        <v>-8245</v>
      </c>
      <c r="J3823" s="2776"/>
      <c r="K3823" s="2777"/>
      <c r="L3823" s="2778"/>
      <c r="M3823" s="2778"/>
      <c r="N3823" s="2847"/>
      <c r="O3823" s="86"/>
      <c r="P3823" s="1817" t="e">
        <f>INDEX(#REF!,MATCH(F3823,#REF!,0),2)</f>
        <v>#REF!</v>
      </c>
      <c r="Q3823" s="43"/>
      <c r="R3823" s="43"/>
      <c r="S3823" s="43"/>
      <c r="T3823" s="43"/>
      <c r="U3823" s="43"/>
      <c r="V3823" s="43"/>
      <c r="W3823" s="43"/>
      <c r="X3823" s="43"/>
      <c r="Y3823" s="43"/>
      <c r="Z3823" s="43"/>
      <c r="AA3823" s="43"/>
      <c r="AB3823" s="43"/>
      <c r="AC3823" s="43"/>
      <c r="AD3823" s="43"/>
      <c r="AE3823" s="43"/>
      <c r="AF3823" s="43"/>
      <c r="AG3823" s="43"/>
      <c r="AH3823" s="43"/>
      <c r="AI3823" s="43"/>
      <c r="AJ3823" s="43"/>
      <c r="AK3823" s="43"/>
      <c r="AL3823" s="43"/>
      <c r="AM3823" s="43"/>
      <c r="AN3823" s="43"/>
      <c r="AO3823" s="43"/>
      <c r="AP3823" s="43"/>
      <c r="AQ3823" s="43"/>
      <c r="AR3823" s="43"/>
      <c r="AS3823" s="43"/>
      <c r="AT3823" s="43"/>
      <c r="AU3823" s="43"/>
      <c r="AV3823" s="43"/>
    </row>
    <row r="3824" spans="1:48" ht="19.899999999999999" customHeight="1">
      <c r="A3824" s="506"/>
      <c r="B3824" s="506" t="s">
        <v>1249</v>
      </c>
      <c r="C3824" s="506" t="s">
        <v>510</v>
      </c>
      <c r="D3824" s="1632" t="s">
        <v>494</v>
      </c>
      <c r="E3824" s="2257" t="s">
        <v>2448</v>
      </c>
      <c r="F3824" s="540">
        <v>5240</v>
      </c>
      <c r="G3824" s="411" t="s">
        <v>328</v>
      </c>
      <c r="H3824" s="2838">
        <v>417125</v>
      </c>
      <c r="I3824" s="2842"/>
      <c r="J3824" s="2840"/>
      <c r="K3824" s="2841"/>
      <c r="L3824" s="2842">
        <v>1036752.58</v>
      </c>
      <c r="M3824" s="2839"/>
      <c r="N3824" s="2847"/>
      <c r="O3824" s="86"/>
      <c r="P3824" s="1817" t="e">
        <f>INDEX(#REF!,MATCH(F3824,#REF!,0),2)</f>
        <v>#REF!</v>
      </c>
      <c r="Q3824" s="43"/>
      <c r="R3824" s="43"/>
      <c r="S3824" s="43"/>
      <c r="T3824" s="43"/>
      <c r="U3824" s="43"/>
      <c r="V3824" s="43"/>
      <c r="W3824" s="43"/>
      <c r="X3824" s="43"/>
      <c r="Y3824" s="43"/>
      <c r="Z3824" s="43"/>
      <c r="AA3824" s="43"/>
      <c r="AB3824" s="43"/>
      <c r="AC3824" s="43"/>
      <c r="AD3824" s="43"/>
      <c r="AE3824" s="43"/>
      <c r="AF3824" s="43"/>
      <c r="AG3824" s="43"/>
      <c r="AH3824" s="43"/>
      <c r="AI3824" s="43"/>
      <c r="AJ3824" s="43"/>
      <c r="AK3824" s="43"/>
      <c r="AL3824" s="43"/>
      <c r="AM3824" s="43"/>
      <c r="AN3824" s="43"/>
      <c r="AO3824" s="43"/>
      <c r="AP3824" s="43"/>
      <c r="AQ3824" s="43"/>
      <c r="AR3824" s="43"/>
      <c r="AS3824" s="43"/>
      <c r="AT3824" s="43"/>
      <c r="AU3824" s="43"/>
      <c r="AV3824" s="43"/>
    </row>
    <row r="3825" spans="1:48" ht="19.899999999999999" customHeight="1">
      <c r="A3825" s="412"/>
      <c r="B3825" s="412" t="s">
        <v>1249</v>
      </c>
      <c r="C3825" s="412" t="s">
        <v>510</v>
      </c>
      <c r="D3825" s="1590"/>
      <c r="E3825" s="2224" t="s">
        <v>2448</v>
      </c>
      <c r="F3825" s="505">
        <v>5240</v>
      </c>
      <c r="G3825" s="3082" t="s">
        <v>4820</v>
      </c>
      <c r="H3825" s="2822"/>
      <c r="I3825" s="3511">
        <v>7092</v>
      </c>
      <c r="J3825" s="2776"/>
      <c r="K3825" s="2777"/>
      <c r="L3825" s="2778"/>
      <c r="M3825" s="2779">
        <v>3000</v>
      </c>
      <c r="N3825" s="2847" t="s">
        <v>4766</v>
      </c>
      <c r="O3825" s="86"/>
      <c r="P3825" s="1817" t="e">
        <f>INDEX(#REF!,MATCH(F3825,#REF!,0),2)</f>
        <v>#REF!</v>
      </c>
      <c r="Q3825" s="43"/>
      <c r="R3825" s="43"/>
      <c r="S3825" s="43"/>
      <c r="T3825" s="43"/>
      <c r="U3825" s="43"/>
      <c r="V3825" s="43"/>
      <c r="W3825" s="43"/>
      <c r="X3825" s="43"/>
      <c r="Y3825" s="43"/>
      <c r="Z3825" s="43"/>
      <c r="AA3825" s="43"/>
      <c r="AB3825" s="43"/>
      <c r="AC3825" s="43"/>
      <c r="AD3825" s="43"/>
      <c r="AE3825" s="43"/>
      <c r="AF3825" s="43"/>
      <c r="AG3825" s="43"/>
      <c r="AH3825" s="43"/>
      <c r="AI3825" s="43"/>
      <c r="AJ3825" s="43"/>
      <c r="AK3825" s="43"/>
      <c r="AL3825" s="43"/>
      <c r="AM3825" s="43"/>
      <c r="AN3825" s="43"/>
      <c r="AO3825" s="43"/>
      <c r="AP3825" s="43"/>
      <c r="AQ3825" s="43"/>
      <c r="AR3825" s="43"/>
      <c r="AS3825" s="43"/>
      <c r="AT3825" s="43"/>
      <c r="AU3825" s="43"/>
      <c r="AV3825" s="43"/>
    </row>
    <row r="3826" spans="1:48" ht="32.450000000000003" customHeight="1">
      <c r="A3826" s="2790"/>
      <c r="B3826" s="412" t="s">
        <v>1249</v>
      </c>
      <c r="C3826" s="412" t="s">
        <v>510</v>
      </c>
      <c r="D3826" s="1590"/>
      <c r="E3826" s="2224" t="s">
        <v>2448</v>
      </c>
      <c r="F3826" s="505">
        <v>5240</v>
      </c>
      <c r="G3826" s="3082" t="s">
        <v>2545</v>
      </c>
      <c r="H3826" s="2822"/>
      <c r="I3826" s="3511"/>
      <c r="J3826" s="2776"/>
      <c r="K3826" s="2777"/>
      <c r="L3826" s="2778"/>
      <c r="M3826" s="2779">
        <v>38000</v>
      </c>
      <c r="N3826" s="2847" t="s">
        <v>4766</v>
      </c>
      <c r="O3826" s="86"/>
      <c r="P3826" s="1817" t="e">
        <f>INDEX(#REF!,MATCH(F3826,#REF!,0),2)</f>
        <v>#REF!</v>
      </c>
      <c r="Q3826" s="43"/>
      <c r="R3826" s="43"/>
      <c r="S3826" s="43"/>
      <c r="T3826" s="43"/>
      <c r="U3826" s="43"/>
      <c r="V3826" s="43"/>
      <c r="W3826" s="43"/>
      <c r="X3826" s="43"/>
      <c r="Y3826" s="43"/>
      <c r="Z3826" s="43"/>
      <c r="AA3826" s="43"/>
      <c r="AB3826" s="43"/>
      <c r="AC3826" s="43"/>
      <c r="AD3826" s="43"/>
      <c r="AE3826" s="43"/>
      <c r="AF3826" s="43"/>
      <c r="AG3826" s="43"/>
      <c r="AH3826" s="43"/>
      <c r="AI3826" s="43"/>
      <c r="AJ3826" s="43"/>
      <c r="AK3826" s="43"/>
      <c r="AL3826" s="43"/>
      <c r="AM3826" s="43"/>
      <c r="AN3826" s="43"/>
      <c r="AO3826" s="43"/>
      <c r="AP3826" s="43"/>
      <c r="AQ3826" s="43"/>
      <c r="AR3826" s="43"/>
      <c r="AS3826" s="43"/>
      <c r="AT3826" s="43"/>
      <c r="AU3826" s="43"/>
      <c r="AV3826" s="43"/>
    </row>
    <row r="3827" spans="1:48" ht="32.450000000000003" customHeight="1">
      <c r="A3827" s="2790"/>
      <c r="B3827" s="412" t="s">
        <v>1249</v>
      </c>
      <c r="C3827" s="412" t="s">
        <v>510</v>
      </c>
      <c r="D3827" s="1590"/>
      <c r="E3827" s="2224" t="s">
        <v>2448</v>
      </c>
      <c r="F3827" s="505">
        <v>5240</v>
      </c>
      <c r="G3827" s="3082" t="s">
        <v>4821</v>
      </c>
      <c r="H3827" s="2822"/>
      <c r="I3827" s="3511"/>
      <c r="J3827" s="2776"/>
      <c r="K3827" s="2777"/>
      <c r="L3827" s="2778"/>
      <c r="M3827" s="2779">
        <v>30000</v>
      </c>
      <c r="N3827" s="2847" t="s">
        <v>4766</v>
      </c>
      <c r="O3827" s="86"/>
      <c r="P3827" s="1817" t="e">
        <f>INDEX(#REF!,MATCH(F3827,#REF!,0),2)</f>
        <v>#REF!</v>
      </c>
      <c r="Q3827" s="43"/>
      <c r="R3827" s="43"/>
      <c r="S3827" s="43"/>
      <c r="T3827" s="43"/>
      <c r="U3827" s="43"/>
      <c r="V3827" s="43"/>
      <c r="W3827" s="43"/>
      <c r="X3827" s="43"/>
      <c r="Y3827" s="43"/>
      <c r="Z3827" s="43"/>
      <c r="AA3827" s="43"/>
      <c r="AB3827" s="43"/>
      <c r="AC3827" s="43"/>
      <c r="AD3827" s="43"/>
      <c r="AE3827" s="43"/>
      <c r="AF3827" s="43"/>
      <c r="AG3827" s="43"/>
      <c r="AH3827" s="43"/>
      <c r="AI3827" s="43"/>
      <c r="AJ3827" s="43"/>
      <c r="AK3827" s="43"/>
      <c r="AL3827" s="43"/>
      <c r="AM3827" s="43"/>
      <c r="AN3827" s="43"/>
      <c r="AO3827" s="43"/>
      <c r="AP3827" s="43"/>
      <c r="AQ3827" s="43"/>
      <c r="AR3827" s="43"/>
      <c r="AS3827" s="43"/>
      <c r="AT3827" s="43"/>
      <c r="AU3827" s="43"/>
      <c r="AV3827" s="43"/>
    </row>
    <row r="3828" spans="1:48" ht="43.15" customHeight="1">
      <c r="A3828" s="2790"/>
      <c r="B3828" s="412" t="s">
        <v>1249</v>
      </c>
      <c r="C3828" s="412" t="s">
        <v>510</v>
      </c>
      <c r="D3828" s="1590"/>
      <c r="E3828" s="2224" t="s">
        <v>2448</v>
      </c>
      <c r="F3828" s="505">
        <v>5240</v>
      </c>
      <c r="G3828" s="3082" t="s">
        <v>4822</v>
      </c>
      <c r="H3828" s="2822"/>
      <c r="I3828" s="3511"/>
      <c r="J3828" s="2776"/>
      <c r="K3828" s="2777"/>
      <c r="L3828" s="2778"/>
      <c r="M3828" s="2779">
        <v>20000</v>
      </c>
      <c r="N3828" s="2847" t="s">
        <v>4766</v>
      </c>
      <c r="O3828" s="86"/>
      <c r="P3828" s="1817" t="e">
        <f>INDEX(#REF!,MATCH(F3828,#REF!,0),2)</f>
        <v>#REF!</v>
      </c>
      <c r="Q3828" s="43"/>
      <c r="R3828" s="43"/>
      <c r="S3828" s="43"/>
      <c r="T3828" s="43"/>
      <c r="U3828" s="43"/>
      <c r="V3828" s="43"/>
      <c r="W3828" s="43"/>
      <c r="X3828" s="43"/>
      <c r="Y3828" s="43"/>
      <c r="Z3828" s="43"/>
      <c r="AA3828" s="43"/>
      <c r="AB3828" s="43"/>
      <c r="AC3828" s="43"/>
      <c r="AD3828" s="43"/>
      <c r="AE3828" s="43"/>
      <c r="AF3828" s="43"/>
      <c r="AG3828" s="43"/>
      <c r="AH3828" s="43"/>
      <c r="AI3828" s="43"/>
      <c r="AJ3828" s="43"/>
      <c r="AK3828" s="43"/>
      <c r="AL3828" s="43"/>
      <c r="AM3828" s="43"/>
      <c r="AN3828" s="43"/>
      <c r="AO3828" s="43"/>
      <c r="AP3828" s="43"/>
      <c r="AQ3828" s="43"/>
      <c r="AR3828" s="43"/>
      <c r="AS3828" s="43"/>
      <c r="AT3828" s="43"/>
      <c r="AU3828" s="43"/>
      <c r="AV3828" s="43"/>
    </row>
    <row r="3829" spans="1:48" ht="43.15" customHeight="1">
      <c r="A3829" s="1268"/>
      <c r="B3829" s="412" t="s">
        <v>1249</v>
      </c>
      <c r="C3829" s="412" t="s">
        <v>510</v>
      </c>
      <c r="D3829" s="1590"/>
      <c r="E3829" s="2224" t="s">
        <v>2448</v>
      </c>
      <c r="F3829" s="505">
        <v>5240</v>
      </c>
      <c r="G3829" s="3082" t="s">
        <v>4823</v>
      </c>
      <c r="H3829" s="2822"/>
      <c r="I3829" s="3511">
        <v>20000</v>
      </c>
      <c r="J3829" s="2776"/>
      <c r="K3829" s="2777"/>
      <c r="L3829" s="2778"/>
      <c r="M3829" s="3512">
        <v>139000</v>
      </c>
      <c r="N3829" s="241" t="s">
        <v>4844</v>
      </c>
      <c r="O3829" s="86"/>
      <c r="P3829" s="1817"/>
      <c r="Q3829" s="43"/>
      <c r="R3829" s="43"/>
      <c r="S3829" s="43"/>
      <c r="T3829" s="43"/>
      <c r="U3829" s="43"/>
      <c r="V3829" s="43"/>
      <c r="W3829" s="43"/>
      <c r="X3829" s="43"/>
      <c r="Y3829" s="43"/>
      <c r="Z3829" s="43"/>
      <c r="AA3829" s="43"/>
      <c r="AB3829" s="43"/>
      <c r="AC3829" s="43"/>
      <c r="AD3829" s="43"/>
      <c r="AE3829" s="43"/>
      <c r="AF3829" s="43"/>
      <c r="AG3829" s="43"/>
      <c r="AH3829" s="43"/>
      <c r="AI3829" s="43"/>
      <c r="AJ3829" s="43"/>
      <c r="AK3829" s="43"/>
      <c r="AL3829" s="43"/>
      <c r="AM3829" s="43"/>
      <c r="AN3829" s="43"/>
      <c r="AO3829" s="43"/>
      <c r="AP3829" s="43"/>
      <c r="AQ3829" s="43"/>
      <c r="AR3829" s="43"/>
      <c r="AS3829" s="43"/>
      <c r="AT3829" s="43"/>
      <c r="AU3829" s="43"/>
      <c r="AV3829" s="43"/>
    </row>
    <row r="3830" spans="1:48" ht="43.15" customHeight="1">
      <c r="A3830" s="1882"/>
      <c r="B3830" s="412" t="s">
        <v>1249</v>
      </c>
      <c r="C3830" s="412" t="s">
        <v>510</v>
      </c>
      <c r="D3830" s="1590"/>
      <c r="E3830" s="2224" t="s">
        <v>2448</v>
      </c>
      <c r="F3830" s="505">
        <v>5240</v>
      </c>
      <c r="G3830" s="2304" t="s">
        <v>3126</v>
      </c>
      <c r="H3830" s="2822"/>
      <c r="I3830" s="3511">
        <v>5033</v>
      </c>
      <c r="J3830" s="2776"/>
      <c r="K3830" s="2777"/>
      <c r="L3830" s="2778"/>
      <c r="M3830" s="2778"/>
      <c r="N3830" s="2847"/>
      <c r="O3830" s="86"/>
      <c r="P3830" s="1817" t="e">
        <f>INDEX(#REF!,MATCH(F3830,#REF!,0),2)</f>
        <v>#REF!</v>
      </c>
      <c r="Q3830" s="43"/>
      <c r="R3830" s="43"/>
      <c r="S3830" s="43"/>
      <c r="T3830" s="43"/>
      <c r="U3830" s="43"/>
      <c r="V3830" s="43"/>
      <c r="W3830" s="43"/>
      <c r="X3830" s="43"/>
      <c r="Y3830" s="43"/>
      <c r="Z3830" s="43"/>
      <c r="AA3830" s="43"/>
      <c r="AB3830" s="43"/>
      <c r="AC3830" s="43"/>
      <c r="AD3830" s="43"/>
      <c r="AE3830" s="43"/>
      <c r="AF3830" s="43"/>
      <c r="AG3830" s="43"/>
      <c r="AH3830" s="43"/>
      <c r="AI3830" s="43"/>
      <c r="AJ3830" s="43"/>
      <c r="AK3830" s="43"/>
      <c r="AL3830" s="43"/>
      <c r="AM3830" s="43"/>
      <c r="AN3830" s="43"/>
      <c r="AO3830" s="43"/>
      <c r="AP3830" s="43"/>
      <c r="AQ3830" s="43"/>
      <c r="AR3830" s="43"/>
      <c r="AS3830" s="43"/>
      <c r="AT3830" s="43"/>
      <c r="AU3830" s="43"/>
      <c r="AV3830" s="43"/>
    </row>
    <row r="3831" spans="1:48" ht="52.9" customHeight="1">
      <c r="A3831" s="1882"/>
      <c r="B3831" s="412" t="s">
        <v>1249</v>
      </c>
      <c r="C3831" s="412" t="s">
        <v>510</v>
      </c>
      <c r="D3831" s="1590"/>
      <c r="E3831" s="2224" t="s">
        <v>2448</v>
      </c>
      <c r="F3831" s="505">
        <v>5240</v>
      </c>
      <c r="G3831" s="3082" t="s">
        <v>4824</v>
      </c>
      <c r="H3831" s="2822"/>
      <c r="I3831" s="3511">
        <v>297943</v>
      </c>
      <c r="J3831" s="2776"/>
      <c r="K3831" s="2777"/>
      <c r="L3831" s="2778"/>
      <c r="M3831" s="4330">
        <v>680000</v>
      </c>
      <c r="N3831" s="2847" t="s">
        <v>4845</v>
      </c>
      <c r="O3831" s="86"/>
      <c r="P3831" s="1817" t="e">
        <f>INDEX(#REF!,MATCH(F3831,#REF!,0),2)</f>
        <v>#REF!</v>
      </c>
      <c r="Q3831" s="43"/>
      <c r="R3831" s="43"/>
      <c r="S3831" s="43"/>
      <c r="T3831" s="43"/>
      <c r="U3831" s="43"/>
      <c r="V3831" s="43"/>
      <c r="W3831" s="43"/>
      <c r="X3831" s="43"/>
      <c r="Y3831" s="43"/>
      <c r="Z3831" s="43"/>
      <c r="AA3831" s="43"/>
      <c r="AB3831" s="43"/>
      <c r="AC3831" s="43"/>
      <c r="AD3831" s="43"/>
      <c r="AE3831" s="43"/>
      <c r="AF3831" s="43"/>
      <c r="AG3831" s="43"/>
      <c r="AH3831" s="43"/>
      <c r="AI3831" s="43"/>
      <c r="AJ3831" s="43"/>
      <c r="AK3831" s="43"/>
      <c r="AL3831" s="43"/>
      <c r="AM3831" s="43"/>
      <c r="AN3831" s="43"/>
      <c r="AO3831" s="43"/>
      <c r="AP3831" s="43"/>
      <c r="AQ3831" s="43"/>
      <c r="AR3831" s="43"/>
      <c r="AS3831" s="43"/>
      <c r="AT3831" s="43"/>
      <c r="AU3831" s="43"/>
      <c r="AV3831" s="43"/>
    </row>
    <row r="3832" spans="1:48" ht="15.6" customHeight="1">
      <c r="A3832" s="1882"/>
      <c r="B3832" s="412" t="s">
        <v>1249</v>
      </c>
      <c r="C3832" s="412" t="s">
        <v>510</v>
      </c>
      <c r="D3832" s="1590"/>
      <c r="E3832" s="2224" t="s">
        <v>2448</v>
      </c>
      <c r="F3832" s="505">
        <v>5240</v>
      </c>
      <c r="G3832" s="3082" t="s">
        <v>4825</v>
      </c>
      <c r="H3832" s="2822"/>
      <c r="I3832" s="3511"/>
      <c r="J3832" s="2776"/>
      <c r="K3832" s="2777"/>
      <c r="L3832" s="2778"/>
      <c r="M3832" s="4330">
        <v>7685.58</v>
      </c>
      <c r="N3832" s="2847" t="s">
        <v>4846</v>
      </c>
      <c r="O3832" s="86"/>
      <c r="P3832" s="1817" t="e">
        <f>INDEX(#REF!,MATCH(F3832,#REF!,0),2)</f>
        <v>#REF!</v>
      </c>
      <c r="Q3832" s="43"/>
      <c r="R3832" s="43"/>
      <c r="S3832" s="43"/>
      <c r="T3832" s="43"/>
      <c r="U3832" s="43"/>
      <c r="V3832" s="43"/>
      <c r="W3832" s="43"/>
      <c r="X3832" s="43"/>
      <c r="Y3832" s="43"/>
      <c r="Z3832" s="43"/>
      <c r="AA3832" s="43"/>
      <c r="AB3832" s="43"/>
      <c r="AC3832" s="43"/>
      <c r="AD3832" s="43"/>
      <c r="AE3832" s="43"/>
      <c r="AF3832" s="43"/>
      <c r="AG3832" s="43"/>
      <c r="AH3832" s="43"/>
      <c r="AI3832" s="43"/>
      <c r="AJ3832" s="43"/>
      <c r="AK3832" s="43"/>
      <c r="AL3832" s="43"/>
      <c r="AM3832" s="43"/>
      <c r="AN3832" s="43"/>
      <c r="AO3832" s="43"/>
      <c r="AP3832" s="43"/>
      <c r="AQ3832" s="43"/>
      <c r="AR3832" s="43"/>
      <c r="AS3832" s="43"/>
      <c r="AT3832" s="43"/>
      <c r="AU3832" s="43"/>
      <c r="AV3832" s="43"/>
    </row>
    <row r="3833" spans="1:48" ht="30.6" customHeight="1">
      <c r="A3833" s="1882"/>
      <c r="B3833" s="412" t="s">
        <v>1249</v>
      </c>
      <c r="C3833" s="412" t="s">
        <v>510</v>
      </c>
      <c r="D3833" s="1590"/>
      <c r="E3833" s="2224" t="s">
        <v>2448</v>
      </c>
      <c r="F3833" s="505">
        <v>5240</v>
      </c>
      <c r="G3833" s="1960" t="s">
        <v>3200</v>
      </c>
      <c r="H3833" s="2822"/>
      <c r="I3833" s="3511">
        <v>2057</v>
      </c>
      <c r="J3833" s="2776"/>
      <c r="K3833" s="2777"/>
      <c r="L3833" s="2778"/>
      <c r="M3833" s="2778"/>
      <c r="N3833" s="2847"/>
      <c r="O3833" s="86"/>
      <c r="P3833" s="1817" t="e">
        <f>INDEX(#REF!,MATCH(F3833,#REF!,0),2)</f>
        <v>#REF!</v>
      </c>
      <c r="Q3833" s="43"/>
      <c r="R3833" s="43"/>
      <c r="S3833" s="43"/>
      <c r="T3833" s="43"/>
      <c r="U3833" s="43"/>
      <c r="V3833" s="43"/>
      <c r="W3833" s="43"/>
      <c r="X3833" s="43"/>
      <c r="Y3833" s="43"/>
      <c r="Z3833" s="43"/>
      <c r="AA3833" s="43"/>
      <c r="AB3833" s="43"/>
      <c r="AC3833" s="43"/>
      <c r="AD3833" s="43"/>
      <c r="AE3833" s="43"/>
      <c r="AF3833" s="43"/>
      <c r="AG3833" s="43"/>
      <c r="AH3833" s="43"/>
      <c r="AI3833" s="43"/>
      <c r="AJ3833" s="43"/>
      <c r="AK3833" s="43"/>
      <c r="AL3833" s="43"/>
      <c r="AM3833" s="43"/>
      <c r="AN3833" s="43"/>
      <c r="AO3833" s="43"/>
      <c r="AP3833" s="43"/>
      <c r="AQ3833" s="43"/>
      <c r="AR3833" s="43"/>
      <c r="AS3833" s="43"/>
      <c r="AT3833" s="43"/>
      <c r="AU3833" s="43"/>
      <c r="AV3833" s="43"/>
    </row>
    <row r="3834" spans="1:48" ht="30.6" customHeight="1">
      <c r="A3834" s="1268"/>
      <c r="B3834" s="412" t="s">
        <v>1249</v>
      </c>
      <c r="C3834" s="412" t="s">
        <v>510</v>
      </c>
      <c r="D3834" s="1590"/>
      <c r="E3834" s="2224" t="s">
        <v>2448</v>
      </c>
      <c r="F3834" s="505">
        <v>5240</v>
      </c>
      <c r="G3834" s="3082" t="s">
        <v>4826</v>
      </c>
      <c r="H3834" s="2822"/>
      <c r="I3834" s="3511"/>
      <c r="J3834" s="3410"/>
      <c r="K3834" s="2777"/>
      <c r="L3834" s="2778"/>
      <c r="M3834" s="3512">
        <v>105000</v>
      </c>
      <c r="N3834" s="2847" t="s">
        <v>4847</v>
      </c>
      <c r="O3834" s="86"/>
      <c r="P3834" s="1817" t="e">
        <f>INDEX(#REF!,MATCH(F3834,#REF!,0),2)</f>
        <v>#REF!</v>
      </c>
      <c r="Q3834" s="43"/>
      <c r="R3834" s="43"/>
      <c r="S3834" s="43"/>
      <c r="T3834" s="43"/>
      <c r="U3834" s="43"/>
      <c r="V3834" s="43"/>
      <c r="W3834" s="43"/>
      <c r="X3834" s="43"/>
      <c r="Y3834" s="43"/>
      <c r="Z3834" s="43"/>
      <c r="AA3834" s="43"/>
      <c r="AB3834" s="43"/>
      <c r="AC3834" s="43"/>
      <c r="AD3834" s="43"/>
      <c r="AE3834" s="43"/>
      <c r="AF3834" s="43"/>
      <c r="AG3834" s="43"/>
      <c r="AH3834" s="43"/>
      <c r="AI3834" s="43"/>
      <c r="AJ3834" s="43"/>
      <c r="AK3834" s="43"/>
      <c r="AL3834" s="43"/>
      <c r="AM3834" s="43"/>
      <c r="AN3834" s="43"/>
      <c r="AO3834" s="43"/>
      <c r="AP3834" s="43"/>
      <c r="AQ3834" s="43"/>
      <c r="AR3834" s="43"/>
      <c r="AS3834" s="43"/>
      <c r="AT3834" s="43"/>
      <c r="AU3834" s="43"/>
      <c r="AV3834" s="43"/>
    </row>
    <row r="3835" spans="1:48" ht="32.450000000000003" customHeight="1">
      <c r="A3835" s="2790"/>
      <c r="B3835" s="412" t="s">
        <v>1249</v>
      </c>
      <c r="C3835" s="412" t="s">
        <v>510</v>
      </c>
      <c r="D3835" s="1590"/>
      <c r="E3835" s="2224" t="s">
        <v>2448</v>
      </c>
      <c r="F3835" s="505">
        <v>5240</v>
      </c>
      <c r="G3835" s="3082" t="s">
        <v>5314</v>
      </c>
      <c r="H3835" s="2822"/>
      <c r="I3835" s="3511"/>
      <c r="J3835" s="3410"/>
      <c r="K3835" s="2777"/>
      <c r="L3835" s="2778"/>
      <c r="M3835" s="3512">
        <v>14067</v>
      </c>
      <c r="N3835" s="2846" t="s">
        <v>5315</v>
      </c>
      <c r="O3835" s="86"/>
      <c r="P3835" s="1817" t="e">
        <f>INDEX(#REF!,MATCH(F3835,#REF!,0),2)</f>
        <v>#REF!</v>
      </c>
      <c r="Q3835" s="43"/>
      <c r="R3835" s="43"/>
      <c r="S3835" s="43"/>
      <c r="T3835" s="43"/>
      <c r="U3835" s="43"/>
      <c r="V3835" s="43"/>
      <c r="W3835" s="43"/>
      <c r="X3835" s="43"/>
      <c r="Y3835" s="43"/>
      <c r="Z3835" s="43"/>
      <c r="AA3835" s="43"/>
      <c r="AB3835" s="43"/>
      <c r="AC3835" s="43"/>
      <c r="AD3835" s="43"/>
      <c r="AE3835" s="43"/>
      <c r="AF3835" s="43"/>
      <c r="AG3835" s="43"/>
      <c r="AH3835" s="43"/>
      <c r="AI3835" s="43"/>
      <c r="AJ3835" s="43"/>
      <c r="AK3835" s="43"/>
      <c r="AL3835" s="43"/>
      <c r="AM3835" s="43"/>
      <c r="AN3835" s="43"/>
      <c r="AO3835" s="43"/>
      <c r="AP3835" s="43"/>
      <c r="AQ3835" s="43"/>
      <c r="AR3835" s="43"/>
      <c r="AS3835" s="43"/>
      <c r="AT3835" s="43"/>
      <c r="AU3835" s="43"/>
      <c r="AV3835" s="43"/>
    </row>
    <row r="3836" spans="1:48" ht="40.9" customHeight="1">
      <c r="A3836" s="1370"/>
      <c r="B3836" s="412" t="s">
        <v>1249</v>
      </c>
      <c r="C3836" s="412" t="s">
        <v>510</v>
      </c>
      <c r="D3836" s="1590"/>
      <c r="E3836" s="2224" t="s">
        <v>2448</v>
      </c>
      <c r="F3836" s="505">
        <v>5240</v>
      </c>
      <c r="G3836" s="1396" t="s">
        <v>3270</v>
      </c>
      <c r="H3836" s="2822"/>
      <c r="I3836" s="3511">
        <v>27000</v>
      </c>
      <c r="J3836" s="3410"/>
      <c r="K3836" s="2777"/>
      <c r="L3836" s="2778"/>
      <c r="M3836" s="2778"/>
      <c r="N3836" s="2847"/>
      <c r="O3836" s="86"/>
      <c r="P3836" s="1817" t="e">
        <f>INDEX(#REF!,MATCH(F3836,#REF!,0),2)</f>
        <v>#REF!</v>
      </c>
      <c r="Q3836" s="43"/>
      <c r="R3836" s="43"/>
      <c r="S3836" s="43"/>
      <c r="T3836" s="43"/>
      <c r="U3836" s="43"/>
      <c r="V3836" s="43"/>
      <c r="W3836" s="43"/>
      <c r="X3836" s="43"/>
      <c r="Y3836" s="43"/>
      <c r="Z3836" s="43"/>
      <c r="AA3836" s="43"/>
      <c r="AB3836" s="43"/>
      <c r="AC3836" s="43"/>
      <c r="AD3836" s="43"/>
      <c r="AE3836" s="43"/>
      <c r="AF3836" s="43"/>
      <c r="AG3836" s="43"/>
      <c r="AH3836" s="43"/>
      <c r="AI3836" s="43"/>
      <c r="AJ3836" s="43"/>
      <c r="AK3836" s="43"/>
      <c r="AL3836" s="43"/>
      <c r="AM3836" s="43"/>
      <c r="AN3836" s="43"/>
      <c r="AO3836" s="43"/>
      <c r="AP3836" s="43"/>
      <c r="AQ3836" s="43"/>
      <c r="AR3836" s="43"/>
      <c r="AS3836" s="43"/>
      <c r="AT3836" s="43"/>
      <c r="AU3836" s="43"/>
      <c r="AV3836" s="43"/>
    </row>
    <row r="3837" spans="1:48" ht="30.6" customHeight="1">
      <c r="A3837" s="1882"/>
      <c r="B3837" s="412" t="s">
        <v>1249</v>
      </c>
      <c r="C3837" s="412" t="s">
        <v>510</v>
      </c>
      <c r="D3837" s="1590"/>
      <c r="E3837" s="2224" t="s">
        <v>2448</v>
      </c>
      <c r="F3837" s="505">
        <v>5240</v>
      </c>
      <c r="G3837" s="1396" t="s">
        <v>3271</v>
      </c>
      <c r="H3837" s="2822"/>
      <c r="I3837" s="3511">
        <v>8000</v>
      </c>
      <c r="J3837" s="3410"/>
      <c r="K3837" s="2777"/>
      <c r="L3837" s="2778"/>
      <c r="M3837" s="2778"/>
      <c r="N3837" s="2847"/>
      <c r="O3837" s="86"/>
      <c r="P3837" s="1817" t="e">
        <f>INDEX(#REF!,MATCH(F3837,#REF!,0),2)</f>
        <v>#REF!</v>
      </c>
      <c r="Q3837" s="43"/>
      <c r="R3837" s="43"/>
      <c r="S3837" s="43"/>
      <c r="T3837" s="43"/>
      <c r="U3837" s="43"/>
      <c r="V3837" s="43"/>
      <c r="W3837" s="43"/>
      <c r="X3837" s="43"/>
      <c r="Y3837" s="43"/>
      <c r="Z3837" s="43"/>
      <c r="AA3837" s="43"/>
      <c r="AB3837" s="43"/>
      <c r="AC3837" s="43"/>
      <c r="AD3837" s="43"/>
      <c r="AE3837" s="43"/>
      <c r="AF3837" s="43"/>
      <c r="AG3837" s="43"/>
      <c r="AH3837" s="43"/>
      <c r="AI3837" s="43"/>
      <c r="AJ3837" s="43"/>
      <c r="AK3837" s="43"/>
      <c r="AL3837" s="43"/>
      <c r="AM3837" s="43"/>
      <c r="AN3837" s="43"/>
      <c r="AO3837" s="43"/>
      <c r="AP3837" s="43"/>
      <c r="AQ3837" s="43"/>
      <c r="AR3837" s="43"/>
      <c r="AS3837" s="43"/>
      <c r="AT3837" s="43"/>
      <c r="AU3837" s="43"/>
      <c r="AV3837" s="43"/>
    </row>
    <row r="3838" spans="1:48" ht="15.6" customHeight="1">
      <c r="A3838" s="1370"/>
      <c r="B3838" s="412" t="s">
        <v>1249</v>
      </c>
      <c r="C3838" s="412" t="s">
        <v>510</v>
      </c>
      <c r="D3838" s="1590"/>
      <c r="E3838" s="2224" t="s">
        <v>2448</v>
      </c>
      <c r="F3838" s="505">
        <v>5240</v>
      </c>
      <c r="G3838" s="1396" t="s">
        <v>3272</v>
      </c>
      <c r="H3838" s="2822"/>
      <c r="I3838" s="3511">
        <v>50000</v>
      </c>
      <c r="J3838" s="3410"/>
      <c r="K3838" s="2777"/>
      <c r="L3838" s="2778"/>
      <c r="M3838" s="2778"/>
      <c r="N3838" s="2847"/>
      <c r="O3838" s="86"/>
      <c r="P3838" s="1817" t="e">
        <f>INDEX(#REF!,MATCH(F3838,#REF!,0),2)</f>
        <v>#REF!</v>
      </c>
      <c r="Q3838" s="43"/>
      <c r="R3838" s="43"/>
      <c r="S3838" s="43"/>
      <c r="T3838" s="43"/>
      <c r="U3838" s="43"/>
      <c r="V3838" s="43"/>
      <c r="W3838" s="43"/>
      <c r="X3838" s="43"/>
      <c r="Y3838" s="43"/>
      <c r="Z3838" s="43"/>
      <c r="AA3838" s="43"/>
      <c r="AB3838" s="43"/>
      <c r="AC3838" s="43"/>
      <c r="AD3838" s="43"/>
      <c r="AE3838" s="43"/>
      <c r="AF3838" s="43"/>
      <c r="AG3838" s="43"/>
      <c r="AH3838" s="43"/>
      <c r="AI3838" s="43"/>
      <c r="AJ3838" s="43"/>
      <c r="AK3838" s="43"/>
      <c r="AL3838" s="43"/>
      <c r="AM3838" s="43"/>
      <c r="AN3838" s="43"/>
      <c r="AO3838" s="43"/>
      <c r="AP3838" s="43"/>
      <c r="AQ3838" s="43"/>
      <c r="AR3838" s="43"/>
      <c r="AS3838" s="43"/>
      <c r="AT3838" s="43"/>
      <c r="AU3838" s="43"/>
      <c r="AV3838" s="43"/>
    </row>
    <row r="3839" spans="1:48" ht="30.6" customHeight="1">
      <c r="A3839" s="591" t="s">
        <v>600</v>
      </c>
      <c r="B3839" s="775" t="s">
        <v>1249</v>
      </c>
      <c r="C3839" s="591" t="s">
        <v>570</v>
      </c>
      <c r="D3839" s="1632" t="s">
        <v>1889</v>
      </c>
      <c r="E3839" s="2223" t="s">
        <v>2447</v>
      </c>
      <c r="F3839" s="540">
        <v>3263</v>
      </c>
      <c r="G3839" s="411" t="s">
        <v>599</v>
      </c>
      <c r="H3839" s="923"/>
      <c r="I3839" s="579"/>
      <c r="J3839" s="542"/>
      <c r="K3839" s="458"/>
      <c r="L3839" s="1578"/>
      <c r="M3839" s="1578"/>
      <c r="N3839" s="2847"/>
      <c r="O3839" s="86"/>
      <c r="P3839" s="1817" t="e">
        <f>INDEX(#REF!,MATCH(F3839,#REF!,0),2)</f>
        <v>#REF!</v>
      </c>
      <c r="Q3839" s="43"/>
      <c r="R3839" s="43"/>
      <c r="S3839" s="43"/>
      <c r="T3839" s="43"/>
      <c r="U3839" s="43"/>
      <c r="V3839" s="43"/>
      <c r="W3839" s="43"/>
      <c r="X3839" s="43"/>
      <c r="Y3839" s="43"/>
      <c r="Z3839" s="43"/>
      <c r="AA3839" s="43"/>
      <c r="AB3839" s="43"/>
      <c r="AC3839" s="43"/>
      <c r="AD3839" s="43"/>
      <c r="AE3839" s="43"/>
      <c r="AF3839" s="43"/>
      <c r="AG3839" s="43"/>
      <c r="AH3839" s="43"/>
      <c r="AI3839" s="43"/>
      <c r="AJ3839" s="43"/>
      <c r="AL3839" s="43"/>
      <c r="AM3839" s="43"/>
      <c r="AN3839" s="43"/>
      <c r="AO3839" s="43"/>
      <c r="AP3839" s="43"/>
      <c r="AQ3839" s="43"/>
      <c r="AR3839" s="43"/>
      <c r="AS3839" s="43"/>
      <c r="AT3839" s="43"/>
      <c r="AU3839" s="43"/>
      <c r="AV3839" s="43"/>
    </row>
    <row r="3840" spans="1:48" ht="20.45" customHeight="1">
      <c r="A3840" s="412" t="s">
        <v>1549</v>
      </c>
      <c r="B3840" s="489" t="s">
        <v>1249</v>
      </c>
      <c r="C3840" s="412" t="s">
        <v>570</v>
      </c>
      <c r="D3840" s="1590"/>
      <c r="E3840" s="2224" t="s">
        <v>2447</v>
      </c>
      <c r="F3840" s="505">
        <v>3263</v>
      </c>
      <c r="G3840" s="410"/>
      <c r="H3840" s="925"/>
      <c r="I3840" s="419"/>
      <c r="J3840" s="441"/>
      <c r="K3840" s="458"/>
      <c r="L3840" s="1575"/>
      <c r="M3840" s="1575"/>
      <c r="N3840" s="2847"/>
      <c r="O3840" s="86"/>
      <c r="P3840" s="1817" t="e">
        <f>INDEX(#REF!,MATCH(F3840,#REF!,0),2)</f>
        <v>#REF!</v>
      </c>
      <c r="Q3840" s="43"/>
      <c r="R3840" s="43"/>
      <c r="S3840" s="43"/>
      <c r="T3840" s="43"/>
      <c r="U3840" s="43"/>
      <c r="V3840" s="43"/>
      <c r="W3840" s="43"/>
      <c r="X3840" s="43"/>
      <c r="Y3840" s="43"/>
      <c r="Z3840" s="43"/>
      <c r="AA3840" s="43"/>
      <c r="AB3840" s="43"/>
      <c r="AC3840" s="43"/>
      <c r="AD3840" s="43"/>
      <c r="AE3840" s="43"/>
      <c r="AF3840" s="43"/>
      <c r="AG3840" s="43"/>
      <c r="AH3840" s="43"/>
      <c r="AI3840" s="43"/>
      <c r="AJ3840" s="43"/>
      <c r="AL3840" s="43"/>
      <c r="AM3840" s="43"/>
      <c r="AN3840" s="43"/>
      <c r="AO3840" s="43"/>
      <c r="AP3840" s="43"/>
      <c r="AQ3840" s="43"/>
      <c r="AR3840" s="43"/>
      <c r="AS3840" s="43"/>
      <c r="AT3840" s="43"/>
      <c r="AU3840" s="43"/>
      <c r="AV3840" s="43"/>
    </row>
    <row r="3841" spans="1:48" ht="30.6" customHeight="1">
      <c r="A3841" s="591"/>
      <c r="B3841" s="775" t="s">
        <v>1249</v>
      </c>
      <c r="C3841" s="591" t="s">
        <v>570</v>
      </c>
      <c r="D3841" s="1632" t="s">
        <v>1889</v>
      </c>
      <c r="E3841" s="2223" t="s">
        <v>2447</v>
      </c>
      <c r="F3841" s="540">
        <v>3263</v>
      </c>
      <c r="G3841" s="411" t="s">
        <v>599</v>
      </c>
      <c r="H3841" s="923">
        <v>51630</v>
      </c>
      <c r="I3841" s="579"/>
      <c r="J3841" s="542"/>
      <c r="K3841" s="458"/>
      <c r="L3841" s="1580">
        <v>50000</v>
      </c>
      <c r="M3841" s="1580"/>
      <c r="N3841" s="2847"/>
      <c r="O3841" s="86"/>
      <c r="P3841" s="1817" t="e">
        <f>INDEX(#REF!,MATCH(F3841,#REF!,0),2)</f>
        <v>#REF!</v>
      </c>
      <c r="Q3841" s="43"/>
      <c r="R3841" s="43"/>
      <c r="S3841" s="43"/>
      <c r="T3841" s="43"/>
      <c r="U3841" s="43"/>
      <c r="V3841" s="43"/>
      <c r="W3841" s="43"/>
      <c r="X3841" s="43"/>
      <c r="Y3841" s="43"/>
      <c r="Z3841" s="43"/>
      <c r="AA3841" s="43"/>
      <c r="AB3841" s="43"/>
      <c r="AC3841" s="43"/>
      <c r="AD3841" s="43"/>
      <c r="AE3841" s="43"/>
      <c r="AF3841" s="43"/>
      <c r="AG3841" s="43"/>
      <c r="AH3841" s="43"/>
      <c r="AI3841" s="43"/>
      <c r="AJ3841" s="43"/>
      <c r="AL3841" s="43"/>
      <c r="AM3841" s="43"/>
      <c r="AN3841" s="43"/>
      <c r="AO3841" s="43"/>
      <c r="AP3841" s="43"/>
      <c r="AQ3841" s="43"/>
      <c r="AR3841" s="43"/>
      <c r="AS3841" s="43"/>
      <c r="AT3841" s="43"/>
      <c r="AU3841" s="43"/>
      <c r="AV3841" s="43"/>
    </row>
    <row r="3842" spans="1:48" ht="20.45" customHeight="1">
      <c r="A3842" s="1370"/>
      <c r="B3842" s="489" t="s">
        <v>1249</v>
      </c>
      <c r="C3842" s="412" t="s">
        <v>570</v>
      </c>
      <c r="D3842" s="1590"/>
      <c r="E3842" s="2224" t="s">
        <v>2447</v>
      </c>
      <c r="F3842" s="505">
        <v>3263</v>
      </c>
      <c r="G3842" s="2774" t="s">
        <v>4828</v>
      </c>
      <c r="H3842" s="925"/>
      <c r="I3842" s="419">
        <v>40000</v>
      </c>
      <c r="J3842" s="441"/>
      <c r="K3842" s="458"/>
      <c r="L3842" s="1576"/>
      <c r="M3842" s="1576">
        <v>40000</v>
      </c>
      <c r="N3842" s="2847" t="s">
        <v>2446</v>
      </c>
      <c r="O3842" s="86"/>
      <c r="P3842" s="1817" t="e">
        <f>INDEX(#REF!,MATCH(F3842,#REF!,0),2)</f>
        <v>#REF!</v>
      </c>
      <c r="Q3842" s="43"/>
      <c r="R3842" s="43"/>
      <c r="S3842" s="43"/>
      <c r="T3842" s="43"/>
      <c r="U3842" s="43"/>
      <c r="V3842" s="43"/>
      <c r="W3842" s="43"/>
      <c r="X3842" s="43"/>
      <c r="Y3842" s="43"/>
      <c r="Z3842" s="43"/>
      <c r="AA3842" s="43"/>
      <c r="AB3842" s="43"/>
      <c r="AC3842" s="43"/>
      <c r="AD3842" s="43"/>
      <c r="AE3842" s="43"/>
      <c r="AF3842" s="43"/>
      <c r="AG3842" s="43"/>
      <c r="AH3842" s="43"/>
      <c r="AI3842" s="43"/>
      <c r="AJ3842" s="43"/>
      <c r="AL3842" s="43"/>
      <c r="AM3842" s="43"/>
      <c r="AN3842" s="43"/>
      <c r="AO3842" s="43"/>
      <c r="AP3842" s="43"/>
      <c r="AQ3842" s="43"/>
      <c r="AR3842" s="43"/>
      <c r="AS3842" s="43"/>
      <c r="AT3842" s="43"/>
      <c r="AU3842" s="43"/>
      <c r="AV3842" s="43"/>
    </row>
    <row r="3843" spans="1:48" ht="20.45" customHeight="1">
      <c r="A3843" s="412" t="s">
        <v>1549</v>
      </c>
      <c r="B3843" s="489" t="s">
        <v>1249</v>
      </c>
      <c r="C3843" s="412" t="s">
        <v>570</v>
      </c>
      <c r="D3843" s="1590"/>
      <c r="E3843" s="2224" t="s">
        <v>2447</v>
      </c>
      <c r="F3843" s="505">
        <v>3263</v>
      </c>
      <c r="G3843" s="154" t="s">
        <v>4829</v>
      </c>
      <c r="H3843" s="927"/>
      <c r="I3843" s="415">
        <v>10000</v>
      </c>
      <c r="J3843" s="577"/>
      <c r="K3843" s="592"/>
      <c r="L3843" s="1671"/>
      <c r="M3843" s="1671">
        <v>10000</v>
      </c>
      <c r="N3843" s="2847" t="s">
        <v>2446</v>
      </c>
      <c r="O3843" s="86"/>
      <c r="P3843" s="1817" t="e">
        <f>INDEX(#REF!,MATCH(F3843,#REF!,0),2)</f>
        <v>#REF!</v>
      </c>
      <c r="Q3843" s="43"/>
      <c r="R3843" s="43"/>
      <c r="S3843" s="43"/>
      <c r="T3843" s="43"/>
      <c r="U3843" s="43"/>
      <c r="V3843" s="43"/>
      <c r="W3843" s="43"/>
      <c r="X3843" s="43"/>
      <c r="Y3843" s="43"/>
      <c r="Z3843" s="43"/>
      <c r="AA3843" s="43"/>
      <c r="AB3843" s="43"/>
      <c r="AC3843" s="43"/>
      <c r="AD3843" s="43"/>
      <c r="AE3843" s="43"/>
      <c r="AF3843" s="43"/>
      <c r="AG3843" s="43"/>
      <c r="AH3843" s="43"/>
      <c r="AI3843" s="43"/>
      <c r="AJ3843" s="43"/>
      <c r="AL3843" s="43"/>
      <c r="AM3843" s="43"/>
      <c r="AN3843" s="43"/>
      <c r="AO3843" s="43"/>
      <c r="AP3843" s="43"/>
      <c r="AQ3843" s="43"/>
      <c r="AR3843" s="43"/>
      <c r="AS3843" s="43"/>
      <c r="AT3843" s="43"/>
      <c r="AU3843" s="43"/>
      <c r="AV3843" s="43"/>
    </row>
    <row r="3844" spans="1:48" ht="20.45" customHeight="1">
      <c r="A3844" s="1369"/>
      <c r="B3844" s="489" t="s">
        <v>1249</v>
      </c>
      <c r="C3844" s="412" t="s">
        <v>570</v>
      </c>
      <c r="D3844" s="1590"/>
      <c r="E3844" s="2224" t="s">
        <v>2447</v>
      </c>
      <c r="F3844" s="505">
        <v>3263</v>
      </c>
      <c r="G3844" s="1358" t="s">
        <v>3236</v>
      </c>
      <c r="H3844" s="1183"/>
      <c r="I3844" s="1270">
        <v>1630</v>
      </c>
      <c r="J3844" s="1174"/>
      <c r="K3844" s="1359"/>
      <c r="L3844" s="1575"/>
      <c r="M3844" s="1575"/>
      <c r="N3844" s="2847"/>
      <c r="O3844" s="86"/>
      <c r="P3844" s="1817" t="e">
        <f>INDEX(#REF!,MATCH(F3844,#REF!,0),2)</f>
        <v>#REF!</v>
      </c>
      <c r="Q3844" s="43"/>
      <c r="R3844" s="43"/>
      <c r="S3844" s="43"/>
      <c r="T3844" s="43"/>
      <c r="U3844" s="43"/>
      <c r="V3844" s="43"/>
      <c r="W3844" s="43"/>
      <c r="X3844" s="43"/>
      <c r="Y3844" s="43"/>
      <c r="Z3844" s="43"/>
      <c r="AA3844" s="43"/>
      <c r="AB3844" s="43"/>
      <c r="AC3844" s="43"/>
      <c r="AD3844" s="43"/>
      <c r="AE3844" s="43"/>
      <c r="AF3844" s="43"/>
      <c r="AG3844" s="43"/>
      <c r="AH3844" s="43"/>
      <c r="AI3844" s="43"/>
      <c r="AJ3844" s="43"/>
      <c r="AL3844" s="43"/>
      <c r="AM3844" s="43"/>
      <c r="AN3844" s="43"/>
      <c r="AO3844" s="43"/>
      <c r="AP3844" s="43"/>
      <c r="AQ3844" s="43"/>
      <c r="AR3844" s="43"/>
      <c r="AS3844" s="43"/>
      <c r="AT3844" s="43"/>
      <c r="AU3844" s="43"/>
      <c r="AV3844" s="43"/>
    </row>
    <row r="3845" spans="1:48" ht="20.45" customHeight="1">
      <c r="A3845" s="591"/>
      <c r="B3845" s="775" t="s">
        <v>1249</v>
      </c>
      <c r="C3845" s="591" t="s">
        <v>570</v>
      </c>
      <c r="D3845" s="1632" t="s">
        <v>1889</v>
      </c>
      <c r="E3845" s="2223" t="s">
        <v>2447</v>
      </c>
      <c r="F3845" s="540">
        <v>7230</v>
      </c>
      <c r="G3845" s="411" t="s">
        <v>1848</v>
      </c>
      <c r="H3845" s="923">
        <v>0</v>
      </c>
      <c r="I3845" s="579"/>
      <c r="J3845" s="542"/>
      <c r="K3845" s="458"/>
      <c r="L3845" s="1578">
        <v>0</v>
      </c>
      <c r="M3845" s="1578"/>
      <c r="N3845" s="2847"/>
      <c r="O3845" s="86"/>
      <c r="P3845" s="1817" t="e">
        <f>INDEX(#REF!,MATCH(F3845,#REF!,0),2)</f>
        <v>#REF!</v>
      </c>
      <c r="Q3845" s="43"/>
      <c r="R3845" s="43"/>
      <c r="S3845" s="43"/>
      <c r="T3845" s="43"/>
      <c r="U3845" s="43"/>
      <c r="V3845" s="43"/>
      <c r="W3845" s="43"/>
      <c r="X3845" s="43"/>
      <c r="Y3845" s="43"/>
      <c r="Z3845" s="43"/>
      <c r="AA3845" s="43"/>
      <c r="AB3845" s="43"/>
      <c r="AC3845" s="43"/>
      <c r="AD3845" s="43"/>
      <c r="AE3845" s="43"/>
      <c r="AF3845" s="43"/>
      <c r="AG3845" s="43"/>
      <c r="AH3845" s="43"/>
      <c r="AI3845" s="43"/>
      <c r="AJ3845" s="43"/>
      <c r="AL3845" s="43"/>
      <c r="AM3845" s="43"/>
      <c r="AN3845" s="43"/>
      <c r="AO3845" s="43"/>
      <c r="AP3845" s="43"/>
      <c r="AQ3845" s="43"/>
      <c r="AR3845" s="43"/>
      <c r="AS3845" s="43"/>
      <c r="AT3845" s="43"/>
      <c r="AU3845" s="43"/>
      <c r="AV3845" s="43"/>
    </row>
    <row r="3846" spans="1:48" ht="20.45" customHeight="1">
      <c r="A3846" s="1182"/>
      <c r="B3846" s="489" t="s">
        <v>1249</v>
      </c>
      <c r="C3846" s="412" t="s">
        <v>570</v>
      </c>
      <c r="D3846" s="1590"/>
      <c r="E3846" s="2224" t="s">
        <v>2447</v>
      </c>
      <c r="F3846" s="505">
        <v>7230</v>
      </c>
      <c r="G3846" s="1420"/>
      <c r="H3846" s="1183"/>
      <c r="I3846" s="1270"/>
      <c r="J3846" s="1174"/>
      <c r="K3846" s="1359"/>
      <c r="L3846" s="1575"/>
      <c r="M3846" s="1575"/>
      <c r="N3846" s="2847"/>
      <c r="O3846" s="86"/>
      <c r="P3846" s="1817" t="e">
        <f>INDEX(#REF!,MATCH(F3846,#REF!,0),2)</f>
        <v>#REF!</v>
      </c>
      <c r="Q3846" s="43"/>
      <c r="R3846" s="43"/>
      <c r="S3846" s="43"/>
      <c r="T3846" s="43"/>
      <c r="U3846" s="43"/>
      <c r="V3846" s="43"/>
      <c r="W3846" s="43"/>
      <c r="X3846" s="43"/>
      <c r="Y3846" s="43"/>
      <c r="Z3846" s="43"/>
      <c r="AA3846" s="43"/>
      <c r="AB3846" s="43"/>
      <c r="AC3846" s="43"/>
      <c r="AD3846" s="43"/>
      <c r="AE3846" s="43"/>
      <c r="AF3846" s="43"/>
      <c r="AG3846" s="43"/>
      <c r="AH3846" s="43"/>
      <c r="AI3846" s="43"/>
      <c r="AJ3846" s="43"/>
      <c r="AL3846" s="43"/>
      <c r="AM3846" s="43"/>
      <c r="AN3846" s="43"/>
      <c r="AO3846" s="43"/>
      <c r="AP3846" s="43"/>
      <c r="AQ3846" s="43"/>
      <c r="AR3846" s="43"/>
      <c r="AS3846" s="43"/>
      <c r="AT3846" s="43"/>
      <c r="AU3846" s="43"/>
      <c r="AV3846" s="43"/>
    </row>
    <row r="3847" spans="1:48" ht="20.45" customHeight="1">
      <c r="A3847" s="506"/>
      <c r="B3847" s="506" t="s">
        <v>566</v>
      </c>
      <c r="C3847" s="506" t="s">
        <v>1251</v>
      </c>
      <c r="D3847" s="1632" t="s">
        <v>494</v>
      </c>
      <c r="E3847" s="2257" t="s">
        <v>3042</v>
      </c>
      <c r="F3847" s="540">
        <v>5240</v>
      </c>
      <c r="G3847" s="411" t="s">
        <v>2595</v>
      </c>
      <c r="H3847" s="541">
        <v>53240</v>
      </c>
      <c r="I3847" s="579"/>
      <c r="J3847" s="542"/>
      <c r="K3847" s="458"/>
      <c r="L3847" s="620"/>
      <c r="M3847" s="1578"/>
      <c r="N3847" s="2847"/>
      <c r="O3847" s="86"/>
      <c r="P3847" s="1817" t="e">
        <f>INDEX(#REF!,MATCH(F3847,#REF!,0),2)</f>
        <v>#REF!</v>
      </c>
      <c r="Q3847" s="43"/>
      <c r="R3847" s="43"/>
      <c r="S3847" s="43"/>
      <c r="T3847" s="43"/>
      <c r="U3847" s="43"/>
      <c r="V3847" s="43"/>
      <c r="W3847" s="43"/>
      <c r="X3847" s="43"/>
      <c r="Y3847" s="43"/>
      <c r="Z3847" s="43"/>
      <c r="AA3847" s="43"/>
      <c r="AB3847" s="43"/>
      <c r="AC3847" s="43"/>
      <c r="AD3847" s="43"/>
      <c r="AE3847" s="43"/>
      <c r="AF3847" s="43"/>
      <c r="AG3847" s="43"/>
      <c r="AH3847" s="43"/>
      <c r="AI3847" s="43"/>
      <c r="AJ3847" s="43"/>
      <c r="AL3847" s="43"/>
      <c r="AM3847" s="43"/>
      <c r="AN3847" s="43"/>
      <c r="AO3847" s="43"/>
      <c r="AP3847" s="43"/>
      <c r="AQ3847" s="43"/>
      <c r="AR3847" s="43"/>
      <c r="AS3847" s="43"/>
      <c r="AT3847" s="43"/>
      <c r="AU3847" s="43"/>
      <c r="AV3847" s="43"/>
    </row>
    <row r="3848" spans="1:48" ht="20.45" customHeight="1">
      <c r="A3848" s="412"/>
      <c r="B3848" s="412" t="s">
        <v>566</v>
      </c>
      <c r="C3848" s="412" t="s">
        <v>1251</v>
      </c>
      <c r="D3848" s="1590"/>
      <c r="E3848" s="2224" t="s">
        <v>3042</v>
      </c>
      <c r="F3848" s="505">
        <v>5240</v>
      </c>
      <c r="G3848" s="410" t="s">
        <v>3043</v>
      </c>
      <c r="H3848" s="419"/>
      <c r="I3848" s="419">
        <v>53240</v>
      </c>
      <c r="J3848" s="511"/>
      <c r="K3848" s="543"/>
      <c r="L3848" s="420"/>
      <c r="M3848" s="1575"/>
      <c r="N3848" s="2847" t="s">
        <v>4831</v>
      </c>
      <c r="O3848" s="86"/>
      <c r="P3848" s="1817" t="e">
        <f>INDEX(#REF!,MATCH(F3848,#REF!,0),2)</f>
        <v>#REF!</v>
      </c>
      <c r="Q3848" s="43"/>
      <c r="R3848" s="43"/>
      <c r="S3848" s="43"/>
      <c r="T3848" s="43"/>
      <c r="U3848" s="43"/>
      <c r="V3848" s="43"/>
      <c r="W3848" s="43"/>
      <c r="X3848" s="43"/>
      <c r="Y3848" s="43"/>
      <c r="Z3848" s="43"/>
      <c r="AA3848" s="43"/>
      <c r="AB3848" s="43"/>
      <c r="AC3848" s="43"/>
      <c r="AD3848" s="43"/>
      <c r="AE3848" s="43"/>
      <c r="AF3848" s="43"/>
      <c r="AG3848" s="43"/>
      <c r="AH3848" s="43"/>
      <c r="AI3848" s="43"/>
      <c r="AJ3848" s="43"/>
      <c r="AL3848" s="43"/>
      <c r="AM3848" s="43"/>
      <c r="AN3848" s="43"/>
      <c r="AO3848" s="43"/>
      <c r="AP3848" s="43"/>
      <c r="AQ3848" s="43"/>
      <c r="AR3848" s="43"/>
      <c r="AS3848" s="43"/>
      <c r="AT3848" s="43"/>
      <c r="AU3848" s="43"/>
      <c r="AV3848" s="43"/>
    </row>
    <row r="3849" spans="1:48" ht="20.45" customHeight="1">
      <c r="A3849" s="506"/>
      <c r="B3849" s="506" t="s">
        <v>566</v>
      </c>
      <c r="C3849" s="506" t="s">
        <v>1251</v>
      </c>
      <c r="D3849" s="1632" t="s">
        <v>2987</v>
      </c>
      <c r="E3849" s="2257" t="s">
        <v>2982</v>
      </c>
      <c r="F3849" s="540">
        <v>2239</v>
      </c>
      <c r="G3849" s="411" t="s">
        <v>237</v>
      </c>
      <c r="H3849" s="541">
        <v>60000</v>
      </c>
      <c r="I3849" s="579"/>
      <c r="J3849" s="542"/>
      <c r="K3849" s="458"/>
      <c r="L3849" s="541">
        <v>49482</v>
      </c>
      <c r="M3849" s="1580"/>
      <c r="N3849" s="2847"/>
      <c r="O3849" s="86"/>
      <c r="P3849" s="1817" t="e">
        <f>INDEX(#REF!,MATCH(F3849,#REF!,0),2)</f>
        <v>#REF!</v>
      </c>
      <c r="Q3849" s="43"/>
      <c r="R3849" s="43"/>
      <c r="S3849" s="43"/>
      <c r="T3849" s="43"/>
      <c r="U3849" s="43"/>
      <c r="V3849" s="43"/>
      <c r="W3849" s="43"/>
      <c r="X3849" s="43"/>
      <c r="Y3849" s="43"/>
      <c r="Z3849" s="43"/>
      <c r="AA3849" s="43"/>
      <c r="AB3849" s="43"/>
      <c r="AC3849" s="43"/>
      <c r="AD3849" s="43"/>
      <c r="AE3849" s="43"/>
      <c r="AF3849" s="43"/>
      <c r="AG3849" s="43"/>
      <c r="AH3849" s="43"/>
      <c r="AI3849" s="43"/>
      <c r="AJ3849" s="43"/>
      <c r="AL3849" s="43"/>
      <c r="AM3849" s="43"/>
      <c r="AN3849" s="43"/>
      <c r="AO3849" s="43"/>
      <c r="AP3849" s="43"/>
      <c r="AQ3849" s="43"/>
      <c r="AR3849" s="43"/>
      <c r="AS3849" s="43"/>
      <c r="AT3849" s="43"/>
      <c r="AU3849" s="43"/>
      <c r="AV3849" s="43"/>
    </row>
    <row r="3850" spans="1:48" ht="30.6" customHeight="1">
      <c r="A3850" s="412"/>
      <c r="B3850" s="412" t="s">
        <v>566</v>
      </c>
      <c r="C3850" s="412" t="s">
        <v>1251</v>
      </c>
      <c r="D3850" s="1590"/>
      <c r="E3850" s="2224" t="s">
        <v>2982</v>
      </c>
      <c r="F3850" s="505">
        <v>2239</v>
      </c>
      <c r="G3850" s="410" t="s">
        <v>1873</v>
      </c>
      <c r="H3850" s="419"/>
      <c r="I3850" s="419">
        <v>42000</v>
      </c>
      <c r="J3850" s="511"/>
      <c r="K3850" s="543"/>
      <c r="L3850" s="419"/>
      <c r="M3850" s="1576"/>
      <c r="N3850" s="2847"/>
      <c r="O3850" s="86"/>
      <c r="P3850" s="1817" t="e">
        <f>INDEX(#REF!,MATCH(F3850,#REF!,0),2)</f>
        <v>#REF!</v>
      </c>
      <c r="Q3850" s="43"/>
      <c r="R3850" s="43"/>
      <c r="S3850" s="43"/>
      <c r="T3850" s="43"/>
      <c r="U3850" s="43"/>
      <c r="V3850" s="43"/>
      <c r="W3850" s="43"/>
      <c r="X3850" s="43"/>
      <c r="Y3850" s="43"/>
      <c r="Z3850" s="43"/>
      <c r="AA3850" s="43"/>
      <c r="AB3850" s="43"/>
      <c r="AC3850" s="43"/>
      <c r="AD3850" s="43"/>
      <c r="AE3850" s="43"/>
      <c r="AF3850" s="43"/>
      <c r="AG3850" s="43"/>
      <c r="AH3850" s="43"/>
      <c r="AI3850" s="43"/>
      <c r="AJ3850" s="43"/>
      <c r="AL3850" s="43"/>
      <c r="AM3850" s="43"/>
      <c r="AN3850" s="43"/>
      <c r="AO3850" s="43"/>
      <c r="AP3850" s="43"/>
      <c r="AQ3850" s="43"/>
      <c r="AR3850" s="43"/>
      <c r="AS3850" s="43"/>
      <c r="AT3850" s="43"/>
      <c r="AU3850" s="43"/>
      <c r="AV3850" s="43"/>
    </row>
    <row r="3851" spans="1:48" ht="20.45" customHeight="1">
      <c r="A3851" s="1882"/>
      <c r="B3851" s="412" t="s">
        <v>566</v>
      </c>
      <c r="C3851" s="412" t="s">
        <v>1251</v>
      </c>
      <c r="D3851" s="1590"/>
      <c r="E3851" s="2224" t="s">
        <v>2982</v>
      </c>
      <c r="F3851" s="505">
        <v>2239</v>
      </c>
      <c r="G3851" s="1884" t="s">
        <v>3273</v>
      </c>
      <c r="H3851" s="1650"/>
      <c r="I3851" s="1892">
        <v>18000</v>
      </c>
      <c r="J3851" s="1651"/>
      <c r="K3851" s="1652"/>
      <c r="L3851" s="1650"/>
      <c r="M3851" s="1892"/>
      <c r="N3851" s="2847"/>
      <c r="O3851" s="86"/>
      <c r="P3851" s="1817" t="e">
        <f>INDEX(#REF!,MATCH(F3851,#REF!,0),2)</f>
        <v>#REF!</v>
      </c>
      <c r="Q3851" s="43"/>
      <c r="R3851" s="43"/>
      <c r="S3851" s="43"/>
      <c r="T3851" s="43"/>
      <c r="U3851" s="43"/>
      <c r="V3851" s="43"/>
      <c r="W3851" s="43"/>
      <c r="X3851" s="43"/>
      <c r="Y3851" s="43"/>
      <c r="Z3851" s="43"/>
      <c r="AA3851" s="43"/>
      <c r="AB3851" s="43"/>
      <c r="AC3851" s="43"/>
      <c r="AD3851" s="43"/>
      <c r="AE3851" s="43"/>
      <c r="AF3851" s="43"/>
      <c r="AG3851" s="43"/>
      <c r="AH3851" s="43"/>
      <c r="AI3851" s="43"/>
      <c r="AJ3851" s="43"/>
      <c r="AL3851" s="43"/>
      <c r="AM3851" s="43"/>
      <c r="AN3851" s="43"/>
      <c r="AO3851" s="43"/>
      <c r="AP3851" s="43"/>
      <c r="AQ3851" s="43"/>
      <c r="AR3851" s="43"/>
      <c r="AS3851" s="43"/>
      <c r="AT3851" s="43"/>
      <c r="AU3851" s="43"/>
      <c r="AV3851" s="43"/>
    </row>
    <row r="3852" spans="1:48" ht="30.6" customHeight="1">
      <c r="A3852" s="2790"/>
      <c r="B3852" s="412" t="s">
        <v>566</v>
      </c>
      <c r="C3852" s="412" t="s">
        <v>1251</v>
      </c>
      <c r="D3852" s="1590"/>
      <c r="E3852" s="2224" t="s">
        <v>2982</v>
      </c>
      <c r="F3852" s="505">
        <v>2239</v>
      </c>
      <c r="G3852" s="2774" t="s">
        <v>4832</v>
      </c>
      <c r="H3852" s="1650"/>
      <c r="I3852" s="2799"/>
      <c r="J3852" s="1651">
        <v>24181.85</v>
      </c>
      <c r="K3852" s="1652"/>
      <c r="L3852" s="1650"/>
      <c r="M3852" s="2779"/>
      <c r="N3852" s="2847" t="s">
        <v>4838</v>
      </c>
      <c r="O3852" s="86"/>
      <c r="P3852" s="1817" t="e">
        <f>INDEX(#REF!,MATCH(F3852,#REF!,0),2)</f>
        <v>#REF!</v>
      </c>
      <c r="Q3852" s="43"/>
      <c r="R3852" s="43"/>
      <c r="S3852" s="43"/>
      <c r="T3852" s="43"/>
      <c r="U3852" s="43"/>
      <c r="V3852" s="43"/>
      <c r="W3852" s="43"/>
      <c r="X3852" s="43"/>
      <c r="Y3852" s="43"/>
      <c r="Z3852" s="43"/>
      <c r="AA3852" s="43"/>
      <c r="AB3852" s="43"/>
      <c r="AC3852" s="43"/>
      <c r="AD3852" s="43"/>
      <c r="AE3852" s="43"/>
      <c r="AF3852" s="43"/>
      <c r="AG3852" s="43"/>
      <c r="AH3852" s="43"/>
      <c r="AI3852" s="43"/>
      <c r="AJ3852" s="43"/>
      <c r="AL3852" s="43"/>
      <c r="AM3852" s="43"/>
      <c r="AN3852" s="43"/>
      <c r="AO3852" s="43"/>
      <c r="AP3852" s="43"/>
      <c r="AQ3852" s="43"/>
      <c r="AR3852" s="43"/>
      <c r="AS3852" s="43"/>
      <c r="AT3852" s="43"/>
      <c r="AU3852" s="43"/>
      <c r="AV3852" s="43"/>
    </row>
    <row r="3853" spans="1:48" ht="20.45" customHeight="1">
      <c r="A3853" s="2790"/>
      <c r="B3853" s="412" t="s">
        <v>566</v>
      </c>
      <c r="C3853" s="412" t="s">
        <v>1251</v>
      </c>
      <c r="D3853" s="1590"/>
      <c r="E3853" s="2224" t="s">
        <v>2982</v>
      </c>
      <c r="F3853" s="505">
        <v>2239</v>
      </c>
      <c r="G3853" s="2774" t="s">
        <v>4833</v>
      </c>
      <c r="H3853" s="1650"/>
      <c r="I3853" s="2799"/>
      <c r="J3853" s="1651">
        <v>1936</v>
      </c>
      <c r="K3853" s="1652"/>
      <c r="L3853" s="1650"/>
      <c r="M3853" s="2779"/>
      <c r="N3853" s="2847"/>
      <c r="O3853" s="86"/>
      <c r="P3853" s="1817" t="e">
        <f>INDEX(#REF!,MATCH(F3853,#REF!,0),2)</f>
        <v>#REF!</v>
      </c>
      <c r="Q3853" s="43"/>
      <c r="R3853" s="43"/>
      <c r="S3853" s="43"/>
      <c r="T3853" s="43"/>
      <c r="U3853" s="43"/>
      <c r="V3853" s="43"/>
      <c r="W3853" s="43"/>
      <c r="X3853" s="43"/>
      <c r="Y3853" s="43"/>
      <c r="Z3853" s="43"/>
      <c r="AA3853" s="43"/>
      <c r="AB3853" s="43"/>
      <c r="AC3853" s="43"/>
      <c r="AD3853" s="43"/>
      <c r="AE3853" s="43"/>
      <c r="AF3853" s="43"/>
      <c r="AG3853" s="43"/>
      <c r="AH3853" s="43"/>
      <c r="AI3853" s="43"/>
      <c r="AJ3853" s="43"/>
      <c r="AL3853" s="43"/>
      <c r="AM3853" s="43"/>
      <c r="AN3853" s="43"/>
      <c r="AO3853" s="43"/>
      <c r="AP3853" s="43"/>
      <c r="AQ3853" s="43"/>
      <c r="AR3853" s="43"/>
      <c r="AS3853" s="43"/>
      <c r="AT3853" s="43"/>
      <c r="AU3853" s="43"/>
      <c r="AV3853" s="43"/>
    </row>
    <row r="3854" spans="1:48" ht="30.6" customHeight="1">
      <c r="A3854" s="2790"/>
      <c r="B3854" s="412" t="s">
        <v>566</v>
      </c>
      <c r="C3854" s="412" t="s">
        <v>1251</v>
      </c>
      <c r="D3854" s="1590"/>
      <c r="E3854" s="2224" t="s">
        <v>2982</v>
      </c>
      <c r="F3854" s="505">
        <v>2239</v>
      </c>
      <c r="G3854" s="2774" t="s">
        <v>4834</v>
      </c>
      <c r="H3854" s="1650"/>
      <c r="I3854" s="2799"/>
      <c r="J3854" s="1651">
        <v>2400</v>
      </c>
      <c r="K3854" s="1652"/>
      <c r="L3854" s="1650"/>
      <c r="M3854" s="2779"/>
      <c r="N3854" s="2847"/>
      <c r="O3854" s="86"/>
      <c r="P3854" s="1817" t="e">
        <f>INDEX(#REF!,MATCH(F3854,#REF!,0),2)</f>
        <v>#REF!</v>
      </c>
      <c r="Q3854" s="43"/>
      <c r="R3854" s="43"/>
      <c r="S3854" s="43"/>
      <c r="T3854" s="43"/>
      <c r="U3854" s="43"/>
      <c r="V3854" s="43"/>
      <c r="W3854" s="43"/>
      <c r="X3854" s="43"/>
      <c r="Y3854" s="43"/>
      <c r="Z3854" s="43"/>
      <c r="AA3854" s="43"/>
      <c r="AB3854" s="43"/>
      <c r="AC3854" s="43"/>
      <c r="AD3854" s="43"/>
      <c r="AE3854" s="43"/>
      <c r="AF3854" s="43"/>
      <c r="AG3854" s="43"/>
      <c r="AH3854" s="43"/>
      <c r="AI3854" s="43"/>
      <c r="AJ3854" s="43"/>
      <c r="AL3854" s="43"/>
      <c r="AM3854" s="43"/>
      <c r="AN3854" s="43"/>
      <c r="AO3854" s="43"/>
      <c r="AP3854" s="43"/>
      <c r="AQ3854" s="43"/>
      <c r="AR3854" s="43"/>
      <c r="AS3854" s="43"/>
      <c r="AT3854" s="43"/>
      <c r="AU3854" s="43"/>
      <c r="AV3854" s="43"/>
    </row>
    <row r="3855" spans="1:48" ht="20.45" customHeight="1">
      <c r="A3855" s="2790"/>
      <c r="B3855" s="412" t="s">
        <v>566</v>
      </c>
      <c r="C3855" s="412" t="s">
        <v>1251</v>
      </c>
      <c r="D3855" s="1590"/>
      <c r="E3855" s="2224" t="s">
        <v>2982</v>
      </c>
      <c r="F3855" s="505">
        <v>2239</v>
      </c>
      <c r="G3855" s="2774" t="s">
        <v>4835</v>
      </c>
      <c r="H3855" s="1650"/>
      <c r="I3855" s="2779"/>
      <c r="J3855" s="1651"/>
      <c r="K3855" s="1652"/>
      <c r="L3855" s="1650"/>
      <c r="M3855" s="2779">
        <v>18000</v>
      </c>
      <c r="N3855" s="2847"/>
      <c r="O3855" s="86"/>
      <c r="P3855" s="1817" t="e">
        <f>INDEX(#REF!,MATCH(F3855,#REF!,0),2)</f>
        <v>#REF!</v>
      </c>
      <c r="Q3855" s="43"/>
      <c r="R3855" s="43"/>
      <c r="S3855" s="43"/>
      <c r="T3855" s="43"/>
      <c r="U3855" s="43"/>
      <c r="V3855" s="43"/>
      <c r="W3855" s="43"/>
      <c r="X3855" s="43"/>
      <c r="Y3855" s="43"/>
      <c r="Z3855" s="43"/>
      <c r="AA3855" s="43"/>
      <c r="AB3855" s="43"/>
      <c r="AC3855" s="43"/>
      <c r="AD3855" s="43"/>
      <c r="AE3855" s="43"/>
      <c r="AF3855" s="43"/>
      <c r="AG3855" s="43"/>
      <c r="AH3855" s="43"/>
      <c r="AI3855" s="43"/>
      <c r="AJ3855" s="43"/>
      <c r="AL3855" s="43"/>
      <c r="AM3855" s="43"/>
      <c r="AN3855" s="43"/>
      <c r="AO3855" s="43"/>
      <c r="AP3855" s="43"/>
      <c r="AQ3855" s="43"/>
      <c r="AR3855" s="43"/>
      <c r="AS3855" s="43"/>
      <c r="AT3855" s="43"/>
      <c r="AU3855" s="43"/>
      <c r="AV3855" s="43"/>
    </row>
    <row r="3856" spans="1:48" ht="30.6" customHeight="1">
      <c r="A3856" s="2790"/>
      <c r="B3856" s="412" t="s">
        <v>566</v>
      </c>
      <c r="C3856" s="412" t="s">
        <v>1251</v>
      </c>
      <c r="D3856" s="1590"/>
      <c r="E3856" s="2224" t="s">
        <v>2982</v>
      </c>
      <c r="F3856" s="505">
        <v>2239</v>
      </c>
      <c r="G3856" s="2774" t="s">
        <v>4836</v>
      </c>
      <c r="H3856" s="1650"/>
      <c r="I3856" s="2779"/>
      <c r="J3856" s="1651"/>
      <c r="K3856" s="1652"/>
      <c r="L3856" s="1650"/>
      <c r="M3856" s="2779">
        <v>18000</v>
      </c>
      <c r="N3856" s="2847"/>
      <c r="O3856" s="86"/>
      <c r="P3856" s="1817" t="e">
        <f>INDEX(#REF!,MATCH(F3856,#REF!,0),2)</f>
        <v>#REF!</v>
      </c>
      <c r="Q3856" s="43"/>
      <c r="R3856" s="43"/>
      <c r="S3856" s="43"/>
      <c r="T3856" s="43"/>
      <c r="U3856" s="43"/>
      <c r="V3856" s="43"/>
      <c r="W3856" s="43"/>
      <c r="X3856" s="43"/>
      <c r="Y3856" s="43"/>
      <c r="Z3856" s="43"/>
      <c r="AA3856" s="43"/>
      <c r="AB3856" s="43"/>
      <c r="AC3856" s="43"/>
      <c r="AD3856" s="43"/>
      <c r="AE3856" s="43"/>
      <c r="AF3856" s="43"/>
      <c r="AG3856" s="43"/>
      <c r="AH3856" s="43"/>
      <c r="AI3856" s="43"/>
      <c r="AJ3856" s="43"/>
      <c r="AL3856" s="43"/>
      <c r="AM3856" s="43"/>
      <c r="AN3856" s="43"/>
      <c r="AO3856" s="43"/>
      <c r="AP3856" s="43"/>
      <c r="AQ3856" s="43"/>
      <c r="AR3856" s="43"/>
      <c r="AS3856" s="43"/>
      <c r="AT3856" s="43"/>
      <c r="AU3856" s="43"/>
      <c r="AV3856" s="43"/>
    </row>
    <row r="3857" spans="1:48" ht="20.45" customHeight="1">
      <c r="A3857" s="2790"/>
      <c r="B3857" s="412" t="s">
        <v>566</v>
      </c>
      <c r="C3857" s="412" t="s">
        <v>1251</v>
      </c>
      <c r="D3857" s="1590"/>
      <c r="E3857" s="2224" t="s">
        <v>2982</v>
      </c>
      <c r="F3857" s="505">
        <v>2239</v>
      </c>
      <c r="G3857" s="2774" t="s">
        <v>4837</v>
      </c>
      <c r="H3857" s="1650"/>
      <c r="I3857" s="2779"/>
      <c r="J3857" s="1651"/>
      <c r="K3857" s="1652"/>
      <c r="L3857" s="1650"/>
      <c r="M3857" s="2779">
        <v>13482</v>
      </c>
      <c r="N3857" s="2847"/>
      <c r="O3857" s="86"/>
      <c r="P3857" s="1817" t="e">
        <f>INDEX(#REF!,MATCH(F3857,#REF!,0),2)</f>
        <v>#REF!</v>
      </c>
      <c r="Q3857" s="43"/>
      <c r="R3857" s="43"/>
      <c r="S3857" s="43"/>
      <c r="T3857" s="43"/>
      <c r="U3857" s="43"/>
      <c r="V3857" s="43"/>
      <c r="W3857" s="43"/>
      <c r="X3857" s="43"/>
      <c r="Y3857" s="43"/>
      <c r="Z3857" s="43"/>
      <c r="AA3857" s="43"/>
      <c r="AB3857" s="43"/>
      <c r="AC3857" s="43"/>
      <c r="AD3857" s="43"/>
      <c r="AE3857" s="43"/>
      <c r="AF3857" s="43"/>
      <c r="AG3857" s="43"/>
      <c r="AH3857" s="43"/>
      <c r="AI3857" s="43"/>
      <c r="AJ3857" s="43"/>
      <c r="AL3857" s="43"/>
      <c r="AM3857" s="43"/>
      <c r="AN3857" s="43"/>
      <c r="AO3857" s="43"/>
      <c r="AP3857" s="43"/>
      <c r="AQ3857" s="43"/>
      <c r="AR3857" s="43"/>
      <c r="AS3857" s="43"/>
      <c r="AT3857" s="43"/>
      <c r="AU3857" s="43"/>
      <c r="AV3857" s="43"/>
    </row>
    <row r="3858" spans="1:48" ht="30.6" customHeight="1">
      <c r="A3858" s="506"/>
      <c r="B3858" s="506" t="s">
        <v>566</v>
      </c>
      <c r="C3858" s="506" t="s">
        <v>1251</v>
      </c>
      <c r="D3858" s="1632" t="s">
        <v>2987</v>
      </c>
      <c r="E3858" s="2257" t="s">
        <v>5307</v>
      </c>
      <c r="F3858" s="540">
        <v>1119</v>
      </c>
      <c r="G3858" s="411" t="s">
        <v>260</v>
      </c>
      <c r="H3858" s="541"/>
      <c r="I3858" s="579"/>
      <c r="J3858" s="542"/>
      <c r="K3858" s="458"/>
      <c r="L3858" s="541">
        <v>26294</v>
      </c>
      <c r="M3858" s="1580"/>
      <c r="N3858" s="2847"/>
      <c r="O3858" s="86"/>
      <c r="P3858" s="1817" t="e">
        <f>INDEX(#REF!,MATCH(F3858,#REF!,0),2)</f>
        <v>#REF!</v>
      </c>
      <c r="Q3858" s="43"/>
      <c r="R3858" s="43"/>
      <c r="S3858" s="43"/>
      <c r="T3858" s="43"/>
      <c r="U3858" s="43"/>
      <c r="V3858" s="43"/>
      <c r="W3858" s="43"/>
      <c r="X3858" s="43"/>
      <c r="Y3858" s="43"/>
      <c r="Z3858" s="43"/>
      <c r="AA3858" s="43"/>
      <c r="AB3858" s="43"/>
      <c r="AC3858" s="43"/>
      <c r="AD3858" s="43"/>
      <c r="AE3858" s="43"/>
      <c r="AF3858" s="43"/>
      <c r="AG3858" s="43"/>
      <c r="AH3858" s="43"/>
      <c r="AI3858" s="43"/>
      <c r="AJ3858" s="43"/>
      <c r="AL3858" s="43"/>
      <c r="AM3858" s="43"/>
      <c r="AN3858" s="43"/>
      <c r="AO3858" s="43"/>
      <c r="AP3858" s="43"/>
      <c r="AQ3858" s="43"/>
      <c r="AR3858" s="43"/>
      <c r="AS3858" s="43"/>
      <c r="AT3858" s="43"/>
      <c r="AU3858" s="43"/>
      <c r="AV3858" s="43"/>
    </row>
    <row r="3859" spans="1:48" ht="20.45" customHeight="1">
      <c r="A3859" s="412"/>
      <c r="B3859" s="412" t="s">
        <v>566</v>
      </c>
      <c r="C3859" s="412" t="s">
        <v>1251</v>
      </c>
      <c r="D3859" s="1590"/>
      <c r="E3859" s="2224" t="s">
        <v>5307</v>
      </c>
      <c r="F3859" s="505">
        <v>1119</v>
      </c>
      <c r="G3859" s="410" t="s">
        <v>5309</v>
      </c>
      <c r="H3859" s="419"/>
      <c r="I3859" s="419"/>
      <c r="J3859" s="511"/>
      <c r="K3859" s="543"/>
      <c r="L3859" s="419"/>
      <c r="M3859" s="1576">
        <v>26294</v>
      </c>
      <c r="N3859" s="2847"/>
      <c r="O3859" s="86"/>
      <c r="P3859" s="1817" t="e">
        <f>INDEX(#REF!,MATCH(F3859,#REF!,0),2)</f>
        <v>#REF!</v>
      </c>
      <c r="Q3859" s="43"/>
      <c r="R3859" s="43"/>
      <c r="S3859" s="43"/>
      <c r="T3859" s="43"/>
      <c r="U3859" s="43"/>
      <c r="V3859" s="43"/>
      <c r="W3859" s="43"/>
      <c r="X3859" s="43"/>
      <c r="Y3859" s="43"/>
      <c r="Z3859" s="43"/>
      <c r="AA3859" s="43"/>
      <c r="AB3859" s="43"/>
      <c r="AC3859" s="43"/>
      <c r="AD3859" s="43"/>
      <c r="AE3859" s="43"/>
      <c r="AF3859" s="43"/>
      <c r="AG3859" s="43"/>
      <c r="AH3859" s="43"/>
      <c r="AI3859" s="43"/>
      <c r="AJ3859" s="43"/>
      <c r="AL3859" s="43"/>
      <c r="AM3859" s="43"/>
      <c r="AN3859" s="43"/>
      <c r="AO3859" s="43"/>
      <c r="AP3859" s="43"/>
      <c r="AQ3859" s="43"/>
      <c r="AR3859" s="43"/>
      <c r="AS3859" s="43"/>
      <c r="AT3859" s="43"/>
      <c r="AU3859" s="43"/>
      <c r="AV3859" s="43"/>
    </row>
    <row r="3860" spans="1:48" ht="30.6" customHeight="1">
      <c r="A3860" s="506"/>
      <c r="B3860" s="506" t="s">
        <v>566</v>
      </c>
      <c r="C3860" s="506" t="s">
        <v>1251</v>
      </c>
      <c r="D3860" s="1632" t="s">
        <v>2987</v>
      </c>
      <c r="E3860" s="2257" t="s">
        <v>5307</v>
      </c>
      <c r="F3860" s="540">
        <v>1210</v>
      </c>
      <c r="G3860" s="411" t="s">
        <v>624</v>
      </c>
      <c r="H3860" s="541"/>
      <c r="I3860" s="579"/>
      <c r="J3860" s="542"/>
      <c r="K3860" s="458"/>
      <c r="L3860" s="541">
        <v>6202.7546000000002</v>
      </c>
      <c r="M3860" s="1580"/>
      <c r="N3860" s="2847"/>
      <c r="O3860" s="86"/>
      <c r="P3860" s="1817" t="e">
        <f>INDEX(#REF!,MATCH(F3860,#REF!,0),2)</f>
        <v>#REF!</v>
      </c>
      <c r="Q3860" s="43"/>
      <c r="R3860" s="43"/>
      <c r="S3860" s="43"/>
      <c r="T3860" s="43"/>
      <c r="U3860" s="43"/>
      <c r="V3860" s="43"/>
      <c r="W3860" s="43"/>
      <c r="X3860" s="43"/>
      <c r="Y3860" s="43"/>
      <c r="Z3860" s="43"/>
      <c r="AA3860" s="43"/>
      <c r="AB3860" s="43"/>
      <c r="AC3860" s="43"/>
      <c r="AD3860" s="43"/>
      <c r="AE3860" s="43"/>
      <c r="AF3860" s="43"/>
      <c r="AG3860" s="43"/>
      <c r="AH3860" s="43"/>
      <c r="AI3860" s="43"/>
      <c r="AJ3860" s="43"/>
      <c r="AL3860" s="43"/>
      <c r="AM3860" s="43"/>
      <c r="AN3860" s="43"/>
      <c r="AO3860" s="43"/>
      <c r="AP3860" s="43"/>
      <c r="AQ3860" s="43"/>
      <c r="AR3860" s="43"/>
      <c r="AS3860" s="43"/>
      <c r="AT3860" s="43"/>
      <c r="AU3860" s="43"/>
      <c r="AV3860" s="43"/>
    </row>
    <row r="3861" spans="1:48" ht="20.45" customHeight="1">
      <c r="A3861" s="412"/>
      <c r="B3861" s="412" t="s">
        <v>566</v>
      </c>
      <c r="C3861" s="412" t="s">
        <v>1251</v>
      </c>
      <c r="D3861" s="1590"/>
      <c r="E3861" s="2224" t="s">
        <v>5307</v>
      </c>
      <c r="F3861" s="505">
        <v>1210</v>
      </c>
      <c r="G3861" s="410" t="s">
        <v>5309</v>
      </c>
      <c r="H3861" s="419"/>
      <c r="I3861" s="419"/>
      <c r="J3861" s="511"/>
      <c r="K3861" s="543"/>
      <c r="L3861" s="419"/>
      <c r="M3861" s="1576">
        <v>6202.7546000000002</v>
      </c>
      <c r="N3861" s="2847"/>
      <c r="O3861" s="86"/>
      <c r="P3861" s="1817" t="e">
        <f>INDEX(#REF!,MATCH(F3861,#REF!,0),2)</f>
        <v>#REF!</v>
      </c>
      <c r="Q3861" s="43"/>
      <c r="R3861" s="43"/>
      <c r="S3861" s="43"/>
      <c r="T3861" s="43"/>
      <c r="U3861" s="43"/>
      <c r="V3861" s="43"/>
      <c r="W3861" s="43"/>
      <c r="X3861" s="43"/>
      <c r="Y3861" s="43"/>
      <c r="Z3861" s="43"/>
      <c r="AA3861" s="43"/>
      <c r="AB3861" s="43"/>
      <c r="AC3861" s="43"/>
      <c r="AD3861" s="43"/>
      <c r="AE3861" s="43"/>
      <c r="AF3861" s="43"/>
      <c r="AG3861" s="43"/>
      <c r="AH3861" s="43"/>
      <c r="AI3861" s="43"/>
      <c r="AJ3861" s="43"/>
      <c r="AL3861" s="43"/>
      <c r="AM3861" s="43"/>
      <c r="AN3861" s="43"/>
      <c r="AO3861" s="43"/>
      <c r="AP3861" s="43"/>
      <c r="AQ3861" s="43"/>
      <c r="AR3861" s="43"/>
      <c r="AS3861" s="43"/>
      <c r="AT3861" s="43"/>
      <c r="AU3861" s="43"/>
      <c r="AV3861" s="43"/>
    </row>
    <row r="3862" spans="1:48" ht="30.6" customHeight="1">
      <c r="A3862" s="506"/>
      <c r="B3862" s="506" t="s">
        <v>566</v>
      </c>
      <c r="C3862" s="506" t="s">
        <v>1251</v>
      </c>
      <c r="D3862" s="1632" t="s">
        <v>2987</v>
      </c>
      <c r="E3862" s="2257" t="s">
        <v>5307</v>
      </c>
      <c r="F3862" s="540">
        <v>2121</v>
      </c>
      <c r="G3862" s="411" t="s">
        <v>1918</v>
      </c>
      <c r="H3862" s="541"/>
      <c r="I3862" s="579"/>
      <c r="J3862" s="542"/>
      <c r="K3862" s="458"/>
      <c r="L3862" s="541">
        <v>2250</v>
      </c>
      <c r="M3862" s="1580"/>
      <c r="N3862" s="2847"/>
      <c r="O3862" s="86"/>
      <c r="P3862" s="1817" t="e">
        <f>INDEX(#REF!,MATCH(F3862,#REF!,0),2)</f>
        <v>#REF!</v>
      </c>
      <c r="Q3862" s="43"/>
      <c r="R3862" s="43"/>
      <c r="S3862" s="43"/>
      <c r="T3862" s="43"/>
      <c r="U3862" s="43"/>
      <c r="V3862" s="43"/>
      <c r="W3862" s="43"/>
      <c r="X3862" s="43"/>
      <c r="Y3862" s="43"/>
      <c r="Z3862" s="43"/>
      <c r="AA3862" s="43"/>
      <c r="AB3862" s="43"/>
      <c r="AC3862" s="43"/>
      <c r="AD3862" s="43"/>
      <c r="AE3862" s="43"/>
      <c r="AF3862" s="43"/>
      <c r="AG3862" s="43"/>
      <c r="AH3862" s="43"/>
      <c r="AI3862" s="43"/>
      <c r="AJ3862" s="43"/>
      <c r="AL3862" s="43"/>
      <c r="AM3862" s="43"/>
      <c r="AN3862" s="43"/>
      <c r="AO3862" s="43"/>
      <c r="AP3862" s="43"/>
      <c r="AQ3862" s="43"/>
      <c r="AR3862" s="43"/>
      <c r="AS3862" s="43"/>
      <c r="AT3862" s="43"/>
      <c r="AU3862" s="43"/>
      <c r="AV3862" s="43"/>
    </row>
    <row r="3863" spans="1:48" ht="20.45" customHeight="1">
      <c r="A3863" s="412"/>
      <c r="B3863" s="412" t="s">
        <v>566</v>
      </c>
      <c r="C3863" s="412" t="s">
        <v>1251</v>
      </c>
      <c r="D3863" s="1590"/>
      <c r="E3863" s="2224" t="s">
        <v>5307</v>
      </c>
      <c r="F3863" s="505">
        <v>2121</v>
      </c>
      <c r="G3863" s="410" t="s">
        <v>5308</v>
      </c>
      <c r="H3863" s="419"/>
      <c r="I3863" s="419"/>
      <c r="J3863" s="511"/>
      <c r="K3863" s="543"/>
      <c r="L3863" s="419"/>
      <c r="M3863" s="1576">
        <v>2250</v>
      </c>
      <c r="N3863" s="2847"/>
      <c r="O3863" s="86"/>
      <c r="P3863" s="1817" t="e">
        <f>INDEX(#REF!,MATCH(F3863,#REF!,0),2)</f>
        <v>#REF!</v>
      </c>
      <c r="Q3863" s="43"/>
      <c r="R3863" s="43"/>
      <c r="S3863" s="43"/>
      <c r="T3863" s="43"/>
      <c r="U3863" s="43"/>
      <c r="V3863" s="43"/>
      <c r="W3863" s="43"/>
      <c r="X3863" s="43"/>
      <c r="Y3863" s="43"/>
      <c r="Z3863" s="43"/>
      <c r="AA3863" s="43"/>
      <c r="AB3863" s="43"/>
      <c r="AC3863" s="43"/>
      <c r="AD3863" s="43"/>
      <c r="AE3863" s="43"/>
      <c r="AF3863" s="43"/>
      <c r="AG3863" s="43"/>
      <c r="AH3863" s="43"/>
      <c r="AI3863" s="43"/>
      <c r="AJ3863" s="43"/>
      <c r="AL3863" s="43"/>
      <c r="AM3863" s="43"/>
      <c r="AN3863" s="43"/>
      <c r="AO3863" s="43"/>
      <c r="AP3863" s="43"/>
      <c r="AQ3863" s="43"/>
      <c r="AR3863" s="43"/>
      <c r="AS3863" s="43"/>
      <c r="AT3863" s="43"/>
      <c r="AU3863" s="43"/>
      <c r="AV3863" s="43"/>
    </row>
    <row r="3864" spans="1:48" ht="20.45" customHeight="1">
      <c r="A3864" s="506"/>
      <c r="B3864" s="506" t="s">
        <v>566</v>
      </c>
      <c r="C3864" s="506" t="s">
        <v>1251</v>
      </c>
      <c r="D3864" s="1632" t="s">
        <v>2987</v>
      </c>
      <c r="E3864" s="2257" t="s">
        <v>5307</v>
      </c>
      <c r="F3864" s="540">
        <v>2122</v>
      </c>
      <c r="G3864" s="411" t="s">
        <v>1919</v>
      </c>
      <c r="H3864" s="541"/>
      <c r="I3864" s="579"/>
      <c r="J3864" s="542"/>
      <c r="K3864" s="458"/>
      <c r="L3864" s="541">
        <v>2250</v>
      </c>
      <c r="M3864" s="1580"/>
      <c r="N3864" s="2847"/>
      <c r="O3864" s="86"/>
      <c r="P3864" s="1817" t="e">
        <f>INDEX(#REF!,MATCH(F3864,#REF!,0),2)</f>
        <v>#REF!</v>
      </c>
      <c r="Q3864" s="43"/>
      <c r="R3864" s="43"/>
      <c r="S3864" s="43"/>
      <c r="T3864" s="43"/>
      <c r="U3864" s="43"/>
      <c r="V3864" s="43"/>
      <c r="W3864" s="43"/>
      <c r="X3864" s="43"/>
      <c r="Y3864" s="43"/>
      <c r="Z3864" s="43"/>
      <c r="AA3864" s="43"/>
      <c r="AB3864" s="43"/>
      <c r="AC3864" s="43"/>
      <c r="AD3864" s="43"/>
      <c r="AE3864" s="43"/>
      <c r="AF3864" s="43"/>
      <c r="AG3864" s="43"/>
      <c r="AH3864" s="43"/>
      <c r="AI3864" s="43"/>
      <c r="AJ3864" s="43"/>
      <c r="AL3864" s="43"/>
      <c r="AM3864" s="43"/>
      <c r="AN3864" s="43"/>
      <c r="AO3864" s="43"/>
      <c r="AP3864" s="43"/>
      <c r="AQ3864" s="43"/>
      <c r="AR3864" s="43"/>
      <c r="AS3864" s="43"/>
      <c r="AT3864" s="43"/>
      <c r="AU3864" s="43"/>
      <c r="AV3864" s="43"/>
    </row>
    <row r="3865" spans="1:48" ht="20.45" customHeight="1">
      <c r="A3865" s="1882"/>
      <c r="B3865" s="412" t="s">
        <v>566</v>
      </c>
      <c r="C3865" s="412" t="s">
        <v>1251</v>
      </c>
      <c r="D3865" s="1590"/>
      <c r="E3865" s="2224" t="s">
        <v>5307</v>
      </c>
      <c r="F3865" s="505">
        <v>2122</v>
      </c>
      <c r="G3865" s="410" t="s">
        <v>5308</v>
      </c>
      <c r="H3865" s="1650"/>
      <c r="I3865" s="1892"/>
      <c r="J3865" s="1651"/>
      <c r="K3865" s="1652"/>
      <c r="L3865" s="1650"/>
      <c r="M3865" s="1892">
        <v>2250</v>
      </c>
      <c r="N3865" s="2847"/>
      <c r="O3865" s="86"/>
      <c r="P3865" s="1817" t="e">
        <f>INDEX(#REF!,MATCH(F3865,#REF!,0),2)</f>
        <v>#REF!</v>
      </c>
      <c r="Q3865" s="43"/>
      <c r="R3865" s="43"/>
      <c r="S3865" s="43"/>
      <c r="T3865" s="43"/>
      <c r="U3865" s="43"/>
      <c r="V3865" s="43"/>
      <c r="W3865" s="43"/>
      <c r="X3865" s="43"/>
      <c r="Y3865" s="43"/>
      <c r="Z3865" s="43"/>
      <c r="AA3865" s="43"/>
      <c r="AB3865" s="43"/>
      <c r="AC3865" s="43"/>
      <c r="AD3865" s="43"/>
      <c r="AE3865" s="43"/>
      <c r="AF3865" s="43"/>
      <c r="AG3865" s="43"/>
      <c r="AH3865" s="43"/>
      <c r="AI3865" s="43"/>
      <c r="AJ3865" s="43"/>
      <c r="AL3865" s="43"/>
      <c r="AM3865" s="43"/>
      <c r="AN3865" s="43"/>
      <c r="AO3865" s="43"/>
      <c r="AP3865" s="43"/>
      <c r="AQ3865" s="43"/>
      <c r="AR3865" s="43"/>
      <c r="AS3865" s="43"/>
      <c r="AT3865" s="43"/>
      <c r="AU3865" s="43"/>
      <c r="AV3865" s="43"/>
    </row>
    <row r="3866" spans="1:48" ht="28.9" customHeight="1">
      <c r="A3866" s="506"/>
      <c r="B3866" s="506" t="s">
        <v>566</v>
      </c>
      <c r="C3866" s="506" t="s">
        <v>1251</v>
      </c>
      <c r="D3866" s="1632" t="s">
        <v>2987</v>
      </c>
      <c r="E3866" s="2257" t="s">
        <v>5307</v>
      </c>
      <c r="F3866" s="540">
        <v>2239</v>
      </c>
      <c r="G3866" s="411" t="s">
        <v>1801</v>
      </c>
      <c r="H3866" s="541"/>
      <c r="I3866" s="579"/>
      <c r="J3866" s="542"/>
      <c r="K3866" s="458"/>
      <c r="L3866" s="541">
        <v>11580</v>
      </c>
      <c r="M3866" s="1580"/>
      <c r="N3866" s="2847"/>
      <c r="O3866" s="86"/>
      <c r="P3866" s="1817" t="e">
        <f>INDEX(#REF!,MATCH(F3866,#REF!,0),2)</f>
        <v>#REF!</v>
      </c>
      <c r="Q3866" s="43"/>
      <c r="R3866" s="43"/>
      <c r="S3866" s="43"/>
      <c r="T3866" s="43"/>
      <c r="U3866" s="43"/>
      <c r="V3866" s="43"/>
      <c r="W3866" s="43"/>
      <c r="X3866" s="43"/>
      <c r="Y3866" s="43"/>
      <c r="Z3866" s="43"/>
      <c r="AA3866" s="43"/>
      <c r="AB3866" s="43"/>
      <c r="AC3866" s="43"/>
      <c r="AD3866" s="43"/>
      <c r="AE3866" s="43"/>
      <c r="AF3866" s="43"/>
      <c r="AG3866" s="43"/>
      <c r="AH3866" s="43"/>
      <c r="AI3866" s="43"/>
      <c r="AJ3866" s="43"/>
      <c r="AL3866" s="43"/>
      <c r="AM3866" s="43"/>
      <c r="AN3866" s="43"/>
      <c r="AO3866" s="43"/>
      <c r="AP3866" s="43"/>
      <c r="AQ3866" s="43"/>
      <c r="AR3866" s="43"/>
      <c r="AS3866" s="43"/>
      <c r="AT3866" s="43"/>
      <c r="AU3866" s="43"/>
      <c r="AV3866" s="43"/>
    </row>
    <row r="3867" spans="1:48" ht="58.15" customHeight="1">
      <c r="A3867" s="1882"/>
      <c r="B3867" s="412" t="s">
        <v>566</v>
      </c>
      <c r="C3867" s="412" t="s">
        <v>1251</v>
      </c>
      <c r="D3867" s="1590"/>
      <c r="E3867" s="2224" t="s">
        <v>5307</v>
      </c>
      <c r="F3867" s="505">
        <v>2239</v>
      </c>
      <c r="G3867" s="410" t="s">
        <v>5309</v>
      </c>
      <c r="H3867" s="1650"/>
      <c r="I3867" s="1892"/>
      <c r="J3867" s="1651"/>
      <c r="K3867" s="1652"/>
      <c r="L3867" s="1650"/>
      <c r="M3867" s="1892">
        <v>11580</v>
      </c>
      <c r="N3867" s="2847"/>
      <c r="O3867" s="86"/>
      <c r="P3867" s="1817" t="e">
        <f>INDEX(#REF!,MATCH(F3867,#REF!,0),2)</f>
        <v>#REF!</v>
      </c>
      <c r="Q3867" s="43"/>
      <c r="R3867" s="43"/>
      <c r="S3867" s="43"/>
      <c r="T3867" s="43"/>
      <c r="U3867" s="43"/>
      <c r="V3867" s="43"/>
      <c r="W3867" s="43"/>
      <c r="X3867" s="43"/>
      <c r="Y3867" s="43"/>
      <c r="Z3867" s="43"/>
      <c r="AA3867" s="43"/>
      <c r="AB3867" s="43"/>
      <c r="AC3867" s="43"/>
      <c r="AD3867" s="43"/>
      <c r="AE3867" s="43"/>
      <c r="AF3867" s="43"/>
      <c r="AG3867" s="43"/>
      <c r="AH3867" s="43"/>
      <c r="AI3867" s="43"/>
      <c r="AJ3867" s="43"/>
      <c r="AL3867" s="43"/>
      <c r="AM3867" s="43"/>
      <c r="AN3867" s="43"/>
      <c r="AO3867" s="43"/>
      <c r="AP3867" s="43"/>
      <c r="AQ3867" s="43"/>
      <c r="AR3867" s="43"/>
      <c r="AS3867" s="43"/>
      <c r="AT3867" s="43"/>
      <c r="AU3867" s="43"/>
      <c r="AV3867" s="43"/>
    </row>
    <row r="3868" spans="1:48" ht="20.45" customHeight="1">
      <c r="A3868" s="506"/>
      <c r="B3868" s="506" t="s">
        <v>566</v>
      </c>
      <c r="C3868" s="506" t="s">
        <v>1251</v>
      </c>
      <c r="D3868" s="1632" t="s">
        <v>2987</v>
      </c>
      <c r="E3868" s="2257" t="s">
        <v>5307</v>
      </c>
      <c r="F3868" s="540">
        <v>2390</v>
      </c>
      <c r="G3868" s="411" t="s">
        <v>253</v>
      </c>
      <c r="H3868" s="541"/>
      <c r="I3868" s="579"/>
      <c r="J3868" s="542"/>
      <c r="K3868" s="458"/>
      <c r="L3868" s="541">
        <v>11580</v>
      </c>
      <c r="M3868" s="1580"/>
      <c r="N3868" s="2847"/>
      <c r="O3868" s="86"/>
      <c r="P3868" s="1817" t="e">
        <f>INDEX(#REF!,MATCH(F3868,#REF!,0),2)</f>
        <v>#REF!</v>
      </c>
      <c r="Q3868" s="43"/>
      <c r="R3868" s="43"/>
      <c r="S3868" s="43"/>
      <c r="T3868" s="43"/>
      <c r="U3868" s="43"/>
      <c r="V3868" s="43"/>
      <c r="W3868" s="43"/>
      <c r="X3868" s="43"/>
      <c r="Y3868" s="43"/>
      <c r="Z3868" s="43"/>
      <c r="AA3868" s="43"/>
      <c r="AB3868" s="43"/>
      <c r="AC3868" s="43"/>
      <c r="AD3868" s="43"/>
      <c r="AE3868" s="43"/>
      <c r="AF3868" s="43"/>
      <c r="AG3868" s="43"/>
      <c r="AH3868" s="43"/>
      <c r="AI3868" s="43"/>
      <c r="AJ3868" s="43"/>
      <c r="AL3868" s="43"/>
      <c r="AM3868" s="43"/>
      <c r="AN3868" s="43"/>
      <c r="AO3868" s="43"/>
      <c r="AP3868" s="43"/>
      <c r="AQ3868" s="43"/>
      <c r="AR3868" s="43"/>
      <c r="AS3868" s="43"/>
      <c r="AT3868" s="43"/>
      <c r="AU3868" s="43"/>
      <c r="AV3868" s="43"/>
    </row>
    <row r="3869" spans="1:48" ht="20.45" customHeight="1">
      <c r="A3869" s="1882"/>
      <c r="B3869" s="412" t="s">
        <v>566</v>
      </c>
      <c r="C3869" s="412" t="s">
        <v>1251</v>
      </c>
      <c r="D3869" s="1590"/>
      <c r="E3869" s="2224" t="s">
        <v>5307</v>
      </c>
      <c r="F3869" s="505">
        <v>2390</v>
      </c>
      <c r="G3869" s="410" t="s">
        <v>5309</v>
      </c>
      <c r="H3869" s="1650"/>
      <c r="I3869" s="1892"/>
      <c r="J3869" s="1651"/>
      <c r="K3869" s="1652"/>
      <c r="L3869" s="1650"/>
      <c r="M3869" s="1892">
        <v>11580</v>
      </c>
      <c r="N3869" s="2847"/>
      <c r="O3869" s="86"/>
      <c r="P3869" s="1817"/>
      <c r="Q3869" s="43"/>
      <c r="R3869" s="43"/>
      <c r="S3869" s="43"/>
      <c r="T3869" s="43"/>
      <c r="U3869" s="43"/>
      <c r="V3869" s="43"/>
      <c r="W3869" s="43"/>
      <c r="X3869" s="43"/>
      <c r="Y3869" s="43"/>
      <c r="Z3869" s="43"/>
      <c r="AA3869" s="43"/>
      <c r="AB3869" s="43"/>
      <c r="AC3869" s="43"/>
      <c r="AD3869" s="43"/>
      <c r="AE3869" s="43"/>
      <c r="AF3869" s="43"/>
      <c r="AG3869" s="43"/>
      <c r="AH3869" s="43"/>
      <c r="AI3869" s="43"/>
      <c r="AJ3869" s="43"/>
      <c r="AL3869" s="43"/>
      <c r="AM3869" s="43"/>
      <c r="AN3869" s="43"/>
      <c r="AO3869" s="43"/>
      <c r="AP3869" s="43"/>
      <c r="AQ3869" s="43"/>
      <c r="AR3869" s="43"/>
      <c r="AS3869" s="43"/>
      <c r="AT3869" s="43"/>
      <c r="AU3869" s="43"/>
      <c r="AV3869" s="43"/>
    </row>
    <row r="3870" spans="1:48" ht="20.45" customHeight="1">
      <c r="A3870" s="506"/>
      <c r="B3870" s="506" t="s">
        <v>566</v>
      </c>
      <c r="C3870" s="506" t="s">
        <v>1251</v>
      </c>
      <c r="D3870" s="1632" t="s">
        <v>2987</v>
      </c>
      <c r="E3870" s="2257" t="s">
        <v>5307</v>
      </c>
      <c r="F3870" s="540">
        <v>5240</v>
      </c>
      <c r="G3870" s="411" t="s">
        <v>2595</v>
      </c>
      <c r="H3870" s="541"/>
      <c r="I3870" s="579"/>
      <c r="J3870" s="542"/>
      <c r="K3870" s="458"/>
      <c r="L3870" s="541">
        <v>23400</v>
      </c>
      <c r="M3870" s="1580"/>
      <c r="N3870" s="2847"/>
      <c r="O3870" s="86"/>
      <c r="P3870" s="1817" t="e">
        <f>INDEX(#REF!,MATCH(F3870,#REF!,0),2)</f>
        <v>#REF!</v>
      </c>
      <c r="Q3870" s="43"/>
      <c r="R3870" s="43"/>
      <c r="S3870" s="43"/>
      <c r="T3870" s="43"/>
      <c r="U3870" s="43"/>
      <c r="V3870" s="43"/>
      <c r="W3870" s="43"/>
      <c r="X3870" s="43"/>
      <c r="Y3870" s="43"/>
      <c r="Z3870" s="43"/>
      <c r="AA3870" s="43"/>
      <c r="AB3870" s="43"/>
      <c r="AC3870" s="43"/>
      <c r="AD3870" s="43"/>
      <c r="AE3870" s="43"/>
      <c r="AF3870" s="43"/>
      <c r="AG3870" s="43"/>
      <c r="AH3870" s="43"/>
      <c r="AI3870" s="43"/>
      <c r="AK3870" s="43"/>
      <c r="AL3870" s="43"/>
      <c r="AM3870" s="43"/>
      <c r="AN3870" s="43"/>
      <c r="AO3870" s="43"/>
      <c r="AP3870" s="43"/>
      <c r="AQ3870" s="43"/>
      <c r="AR3870" s="43"/>
      <c r="AS3870" s="43"/>
      <c r="AT3870" s="43"/>
      <c r="AU3870" s="43"/>
    </row>
    <row r="3871" spans="1:48" ht="20.45" customHeight="1">
      <c r="A3871" s="1882"/>
      <c r="B3871" s="412" t="s">
        <v>566</v>
      </c>
      <c r="C3871" s="412" t="s">
        <v>1251</v>
      </c>
      <c r="D3871" s="1590"/>
      <c r="E3871" s="2224" t="s">
        <v>5307</v>
      </c>
      <c r="F3871" s="505">
        <v>5240</v>
      </c>
      <c r="G3871" s="410" t="s">
        <v>5310</v>
      </c>
      <c r="H3871" s="1650"/>
      <c r="I3871" s="1892"/>
      <c r="J3871" s="1651"/>
      <c r="K3871" s="1652"/>
      <c r="L3871" s="1650"/>
      <c r="M3871" s="1892">
        <v>6400</v>
      </c>
      <c r="N3871" s="2847"/>
      <c r="O3871" s="86"/>
      <c r="P3871" s="1817" t="e">
        <f>INDEX(#REF!,MATCH(F3871,#REF!,0),2)</f>
        <v>#REF!</v>
      </c>
      <c r="Q3871" s="43"/>
      <c r="R3871" s="43"/>
      <c r="S3871" s="43"/>
      <c r="T3871" s="43"/>
      <c r="U3871" s="43"/>
      <c r="V3871" s="43"/>
      <c r="W3871" s="43"/>
      <c r="X3871" s="43"/>
      <c r="Y3871" s="43"/>
      <c r="Z3871" s="43"/>
      <c r="AA3871" s="43"/>
      <c r="AB3871" s="43"/>
      <c r="AC3871" s="43"/>
      <c r="AD3871" s="43"/>
      <c r="AE3871" s="43"/>
      <c r="AF3871" s="43"/>
      <c r="AG3871" s="43"/>
      <c r="AH3871" s="43"/>
      <c r="AI3871" s="43"/>
      <c r="AK3871" s="43"/>
      <c r="AL3871" s="43"/>
      <c r="AM3871" s="43"/>
      <c r="AN3871" s="43"/>
      <c r="AO3871" s="43"/>
      <c r="AP3871" s="43"/>
      <c r="AQ3871" s="43"/>
      <c r="AR3871" s="43"/>
      <c r="AS3871" s="43"/>
      <c r="AT3871" s="43"/>
      <c r="AU3871" s="43"/>
    </row>
    <row r="3872" spans="1:48" ht="38.450000000000003" customHeight="1">
      <c r="A3872" s="1882"/>
      <c r="B3872" s="412" t="s">
        <v>566</v>
      </c>
      <c r="C3872" s="412" t="s">
        <v>1251</v>
      </c>
      <c r="D3872" s="1590"/>
      <c r="E3872" s="2224" t="s">
        <v>5307</v>
      </c>
      <c r="F3872" s="505">
        <v>5240</v>
      </c>
      <c r="G3872" s="410" t="s">
        <v>5312</v>
      </c>
      <c r="H3872" s="1650"/>
      <c r="I3872" s="1892"/>
      <c r="J3872" s="1651"/>
      <c r="K3872" s="1652"/>
      <c r="L3872" s="1650"/>
      <c r="M3872" s="1892">
        <v>15000</v>
      </c>
      <c r="N3872" s="2847"/>
      <c r="O3872" s="1817"/>
      <c r="P3872" s="1817" t="e">
        <f>INDEX(#REF!,MATCH(F3872,#REF!,0),2)</f>
        <v>#REF!</v>
      </c>
      <c r="Q3872" s="43"/>
      <c r="R3872" s="43"/>
      <c r="S3872" s="43"/>
      <c r="T3872" s="43"/>
      <c r="U3872" s="43"/>
      <c r="V3872" s="43"/>
      <c r="W3872" s="43"/>
      <c r="X3872" s="43"/>
      <c r="Y3872" s="43"/>
      <c r="Z3872" s="43"/>
      <c r="AA3872" s="43"/>
      <c r="AB3872" s="43"/>
      <c r="AC3872" s="43"/>
      <c r="AD3872" s="43"/>
      <c r="AE3872" s="43"/>
      <c r="AF3872" s="43"/>
      <c r="AG3872" s="43"/>
      <c r="AH3872" s="43"/>
      <c r="AI3872" s="43"/>
      <c r="AJ3872" s="43"/>
      <c r="AL3872" s="43"/>
      <c r="AM3872" s="43"/>
      <c r="AN3872" s="43"/>
      <c r="AO3872" s="43"/>
      <c r="AP3872" s="43"/>
      <c r="AQ3872" s="43"/>
      <c r="AR3872" s="43"/>
      <c r="AS3872" s="43"/>
      <c r="AT3872" s="43"/>
      <c r="AU3872" s="43"/>
      <c r="AV3872" s="43"/>
    </row>
    <row r="3873" spans="1:48" ht="21.6" customHeight="1">
      <c r="A3873" s="1882"/>
      <c r="B3873" s="412" t="s">
        <v>566</v>
      </c>
      <c r="C3873" s="412" t="s">
        <v>1251</v>
      </c>
      <c r="D3873" s="1590"/>
      <c r="E3873" s="2224" t="s">
        <v>5307</v>
      </c>
      <c r="F3873" s="505">
        <v>5240</v>
      </c>
      <c r="G3873" s="410" t="s">
        <v>5311</v>
      </c>
      <c r="H3873" s="1650"/>
      <c r="I3873" s="1892"/>
      <c r="J3873" s="1651"/>
      <c r="K3873" s="1652"/>
      <c r="L3873" s="1650"/>
      <c r="M3873" s="1892">
        <v>2000</v>
      </c>
      <c r="N3873" s="2847"/>
      <c r="O3873" s="1817"/>
      <c r="P3873" s="1817" t="e">
        <f>INDEX(#REF!,MATCH(F3873,#REF!,0),2)</f>
        <v>#REF!</v>
      </c>
      <c r="Q3873" s="43"/>
      <c r="R3873" s="43"/>
      <c r="S3873" s="43"/>
      <c r="T3873" s="43"/>
      <c r="U3873" s="43"/>
      <c r="V3873" s="43"/>
      <c r="W3873" s="43"/>
      <c r="X3873" s="43"/>
      <c r="Y3873" s="43"/>
      <c r="Z3873" s="43"/>
      <c r="AA3873" s="43"/>
      <c r="AB3873" s="43"/>
      <c r="AC3873" s="43"/>
      <c r="AD3873" s="43"/>
      <c r="AE3873" s="43"/>
      <c r="AF3873" s="43"/>
      <c r="AG3873" s="43"/>
      <c r="AH3873" s="43"/>
      <c r="AI3873" s="43"/>
      <c r="AJ3873" s="43"/>
      <c r="AK3873" s="43"/>
      <c r="AL3873" s="43"/>
      <c r="AM3873" s="43"/>
      <c r="AN3873" s="43"/>
      <c r="AO3873" s="43"/>
      <c r="AP3873" s="43"/>
      <c r="AQ3873" s="43"/>
      <c r="AR3873" s="43"/>
      <c r="AS3873" s="43"/>
      <c r="AT3873" s="43"/>
      <c r="AU3873" s="43"/>
      <c r="AV3873" s="43"/>
    </row>
    <row r="3874" spans="1:48" ht="11.45" customHeight="1">
      <c r="A3874" s="506"/>
      <c r="B3874" s="506" t="s">
        <v>566</v>
      </c>
      <c r="C3874" s="506" t="s">
        <v>1251</v>
      </c>
      <c r="D3874" s="1632" t="s">
        <v>1888</v>
      </c>
      <c r="E3874" s="2223" t="s">
        <v>2449</v>
      </c>
      <c r="F3874" s="540">
        <v>2239</v>
      </c>
      <c r="G3874" s="411" t="s">
        <v>237</v>
      </c>
      <c r="H3874" s="541">
        <v>208</v>
      </c>
      <c r="I3874" s="579"/>
      <c r="J3874" s="542"/>
      <c r="K3874" s="458"/>
      <c r="L3874" s="541">
        <v>0</v>
      </c>
      <c r="M3874" s="619"/>
      <c r="N3874" s="2847" t="s">
        <v>1252</v>
      </c>
      <c r="O3874" s="86"/>
      <c r="P3874" s="1817" t="e">
        <f>INDEX(#REF!,MATCH(F3874,#REF!,0),2)</f>
        <v>#REF!</v>
      </c>
      <c r="Q3874" s="43"/>
      <c r="R3874" s="43"/>
      <c r="S3874" s="43"/>
      <c r="T3874" s="43"/>
      <c r="U3874" s="43"/>
      <c r="V3874" s="43"/>
      <c r="W3874" s="43"/>
      <c r="X3874" s="43"/>
      <c r="Y3874" s="43"/>
      <c r="Z3874" s="43"/>
      <c r="AA3874" s="43"/>
      <c r="AB3874" s="43"/>
      <c r="AC3874" s="43"/>
      <c r="AD3874" s="43"/>
      <c r="AE3874" s="43"/>
      <c r="AF3874" s="43"/>
      <c r="AG3874" s="43"/>
      <c r="AH3874" s="43"/>
      <c r="AI3874" s="43"/>
      <c r="AJ3874" s="43"/>
      <c r="AK3874" s="43"/>
      <c r="AL3874" s="43"/>
      <c r="AM3874" s="43"/>
      <c r="AN3874" s="43"/>
      <c r="AO3874" s="43"/>
      <c r="AP3874" s="43"/>
      <c r="AQ3874" s="43"/>
      <c r="AR3874" s="43"/>
      <c r="AS3874" s="43"/>
      <c r="AT3874" s="43"/>
      <c r="AU3874" s="43"/>
      <c r="AV3874" s="43"/>
    </row>
    <row r="3875" spans="1:48" ht="20.45" customHeight="1">
      <c r="A3875" s="1882"/>
      <c r="B3875" s="1882" t="s">
        <v>566</v>
      </c>
      <c r="C3875" s="1882" t="s">
        <v>1251</v>
      </c>
      <c r="D3875" s="1935"/>
      <c r="E3875" s="2229" t="s">
        <v>2449</v>
      </c>
      <c r="F3875" s="1936">
        <v>2239</v>
      </c>
      <c r="G3875" s="2774" t="s">
        <v>4830</v>
      </c>
      <c r="H3875" s="1892"/>
      <c r="I3875" s="1892"/>
      <c r="J3875" s="1916"/>
      <c r="K3875" s="1917"/>
      <c r="L3875" s="1968"/>
      <c r="M3875" s="2779">
        <v>389.03999999999996</v>
      </c>
      <c r="N3875" s="2847" t="s">
        <v>1252</v>
      </c>
      <c r="O3875" s="86"/>
      <c r="P3875" s="1817" t="e">
        <f>INDEX(#REF!,MATCH(F3875,#REF!,0),2)</f>
        <v>#REF!</v>
      </c>
    </row>
    <row r="3876" spans="1:48" ht="11.45" customHeight="1">
      <c r="A3876" s="1882"/>
      <c r="B3876" s="1882" t="s">
        <v>566</v>
      </c>
      <c r="C3876" s="1882" t="s">
        <v>1251</v>
      </c>
      <c r="D3876" s="1935"/>
      <c r="E3876" s="2229" t="s">
        <v>2449</v>
      </c>
      <c r="F3876" s="1936">
        <v>2239</v>
      </c>
      <c r="G3876" s="1884" t="s">
        <v>2941</v>
      </c>
      <c r="H3876" s="1892"/>
      <c r="I3876" s="1892">
        <v>16</v>
      </c>
      <c r="J3876" s="1916"/>
      <c r="K3876" s="1917"/>
      <c r="L3876" s="1968"/>
      <c r="M3876" s="1968"/>
      <c r="N3876" s="2847"/>
      <c r="O3876" s="86"/>
      <c r="P3876" s="1817" t="e">
        <f>INDEX(#REF!,MATCH(F3876,#REF!,0),2)</f>
        <v>#REF!</v>
      </c>
    </row>
    <row r="3877" spans="1:48" ht="20.45" customHeight="1">
      <c r="A3877" s="412"/>
      <c r="B3877" s="412" t="s">
        <v>566</v>
      </c>
      <c r="C3877" s="412" t="s">
        <v>1251</v>
      </c>
      <c r="D3877" s="1590"/>
      <c r="E3877" s="2224" t="s">
        <v>2449</v>
      </c>
      <c r="F3877" s="505">
        <v>2239</v>
      </c>
      <c r="G3877" s="410" t="s">
        <v>3275</v>
      </c>
      <c r="H3877" s="419"/>
      <c r="I3877" s="419">
        <v>-1000</v>
      </c>
      <c r="J3877" s="511"/>
      <c r="K3877" s="543"/>
      <c r="L3877" s="420"/>
      <c r="M3877" s="420"/>
      <c r="N3877" s="2847"/>
      <c r="O3877" s="86"/>
      <c r="P3877" s="1817" t="e">
        <f>INDEX(#REF!,MATCH(F3877,#REF!,0),2)</f>
        <v>#REF!</v>
      </c>
    </row>
    <row r="3878" spans="1:48" ht="11.45" customHeight="1">
      <c r="A3878" s="412"/>
      <c r="B3878" s="412" t="s">
        <v>566</v>
      </c>
      <c r="C3878" s="412" t="s">
        <v>1251</v>
      </c>
      <c r="D3878" s="1590"/>
      <c r="E3878" s="2224" t="s">
        <v>2449</v>
      </c>
      <c r="F3878" s="505">
        <v>2239</v>
      </c>
      <c r="G3878" s="410" t="s">
        <v>2915</v>
      </c>
      <c r="H3878" s="419"/>
      <c r="I3878" s="419">
        <v>4120</v>
      </c>
      <c r="J3878" s="511"/>
      <c r="K3878" s="543"/>
      <c r="L3878" s="420"/>
      <c r="M3878" s="420"/>
      <c r="N3878" s="2847"/>
      <c r="O3878" s="86"/>
      <c r="P3878" s="1817" t="e">
        <f>INDEX(#REF!,MATCH(F3878,#REF!,0),2)</f>
        <v>#REF!</v>
      </c>
    </row>
    <row r="3879" spans="1:48" ht="11.45" customHeight="1">
      <c r="A3879" s="412"/>
      <c r="B3879" s="412" t="s">
        <v>566</v>
      </c>
      <c r="C3879" s="412" t="s">
        <v>1251</v>
      </c>
      <c r="D3879" s="1590"/>
      <c r="E3879" s="2224" t="s">
        <v>2449</v>
      </c>
      <c r="F3879" s="505">
        <v>2239</v>
      </c>
      <c r="G3879" s="410" t="s">
        <v>3203</v>
      </c>
      <c r="H3879" s="1892"/>
      <c r="I3879" s="1892">
        <v>-1298</v>
      </c>
      <c r="J3879" s="1916"/>
      <c r="K3879" s="1917"/>
      <c r="L3879" s="1968"/>
      <c r="M3879" s="420"/>
      <c r="N3879" s="2847"/>
      <c r="O3879" s="86"/>
      <c r="P3879" s="1817" t="e">
        <f>INDEX(#REF!,MATCH(F3879,#REF!,0),2)</f>
        <v>#REF!</v>
      </c>
    </row>
    <row r="3880" spans="1:48" ht="22.9" customHeight="1">
      <c r="A3880" s="412"/>
      <c r="B3880" s="412" t="s">
        <v>566</v>
      </c>
      <c r="C3880" s="412" t="s">
        <v>1251</v>
      </c>
      <c r="D3880" s="1590"/>
      <c r="E3880" s="2224" t="s">
        <v>2449</v>
      </c>
      <c r="F3880" s="505">
        <v>2239</v>
      </c>
      <c r="G3880" s="1358" t="s">
        <v>3236</v>
      </c>
      <c r="H3880" s="419"/>
      <c r="I3880" s="419">
        <v>-1630</v>
      </c>
      <c r="J3880" s="511"/>
      <c r="K3880" s="543"/>
      <c r="L3880" s="420"/>
      <c r="M3880" s="420"/>
      <c r="N3880" s="2847"/>
      <c r="O3880" s="86"/>
      <c r="P3880" s="1817" t="e">
        <f>INDEX(#REF!,MATCH(F3880,#REF!,0),2)</f>
        <v>#REF!</v>
      </c>
    </row>
    <row r="3881" spans="1:48" ht="30.6" customHeight="1">
      <c r="A3881" s="74" t="s">
        <v>781</v>
      </c>
      <c r="B3881" s="74" t="s">
        <v>566</v>
      </c>
      <c r="C3881" s="74" t="s">
        <v>508</v>
      </c>
      <c r="D3881" s="1633">
        <v>912</v>
      </c>
      <c r="E3881" s="2284" t="s">
        <v>1894</v>
      </c>
      <c r="F3881" s="379">
        <v>2244</v>
      </c>
      <c r="G3881" s="75" t="s">
        <v>1094</v>
      </c>
      <c r="H3881" s="930">
        <v>1557</v>
      </c>
      <c r="I3881" s="35"/>
      <c r="J3881" s="35"/>
      <c r="K3881" s="51"/>
      <c r="L3881" s="33"/>
      <c r="M3881" s="33"/>
      <c r="N3881" s="2847"/>
      <c r="O3881" s="86"/>
      <c r="P3881" s="1817" t="e">
        <f>INDEX(#REF!,MATCH(F3881,#REF!,0),2)</f>
        <v>#REF!</v>
      </c>
    </row>
    <row r="3882" spans="1:48" ht="11.45" customHeight="1">
      <c r="A3882" s="246" t="s">
        <v>781</v>
      </c>
      <c r="B3882" s="246" t="s">
        <v>566</v>
      </c>
      <c r="C3882" s="246" t="s">
        <v>508</v>
      </c>
      <c r="D3882" s="1596"/>
      <c r="E3882" s="2226" t="s">
        <v>1894</v>
      </c>
      <c r="F3882" s="366">
        <v>2244</v>
      </c>
      <c r="G3882" s="248" t="s">
        <v>1095</v>
      </c>
      <c r="H3882" s="934"/>
      <c r="I3882" s="265">
        <v>1557</v>
      </c>
      <c r="J3882" s="262"/>
      <c r="K3882" s="261"/>
      <c r="L3882" s="262"/>
      <c r="M3882" s="262"/>
      <c r="N3882" s="2847"/>
      <c r="O3882" s="86"/>
      <c r="P3882" s="1817" t="e">
        <f>INDEX(#REF!,MATCH(F3882,#REF!,0),2)</f>
        <v>#REF!</v>
      </c>
    </row>
    <row r="3883" spans="1:48" ht="30.6" customHeight="1">
      <c r="A3883" s="5" t="s">
        <v>783</v>
      </c>
      <c r="B3883" s="5" t="s">
        <v>566</v>
      </c>
      <c r="C3883" s="5" t="s">
        <v>508</v>
      </c>
      <c r="D3883" s="1592" t="s">
        <v>1783</v>
      </c>
      <c r="E3883" s="2294" t="s">
        <v>1895</v>
      </c>
      <c r="F3883" s="381">
        <v>1150</v>
      </c>
      <c r="G3883" s="7" t="s">
        <v>627</v>
      </c>
      <c r="H3883" s="930">
        <v>0</v>
      </c>
      <c r="I3883" s="35"/>
      <c r="J3883" s="267"/>
      <c r="K3883" s="51"/>
      <c r="L3883" s="33">
        <v>0</v>
      </c>
      <c r="M3883" s="33"/>
      <c r="N3883" s="2847"/>
      <c r="O3883" s="86"/>
      <c r="P3883" s="1817" t="e">
        <f>INDEX(#REF!,MATCH(F3883,#REF!,0),2)</f>
        <v>#REF!</v>
      </c>
    </row>
    <row r="3884" spans="1:48" ht="20.45" customHeight="1">
      <c r="A3884" s="12" t="s">
        <v>783</v>
      </c>
      <c r="B3884" s="12" t="s">
        <v>566</v>
      </c>
      <c r="C3884" s="12" t="s">
        <v>508</v>
      </c>
      <c r="D3884" s="1593"/>
      <c r="E3884" s="2222" t="s">
        <v>1895</v>
      </c>
      <c r="F3884" s="23">
        <v>1150</v>
      </c>
      <c r="G3884" s="49"/>
      <c r="H3884" s="937"/>
      <c r="I3884" s="15"/>
      <c r="J3884" s="19"/>
      <c r="K3884" s="40"/>
      <c r="L3884" s="14"/>
      <c r="M3884" s="14"/>
      <c r="N3884" s="2847"/>
      <c r="O3884" s="86"/>
      <c r="P3884" s="1817" t="e">
        <f>INDEX(#REF!,MATCH(F3884,#REF!,0),2)</f>
        <v>#REF!</v>
      </c>
    </row>
    <row r="3885" spans="1:48" ht="20.45" customHeight="1">
      <c r="A3885" s="5" t="s">
        <v>783</v>
      </c>
      <c r="B3885" s="5" t="s">
        <v>566</v>
      </c>
      <c r="C3885" s="5" t="s">
        <v>508</v>
      </c>
      <c r="D3885" s="1592" t="s">
        <v>1783</v>
      </c>
      <c r="E3885" s="2294" t="s">
        <v>1895</v>
      </c>
      <c r="F3885" s="381">
        <v>2239</v>
      </c>
      <c r="G3885" s="7" t="s">
        <v>627</v>
      </c>
      <c r="H3885" s="930">
        <v>23596.82</v>
      </c>
      <c r="I3885" s="35"/>
      <c r="J3885" s="267"/>
      <c r="K3885" s="51"/>
      <c r="L3885" s="33">
        <v>0</v>
      </c>
      <c r="M3885" s="33"/>
      <c r="N3885" s="2847" t="s">
        <v>4841</v>
      </c>
      <c r="O3885" s="86"/>
      <c r="P3885" s="1817" t="e">
        <f>INDEX(#REF!,MATCH(F3885,#REF!,0),2)</f>
        <v>#REF!</v>
      </c>
    </row>
    <row r="3886" spans="1:48" ht="22.9" customHeight="1">
      <c r="A3886" s="12" t="s">
        <v>783</v>
      </c>
      <c r="B3886" s="12" t="s">
        <v>566</v>
      </c>
      <c r="C3886" s="12" t="s">
        <v>508</v>
      </c>
      <c r="D3886" s="1593"/>
      <c r="E3886" s="2222" t="s">
        <v>1895</v>
      </c>
      <c r="F3886" s="23">
        <v>2239</v>
      </c>
      <c r="G3886" s="49" t="s">
        <v>1681</v>
      </c>
      <c r="H3886" s="937"/>
      <c r="I3886" s="15">
        <v>23596.82</v>
      </c>
      <c r="J3886" s="19"/>
      <c r="K3886" s="40"/>
      <c r="L3886" s="14"/>
      <c r="M3886" s="14"/>
      <c r="N3886" s="2847" t="s">
        <v>4842</v>
      </c>
      <c r="O3886" s="86"/>
      <c r="P3886" s="1817" t="e">
        <f>INDEX(#REF!,MATCH(F3886,#REF!,0),2)</f>
        <v>#REF!</v>
      </c>
    </row>
    <row r="3887" spans="1:48" ht="22.9" customHeight="1">
      <c r="A3887" s="12" t="s">
        <v>783</v>
      </c>
      <c r="B3887" s="12" t="s">
        <v>566</v>
      </c>
      <c r="C3887" s="12" t="s">
        <v>508</v>
      </c>
      <c r="D3887" s="1593"/>
      <c r="E3887" s="2222" t="s">
        <v>1895</v>
      </c>
      <c r="F3887" s="23">
        <v>2239</v>
      </c>
      <c r="G3887" s="49" t="s">
        <v>982</v>
      </c>
      <c r="H3887" s="937"/>
      <c r="I3887" s="15">
        <v>0</v>
      </c>
      <c r="J3887" s="19"/>
      <c r="K3887" s="40"/>
      <c r="L3887" s="14"/>
      <c r="M3887" s="14"/>
      <c r="N3887" s="2847" t="s">
        <v>4843</v>
      </c>
      <c r="O3887" s="86"/>
      <c r="P3887" s="1817" t="e">
        <f>INDEX(#REF!,MATCH(F3887,#REF!,0),2)</f>
        <v>#REF!</v>
      </c>
    </row>
    <row r="3888" spans="1:48" ht="12" customHeight="1">
      <c r="A3888" s="12" t="s">
        <v>783</v>
      </c>
      <c r="B3888" s="12" t="s">
        <v>566</v>
      </c>
      <c r="C3888" s="12" t="s">
        <v>508</v>
      </c>
      <c r="D3888" s="1593"/>
      <c r="E3888" s="2222" t="s">
        <v>1895</v>
      </c>
      <c r="F3888" s="23">
        <v>2239</v>
      </c>
      <c r="G3888" s="434" t="s">
        <v>1080</v>
      </c>
      <c r="H3888" s="938"/>
      <c r="I3888" s="292"/>
      <c r="J3888" s="1463"/>
      <c r="K3888" s="445"/>
      <c r="L3888" s="1520"/>
      <c r="M3888" s="1520"/>
      <c r="N3888" s="2847"/>
      <c r="O3888" s="86"/>
      <c r="P3888" s="1817" t="e">
        <f>INDEX(#REF!,MATCH(F3888,#REF!,0),2)</f>
        <v>#REF!</v>
      </c>
      <c r="Q3888" s="43"/>
      <c r="R3888" s="43"/>
      <c r="S3888" s="43"/>
      <c r="T3888" s="43"/>
      <c r="U3888" s="43"/>
      <c r="V3888" s="43"/>
      <c r="W3888" s="43"/>
      <c r="X3888" s="43"/>
      <c r="Y3888" s="43"/>
      <c r="Z3888" s="43"/>
      <c r="AA3888" s="43"/>
      <c r="AB3888" s="43"/>
      <c r="AC3888" s="43"/>
      <c r="AD3888" s="43"/>
      <c r="AE3888" s="43"/>
      <c r="AF3888" s="43"/>
      <c r="AG3888" s="43"/>
      <c r="AH3888" s="43"/>
      <c r="AI3888" s="43"/>
      <c r="AJ3888" s="43"/>
      <c r="AK3888" s="43"/>
      <c r="AL3888" s="43"/>
      <c r="AM3888" s="43"/>
      <c r="AN3888" s="43"/>
      <c r="AO3888" s="43"/>
      <c r="AP3888" s="43"/>
      <c r="AQ3888" s="43"/>
      <c r="AR3888" s="43"/>
      <c r="AS3888" s="43"/>
      <c r="AT3888" s="43"/>
      <c r="AU3888" s="43"/>
      <c r="AV3888" s="43"/>
    </row>
    <row r="3889" spans="1:48" ht="13.15" customHeight="1">
      <c r="A3889" s="5" t="s">
        <v>783</v>
      </c>
      <c r="B3889" s="5" t="s">
        <v>566</v>
      </c>
      <c r="C3889" s="5" t="s">
        <v>508</v>
      </c>
      <c r="D3889" s="1592" t="s">
        <v>1783</v>
      </c>
      <c r="E3889" s="2294" t="s">
        <v>1895</v>
      </c>
      <c r="F3889" s="6">
        <v>2312</v>
      </c>
      <c r="G3889" s="7" t="s">
        <v>682</v>
      </c>
      <c r="H3889" s="930">
        <v>0</v>
      </c>
      <c r="I3889" s="35"/>
      <c r="J3889" s="267"/>
      <c r="K3889" s="51"/>
      <c r="L3889" s="33">
        <v>0</v>
      </c>
      <c r="M3889" s="33"/>
      <c r="N3889" s="2847"/>
      <c r="O3889" s="86"/>
      <c r="P3889" s="1817" t="e">
        <f>INDEX(#REF!,MATCH(F3889,#REF!,0),2)</f>
        <v>#REF!</v>
      </c>
    </row>
    <row r="3890" spans="1:48" ht="13.9" customHeight="1">
      <c r="A3890" s="12" t="s">
        <v>783</v>
      </c>
      <c r="B3890" s="12" t="s">
        <v>566</v>
      </c>
      <c r="C3890" s="12" t="s">
        <v>508</v>
      </c>
      <c r="D3890" s="1593"/>
      <c r="E3890" s="2222" t="s">
        <v>1895</v>
      </c>
      <c r="F3890" s="23">
        <v>2312</v>
      </c>
      <c r="G3890" s="49" t="s">
        <v>982</v>
      </c>
      <c r="H3890" s="937"/>
      <c r="I3890" s="15"/>
      <c r="J3890" s="19"/>
      <c r="K3890" s="40"/>
      <c r="L3890" s="14"/>
      <c r="M3890" s="14"/>
      <c r="N3890" s="2847"/>
      <c r="O3890" s="86"/>
      <c r="P3890" s="1817" t="e">
        <f>INDEX(#REF!,MATCH(F3890,#REF!,0),2)</f>
        <v>#REF!</v>
      </c>
    </row>
    <row r="3891" spans="1:48" ht="13.9" customHeight="1">
      <c r="A3891" s="5" t="s">
        <v>783</v>
      </c>
      <c r="B3891" s="5" t="s">
        <v>566</v>
      </c>
      <c r="C3891" s="5" t="s">
        <v>508</v>
      </c>
      <c r="D3891" s="1592" t="s">
        <v>1783</v>
      </c>
      <c r="E3891" s="2294" t="s">
        <v>1895</v>
      </c>
      <c r="F3891" s="6">
        <v>2390</v>
      </c>
      <c r="G3891" s="7" t="s">
        <v>686</v>
      </c>
      <c r="H3891" s="930">
        <v>0</v>
      </c>
      <c r="I3891" s="35"/>
      <c r="J3891" s="267"/>
      <c r="K3891" s="51"/>
      <c r="L3891" s="33">
        <v>0</v>
      </c>
      <c r="M3891" s="33"/>
      <c r="N3891" s="2847"/>
      <c r="O3891" s="86"/>
      <c r="P3891" s="1817" t="e">
        <f>INDEX(#REF!,MATCH(F3891,#REF!,0),2)</f>
        <v>#REF!</v>
      </c>
    </row>
    <row r="3892" spans="1:48" ht="18.600000000000001" customHeight="1">
      <c r="A3892" s="12" t="s">
        <v>783</v>
      </c>
      <c r="B3892" s="12" t="s">
        <v>566</v>
      </c>
      <c r="C3892" s="12" t="s">
        <v>508</v>
      </c>
      <c r="D3892" s="1593"/>
      <c r="E3892" s="2222" t="s">
        <v>1895</v>
      </c>
      <c r="F3892" s="23">
        <v>2390</v>
      </c>
      <c r="G3892" s="27" t="s">
        <v>803</v>
      </c>
      <c r="H3892" s="937"/>
      <c r="I3892" s="15"/>
      <c r="J3892" s="19"/>
      <c r="K3892" s="40"/>
      <c r="L3892" s="14"/>
      <c r="M3892" s="14"/>
      <c r="N3892" s="2847"/>
      <c r="O3892" s="86"/>
      <c r="P3892" s="1817" t="e">
        <f>INDEX(#REF!,MATCH(F3892,#REF!,0),2)</f>
        <v>#REF!</v>
      </c>
    </row>
    <row r="3893" spans="1:48" ht="22.9" customHeight="1">
      <c r="A3893" s="5"/>
      <c r="B3893" s="5" t="s">
        <v>566</v>
      </c>
      <c r="C3893" s="5" t="s">
        <v>508</v>
      </c>
      <c r="D3893" s="1592" t="s">
        <v>1558</v>
      </c>
      <c r="E3893" s="2294" t="s">
        <v>1896</v>
      </c>
      <c r="F3893" s="381">
        <v>2239</v>
      </c>
      <c r="G3893" s="7" t="s">
        <v>627</v>
      </c>
      <c r="H3893" s="930">
        <v>18440</v>
      </c>
      <c r="I3893" s="35"/>
      <c r="J3893" s="35"/>
      <c r="K3893" s="51"/>
      <c r="L3893" s="35">
        <v>0</v>
      </c>
      <c r="M3893" s="35"/>
      <c r="N3893" s="2847" t="s">
        <v>4841</v>
      </c>
      <c r="O3893" s="86"/>
      <c r="P3893" s="1817" t="e">
        <f>INDEX(#REF!,MATCH(F3893,#REF!,0),2)</f>
        <v>#REF!</v>
      </c>
      <c r="Q3893" s="43"/>
      <c r="R3893" s="43"/>
      <c r="S3893" s="43"/>
      <c r="T3893" s="43"/>
      <c r="U3893" s="43"/>
      <c r="V3893" s="43"/>
      <c r="W3893" s="43"/>
      <c r="X3893" s="43"/>
      <c r="Y3893" s="43"/>
      <c r="Z3893" s="43"/>
      <c r="AA3893" s="43"/>
      <c r="AB3893" s="43"/>
      <c r="AC3893" s="43"/>
      <c r="AD3893" s="43"/>
      <c r="AE3893" s="43"/>
      <c r="AF3893" s="43"/>
      <c r="AG3893" s="43"/>
      <c r="AH3893" s="1774"/>
      <c r="AI3893" s="1030"/>
      <c r="AJ3893" s="1030"/>
      <c r="AK3893" s="43"/>
      <c r="AL3893" s="43"/>
      <c r="AM3893" s="43"/>
      <c r="AN3893" s="43"/>
      <c r="AO3893" s="43"/>
      <c r="AP3893" s="43"/>
      <c r="AQ3893" s="43"/>
      <c r="AR3893" s="43"/>
      <c r="AS3893" s="43"/>
      <c r="AT3893" s="43"/>
      <c r="AU3893" s="43"/>
      <c r="AV3893" s="43"/>
    </row>
    <row r="3894" spans="1:48" ht="25.15" customHeight="1">
      <c r="A3894" s="12"/>
      <c r="B3894" s="12" t="s">
        <v>566</v>
      </c>
      <c r="C3894" s="12" t="s">
        <v>508</v>
      </c>
      <c r="D3894" s="1593"/>
      <c r="E3894" s="2222" t="s">
        <v>1896</v>
      </c>
      <c r="F3894" s="23">
        <v>2239</v>
      </c>
      <c r="G3894" s="1017" t="s">
        <v>2889</v>
      </c>
      <c r="H3894" s="937"/>
      <c r="I3894" s="15">
        <v>18440</v>
      </c>
      <c r="J3894" s="15"/>
      <c r="K3894" s="40"/>
      <c r="L3894" s="15"/>
      <c r="M3894" s="15"/>
      <c r="N3894" s="2847" t="s">
        <v>4842</v>
      </c>
      <c r="O3894" s="86"/>
      <c r="P3894" s="1817" t="e">
        <f>INDEX(#REF!,MATCH(F3894,#REF!,0),2)</f>
        <v>#REF!</v>
      </c>
      <c r="Q3894" s="43"/>
      <c r="R3894" s="43"/>
      <c r="S3894" s="43"/>
      <c r="T3894" s="43"/>
      <c r="U3894" s="43"/>
      <c r="V3894" s="43"/>
      <c r="W3894" s="43"/>
      <c r="X3894" s="43"/>
      <c r="Y3894" s="43"/>
      <c r="Z3894" s="43"/>
      <c r="AA3894" s="43"/>
      <c r="AB3894" s="43"/>
      <c r="AC3894" s="43"/>
      <c r="AD3894" s="43"/>
      <c r="AE3894" s="43"/>
      <c r="AF3894" s="43"/>
      <c r="AG3894" s="43"/>
      <c r="AH3894" s="1774"/>
      <c r="AI3894" s="1030"/>
      <c r="AJ3894" s="1030"/>
      <c r="AK3894" s="43"/>
      <c r="AL3894" s="43"/>
      <c r="AM3894" s="43"/>
      <c r="AN3894" s="43"/>
      <c r="AO3894" s="43"/>
      <c r="AP3894" s="43"/>
      <c r="AQ3894" s="43"/>
      <c r="AR3894" s="43"/>
      <c r="AS3894" s="43"/>
      <c r="AT3894" s="43"/>
      <c r="AU3894" s="43"/>
      <c r="AV3894" s="43"/>
    </row>
    <row r="3895" spans="1:48" ht="22.9" customHeight="1">
      <c r="A3895" s="12"/>
      <c r="B3895" s="12" t="s">
        <v>566</v>
      </c>
      <c r="C3895" s="12" t="s">
        <v>508</v>
      </c>
      <c r="D3895" s="1593"/>
      <c r="E3895" s="2222" t="s">
        <v>1896</v>
      </c>
      <c r="F3895" s="23">
        <v>2239</v>
      </c>
      <c r="G3895" s="1017" t="s">
        <v>1297</v>
      </c>
      <c r="H3895" s="937"/>
      <c r="I3895" s="15">
        <v>0</v>
      </c>
      <c r="J3895" s="15"/>
      <c r="K3895" s="40"/>
      <c r="L3895" s="15"/>
      <c r="M3895" s="15">
        <v>0</v>
      </c>
      <c r="N3895" s="2847" t="s">
        <v>4843</v>
      </c>
      <c r="O3895" s="86"/>
      <c r="P3895" s="1817" t="e">
        <f>INDEX(#REF!,MATCH(F3895,#REF!,0),2)</f>
        <v>#REF!</v>
      </c>
      <c r="Q3895" s="43"/>
      <c r="R3895" s="43"/>
      <c r="S3895" s="43"/>
      <c r="T3895" s="43"/>
      <c r="U3895" s="43"/>
      <c r="V3895" s="43"/>
      <c r="W3895" s="43"/>
      <c r="X3895" s="43"/>
      <c r="Y3895" s="43"/>
      <c r="Z3895" s="43"/>
      <c r="AA3895" s="43"/>
      <c r="AB3895" s="43"/>
      <c r="AC3895" s="43"/>
      <c r="AD3895" s="43"/>
      <c r="AE3895" s="43"/>
      <c r="AF3895" s="43"/>
      <c r="AG3895" s="43"/>
      <c r="AH3895" s="1774"/>
      <c r="AI3895" s="1030"/>
      <c r="AJ3895" s="1030"/>
      <c r="AK3895" s="43"/>
      <c r="AL3895" s="43"/>
      <c r="AM3895" s="43"/>
      <c r="AN3895" s="43"/>
      <c r="AO3895" s="43"/>
      <c r="AP3895" s="43"/>
      <c r="AQ3895" s="43"/>
      <c r="AR3895" s="43"/>
      <c r="AS3895" s="43"/>
      <c r="AT3895" s="43"/>
      <c r="AU3895" s="43"/>
      <c r="AV3895" s="43"/>
    </row>
    <row r="3896" spans="1:48" ht="27.6" customHeight="1">
      <c r="A3896" s="5" t="s">
        <v>784</v>
      </c>
      <c r="B3896" s="5" t="s">
        <v>566</v>
      </c>
      <c r="C3896" s="5" t="s">
        <v>508</v>
      </c>
      <c r="D3896" s="1592">
        <v>6391</v>
      </c>
      <c r="E3896" s="2227" t="s">
        <v>1893</v>
      </c>
      <c r="F3896" s="381">
        <v>2239</v>
      </c>
      <c r="G3896" s="7" t="s">
        <v>1096</v>
      </c>
      <c r="H3896" s="930">
        <v>0</v>
      </c>
      <c r="I3896" s="85"/>
      <c r="J3896" s="267"/>
      <c r="K3896" s="34"/>
      <c r="L3896" s="35">
        <v>0</v>
      </c>
      <c r="M3896" s="35"/>
      <c r="N3896" s="2847"/>
      <c r="O3896" s="86"/>
      <c r="P3896" s="1817" t="e">
        <f>INDEX(#REF!,MATCH(F3896,#REF!,0),2)</f>
        <v>#REF!</v>
      </c>
      <c r="Q3896" s="43"/>
      <c r="R3896" s="43"/>
      <c r="S3896" s="43"/>
      <c r="T3896" s="43"/>
      <c r="U3896" s="43"/>
      <c r="V3896" s="43"/>
      <c r="W3896" s="43"/>
      <c r="X3896" s="43"/>
      <c r="Y3896" s="43"/>
      <c r="Z3896" s="43"/>
      <c r="AA3896" s="43"/>
      <c r="AB3896" s="43"/>
      <c r="AC3896" s="43"/>
      <c r="AD3896" s="43"/>
      <c r="AE3896" s="43"/>
      <c r="AF3896" s="43"/>
      <c r="AG3896" s="43"/>
      <c r="AH3896" s="1774"/>
      <c r="AI3896" s="1030"/>
      <c r="AJ3896" s="1030"/>
      <c r="AK3896" s="43"/>
      <c r="AL3896" s="43"/>
      <c r="AM3896" s="43"/>
      <c r="AN3896" s="43"/>
      <c r="AO3896" s="43"/>
      <c r="AP3896" s="43"/>
      <c r="AQ3896" s="43"/>
      <c r="AR3896" s="43"/>
      <c r="AS3896" s="43"/>
      <c r="AT3896" s="43"/>
      <c r="AU3896" s="43"/>
      <c r="AV3896" s="43"/>
    </row>
    <row r="3897" spans="1:48" ht="11.45" customHeight="1">
      <c r="A3897" s="12"/>
      <c r="B3897" s="12" t="s">
        <v>566</v>
      </c>
      <c r="C3897" s="12" t="s">
        <v>508</v>
      </c>
      <c r="D3897" s="1593"/>
      <c r="E3897" s="2260" t="s">
        <v>1893</v>
      </c>
      <c r="F3897" s="382">
        <v>2239</v>
      </c>
      <c r="G3897" s="299" t="s">
        <v>1682</v>
      </c>
      <c r="H3897" s="931"/>
      <c r="I3897" s="52"/>
      <c r="J3897" s="46"/>
      <c r="K3897" s="45"/>
      <c r="L3897" s="52"/>
      <c r="M3897" s="52"/>
      <c r="N3897" s="2847"/>
      <c r="O3897" s="86"/>
      <c r="P3897" s="1817" t="e">
        <f>INDEX(#REF!,MATCH(F3897,#REF!,0),2)</f>
        <v>#REF!</v>
      </c>
    </row>
    <row r="3898" spans="1:48" ht="11.45" customHeight="1">
      <c r="A3898" s="12"/>
      <c r="B3898" s="12" t="s">
        <v>566</v>
      </c>
      <c r="C3898" s="12" t="s">
        <v>508</v>
      </c>
      <c r="D3898" s="1593"/>
      <c r="E3898" s="2260" t="s">
        <v>1893</v>
      </c>
      <c r="F3898" s="382">
        <v>2239</v>
      </c>
      <c r="G3898" s="299" t="s">
        <v>1775</v>
      </c>
      <c r="H3898" s="931"/>
      <c r="I3898" s="459"/>
      <c r="J3898" s="46"/>
      <c r="K3898" s="45"/>
      <c r="L3898" s="52"/>
      <c r="M3898" s="52"/>
      <c r="N3898" s="2847"/>
      <c r="O3898" s="86"/>
      <c r="P3898" s="1817" t="e">
        <f>INDEX(#REF!,MATCH(F3898,#REF!,0),2)</f>
        <v>#REF!</v>
      </c>
    </row>
    <row r="3899" spans="1:48" ht="20.45" customHeight="1">
      <c r="A3899" s="1882"/>
      <c r="B3899" s="1882" t="s">
        <v>566</v>
      </c>
      <c r="C3899" s="1882" t="s">
        <v>508</v>
      </c>
      <c r="D3899" s="1935"/>
      <c r="E3899" s="2261" t="s">
        <v>1893</v>
      </c>
      <c r="F3899" s="1969">
        <v>2239</v>
      </c>
      <c r="G3899" s="1884" t="s">
        <v>1776</v>
      </c>
      <c r="H3899" s="1970"/>
      <c r="I3899" s="1971"/>
      <c r="J3899" s="1972"/>
      <c r="K3899" s="1973"/>
      <c r="L3899" s="3836"/>
      <c r="M3899" s="3836"/>
      <c r="N3899" s="2847"/>
      <c r="O3899" s="86"/>
      <c r="P3899" s="1817" t="e">
        <f>INDEX(#REF!,MATCH(F3899,#REF!,0),2)</f>
        <v>#REF!</v>
      </c>
    </row>
    <row r="3900" spans="1:48" ht="11.45" customHeight="1">
      <c r="A3900" s="1882"/>
      <c r="B3900" s="1882" t="s">
        <v>566</v>
      </c>
      <c r="C3900" s="1882" t="s">
        <v>508</v>
      </c>
      <c r="D3900" s="1935"/>
      <c r="E3900" s="2261" t="s">
        <v>1893</v>
      </c>
      <c r="F3900" s="1969">
        <v>2239</v>
      </c>
      <c r="G3900" s="1884" t="s">
        <v>1788</v>
      </c>
      <c r="H3900" s="1970"/>
      <c r="I3900" s="1971"/>
      <c r="J3900" s="1972"/>
      <c r="K3900" s="1973"/>
      <c r="L3900" s="3836"/>
      <c r="M3900" s="3836"/>
      <c r="N3900" s="2847"/>
      <c r="O3900" s="86"/>
      <c r="P3900" s="1817" t="e">
        <f>INDEX(#REF!,MATCH(F3900,#REF!,0),2)</f>
        <v>#REF!</v>
      </c>
    </row>
    <row r="3901" spans="1:48" ht="11.45" customHeight="1">
      <c r="A3901" s="249" t="s">
        <v>784</v>
      </c>
      <c r="B3901" s="249" t="s">
        <v>566</v>
      </c>
      <c r="C3901" s="249" t="s">
        <v>508</v>
      </c>
      <c r="D3901" s="1592">
        <v>6391</v>
      </c>
      <c r="E3901" s="2227" t="s">
        <v>1893</v>
      </c>
      <c r="F3901" s="377">
        <v>5120</v>
      </c>
      <c r="G3901" s="251" t="s">
        <v>1787</v>
      </c>
      <c r="H3901" s="933">
        <v>0</v>
      </c>
      <c r="I3901" s="284"/>
      <c r="J3901" s="266"/>
      <c r="K3901" s="254"/>
      <c r="L3901" s="253">
        <v>0</v>
      </c>
      <c r="M3901" s="284"/>
      <c r="N3901" s="2847"/>
      <c r="O3901" s="86"/>
      <c r="P3901" s="1817" t="e">
        <f>INDEX(#REF!,MATCH(F3901,#REF!,0),2)</f>
        <v>#REF!</v>
      </c>
    </row>
    <row r="3902" spans="1:48" ht="11.45" customHeight="1">
      <c r="A3902" s="1882"/>
      <c r="B3902" s="1882" t="s">
        <v>566</v>
      </c>
      <c r="C3902" s="1882" t="s">
        <v>508</v>
      </c>
      <c r="D3902" s="1935"/>
      <c r="E3902" s="2229" t="s">
        <v>1893</v>
      </c>
      <c r="F3902" s="1936">
        <v>5120</v>
      </c>
      <c r="G3902" s="1884" t="s">
        <v>1788</v>
      </c>
      <c r="H3902" s="1974"/>
      <c r="I3902" s="1975"/>
      <c r="J3902" s="1976"/>
      <c r="K3902" s="1977"/>
      <c r="L3902" s="3787"/>
      <c r="M3902" s="1975"/>
      <c r="N3902" s="2847"/>
      <c r="O3902" s="86"/>
      <c r="P3902" s="1817" t="e">
        <f>INDEX(#REF!,MATCH(F3902,#REF!,0),2)</f>
        <v>#REF!</v>
      </c>
    </row>
    <row r="3903" spans="1:48" ht="21.6" customHeight="1">
      <c r="A3903" s="249" t="s">
        <v>784</v>
      </c>
      <c r="B3903" s="249" t="s">
        <v>566</v>
      </c>
      <c r="C3903" s="249" t="s">
        <v>508</v>
      </c>
      <c r="D3903" s="1592">
        <v>6391</v>
      </c>
      <c r="E3903" s="2227" t="s">
        <v>1893</v>
      </c>
      <c r="F3903" s="377">
        <v>5238</v>
      </c>
      <c r="G3903" s="600" t="s">
        <v>257</v>
      </c>
      <c r="H3903" s="933">
        <v>0</v>
      </c>
      <c r="I3903" s="284"/>
      <c r="J3903" s="266"/>
      <c r="K3903" s="254"/>
      <c r="L3903" s="253">
        <v>0</v>
      </c>
      <c r="M3903" s="284"/>
      <c r="N3903" s="2847"/>
      <c r="O3903" s="86"/>
      <c r="P3903" s="1817" t="e">
        <f>INDEX(#REF!,MATCH(F3903,#REF!,0),2)</f>
        <v>#REF!</v>
      </c>
    </row>
    <row r="3904" spans="1:48" ht="19.899999999999999" customHeight="1">
      <c r="A3904" s="412"/>
      <c r="B3904" s="412" t="s">
        <v>566</v>
      </c>
      <c r="C3904" s="412" t="s">
        <v>508</v>
      </c>
      <c r="D3904" s="1590"/>
      <c r="E3904" s="2224" t="s">
        <v>1893</v>
      </c>
      <c r="F3904" s="505">
        <v>5238</v>
      </c>
      <c r="G3904" s="410" t="s">
        <v>1774</v>
      </c>
      <c r="H3904" s="935"/>
      <c r="I3904" s="513"/>
      <c r="J3904" s="427"/>
      <c r="K3904" s="423"/>
      <c r="L3904" s="3837"/>
      <c r="M3904" s="513"/>
      <c r="N3904" s="2847"/>
      <c r="O3904" s="86"/>
      <c r="P3904" s="1817" t="e">
        <f>INDEX(#REF!,MATCH(F3904,#REF!,0),2)</f>
        <v>#REF!</v>
      </c>
    </row>
    <row r="3905" spans="1:16" ht="11.45" customHeight="1">
      <c r="A3905" s="506"/>
      <c r="B3905" s="3084" t="s">
        <v>663</v>
      </c>
      <c r="C3905" s="3084" t="s">
        <v>659</v>
      </c>
      <c r="D3905" s="3085">
        <v>981</v>
      </c>
      <c r="E3905" s="3093" t="s">
        <v>2486</v>
      </c>
      <c r="F3905" s="3086">
        <v>1119</v>
      </c>
      <c r="G3905" s="3087" t="s">
        <v>224</v>
      </c>
      <c r="H3905" s="2838">
        <v>239688</v>
      </c>
      <c r="I3905" s="3685"/>
      <c r="J3905" s="2840">
        <v>139843</v>
      </c>
      <c r="K3905" s="3686"/>
      <c r="L3905" s="2842">
        <v>327540.8</v>
      </c>
      <c r="M3905" s="2842"/>
      <c r="N3905" s="2847"/>
      <c r="O3905" s="86"/>
      <c r="P3905" s="1817" t="e">
        <f>INDEX(#REF!,MATCH(F3905,#REF!,0),2)</f>
        <v>#REF!</v>
      </c>
    </row>
    <row r="3906" spans="1:16" ht="11.45" customHeight="1">
      <c r="A3906" s="443"/>
      <c r="B3906" s="2790" t="s">
        <v>663</v>
      </c>
      <c r="C3906" s="2790" t="s">
        <v>659</v>
      </c>
      <c r="D3906" s="3071"/>
      <c r="E3906" s="3109" t="s">
        <v>2486</v>
      </c>
      <c r="F3906" s="3072">
        <v>1119</v>
      </c>
      <c r="G3906" s="2820" t="s">
        <v>663</v>
      </c>
      <c r="H3906" s="2822"/>
      <c r="I3906" s="3687">
        <v>239688</v>
      </c>
      <c r="J3906" s="2776"/>
      <c r="K3906" s="3688"/>
      <c r="L3906" s="2779"/>
      <c r="M3906" s="3662">
        <v>327540.8</v>
      </c>
      <c r="N3906" s="2847"/>
      <c r="O3906" s="86"/>
      <c r="P3906" s="1817" t="e">
        <f>INDEX(#REF!,MATCH(F3906,#REF!,0),2)</f>
        <v>#REF!</v>
      </c>
    </row>
    <row r="3907" spans="1:16" ht="11.45" customHeight="1">
      <c r="A3907" s="443"/>
      <c r="B3907" s="2790" t="s">
        <v>663</v>
      </c>
      <c r="C3907" s="2790" t="s">
        <v>659</v>
      </c>
      <c r="D3907" s="3071"/>
      <c r="E3907" s="3109" t="s">
        <v>2486</v>
      </c>
      <c r="F3907" s="3072">
        <v>1119</v>
      </c>
      <c r="G3907" s="2820" t="s">
        <v>1180</v>
      </c>
      <c r="H3907" s="2822"/>
      <c r="I3907" s="3687"/>
      <c r="J3907" s="2776"/>
      <c r="K3907" s="3688"/>
      <c r="L3907" s="2779"/>
      <c r="M3907" s="3662"/>
      <c r="N3907" s="2847"/>
      <c r="O3907" s="86"/>
      <c r="P3907" s="1817" t="e">
        <f>INDEX(#REF!,MATCH(F3907,#REF!,0),2)</f>
        <v>#REF!</v>
      </c>
    </row>
    <row r="3908" spans="1:16" ht="11.45" customHeight="1">
      <c r="A3908" s="506"/>
      <c r="B3908" s="3084" t="s">
        <v>663</v>
      </c>
      <c r="C3908" s="3084" t="s">
        <v>659</v>
      </c>
      <c r="D3908" s="3085">
        <v>981</v>
      </c>
      <c r="E3908" s="3619" t="s">
        <v>2486</v>
      </c>
      <c r="F3908" s="3086">
        <v>1141</v>
      </c>
      <c r="G3908" s="3087" t="s">
        <v>268</v>
      </c>
      <c r="H3908" s="2838">
        <v>4000</v>
      </c>
      <c r="I3908" s="3685"/>
      <c r="J3908" s="2840">
        <v>4328</v>
      </c>
      <c r="K3908" s="3686"/>
      <c r="L3908" s="2842">
        <v>4000</v>
      </c>
      <c r="M3908" s="2842"/>
      <c r="N3908" s="2847"/>
      <c r="O3908" s="86"/>
      <c r="P3908" s="1817" t="e">
        <f>INDEX(#REF!,MATCH(F3908,#REF!,0),2)</f>
        <v>#REF!</v>
      </c>
    </row>
    <row r="3909" spans="1:16" ht="21" customHeight="1">
      <c r="A3909" s="443"/>
      <c r="B3909" s="2790" t="s">
        <v>663</v>
      </c>
      <c r="C3909" s="2790" t="s">
        <v>659</v>
      </c>
      <c r="D3909" s="3071"/>
      <c r="E3909" s="3109" t="s">
        <v>2486</v>
      </c>
      <c r="F3909" s="3072">
        <v>1141</v>
      </c>
      <c r="G3909" s="2820" t="s">
        <v>663</v>
      </c>
      <c r="H3909" s="2822"/>
      <c r="I3909" s="3687">
        <v>4000</v>
      </c>
      <c r="J3909" s="2776"/>
      <c r="K3909" s="3688"/>
      <c r="L3909" s="2779"/>
      <c r="M3909" s="3662">
        <v>4000</v>
      </c>
      <c r="N3909" s="2847"/>
      <c r="O3909" s="86"/>
      <c r="P3909" s="1817" t="e">
        <f>INDEX(#REF!,MATCH(F3909,#REF!,0),2)</f>
        <v>#REF!</v>
      </c>
    </row>
    <row r="3910" spans="1:16" ht="21" customHeight="1">
      <c r="A3910" s="443"/>
      <c r="B3910" s="2790" t="s">
        <v>663</v>
      </c>
      <c r="C3910" s="2790" t="s">
        <v>659</v>
      </c>
      <c r="D3910" s="3071"/>
      <c r="E3910" s="3109" t="s">
        <v>2486</v>
      </c>
      <c r="F3910" s="3072">
        <v>1141</v>
      </c>
      <c r="G3910" s="2820" t="s">
        <v>1180</v>
      </c>
      <c r="H3910" s="2822"/>
      <c r="I3910" s="3687"/>
      <c r="J3910" s="2776"/>
      <c r="K3910" s="3688"/>
      <c r="L3910" s="2779"/>
      <c r="M3910" s="3662"/>
      <c r="N3910" s="2847"/>
      <c r="O3910" s="86"/>
      <c r="P3910" s="1817" t="e">
        <f>INDEX(#REF!,MATCH(F3910,#REF!,0),2)</f>
        <v>#REF!</v>
      </c>
    </row>
    <row r="3911" spans="1:16" ht="11.45" customHeight="1">
      <c r="A3911" s="506"/>
      <c r="B3911" s="3084" t="s">
        <v>663</v>
      </c>
      <c r="C3911" s="3084" t="s">
        <v>659</v>
      </c>
      <c r="D3911" s="3085">
        <v>981</v>
      </c>
      <c r="E3911" s="3619" t="s">
        <v>2486</v>
      </c>
      <c r="F3911" s="3086">
        <v>1142</v>
      </c>
      <c r="G3911" s="3087" t="s">
        <v>225</v>
      </c>
      <c r="H3911" s="2838">
        <v>2800</v>
      </c>
      <c r="I3911" s="3685"/>
      <c r="J3911" s="2840">
        <v>2500</v>
      </c>
      <c r="K3911" s="3686"/>
      <c r="L3911" s="2842">
        <v>1800</v>
      </c>
      <c r="M3911" s="2842"/>
      <c r="N3911" s="2847"/>
      <c r="O3911" s="86"/>
      <c r="P3911" s="1817" t="e">
        <f>INDEX(#REF!,MATCH(F3911,#REF!,0),2)</f>
        <v>#REF!</v>
      </c>
    </row>
    <row r="3912" spans="1:16" ht="20.45" customHeight="1">
      <c r="A3912" s="443"/>
      <c r="B3912" s="2790" t="s">
        <v>663</v>
      </c>
      <c r="C3912" s="2790" t="s">
        <v>659</v>
      </c>
      <c r="D3912" s="3071"/>
      <c r="E3912" s="3109" t="s">
        <v>2486</v>
      </c>
      <c r="F3912" s="3072">
        <v>1142</v>
      </c>
      <c r="G3912" s="2820"/>
      <c r="H3912" s="2822"/>
      <c r="I3912" s="3687">
        <v>1800</v>
      </c>
      <c r="J3912" s="2776"/>
      <c r="K3912" s="3688"/>
      <c r="L3912" s="2779"/>
      <c r="M3912" s="3662">
        <v>1800</v>
      </c>
      <c r="N3912" s="2847"/>
      <c r="O3912" s="86"/>
      <c r="P3912" s="1817" t="e">
        <f>INDEX(#REF!,MATCH(F3912,#REF!,0),2)</f>
        <v>#REF!</v>
      </c>
    </row>
    <row r="3913" spans="1:16" ht="11.45" customHeight="1">
      <c r="A3913" s="506"/>
      <c r="B3913" s="3084" t="s">
        <v>663</v>
      </c>
      <c r="C3913" s="3084" t="s">
        <v>659</v>
      </c>
      <c r="D3913" s="3085">
        <v>981</v>
      </c>
      <c r="E3913" s="3619" t="s">
        <v>2486</v>
      </c>
      <c r="F3913" s="3086">
        <v>1147</v>
      </c>
      <c r="G3913" s="3087" t="s">
        <v>653</v>
      </c>
      <c r="H3913" s="2838">
        <v>20585</v>
      </c>
      <c r="I3913" s="3685"/>
      <c r="J3913" s="2840">
        <v>3755</v>
      </c>
      <c r="K3913" s="3686"/>
      <c r="L3913" s="2842">
        <v>30976.733333333337</v>
      </c>
      <c r="M3913" s="2842"/>
      <c r="N3913" s="2847"/>
      <c r="O3913" s="86"/>
      <c r="P3913" s="1817" t="e">
        <f>INDEX(#REF!,MATCH(F3913,#REF!,0),2)</f>
        <v>#REF!</v>
      </c>
    </row>
    <row r="3914" spans="1:16" ht="11.45" customHeight="1">
      <c r="A3914" s="443"/>
      <c r="B3914" s="2790" t="s">
        <v>663</v>
      </c>
      <c r="C3914" s="2790" t="s">
        <v>659</v>
      </c>
      <c r="D3914" s="3071"/>
      <c r="E3914" s="3109" t="s">
        <v>2486</v>
      </c>
      <c r="F3914" s="3072">
        <v>1147</v>
      </c>
      <c r="G3914" s="2820" t="s">
        <v>663</v>
      </c>
      <c r="H3914" s="2822"/>
      <c r="I3914" s="3687">
        <v>21584.959999999999</v>
      </c>
      <c r="J3914" s="2776"/>
      <c r="K3914" s="3688"/>
      <c r="L3914" s="2779"/>
      <c r="M3914" s="3662">
        <v>30976.733333333337</v>
      </c>
      <c r="N3914" s="2847"/>
      <c r="O3914" s="86"/>
      <c r="P3914" s="1817" t="e">
        <f>INDEX(#REF!,MATCH(F3914,#REF!,0),2)</f>
        <v>#REF!</v>
      </c>
    </row>
    <row r="3915" spans="1:16" ht="11.45" customHeight="1">
      <c r="A3915" s="443"/>
      <c r="B3915" s="2790" t="s">
        <v>663</v>
      </c>
      <c r="C3915" s="2790" t="s">
        <v>659</v>
      </c>
      <c r="D3915" s="3071"/>
      <c r="E3915" s="3109" t="s">
        <v>2486</v>
      </c>
      <c r="F3915" s="3072">
        <v>1147</v>
      </c>
      <c r="G3915" s="2820" t="s">
        <v>1180</v>
      </c>
      <c r="H3915" s="2822"/>
      <c r="I3915" s="3687"/>
      <c r="J3915" s="2776"/>
      <c r="K3915" s="3688"/>
      <c r="L3915" s="2779"/>
      <c r="M3915" s="3662"/>
      <c r="N3915" s="2847"/>
      <c r="O3915" s="86"/>
      <c r="P3915" s="1817" t="e">
        <f>INDEX(#REF!,MATCH(F3915,#REF!,0),2)</f>
        <v>#REF!</v>
      </c>
    </row>
    <row r="3916" spans="1:16" ht="11.45" customHeight="1">
      <c r="A3916" s="506"/>
      <c r="B3916" s="3084" t="s">
        <v>663</v>
      </c>
      <c r="C3916" s="3084" t="s">
        <v>659</v>
      </c>
      <c r="D3916" s="3085">
        <v>981</v>
      </c>
      <c r="E3916" s="3619" t="s">
        <v>2486</v>
      </c>
      <c r="F3916" s="3086">
        <v>1148</v>
      </c>
      <c r="G3916" s="3087" t="s">
        <v>911</v>
      </c>
      <c r="H3916" s="2838">
        <v>0</v>
      </c>
      <c r="I3916" s="3685"/>
      <c r="J3916" s="2840"/>
      <c r="K3916" s="3686"/>
      <c r="L3916" s="2842">
        <v>0</v>
      </c>
      <c r="M3916" s="2842"/>
      <c r="N3916" s="2847"/>
      <c r="O3916" s="86"/>
      <c r="P3916" s="1817" t="e">
        <f>INDEX(#REF!,MATCH(F3916,#REF!,0),2)</f>
        <v>#REF!</v>
      </c>
    </row>
    <row r="3917" spans="1:16" ht="11.45" customHeight="1">
      <c r="A3917" s="443"/>
      <c r="B3917" s="2790" t="s">
        <v>663</v>
      </c>
      <c r="C3917" s="2790" t="s">
        <v>659</v>
      </c>
      <c r="D3917" s="3071"/>
      <c r="E3917" s="3109" t="s">
        <v>2486</v>
      </c>
      <c r="F3917" s="3072">
        <v>1148</v>
      </c>
      <c r="G3917" s="2820" t="s">
        <v>663</v>
      </c>
      <c r="H3917" s="2822"/>
      <c r="I3917" s="3687"/>
      <c r="J3917" s="2776"/>
      <c r="K3917" s="3688"/>
      <c r="L3917" s="2779"/>
      <c r="M3917" s="3662"/>
      <c r="N3917" s="2847"/>
      <c r="O3917" s="86"/>
      <c r="P3917" s="1817" t="e">
        <f>INDEX(#REF!,MATCH(F3917,#REF!,0),2)</f>
        <v>#REF!</v>
      </c>
    </row>
    <row r="3918" spans="1:16" ht="11.45" customHeight="1">
      <c r="A3918" s="1537"/>
      <c r="B3918" s="2790" t="s">
        <v>663</v>
      </c>
      <c r="C3918" s="2790" t="s">
        <v>659</v>
      </c>
      <c r="D3918" s="3071"/>
      <c r="E3918" s="3109" t="s">
        <v>2486</v>
      </c>
      <c r="F3918" s="3072">
        <v>1148</v>
      </c>
      <c r="G3918" s="2820" t="s">
        <v>2047</v>
      </c>
      <c r="H3918" s="2822"/>
      <c r="I3918" s="3687"/>
      <c r="J3918" s="2776"/>
      <c r="K3918" s="3688"/>
      <c r="L3918" s="2779"/>
      <c r="M3918" s="3662"/>
      <c r="N3918" s="2847"/>
      <c r="O3918" s="86"/>
      <c r="P3918" s="1817" t="e">
        <f>INDEX(#REF!,MATCH(F3918,#REF!,0),2)</f>
        <v>#REF!</v>
      </c>
    </row>
    <row r="3919" spans="1:16" ht="19.149999999999999" customHeight="1">
      <c r="A3919" s="506"/>
      <c r="B3919" s="3084" t="s">
        <v>663</v>
      </c>
      <c r="C3919" s="3084" t="s">
        <v>659</v>
      </c>
      <c r="D3919" s="3085">
        <v>981</v>
      </c>
      <c r="E3919" s="3619" t="s">
        <v>2486</v>
      </c>
      <c r="F3919" s="3086">
        <v>1170</v>
      </c>
      <c r="G3919" s="3087" t="s">
        <v>724</v>
      </c>
      <c r="H3919" s="2838">
        <v>0</v>
      </c>
      <c r="I3919" s="3685"/>
      <c r="J3919" s="2840"/>
      <c r="K3919" s="3686"/>
      <c r="L3919" s="2842">
        <v>0</v>
      </c>
      <c r="M3919" s="2842"/>
      <c r="N3919" s="2847"/>
      <c r="O3919" s="86"/>
      <c r="P3919" s="1817" t="e">
        <f>INDEX(#REF!,MATCH(F3919,#REF!,0),2)</f>
        <v>#REF!</v>
      </c>
    </row>
    <row r="3920" spans="1:16" ht="11.45" customHeight="1">
      <c r="A3920" s="443"/>
      <c r="B3920" s="2790" t="s">
        <v>663</v>
      </c>
      <c r="C3920" s="2790" t="s">
        <v>659</v>
      </c>
      <c r="D3920" s="3071"/>
      <c r="E3920" s="3109" t="s">
        <v>2486</v>
      </c>
      <c r="F3920" s="3072">
        <v>1170</v>
      </c>
      <c r="G3920" s="2774" t="s">
        <v>957</v>
      </c>
      <c r="H3920" s="2822"/>
      <c r="I3920" s="3687"/>
      <c r="J3920" s="2776"/>
      <c r="K3920" s="3688"/>
      <c r="L3920" s="2779"/>
      <c r="M3920" s="3662"/>
      <c r="N3920" s="2847"/>
      <c r="O3920" s="86"/>
      <c r="P3920" s="1817" t="e">
        <f>INDEX(#REF!,MATCH(F3920,#REF!,0),2)</f>
        <v>#REF!</v>
      </c>
    </row>
    <row r="3921" spans="1:16" ht="20.45" customHeight="1">
      <c r="A3921" s="506"/>
      <c r="B3921" s="3084" t="s">
        <v>663</v>
      </c>
      <c r="C3921" s="3084" t="s">
        <v>659</v>
      </c>
      <c r="D3921" s="3085">
        <v>981</v>
      </c>
      <c r="E3921" s="3619" t="s">
        <v>2486</v>
      </c>
      <c r="F3921" s="3086">
        <v>1210</v>
      </c>
      <c r="G3921" s="3087" t="s">
        <v>228</v>
      </c>
      <c r="H3921" s="2838">
        <v>62090.522335800008</v>
      </c>
      <c r="I3921" s="3685"/>
      <c r="J3921" s="2840">
        <v>33625</v>
      </c>
      <c r="K3921" s="3686"/>
      <c r="L3921" s="2842">
        <v>84749.61603616667</v>
      </c>
      <c r="M3921" s="2842"/>
      <c r="N3921" s="2847"/>
      <c r="O3921" s="86"/>
      <c r="P3921" s="1817" t="e">
        <f>INDEX(#REF!,MATCH(F3921,#REF!,0),2)</f>
        <v>#REF!</v>
      </c>
    </row>
    <row r="3922" spans="1:16" ht="11.45" customHeight="1">
      <c r="A3922" s="443"/>
      <c r="B3922" s="2790" t="s">
        <v>663</v>
      </c>
      <c r="C3922" s="2790" t="s">
        <v>659</v>
      </c>
      <c r="D3922" s="3071"/>
      <c r="E3922" s="3109" t="s">
        <v>2486</v>
      </c>
      <c r="F3922" s="3072">
        <v>1210</v>
      </c>
      <c r="G3922" s="2820" t="s">
        <v>663</v>
      </c>
      <c r="H3922" s="2822"/>
      <c r="I3922" s="3687">
        <v>62090.522335800008</v>
      </c>
      <c r="J3922" s="2776"/>
      <c r="K3922" s="3688"/>
      <c r="L3922" s="2779"/>
      <c r="M3922" s="3662">
        <v>84749.61603616667</v>
      </c>
      <c r="N3922" s="2847"/>
      <c r="O3922" s="86"/>
      <c r="P3922" s="1817" t="e">
        <f>INDEX(#REF!,MATCH(F3922,#REF!,0),2)</f>
        <v>#REF!</v>
      </c>
    </row>
    <row r="3923" spans="1:16" ht="11.45" customHeight="1">
      <c r="A3923" s="443"/>
      <c r="B3923" s="2790" t="s">
        <v>663</v>
      </c>
      <c r="C3923" s="2790" t="s">
        <v>659</v>
      </c>
      <c r="D3923" s="3071"/>
      <c r="E3923" s="3109" t="s">
        <v>2486</v>
      </c>
      <c r="F3923" s="3072">
        <v>1210</v>
      </c>
      <c r="G3923" s="2820" t="s">
        <v>1180</v>
      </c>
      <c r="H3923" s="2822"/>
      <c r="I3923" s="3687"/>
      <c r="J3923" s="2776"/>
      <c r="K3923" s="3688"/>
      <c r="L3923" s="2779"/>
      <c r="M3923" s="3662"/>
      <c r="N3923" s="2847"/>
      <c r="O3923" s="86"/>
      <c r="P3923" s="1817" t="e">
        <f>INDEX(#REF!,MATCH(F3923,#REF!,0),2)</f>
        <v>#REF!</v>
      </c>
    </row>
    <row r="3924" spans="1:16" ht="11.45" customHeight="1">
      <c r="A3924" s="506"/>
      <c r="B3924" s="3084" t="s">
        <v>663</v>
      </c>
      <c r="C3924" s="3084" t="s">
        <v>659</v>
      </c>
      <c r="D3924" s="3085">
        <v>981</v>
      </c>
      <c r="E3924" s="3619" t="s">
        <v>2486</v>
      </c>
      <c r="F3924" s="3086">
        <v>1221</v>
      </c>
      <c r="G3924" s="3087" t="s">
        <v>533</v>
      </c>
      <c r="H3924" s="2838">
        <v>13005</v>
      </c>
      <c r="I3924" s="3685"/>
      <c r="J3924" s="2840">
        <v>9010</v>
      </c>
      <c r="K3924" s="3686"/>
      <c r="L3924" s="2842">
        <v>18312.206107166669</v>
      </c>
      <c r="M3924" s="2842"/>
      <c r="N3924" s="2847"/>
      <c r="O3924" s="86"/>
      <c r="P3924" s="1817" t="e">
        <f>INDEX(#REF!,MATCH(F3924,#REF!,0),2)</f>
        <v>#REF!</v>
      </c>
    </row>
    <row r="3925" spans="1:16" ht="11.45" customHeight="1">
      <c r="A3925" s="443"/>
      <c r="B3925" s="2790" t="s">
        <v>663</v>
      </c>
      <c r="C3925" s="2790" t="s">
        <v>659</v>
      </c>
      <c r="D3925" s="3071"/>
      <c r="E3925" s="3109" t="s">
        <v>2486</v>
      </c>
      <c r="F3925" s="3072">
        <v>1221</v>
      </c>
      <c r="G3925" s="2820" t="s">
        <v>663</v>
      </c>
      <c r="H3925" s="2822"/>
      <c r="I3925" s="3687">
        <v>13254.922228200001</v>
      </c>
      <c r="J3925" s="2776"/>
      <c r="K3925" s="3688"/>
      <c r="L3925" s="2779"/>
      <c r="M3925" s="3662">
        <v>18312.206107166669</v>
      </c>
      <c r="N3925" s="2847"/>
      <c r="O3925" s="86"/>
      <c r="P3925" s="1817" t="e">
        <f>INDEX(#REF!,MATCH(F3925,#REF!,0),2)</f>
        <v>#REF!</v>
      </c>
    </row>
    <row r="3926" spans="1:16" ht="11.45" customHeight="1">
      <c r="A3926" s="1182"/>
      <c r="B3926" s="2790" t="s">
        <v>663</v>
      </c>
      <c r="C3926" s="2790" t="s">
        <v>659</v>
      </c>
      <c r="D3926" s="3071"/>
      <c r="E3926" s="3109" t="s">
        <v>2486</v>
      </c>
      <c r="F3926" s="3072">
        <v>1221</v>
      </c>
      <c r="G3926" s="2820" t="s">
        <v>1989</v>
      </c>
      <c r="H3926" s="2822"/>
      <c r="I3926" s="3687"/>
      <c r="J3926" s="2776"/>
      <c r="K3926" s="3688"/>
      <c r="L3926" s="2779"/>
      <c r="M3926" s="3662"/>
      <c r="N3926" s="2847"/>
      <c r="O3926" s="86"/>
      <c r="P3926" s="1817" t="e">
        <f>INDEX(#REF!,MATCH(F3926,#REF!,0),2)</f>
        <v>#REF!</v>
      </c>
    </row>
    <row r="3927" spans="1:16" ht="52.9" customHeight="1">
      <c r="A3927" s="506"/>
      <c r="B3927" s="3084" t="s">
        <v>663</v>
      </c>
      <c r="C3927" s="3084" t="s">
        <v>659</v>
      </c>
      <c r="D3927" s="3085">
        <v>981</v>
      </c>
      <c r="E3927" s="3619" t="s">
        <v>2486</v>
      </c>
      <c r="F3927" s="3086">
        <v>1228</v>
      </c>
      <c r="G3927" s="3087" t="s">
        <v>270</v>
      </c>
      <c r="H3927" s="2838">
        <v>250</v>
      </c>
      <c r="I3927" s="3685"/>
      <c r="J3927" s="2840">
        <v>128</v>
      </c>
      <c r="K3927" s="3686"/>
      <c r="L3927" s="2842">
        <v>0</v>
      </c>
      <c r="M3927" s="2842"/>
      <c r="N3927" s="2847"/>
      <c r="O3927" s="86"/>
      <c r="P3927" s="1817" t="e">
        <f>INDEX(#REF!,MATCH(F3927,#REF!,0),2)</f>
        <v>#REF!</v>
      </c>
    </row>
    <row r="3928" spans="1:16" ht="43.15" customHeight="1">
      <c r="A3928" s="443"/>
      <c r="B3928" s="2790" t="s">
        <v>663</v>
      </c>
      <c r="C3928" s="2790" t="s">
        <v>659</v>
      </c>
      <c r="D3928" s="3071"/>
      <c r="E3928" s="3109" t="s">
        <v>2486</v>
      </c>
      <c r="F3928" s="3072">
        <v>1228</v>
      </c>
      <c r="G3928" s="2820" t="s">
        <v>1829</v>
      </c>
      <c r="H3928" s="2822"/>
      <c r="I3928" s="3687"/>
      <c r="J3928" s="2776"/>
      <c r="K3928" s="3688"/>
      <c r="L3928" s="2779"/>
      <c r="M3928" s="3662"/>
      <c r="N3928" s="2847"/>
      <c r="O3928" s="86"/>
      <c r="P3928" s="1817" t="e">
        <f>INDEX(#REF!,MATCH(F3928,#REF!,0),2)</f>
        <v>#REF!</v>
      </c>
    </row>
    <row r="3929" spans="1:16" ht="11.45" customHeight="1">
      <c r="A3929" s="506"/>
      <c r="B3929" s="3084" t="s">
        <v>1248</v>
      </c>
      <c r="C3929" s="3084" t="s">
        <v>507</v>
      </c>
      <c r="D3929" s="3085">
        <v>981</v>
      </c>
      <c r="E3929" s="3619" t="s">
        <v>2486</v>
      </c>
      <c r="F3929" s="3086">
        <v>2112</v>
      </c>
      <c r="G3929" s="3087" t="s">
        <v>912</v>
      </c>
      <c r="H3929" s="2838">
        <v>0</v>
      </c>
      <c r="I3929" s="3685"/>
      <c r="J3929" s="2840"/>
      <c r="K3929" s="3686"/>
      <c r="L3929" s="2842">
        <v>0</v>
      </c>
      <c r="M3929" s="2842"/>
      <c r="N3929" s="2847"/>
      <c r="O3929" s="86"/>
      <c r="P3929" s="1817" t="e">
        <f>INDEX(#REF!,MATCH(F3929,#REF!,0),2)</f>
        <v>#REF!</v>
      </c>
    </row>
    <row r="3930" spans="1:16" ht="26.45" customHeight="1">
      <c r="A3930" s="443"/>
      <c r="B3930" s="2790" t="s">
        <v>1248</v>
      </c>
      <c r="C3930" s="2790" t="s">
        <v>507</v>
      </c>
      <c r="D3930" s="3071"/>
      <c r="E3930" s="3109" t="s">
        <v>2486</v>
      </c>
      <c r="F3930" s="3072">
        <v>2112</v>
      </c>
      <c r="G3930" s="2774"/>
      <c r="H3930" s="2822"/>
      <c r="I3930" s="3687"/>
      <c r="J3930" s="2776"/>
      <c r="K3930" s="3688"/>
      <c r="L3930" s="2779"/>
      <c r="M3930" s="3662"/>
      <c r="N3930" s="2847"/>
      <c r="O3930" s="86"/>
      <c r="P3930" s="1817" t="e">
        <f>INDEX(#REF!,MATCH(F3930,#REF!,0),2)</f>
        <v>#REF!</v>
      </c>
    </row>
    <row r="3931" spans="1:16" ht="11.45" customHeight="1">
      <c r="A3931" s="506"/>
      <c r="B3931" s="3084" t="s">
        <v>1248</v>
      </c>
      <c r="C3931" s="3084" t="s">
        <v>505</v>
      </c>
      <c r="D3931" s="3085">
        <v>981</v>
      </c>
      <c r="E3931" s="3619" t="s">
        <v>2486</v>
      </c>
      <c r="F3931" s="3086">
        <v>2210</v>
      </c>
      <c r="G3931" s="3087" t="s">
        <v>879</v>
      </c>
      <c r="H3931" s="2838">
        <v>1680</v>
      </c>
      <c r="I3931" s="3685"/>
      <c r="J3931" s="2840">
        <v>1420</v>
      </c>
      <c r="K3931" s="3686"/>
      <c r="L3931" s="2842">
        <v>2532</v>
      </c>
      <c r="M3931" s="2842"/>
      <c r="N3931" s="2847"/>
      <c r="O3931" s="86"/>
      <c r="P3931" s="1817" t="e">
        <f>INDEX(#REF!,MATCH(F3931,#REF!,0),2)</f>
        <v>#REF!</v>
      </c>
    </row>
    <row r="3932" spans="1:16" ht="28.15" customHeight="1">
      <c r="A3932" s="443"/>
      <c r="B3932" s="2790" t="s">
        <v>1248</v>
      </c>
      <c r="C3932" s="2790" t="s">
        <v>505</v>
      </c>
      <c r="D3932" s="3071"/>
      <c r="E3932" s="3109" t="s">
        <v>2486</v>
      </c>
      <c r="F3932" s="3072">
        <v>2210</v>
      </c>
      <c r="G3932" s="2774" t="s">
        <v>4943</v>
      </c>
      <c r="H3932" s="3690"/>
      <c r="I3932" s="3687">
        <v>450</v>
      </c>
      <c r="J3932" s="2776"/>
      <c r="K3932" s="3688"/>
      <c r="L3932" s="2779"/>
      <c r="M3932" s="3662">
        <v>720</v>
      </c>
      <c r="N3932" s="2847" t="s">
        <v>4941</v>
      </c>
      <c r="O3932" s="86"/>
      <c r="P3932" s="1817" t="e">
        <f>INDEX(#REF!,MATCH(F3932,#REF!,0),2)</f>
        <v>#REF!</v>
      </c>
    </row>
    <row r="3933" spans="1:16" ht="30.6" customHeight="1">
      <c r="A3933" s="443"/>
      <c r="B3933" s="2790" t="s">
        <v>1248</v>
      </c>
      <c r="C3933" s="2790" t="s">
        <v>505</v>
      </c>
      <c r="D3933" s="3071"/>
      <c r="E3933" s="3109" t="s">
        <v>2486</v>
      </c>
      <c r="F3933" s="3072">
        <v>2210</v>
      </c>
      <c r="G3933" s="2774" t="s">
        <v>4944</v>
      </c>
      <c r="H3933" s="3690"/>
      <c r="I3933" s="3687">
        <v>1230</v>
      </c>
      <c r="J3933" s="2776"/>
      <c r="K3933" s="3688"/>
      <c r="L3933" s="2779"/>
      <c r="M3933" s="3662">
        <v>1812</v>
      </c>
      <c r="N3933" s="2847" t="s">
        <v>4942</v>
      </c>
      <c r="O3933" s="86"/>
      <c r="P3933" s="1817" t="e">
        <f>INDEX(#REF!,MATCH(F3933,#REF!,0),2)</f>
        <v>#REF!</v>
      </c>
    </row>
    <row r="3934" spans="1:16" ht="20.45" customHeight="1">
      <c r="A3934" s="506"/>
      <c r="B3934" s="3084" t="s">
        <v>1248</v>
      </c>
      <c r="C3934" s="3084" t="s">
        <v>505</v>
      </c>
      <c r="D3934" s="3085">
        <v>981</v>
      </c>
      <c r="E3934" s="3619" t="s">
        <v>2486</v>
      </c>
      <c r="F3934" s="3086">
        <v>2221</v>
      </c>
      <c r="G3934" s="3087" t="s">
        <v>958</v>
      </c>
      <c r="H3934" s="2838">
        <v>66300</v>
      </c>
      <c r="I3934" s="3685"/>
      <c r="J3934" s="2842">
        <v>71797</v>
      </c>
      <c r="K3934" s="3686"/>
      <c r="L3934" s="2842">
        <v>75000</v>
      </c>
      <c r="M3934" s="2842"/>
      <c r="N3934" s="241" t="s">
        <v>6112</v>
      </c>
      <c r="O3934" s="86"/>
      <c r="P3934" s="1817" t="e">
        <f>INDEX(#REF!,MATCH(F3934,#REF!,0),2)</f>
        <v>#REF!</v>
      </c>
    </row>
    <row r="3935" spans="1:16" ht="25.15" customHeight="1">
      <c r="A3935" s="443"/>
      <c r="B3935" s="2790" t="s">
        <v>1248</v>
      </c>
      <c r="C3935" s="2790" t="s">
        <v>505</v>
      </c>
      <c r="D3935" s="3071"/>
      <c r="E3935" s="3109" t="s">
        <v>2486</v>
      </c>
      <c r="F3935" s="3072">
        <v>2221</v>
      </c>
      <c r="G3935" s="2774" t="s">
        <v>1146</v>
      </c>
      <c r="H3935" s="2822"/>
      <c r="I3935" s="3687">
        <v>65300</v>
      </c>
      <c r="J3935" s="2776"/>
      <c r="K3935" s="3688"/>
      <c r="L3935" s="2779"/>
      <c r="M3935" s="4096">
        <v>75000</v>
      </c>
      <c r="N3935" s="2846" t="s">
        <v>6019</v>
      </c>
      <c r="O3935" s="86"/>
      <c r="P3935" s="1817" t="e">
        <f>INDEX(#REF!,MATCH(F3935,#REF!,0),2)</f>
        <v>#REF!</v>
      </c>
    </row>
    <row r="3936" spans="1:16" ht="21.6" customHeight="1">
      <c r="A3936" s="1921"/>
      <c r="B3936" s="2790" t="s">
        <v>1248</v>
      </c>
      <c r="C3936" s="2790" t="s">
        <v>505</v>
      </c>
      <c r="D3936" s="3071"/>
      <c r="E3936" s="3109" t="s">
        <v>2486</v>
      </c>
      <c r="F3936" s="3072">
        <v>2221</v>
      </c>
      <c r="G3936" s="2774" t="s">
        <v>3121</v>
      </c>
      <c r="H3936" s="2822"/>
      <c r="I3936" s="3687">
        <v>-7000</v>
      </c>
      <c r="J3936" s="2776"/>
      <c r="K3936" s="3688"/>
      <c r="L3936" s="2779"/>
      <c r="M3936" s="3662"/>
      <c r="N3936" s="2847"/>
      <c r="O3936" s="86"/>
      <c r="P3936" s="1817" t="e">
        <f>INDEX(#REF!,MATCH(F3936,#REF!,0),2)</f>
        <v>#REF!</v>
      </c>
    </row>
    <row r="3937" spans="1:33" ht="20.45" customHeight="1">
      <c r="A3937" s="506"/>
      <c r="B3937" s="3084" t="s">
        <v>1248</v>
      </c>
      <c r="C3937" s="3084" t="s">
        <v>505</v>
      </c>
      <c r="D3937" s="3085">
        <v>981</v>
      </c>
      <c r="E3937" s="3619" t="s">
        <v>2486</v>
      </c>
      <c r="F3937" s="3086">
        <v>2222</v>
      </c>
      <c r="G3937" s="3087" t="s">
        <v>272</v>
      </c>
      <c r="H3937" s="2838">
        <v>10800</v>
      </c>
      <c r="I3937" s="3685"/>
      <c r="J3937" s="2840">
        <v>4821</v>
      </c>
      <c r="K3937" s="3686"/>
      <c r="L3937" s="2842">
        <v>7000</v>
      </c>
      <c r="M3937" s="2842"/>
      <c r="N3937" s="2847"/>
      <c r="O3937" s="86"/>
      <c r="P3937" s="1817" t="e">
        <f>INDEX(#REF!,MATCH(F3937,#REF!,0),2)</f>
        <v>#REF!</v>
      </c>
    </row>
    <row r="3938" spans="1:33" ht="23.45" customHeight="1">
      <c r="A3938" s="443"/>
      <c r="B3938" s="2790" t="s">
        <v>1248</v>
      </c>
      <c r="C3938" s="2790" t="s">
        <v>505</v>
      </c>
      <c r="D3938" s="3071"/>
      <c r="E3938" s="3109" t="s">
        <v>2486</v>
      </c>
      <c r="F3938" s="3072">
        <v>2222</v>
      </c>
      <c r="G3938" s="2774" t="s">
        <v>372</v>
      </c>
      <c r="H3938" s="2822"/>
      <c r="I3938" s="3687">
        <v>10800</v>
      </c>
      <c r="J3938" s="2776"/>
      <c r="K3938" s="3688"/>
      <c r="L3938" s="2779"/>
      <c r="M3938" s="4293">
        <v>7000</v>
      </c>
      <c r="N3938" s="2846" t="s">
        <v>6020</v>
      </c>
      <c r="O3938" s="86"/>
      <c r="P3938" s="1817" t="e">
        <f>INDEX(#REF!,MATCH(F3938,#REF!,0),2)</f>
        <v>#REF!</v>
      </c>
    </row>
    <row r="3939" spans="1:33" ht="34.15" customHeight="1">
      <c r="A3939" s="506"/>
      <c r="B3939" s="3084" t="s">
        <v>1248</v>
      </c>
      <c r="C3939" s="3084" t="s">
        <v>505</v>
      </c>
      <c r="D3939" s="3085">
        <v>981</v>
      </c>
      <c r="E3939" s="3619" t="s">
        <v>2486</v>
      </c>
      <c r="F3939" s="3086">
        <v>2223</v>
      </c>
      <c r="G3939" s="3087" t="s">
        <v>273</v>
      </c>
      <c r="H3939" s="2838">
        <v>70500</v>
      </c>
      <c r="I3939" s="3685"/>
      <c r="J3939" s="2839">
        <v>62850</v>
      </c>
      <c r="K3939" s="3686"/>
      <c r="L3939" s="2842">
        <v>70500</v>
      </c>
      <c r="M3939" s="2842"/>
      <c r="N3939" s="2847"/>
      <c r="O3939" s="86"/>
      <c r="P3939" s="1817" t="e">
        <f>INDEX(#REF!,MATCH(F3939,#REF!,0),2)</f>
        <v>#REF!</v>
      </c>
      <c r="Q3939" s="1797"/>
      <c r="R3939" s="1797"/>
      <c r="S3939" s="1797"/>
      <c r="T3939" s="1797"/>
      <c r="U3939" s="1797"/>
      <c r="V3939" s="1797"/>
      <c r="W3939" s="43"/>
      <c r="X3939" s="1797"/>
      <c r="Y3939" s="1797"/>
      <c r="Z3939" s="1797"/>
      <c r="AA3939" s="1797"/>
      <c r="AB3939" s="1797"/>
      <c r="AC3939" s="1797"/>
      <c r="AD3939" s="1797"/>
      <c r="AE3939" s="1797"/>
      <c r="AF3939" s="1797"/>
      <c r="AG3939" s="1797"/>
    </row>
    <row r="3940" spans="1:33" ht="23.45" customHeight="1">
      <c r="A3940" s="443"/>
      <c r="B3940" s="2790" t="s">
        <v>1248</v>
      </c>
      <c r="C3940" s="2790" t="s">
        <v>505</v>
      </c>
      <c r="D3940" s="3071"/>
      <c r="E3940" s="3109" t="s">
        <v>2486</v>
      </c>
      <c r="F3940" s="3072">
        <v>2223</v>
      </c>
      <c r="G3940" s="2774" t="s">
        <v>4945</v>
      </c>
      <c r="H3940" s="3690"/>
      <c r="I3940" s="3687">
        <v>78500</v>
      </c>
      <c r="J3940" s="2776"/>
      <c r="K3940" s="3688"/>
      <c r="L3940" s="2779"/>
      <c r="M3940" s="4293">
        <v>70500</v>
      </c>
      <c r="N3940" s="2846" t="s">
        <v>6021</v>
      </c>
      <c r="O3940" s="86"/>
      <c r="P3940" s="1817" t="e">
        <f>INDEX(#REF!,MATCH(F3940,#REF!,0),2)</f>
        <v>#REF!</v>
      </c>
      <c r="Q3940" s="1797"/>
      <c r="R3940" s="1797"/>
      <c r="S3940" s="1797"/>
      <c r="T3940" s="1797"/>
      <c r="U3940" s="1797"/>
      <c r="V3940" s="1797"/>
      <c r="W3940" s="43"/>
      <c r="X3940" s="1797"/>
      <c r="Y3940" s="1797"/>
      <c r="Z3940" s="1797"/>
      <c r="AA3940" s="1797"/>
      <c r="AB3940" s="1797"/>
      <c r="AC3940" s="1797"/>
      <c r="AD3940" s="1797"/>
      <c r="AE3940" s="1797"/>
      <c r="AF3940" s="1797"/>
      <c r="AG3940" s="1797"/>
    </row>
    <row r="3941" spans="1:33" ht="18.600000000000001" customHeight="1">
      <c r="A3941" s="506"/>
      <c r="B3941" s="3084" t="s">
        <v>1248</v>
      </c>
      <c r="C3941" s="3084" t="s">
        <v>505</v>
      </c>
      <c r="D3941" s="3085">
        <v>981</v>
      </c>
      <c r="E3941" s="3619" t="s">
        <v>2486</v>
      </c>
      <c r="F3941" s="3086">
        <v>2224</v>
      </c>
      <c r="G3941" s="3087" t="s">
        <v>274</v>
      </c>
      <c r="H3941" s="2838">
        <v>7045</v>
      </c>
      <c r="I3941" s="3685"/>
      <c r="J3941" s="2840">
        <v>7039</v>
      </c>
      <c r="K3941" s="3686"/>
      <c r="L3941" s="2842">
        <v>7500</v>
      </c>
      <c r="M3941" s="2842"/>
      <c r="N3941" s="2847"/>
      <c r="O3941" s="86"/>
      <c r="P3941" s="1817" t="e">
        <f>INDEX(#REF!,MATCH(F3941,#REF!,0),2)</f>
        <v>#REF!</v>
      </c>
      <c r="Q3941" s="1797"/>
      <c r="R3941" s="1797"/>
      <c r="S3941" s="1797"/>
      <c r="T3941" s="1797"/>
      <c r="U3941" s="1797"/>
      <c r="V3941" s="1797"/>
      <c r="W3941" s="43"/>
      <c r="X3941" s="1797"/>
      <c r="Y3941" s="1797"/>
      <c r="Z3941" s="1797"/>
      <c r="AA3941" s="1797"/>
      <c r="AB3941" s="1797"/>
      <c r="AC3941" s="1797"/>
      <c r="AD3941" s="1797"/>
      <c r="AE3941" s="1797"/>
      <c r="AF3941" s="1797"/>
      <c r="AG3941" s="1797"/>
    </row>
    <row r="3942" spans="1:33" ht="18.600000000000001" customHeight="1">
      <c r="A3942" s="443"/>
      <c r="B3942" s="2790" t="s">
        <v>1248</v>
      </c>
      <c r="C3942" s="2790" t="s">
        <v>505</v>
      </c>
      <c r="D3942" s="3071"/>
      <c r="E3942" s="3109" t="s">
        <v>2486</v>
      </c>
      <c r="F3942" s="3072">
        <v>2224</v>
      </c>
      <c r="G3942" s="2774" t="s">
        <v>4946</v>
      </c>
      <c r="H3942" s="2822"/>
      <c r="I3942" s="3687">
        <v>7045</v>
      </c>
      <c r="J3942" s="2776"/>
      <c r="K3942" s="3688"/>
      <c r="L3942" s="2779"/>
      <c r="M3942" s="3662">
        <v>7500</v>
      </c>
      <c r="N3942" s="2846" t="s">
        <v>4947</v>
      </c>
      <c r="O3942" s="86"/>
      <c r="P3942" s="1817" t="e">
        <f>INDEX(#REF!,MATCH(F3942,#REF!,0),2)</f>
        <v>#REF!</v>
      </c>
      <c r="Q3942" s="1797"/>
      <c r="R3942" s="1797"/>
      <c r="S3942" s="1797"/>
      <c r="T3942" s="1797"/>
      <c r="U3942" s="1797"/>
      <c r="V3942" s="1797"/>
      <c r="W3942" s="43"/>
      <c r="X3942" s="1797"/>
      <c r="Y3942" s="1797"/>
      <c r="Z3942" s="1797"/>
      <c r="AA3942" s="1797"/>
      <c r="AB3942" s="1797"/>
      <c r="AC3942" s="1797"/>
      <c r="AD3942" s="1797"/>
      <c r="AE3942" s="1797"/>
      <c r="AF3942" s="1797"/>
      <c r="AG3942" s="1797"/>
    </row>
    <row r="3943" spans="1:33" ht="20.45" customHeight="1">
      <c r="A3943" s="506"/>
      <c r="B3943" s="3084" t="s">
        <v>1248</v>
      </c>
      <c r="C3943" s="3084" t="s">
        <v>507</v>
      </c>
      <c r="D3943" s="3085">
        <v>981</v>
      </c>
      <c r="E3943" s="3619" t="s">
        <v>2486</v>
      </c>
      <c r="F3943" s="3086">
        <v>2233</v>
      </c>
      <c r="G3943" s="3087" t="s">
        <v>373</v>
      </c>
      <c r="H3943" s="2838">
        <v>54430</v>
      </c>
      <c r="I3943" s="3685"/>
      <c r="J3943" s="2839">
        <v>28734</v>
      </c>
      <c r="K3943" s="3686"/>
      <c r="L3943" s="2842">
        <v>62500</v>
      </c>
      <c r="M3943" s="2842"/>
      <c r="N3943" s="2847"/>
      <c r="O3943" s="86"/>
      <c r="P3943" s="1817" t="e">
        <f>INDEX(#REF!,MATCH(F3943,#REF!,0),2)</f>
        <v>#REF!</v>
      </c>
    </row>
    <row r="3944" spans="1:33" ht="15.6" customHeight="1">
      <c r="A3944" s="443"/>
      <c r="B3944" s="2790" t="s">
        <v>1248</v>
      </c>
      <c r="C3944" s="2790" t="s">
        <v>507</v>
      </c>
      <c r="D3944" s="3071"/>
      <c r="E3944" s="3109" t="s">
        <v>2486</v>
      </c>
      <c r="F3944" s="3072">
        <v>2233</v>
      </c>
      <c r="G3944" s="2774" t="s">
        <v>4948</v>
      </c>
      <c r="H3944" s="3690"/>
      <c r="I3944" s="3687">
        <v>15000</v>
      </c>
      <c r="J3944" s="2776"/>
      <c r="K3944" s="3688"/>
      <c r="L3944" s="2779"/>
      <c r="M3944" s="3662">
        <v>18000</v>
      </c>
      <c r="N3944" s="2846" t="s">
        <v>4951</v>
      </c>
      <c r="O3944" s="86"/>
      <c r="P3944" s="1817" t="e">
        <f>INDEX(#REF!,MATCH(F3944,#REF!,0),2)</f>
        <v>#REF!</v>
      </c>
    </row>
    <row r="3945" spans="1:33" ht="30.6" customHeight="1">
      <c r="A3945" s="443"/>
      <c r="B3945" s="2790" t="s">
        <v>1248</v>
      </c>
      <c r="C3945" s="2790" t="s">
        <v>507</v>
      </c>
      <c r="D3945" s="3071"/>
      <c r="E3945" s="3109" t="s">
        <v>2486</v>
      </c>
      <c r="F3945" s="3072">
        <v>2233</v>
      </c>
      <c r="G3945" s="2774" t="s">
        <v>883</v>
      </c>
      <c r="H3945" s="3690"/>
      <c r="I3945" s="3687">
        <v>25000</v>
      </c>
      <c r="J3945" s="2776"/>
      <c r="K3945" s="3688"/>
      <c r="L3945" s="2779"/>
      <c r="M3945" s="3662">
        <v>25000</v>
      </c>
      <c r="N3945" s="2846"/>
      <c r="O3945" s="86"/>
      <c r="P3945" s="1817" t="e">
        <f>INDEX(#REF!,MATCH(F3945,#REF!,0),2)</f>
        <v>#REF!</v>
      </c>
    </row>
    <row r="3946" spans="1:33" ht="28.15" customHeight="1">
      <c r="A3946" s="443"/>
      <c r="B3946" s="2790" t="s">
        <v>1248</v>
      </c>
      <c r="C3946" s="2790" t="s">
        <v>507</v>
      </c>
      <c r="D3946" s="3071"/>
      <c r="E3946" s="3109" t="s">
        <v>2486</v>
      </c>
      <c r="F3946" s="3072">
        <v>2233</v>
      </c>
      <c r="G3946" s="2810" t="s">
        <v>4949</v>
      </c>
      <c r="H3946" s="3690"/>
      <c r="I3946" s="3687">
        <v>10500</v>
      </c>
      <c r="J3946" s="2776"/>
      <c r="K3946" s="3688"/>
      <c r="L3946" s="2779"/>
      <c r="M3946" s="3662">
        <v>11400</v>
      </c>
      <c r="N3946" s="2846" t="s">
        <v>4952</v>
      </c>
      <c r="O3946" s="86"/>
      <c r="P3946" s="1817" t="e">
        <f>INDEX(#REF!,MATCH(F3946,#REF!,0),2)</f>
        <v>#REF!</v>
      </c>
    </row>
    <row r="3947" spans="1:33" ht="21" customHeight="1">
      <c r="A3947" s="412"/>
      <c r="B3947" s="2790" t="s">
        <v>1248</v>
      </c>
      <c r="C3947" s="2790" t="s">
        <v>507</v>
      </c>
      <c r="D3947" s="3071"/>
      <c r="E3947" s="3109" t="s">
        <v>2486</v>
      </c>
      <c r="F3947" s="3072">
        <v>2233</v>
      </c>
      <c r="G3947" s="2774" t="s">
        <v>4950</v>
      </c>
      <c r="H3947" s="3591"/>
      <c r="I3947" s="3588">
        <v>5000</v>
      </c>
      <c r="J3947" s="2776"/>
      <c r="K3947" s="3590"/>
      <c r="L3947" s="3587"/>
      <c r="M3947" s="3588">
        <v>8100</v>
      </c>
      <c r="N3947" s="2846" t="s">
        <v>4953</v>
      </c>
      <c r="O3947" s="86"/>
      <c r="P3947" s="1817" t="e">
        <f>INDEX(#REF!,MATCH(F3947,#REF!,0),2)</f>
        <v>#REF!</v>
      </c>
    </row>
    <row r="3948" spans="1:33" ht="12" customHeight="1">
      <c r="A3948" s="1882"/>
      <c r="B3948" s="2790" t="s">
        <v>1248</v>
      </c>
      <c r="C3948" s="2790" t="s">
        <v>507</v>
      </c>
      <c r="D3948" s="3071"/>
      <c r="E3948" s="3109" t="s">
        <v>2486</v>
      </c>
      <c r="F3948" s="3072">
        <v>2233</v>
      </c>
      <c r="G3948" s="2774" t="s">
        <v>3196</v>
      </c>
      <c r="H3948" s="3591"/>
      <c r="I3948" s="3588">
        <v>-1070</v>
      </c>
      <c r="J3948" s="2776"/>
      <c r="K3948" s="3590"/>
      <c r="L3948" s="3587"/>
      <c r="M3948" s="3588"/>
      <c r="N3948" s="2847"/>
      <c r="O3948" s="86"/>
      <c r="P3948" s="1817" t="e">
        <f>INDEX(#REF!,MATCH(F3948,#REF!,0),2)</f>
        <v>#REF!</v>
      </c>
    </row>
    <row r="3949" spans="1:33" ht="18.600000000000001" customHeight="1">
      <c r="A3949" s="506"/>
      <c r="B3949" s="3084" t="s">
        <v>1248</v>
      </c>
      <c r="C3949" s="3084" t="s">
        <v>507</v>
      </c>
      <c r="D3949" s="3085">
        <v>981</v>
      </c>
      <c r="E3949" s="3619" t="s">
        <v>2486</v>
      </c>
      <c r="F3949" s="3691">
        <v>2234</v>
      </c>
      <c r="G3949" s="3087" t="s">
        <v>375</v>
      </c>
      <c r="H3949" s="2838">
        <v>600</v>
      </c>
      <c r="I3949" s="3685"/>
      <c r="J3949" s="2840"/>
      <c r="K3949" s="3686"/>
      <c r="L3949" s="2842">
        <v>600</v>
      </c>
      <c r="M3949" s="2842"/>
      <c r="N3949" s="2847"/>
      <c r="O3949" s="86"/>
      <c r="P3949" s="1817" t="e">
        <f>INDEX(#REF!,MATCH(F3949,#REF!,0),2)</f>
        <v>#REF!</v>
      </c>
    </row>
    <row r="3950" spans="1:33" ht="18.600000000000001" customHeight="1">
      <c r="A3950" s="443"/>
      <c r="B3950" s="2790" t="s">
        <v>1248</v>
      </c>
      <c r="C3950" s="2790" t="s">
        <v>507</v>
      </c>
      <c r="D3950" s="3071"/>
      <c r="E3950" s="3109" t="s">
        <v>2486</v>
      </c>
      <c r="F3950" s="3692">
        <v>2234</v>
      </c>
      <c r="G3950" s="2774" t="s">
        <v>888</v>
      </c>
      <c r="H3950" s="2822"/>
      <c r="I3950" s="3687">
        <v>600</v>
      </c>
      <c r="J3950" s="2776"/>
      <c r="K3950" s="3688"/>
      <c r="L3950" s="2779"/>
      <c r="M3950" s="3662">
        <v>600</v>
      </c>
      <c r="N3950" s="2847" t="s">
        <v>2379</v>
      </c>
      <c r="O3950" s="86"/>
      <c r="P3950" s="1817" t="e">
        <f>INDEX(#REF!,MATCH(F3950,#REF!,0),2)</f>
        <v>#REF!</v>
      </c>
    </row>
    <row r="3951" spans="1:33" ht="18.600000000000001" customHeight="1">
      <c r="A3951" s="506"/>
      <c r="B3951" s="3084" t="s">
        <v>1248</v>
      </c>
      <c r="C3951" s="3084" t="s">
        <v>507</v>
      </c>
      <c r="D3951" s="3085">
        <v>981</v>
      </c>
      <c r="E3951" s="3619" t="s">
        <v>2486</v>
      </c>
      <c r="F3951" s="3086">
        <v>2239</v>
      </c>
      <c r="G3951" s="3087" t="s">
        <v>237</v>
      </c>
      <c r="H3951" s="2838">
        <v>5770</v>
      </c>
      <c r="I3951" s="3685"/>
      <c r="J3951" s="2840">
        <v>5229</v>
      </c>
      <c r="K3951" s="3686"/>
      <c r="L3951" s="2842">
        <v>7370</v>
      </c>
      <c r="M3951" s="2842"/>
      <c r="N3951" s="2847"/>
      <c r="O3951" s="86"/>
      <c r="P3951" s="1817" t="e">
        <f>INDEX(#REF!,MATCH(F3951,#REF!,0),2)</f>
        <v>#REF!</v>
      </c>
    </row>
    <row r="3952" spans="1:33" ht="30.6" customHeight="1">
      <c r="A3952" s="443"/>
      <c r="B3952" s="2790" t="s">
        <v>1248</v>
      </c>
      <c r="C3952" s="2790" t="s">
        <v>507</v>
      </c>
      <c r="D3952" s="3071"/>
      <c r="E3952" s="3109" t="s">
        <v>2486</v>
      </c>
      <c r="F3952" s="3072">
        <v>2239</v>
      </c>
      <c r="G3952" s="2774" t="s">
        <v>959</v>
      </c>
      <c r="H3952" s="2822"/>
      <c r="I3952" s="3687">
        <v>1000</v>
      </c>
      <c r="J3952" s="2776"/>
      <c r="K3952" s="3688"/>
      <c r="L3952" s="2779"/>
      <c r="M3952" s="3662">
        <v>1000</v>
      </c>
      <c r="N3952" s="2847"/>
      <c r="O3952" s="86"/>
      <c r="P3952" s="1817"/>
    </row>
    <row r="3953" spans="1:16" ht="28.15" customHeight="1">
      <c r="A3953" s="443"/>
      <c r="B3953" s="2790" t="s">
        <v>1248</v>
      </c>
      <c r="C3953" s="2790" t="s">
        <v>507</v>
      </c>
      <c r="D3953" s="3071"/>
      <c r="E3953" s="3109" t="s">
        <v>2486</v>
      </c>
      <c r="F3953" s="3072">
        <v>2239</v>
      </c>
      <c r="G3953" s="2774" t="s">
        <v>960</v>
      </c>
      <c r="H3953" s="2822"/>
      <c r="I3953" s="3687">
        <v>120</v>
      </c>
      <c r="J3953" s="2776"/>
      <c r="K3953" s="3688"/>
      <c r="L3953" s="2779"/>
      <c r="M3953" s="3662">
        <v>120</v>
      </c>
      <c r="N3953" s="2847"/>
      <c r="O3953" s="86"/>
      <c r="P3953" s="1817"/>
    </row>
    <row r="3954" spans="1:16" ht="33" customHeight="1">
      <c r="A3954" s="443"/>
      <c r="B3954" s="2790" t="s">
        <v>1248</v>
      </c>
      <c r="C3954" s="2790" t="s">
        <v>507</v>
      </c>
      <c r="D3954" s="3071"/>
      <c r="E3954" s="3109" t="s">
        <v>2486</v>
      </c>
      <c r="F3954" s="3072">
        <v>2239</v>
      </c>
      <c r="G3954" s="2774" t="s">
        <v>1009</v>
      </c>
      <c r="H3954" s="2822"/>
      <c r="I3954" s="3687">
        <v>500</v>
      </c>
      <c r="J3954" s="2776"/>
      <c r="K3954" s="3688"/>
      <c r="L3954" s="2779"/>
      <c r="M3954" s="4293">
        <v>750</v>
      </c>
      <c r="N3954" s="2846" t="s">
        <v>6022</v>
      </c>
      <c r="O3954" s="86"/>
      <c r="P3954" s="1817" t="e">
        <f>INDEX(#REF!,MATCH(F3954,#REF!,0),2)</f>
        <v>#REF!</v>
      </c>
    </row>
    <row r="3955" spans="1:16" ht="23.45" customHeight="1">
      <c r="A3955" s="443"/>
      <c r="B3955" s="2790" t="s">
        <v>1248</v>
      </c>
      <c r="C3955" s="2790" t="s">
        <v>507</v>
      </c>
      <c r="D3955" s="3071"/>
      <c r="E3955" s="3109" t="s">
        <v>2486</v>
      </c>
      <c r="F3955" s="3072">
        <v>2239</v>
      </c>
      <c r="G3955" s="2774" t="s">
        <v>4954</v>
      </c>
      <c r="H3955" s="3690"/>
      <c r="I3955" s="3687">
        <v>3800</v>
      </c>
      <c r="J3955" s="2776"/>
      <c r="K3955" s="3688"/>
      <c r="L3955" s="2779"/>
      <c r="M3955" s="3662">
        <v>3800</v>
      </c>
      <c r="N3955" s="2847"/>
      <c r="O3955" s="86"/>
      <c r="P3955" s="1817" t="e">
        <f>INDEX(#REF!,MATCH(F3955,#REF!,0),2)</f>
        <v>#REF!</v>
      </c>
    </row>
    <row r="3956" spans="1:16" ht="21.6" customHeight="1">
      <c r="A3956" s="443"/>
      <c r="B3956" s="2790" t="s">
        <v>1248</v>
      </c>
      <c r="C3956" s="2790" t="s">
        <v>507</v>
      </c>
      <c r="D3956" s="3071"/>
      <c r="E3956" s="3109" t="s">
        <v>2486</v>
      </c>
      <c r="F3956" s="3072">
        <v>2239</v>
      </c>
      <c r="G3956" s="2774" t="s">
        <v>961</v>
      </c>
      <c r="H3956" s="3690"/>
      <c r="I3956" s="3687">
        <v>100</v>
      </c>
      <c r="J3956" s="2776"/>
      <c r="K3956" s="3688"/>
      <c r="L3956" s="2779"/>
      <c r="M3956" s="3662">
        <v>100</v>
      </c>
      <c r="N3956" s="2847"/>
      <c r="O3956" s="86"/>
      <c r="P3956" s="1817" t="e">
        <f>INDEX(#REF!,MATCH(F3956,#REF!,0),2)</f>
        <v>#REF!</v>
      </c>
    </row>
    <row r="3957" spans="1:16" ht="16.149999999999999" customHeight="1">
      <c r="A3957" s="443"/>
      <c r="B3957" s="2790" t="s">
        <v>1248</v>
      </c>
      <c r="C3957" s="2790" t="s">
        <v>507</v>
      </c>
      <c r="D3957" s="3071"/>
      <c r="E3957" s="3109" t="s">
        <v>2486</v>
      </c>
      <c r="F3957" s="3072">
        <v>2239</v>
      </c>
      <c r="G3957" s="3689" t="s">
        <v>2380</v>
      </c>
      <c r="H3957" s="2822"/>
      <c r="I3957" s="3687">
        <v>250</v>
      </c>
      <c r="J3957" s="2776"/>
      <c r="K3957" s="3688"/>
      <c r="L3957" s="2779"/>
      <c r="M3957" s="3662">
        <v>250</v>
      </c>
      <c r="N3957" s="2847"/>
      <c r="O3957" s="86"/>
      <c r="P3957" s="1817" t="e">
        <f>INDEX(#REF!,MATCH(F3957,#REF!,0),2)</f>
        <v>#REF!</v>
      </c>
    </row>
    <row r="3958" spans="1:16" ht="19.149999999999999" customHeight="1">
      <c r="A3958" s="1921"/>
      <c r="B3958" s="2790" t="s">
        <v>1248</v>
      </c>
      <c r="C3958" s="2790" t="s">
        <v>507</v>
      </c>
      <c r="D3958" s="3071"/>
      <c r="E3958" s="3109" t="s">
        <v>2486</v>
      </c>
      <c r="F3958" s="3072">
        <v>2239</v>
      </c>
      <c r="G3958" s="3689" t="s">
        <v>6023</v>
      </c>
      <c r="H3958" s="2822"/>
      <c r="I3958" s="3687"/>
      <c r="J3958" s="2776"/>
      <c r="K3958" s="3688"/>
      <c r="L3958" s="2779"/>
      <c r="M3958" s="3662">
        <v>800</v>
      </c>
      <c r="N3958" s="2847"/>
      <c r="O3958" s="86"/>
      <c r="P3958" s="1817" t="e">
        <f>INDEX(#REF!,MATCH(F3958,#REF!,0),2)</f>
        <v>#REF!</v>
      </c>
    </row>
    <row r="3959" spans="1:16" ht="24" customHeight="1">
      <c r="A3959" s="1921"/>
      <c r="B3959" s="2790" t="s">
        <v>1248</v>
      </c>
      <c r="C3959" s="2790" t="s">
        <v>507</v>
      </c>
      <c r="D3959" s="3071"/>
      <c r="E3959" s="3109" t="s">
        <v>2486</v>
      </c>
      <c r="F3959" s="3072">
        <v>2239</v>
      </c>
      <c r="G3959" s="2774" t="s">
        <v>4955</v>
      </c>
      <c r="H3959" s="2822"/>
      <c r="I3959" s="3687"/>
      <c r="J3959" s="2776"/>
      <c r="K3959" s="3688"/>
      <c r="L3959" s="2779"/>
      <c r="M3959" s="3662">
        <v>550</v>
      </c>
      <c r="N3959" s="2847"/>
      <c r="O3959" s="86"/>
      <c r="P3959" s="1817" t="e">
        <f>INDEX(#REF!,MATCH(F3959,#REF!,0),2)</f>
        <v>#REF!</v>
      </c>
    </row>
    <row r="3960" spans="1:16" ht="10.9" customHeight="1">
      <c r="A3960" s="506"/>
      <c r="B3960" s="3084" t="s">
        <v>1248</v>
      </c>
      <c r="C3960" s="3084" t="s">
        <v>513</v>
      </c>
      <c r="D3960" s="3085">
        <v>981</v>
      </c>
      <c r="E3960" s="3619" t="s">
        <v>2486</v>
      </c>
      <c r="F3960" s="3086">
        <v>2243</v>
      </c>
      <c r="G3960" s="3087" t="s">
        <v>436</v>
      </c>
      <c r="H3960" s="2838">
        <v>27415</v>
      </c>
      <c r="I3960" s="3685"/>
      <c r="J3960" s="2839">
        <v>9869</v>
      </c>
      <c r="K3960" s="3686"/>
      <c r="L3960" s="2842">
        <v>29185</v>
      </c>
      <c r="M3960" s="2842"/>
      <c r="N3960" s="2847"/>
      <c r="O3960" s="86"/>
      <c r="P3960" s="1817" t="e">
        <f>INDEX(#REF!,MATCH(F3960,#REF!,0),2)</f>
        <v>#REF!</v>
      </c>
    </row>
    <row r="3961" spans="1:16" ht="19.899999999999999" customHeight="1">
      <c r="A3961" s="443"/>
      <c r="B3961" s="2790" t="s">
        <v>1248</v>
      </c>
      <c r="C3961" s="2790" t="s">
        <v>513</v>
      </c>
      <c r="D3961" s="3071"/>
      <c r="E3961" s="3109" t="s">
        <v>2486</v>
      </c>
      <c r="F3961" s="3072">
        <v>2243</v>
      </c>
      <c r="G3961" s="3381" t="s">
        <v>2381</v>
      </c>
      <c r="H3961" s="2822"/>
      <c r="I3961" s="3687">
        <v>4815</v>
      </c>
      <c r="J3961" s="2776"/>
      <c r="K3961" s="3688"/>
      <c r="L3961" s="2779"/>
      <c r="M3961" s="3662">
        <v>4815</v>
      </c>
      <c r="N3961" s="4097" t="s">
        <v>4956</v>
      </c>
      <c r="O3961" s="86"/>
      <c r="P3961" s="1817" t="e">
        <f>INDEX(#REF!,MATCH(F3961,#REF!,0),2)</f>
        <v>#REF!</v>
      </c>
    </row>
    <row r="3962" spans="1:16" ht="20.45" customHeight="1">
      <c r="A3962" s="443"/>
      <c r="B3962" s="2790" t="s">
        <v>1248</v>
      </c>
      <c r="C3962" s="2790" t="s">
        <v>513</v>
      </c>
      <c r="D3962" s="3071"/>
      <c r="E3962" s="3109" t="s">
        <v>2486</v>
      </c>
      <c r="F3962" s="3072">
        <v>2243</v>
      </c>
      <c r="G3962" s="2774" t="s">
        <v>4958</v>
      </c>
      <c r="H3962" s="2822"/>
      <c r="I3962" s="3687">
        <v>2600</v>
      </c>
      <c r="J3962" s="2776"/>
      <c r="K3962" s="3688"/>
      <c r="L3962" s="2779"/>
      <c r="M3962" s="3662">
        <v>1350</v>
      </c>
      <c r="N3962" s="4097" t="s">
        <v>4957</v>
      </c>
      <c r="O3962" s="86"/>
      <c r="P3962" s="1817" t="e">
        <f>INDEX(#REF!,MATCH(F3962,#REF!,0),2)</f>
        <v>#REF!</v>
      </c>
    </row>
    <row r="3963" spans="1:16" ht="40.9" customHeight="1">
      <c r="A3963" s="443"/>
      <c r="B3963" s="2790" t="s">
        <v>1248</v>
      </c>
      <c r="C3963" s="2790" t="s">
        <v>513</v>
      </c>
      <c r="D3963" s="3071"/>
      <c r="E3963" s="3109" t="s">
        <v>2486</v>
      </c>
      <c r="F3963" s="3072">
        <v>2243</v>
      </c>
      <c r="G3963" s="2774" t="s">
        <v>4959</v>
      </c>
      <c r="H3963" s="2822"/>
      <c r="I3963" s="3687">
        <v>11000</v>
      </c>
      <c r="J3963" s="2776"/>
      <c r="K3963" s="3688"/>
      <c r="L3963" s="2779"/>
      <c r="M3963" s="4293">
        <v>16232</v>
      </c>
      <c r="N3963" s="4097" t="s">
        <v>6026</v>
      </c>
      <c r="O3963" s="86"/>
      <c r="P3963" s="1817" t="e">
        <f>INDEX(#REF!,MATCH(F3963,#REF!,0),2)</f>
        <v>#REF!</v>
      </c>
    </row>
    <row r="3964" spans="1:16" ht="11.45" customHeight="1">
      <c r="A3964" s="1369"/>
      <c r="B3964" s="2790" t="s">
        <v>1248</v>
      </c>
      <c r="C3964" s="2790" t="s">
        <v>513</v>
      </c>
      <c r="D3964" s="3071"/>
      <c r="E3964" s="3109" t="s">
        <v>2486</v>
      </c>
      <c r="F3964" s="3072">
        <v>2243</v>
      </c>
      <c r="G3964" s="2774" t="s">
        <v>4960</v>
      </c>
      <c r="H3964" s="2822"/>
      <c r="I3964" s="3687"/>
      <c r="J3964" s="2776"/>
      <c r="K3964" s="3688"/>
      <c r="L3964" s="2779"/>
      <c r="M3964" s="3662">
        <v>1200</v>
      </c>
      <c r="N3964" s="4097" t="s">
        <v>4961</v>
      </c>
      <c r="O3964" s="86"/>
      <c r="P3964" s="1817" t="e">
        <f>INDEX(#REF!,MATCH(F3964,#REF!,0),2)</f>
        <v>#REF!</v>
      </c>
    </row>
    <row r="3965" spans="1:16" ht="26.45" customHeight="1">
      <c r="A3965" s="443"/>
      <c r="B3965" s="2790" t="s">
        <v>1248</v>
      </c>
      <c r="C3965" s="2790" t="s">
        <v>513</v>
      </c>
      <c r="D3965" s="3071"/>
      <c r="E3965" s="3109" t="s">
        <v>2486</v>
      </c>
      <c r="F3965" s="3072">
        <v>2243</v>
      </c>
      <c r="G3965" s="2774" t="s">
        <v>520</v>
      </c>
      <c r="H3965" s="2822"/>
      <c r="I3965" s="3687">
        <v>300</v>
      </c>
      <c r="J3965" s="2776"/>
      <c r="K3965" s="3688"/>
      <c r="L3965" s="2779"/>
      <c r="M3965" s="3662">
        <v>300</v>
      </c>
      <c r="N3965" s="1252"/>
      <c r="O3965" s="86"/>
      <c r="P3965" s="1817" t="e">
        <f>INDEX(#REF!,MATCH(F3965,#REF!,0),2)</f>
        <v>#REF!</v>
      </c>
    </row>
    <row r="3966" spans="1:16" ht="39" customHeight="1">
      <c r="A3966" s="1369"/>
      <c r="B3966" s="2790" t="s">
        <v>1248</v>
      </c>
      <c r="C3966" s="2790" t="s">
        <v>513</v>
      </c>
      <c r="D3966" s="3071"/>
      <c r="E3966" s="3109" t="s">
        <v>2486</v>
      </c>
      <c r="F3966" s="3072">
        <v>2243</v>
      </c>
      <c r="G3966" s="2774" t="s">
        <v>2020</v>
      </c>
      <c r="H3966" s="2822"/>
      <c r="I3966" s="3687">
        <v>500</v>
      </c>
      <c r="J3966" s="2776"/>
      <c r="K3966" s="3688"/>
      <c r="L3966" s="2779"/>
      <c r="M3966" s="3662">
        <v>500</v>
      </c>
      <c r="N3966" s="1252"/>
      <c r="O3966" s="86"/>
      <c r="P3966" s="1817" t="e">
        <f>INDEX(#REF!,MATCH(F3966,#REF!,0),2)</f>
        <v>#REF!</v>
      </c>
    </row>
    <row r="3967" spans="1:16" ht="13.9" customHeight="1">
      <c r="A3967" s="443"/>
      <c r="B3967" s="2790" t="s">
        <v>1248</v>
      </c>
      <c r="C3967" s="2790" t="s">
        <v>513</v>
      </c>
      <c r="D3967" s="3071"/>
      <c r="E3967" s="3109" t="s">
        <v>2486</v>
      </c>
      <c r="F3967" s="3072">
        <v>2243</v>
      </c>
      <c r="G3967" s="2774" t="s">
        <v>962</v>
      </c>
      <c r="H3967" s="2822"/>
      <c r="I3967" s="3687">
        <v>200</v>
      </c>
      <c r="J3967" s="2776"/>
      <c r="K3967" s="3688"/>
      <c r="L3967" s="2779"/>
      <c r="M3967" s="3662">
        <v>200</v>
      </c>
      <c r="N3967" s="1252"/>
      <c r="O3967" s="86"/>
      <c r="P3967" s="1817" t="e">
        <f>INDEX(#REF!,MATCH(F3967,#REF!,0),2)</f>
        <v>#REF!</v>
      </c>
    </row>
    <row r="3968" spans="1:16" ht="11.45" customHeight="1">
      <c r="A3968" s="443"/>
      <c r="B3968" s="2790" t="s">
        <v>1248</v>
      </c>
      <c r="C3968" s="2790" t="s">
        <v>513</v>
      </c>
      <c r="D3968" s="3071"/>
      <c r="E3968" s="3109" t="s">
        <v>2486</v>
      </c>
      <c r="F3968" s="3072">
        <v>2243</v>
      </c>
      <c r="G3968" s="2774" t="s">
        <v>1054</v>
      </c>
      <c r="H3968" s="2822"/>
      <c r="I3968" s="3687">
        <v>550</v>
      </c>
      <c r="J3968" s="2776"/>
      <c r="K3968" s="3688"/>
      <c r="L3968" s="2779"/>
      <c r="M3968" s="3662">
        <v>550</v>
      </c>
      <c r="N3968" s="1252"/>
      <c r="O3968" s="86"/>
      <c r="P3968" s="1817" t="e">
        <f>INDEX(#REF!,MATCH(F3968,#REF!,0),2)</f>
        <v>#REF!</v>
      </c>
    </row>
    <row r="3969" spans="1:23" ht="28.9" customHeight="1">
      <c r="A3969" s="443"/>
      <c r="B3969" s="2790" t="s">
        <v>1248</v>
      </c>
      <c r="C3969" s="2790" t="s">
        <v>513</v>
      </c>
      <c r="D3969" s="3071"/>
      <c r="E3969" s="3109" t="s">
        <v>2486</v>
      </c>
      <c r="F3969" s="3072">
        <v>2243</v>
      </c>
      <c r="G3969" s="3693" t="s">
        <v>2382</v>
      </c>
      <c r="H3969" s="2822"/>
      <c r="I3969" s="3687">
        <v>9038</v>
      </c>
      <c r="J3969" s="2776"/>
      <c r="K3969" s="3688"/>
      <c r="L3969" s="2779"/>
      <c r="M3969" s="4293">
        <v>4038</v>
      </c>
      <c r="N3969" s="4295" t="s">
        <v>6025</v>
      </c>
      <c r="O3969" s="86"/>
      <c r="P3969" s="1817" t="e">
        <f>INDEX(#REF!,MATCH(F3969,#REF!,0),2)</f>
        <v>#REF!</v>
      </c>
    </row>
    <row r="3970" spans="1:23" ht="22.15" customHeight="1">
      <c r="A3970" s="1921"/>
      <c r="B3970" s="2790" t="s">
        <v>1248</v>
      </c>
      <c r="C3970" s="2790" t="s">
        <v>513</v>
      </c>
      <c r="D3970" s="3071"/>
      <c r="E3970" s="3109" t="s">
        <v>2486</v>
      </c>
      <c r="F3970" s="3072">
        <v>2243</v>
      </c>
      <c r="G3970" s="2774" t="s">
        <v>3168</v>
      </c>
      <c r="H3970" s="2822"/>
      <c r="I3970" s="3687">
        <v>962</v>
      </c>
      <c r="J3970" s="2776"/>
      <c r="K3970" s="3688"/>
      <c r="L3970" s="2779"/>
      <c r="M3970" s="3662"/>
      <c r="N3970" s="1252"/>
      <c r="O3970" s="86"/>
      <c r="P3970" s="1817" t="e">
        <f>INDEX(#REF!,MATCH(F3970,#REF!,0),2)</f>
        <v>#REF!</v>
      </c>
      <c r="V3970" s="81"/>
      <c r="W3970"/>
    </row>
    <row r="3971" spans="1:23" ht="43.9" customHeight="1">
      <c r="A3971" s="1921"/>
      <c r="B3971" s="2790" t="s">
        <v>1248</v>
      </c>
      <c r="C3971" s="2790" t="s">
        <v>513</v>
      </c>
      <c r="D3971" s="3071"/>
      <c r="E3971" s="3109" t="s">
        <v>2486</v>
      </c>
      <c r="F3971" s="3072">
        <v>2243</v>
      </c>
      <c r="G3971" s="3693" t="s">
        <v>3247</v>
      </c>
      <c r="H3971" s="2822"/>
      <c r="I3971" s="3687">
        <v>-2350</v>
      </c>
      <c r="J3971" s="2776"/>
      <c r="K3971" s="3688"/>
      <c r="L3971" s="2779"/>
      <c r="M3971" s="3662"/>
      <c r="N3971" s="1252"/>
      <c r="O3971" s="86"/>
      <c r="P3971" s="1817"/>
    </row>
    <row r="3972" spans="1:23" ht="34.15" customHeight="1">
      <c r="A3972" s="506"/>
      <c r="B3972" s="3084" t="s">
        <v>1248</v>
      </c>
      <c r="C3972" s="3084" t="s">
        <v>513</v>
      </c>
      <c r="D3972" s="3085">
        <v>981</v>
      </c>
      <c r="E3972" s="3619" t="s">
        <v>2486</v>
      </c>
      <c r="F3972" s="3086">
        <v>2244</v>
      </c>
      <c r="G3972" s="3087" t="s">
        <v>518</v>
      </c>
      <c r="H3972" s="2838">
        <v>5240</v>
      </c>
      <c r="I3972" s="3685"/>
      <c r="J3972" s="2840">
        <v>4439</v>
      </c>
      <c r="K3972" s="3686"/>
      <c r="L3972" s="2842">
        <v>5090</v>
      </c>
      <c r="M3972" s="2842"/>
      <c r="N3972" s="2847"/>
      <c r="O3972" s="86"/>
      <c r="P3972" s="1817" t="e">
        <f>INDEX(#REF!,MATCH(F3972,#REF!,0),2)</f>
        <v>#REF!</v>
      </c>
    </row>
    <row r="3973" spans="1:23" ht="15" customHeight="1">
      <c r="A3973" s="443"/>
      <c r="B3973" s="2790" t="s">
        <v>1248</v>
      </c>
      <c r="C3973" s="2790" t="s">
        <v>513</v>
      </c>
      <c r="D3973" s="3071"/>
      <c r="E3973" s="3109" t="s">
        <v>2486</v>
      </c>
      <c r="F3973" s="3072">
        <v>2244</v>
      </c>
      <c r="G3973" s="2774" t="s">
        <v>4962</v>
      </c>
      <c r="H3973" s="2822"/>
      <c r="I3973" s="3687">
        <v>1000</v>
      </c>
      <c r="J3973" s="2776"/>
      <c r="K3973" s="3688"/>
      <c r="L3973" s="2779"/>
      <c r="M3973" s="3662">
        <v>850</v>
      </c>
      <c r="N3973" s="2847"/>
      <c r="O3973" s="86"/>
      <c r="P3973" s="1817" t="e">
        <f>INDEX(#REF!,MATCH(F3973,#REF!,0),2)</f>
        <v>#REF!</v>
      </c>
    </row>
    <row r="3974" spans="1:23" ht="15" customHeight="1">
      <c r="A3974" s="443"/>
      <c r="B3974" s="2790" t="s">
        <v>1248</v>
      </c>
      <c r="C3974" s="2790" t="s">
        <v>513</v>
      </c>
      <c r="D3974" s="3071"/>
      <c r="E3974" s="3109" t="s">
        <v>2486</v>
      </c>
      <c r="F3974" s="3072">
        <v>2244</v>
      </c>
      <c r="G3974" s="2774" t="s">
        <v>4963</v>
      </c>
      <c r="H3974" s="2822"/>
      <c r="I3974" s="3687">
        <v>4240</v>
      </c>
      <c r="J3974" s="2776"/>
      <c r="K3974" s="3688"/>
      <c r="L3974" s="2779"/>
      <c r="M3974" s="4293">
        <v>4240</v>
      </c>
      <c r="N3974" s="2846" t="s">
        <v>6027</v>
      </c>
      <c r="O3974" s="86"/>
      <c r="P3974" s="1817" t="e">
        <f>INDEX(#REF!,MATCH(F3974,#REF!,0),2)</f>
        <v>#REF!</v>
      </c>
    </row>
    <row r="3975" spans="1:23" ht="11.45" customHeight="1">
      <c r="A3975" s="506"/>
      <c r="B3975" s="3084" t="s">
        <v>1248</v>
      </c>
      <c r="C3975" s="3084" t="s">
        <v>513</v>
      </c>
      <c r="D3975" s="3085">
        <v>981</v>
      </c>
      <c r="E3975" s="3619" t="s">
        <v>2486</v>
      </c>
      <c r="F3975" s="3086">
        <v>2247</v>
      </c>
      <c r="G3975" s="3087" t="s">
        <v>685</v>
      </c>
      <c r="H3975" s="2838">
        <v>2000</v>
      </c>
      <c r="I3975" s="3685"/>
      <c r="J3975" s="2840">
        <v>1368</v>
      </c>
      <c r="K3975" s="3686"/>
      <c r="L3975" s="2842">
        <v>0</v>
      </c>
      <c r="M3975" s="2842"/>
      <c r="N3975" s="2847"/>
      <c r="O3975" s="86"/>
      <c r="P3975" s="1817" t="e">
        <f>INDEX(#REF!,MATCH(F3975,#REF!,0),2)</f>
        <v>#REF!</v>
      </c>
    </row>
    <row r="3976" spans="1:23" ht="20.45" customHeight="1">
      <c r="A3976" s="443"/>
      <c r="B3976" s="2790" t="s">
        <v>1248</v>
      </c>
      <c r="C3976" s="2790" t="s">
        <v>513</v>
      </c>
      <c r="D3976" s="3071"/>
      <c r="E3976" s="3109" t="s">
        <v>2486</v>
      </c>
      <c r="F3976" s="3072">
        <v>2247</v>
      </c>
      <c r="G3976" s="2774" t="s">
        <v>4968</v>
      </c>
      <c r="H3976" s="2822"/>
      <c r="I3976" s="3687">
        <v>2000</v>
      </c>
      <c r="J3976" s="2776"/>
      <c r="K3976" s="3688"/>
      <c r="L3976" s="2779"/>
      <c r="M3976" s="3662">
        <v>0</v>
      </c>
      <c r="N3976" s="2846" t="s">
        <v>4964</v>
      </c>
      <c r="O3976" s="86"/>
      <c r="P3976" s="1817" t="e">
        <f>INDEX(#REF!,MATCH(F3976,#REF!,0),2)</f>
        <v>#REF!</v>
      </c>
    </row>
    <row r="3977" spans="1:23" ht="20.45" customHeight="1">
      <c r="A3977" s="1921"/>
      <c r="B3977" s="2790" t="s">
        <v>1248</v>
      </c>
      <c r="C3977" s="2790" t="s">
        <v>513</v>
      </c>
      <c r="D3977" s="3071"/>
      <c r="E3977" s="3109" t="s">
        <v>2486</v>
      </c>
      <c r="F3977" s="3072">
        <v>2247</v>
      </c>
      <c r="G3977" s="2774" t="s">
        <v>4965</v>
      </c>
      <c r="H3977" s="2822"/>
      <c r="I3977" s="3687"/>
      <c r="J3977" s="2776"/>
      <c r="K3977" s="3688"/>
      <c r="L3977" s="2779"/>
      <c r="M3977" s="4088"/>
      <c r="N3977" s="2396" t="s">
        <v>4966</v>
      </c>
      <c r="O3977" s="86"/>
      <c r="P3977" s="1817" t="e">
        <f>INDEX(#REF!,MATCH(F3977,#REF!,0),2)</f>
        <v>#REF!</v>
      </c>
    </row>
    <row r="3978" spans="1:23" ht="27" customHeight="1">
      <c r="A3978" s="506"/>
      <c r="B3978" s="3084" t="s">
        <v>1248</v>
      </c>
      <c r="C3978" s="3084" t="s">
        <v>513</v>
      </c>
      <c r="D3978" s="3085">
        <v>981</v>
      </c>
      <c r="E3978" s="3619" t="s">
        <v>2486</v>
      </c>
      <c r="F3978" s="3086">
        <v>2249</v>
      </c>
      <c r="G3978" s="3087" t="s">
        <v>453</v>
      </c>
      <c r="H3978" s="2838">
        <v>992</v>
      </c>
      <c r="I3978" s="3685"/>
      <c r="J3978" s="2840">
        <v>566</v>
      </c>
      <c r="K3978" s="3686"/>
      <c r="L3978" s="2842">
        <v>400</v>
      </c>
      <c r="M3978" s="2842"/>
      <c r="N3978" s="2847"/>
      <c r="O3978" s="86"/>
      <c r="P3978" s="1817" t="e">
        <f>INDEX(#REF!,MATCH(F3978,#REF!,0),2)</f>
        <v>#REF!</v>
      </c>
    </row>
    <row r="3979" spans="1:23" ht="22.15" customHeight="1">
      <c r="A3979" s="1921"/>
      <c r="B3979" s="2790" t="s">
        <v>1248</v>
      </c>
      <c r="C3979" s="2790" t="s">
        <v>513</v>
      </c>
      <c r="D3979" s="3071"/>
      <c r="E3979" s="3109" t="s">
        <v>2486</v>
      </c>
      <c r="F3979" s="3072">
        <v>2249</v>
      </c>
      <c r="G3979" s="2774" t="s">
        <v>4967</v>
      </c>
      <c r="H3979" s="2822"/>
      <c r="I3979" s="3687">
        <v>992</v>
      </c>
      <c r="J3979" s="2776"/>
      <c r="K3979" s="3688"/>
      <c r="L3979" s="2779"/>
      <c r="M3979" s="3662">
        <v>400</v>
      </c>
      <c r="N3979" s="2846" t="s">
        <v>4969</v>
      </c>
      <c r="O3979" s="86"/>
      <c r="P3979" s="1817" t="e">
        <f>INDEX(#REF!,MATCH(F3979,#REF!,0),2)</f>
        <v>#REF!</v>
      </c>
    </row>
    <row r="3980" spans="1:23" ht="24.6" customHeight="1">
      <c r="A3980" s="506"/>
      <c r="B3980" s="3084" t="s">
        <v>1248</v>
      </c>
      <c r="C3980" s="3084" t="s">
        <v>507</v>
      </c>
      <c r="D3980" s="3085">
        <v>981</v>
      </c>
      <c r="E3980" s="3619" t="s">
        <v>2486</v>
      </c>
      <c r="F3980" s="3628">
        <v>2250</v>
      </c>
      <c r="G3980" s="3087" t="s">
        <v>237</v>
      </c>
      <c r="H3980" s="2838">
        <v>2180</v>
      </c>
      <c r="I3980" s="3685"/>
      <c r="J3980" s="2839">
        <v>746</v>
      </c>
      <c r="K3980" s="3686"/>
      <c r="L3980" s="2842">
        <v>2180</v>
      </c>
      <c r="M3980" s="2842"/>
      <c r="N3980" s="2847"/>
      <c r="O3980" s="86"/>
      <c r="P3980" s="1817" t="e">
        <f>INDEX(#REF!,MATCH(F3980,#REF!,0),2)</f>
        <v>#REF!</v>
      </c>
    </row>
    <row r="3981" spans="1:23" ht="12" customHeight="1">
      <c r="A3981" s="443"/>
      <c r="B3981" s="2790" t="s">
        <v>1248</v>
      </c>
      <c r="C3981" s="2790" t="s">
        <v>507</v>
      </c>
      <c r="D3981" s="3071"/>
      <c r="E3981" s="3109" t="s">
        <v>2486</v>
      </c>
      <c r="F3981" s="3072">
        <v>2250</v>
      </c>
      <c r="G3981" s="2774" t="s">
        <v>713</v>
      </c>
      <c r="H3981" s="3690"/>
      <c r="I3981" s="3687">
        <v>1000</v>
      </c>
      <c r="J3981" s="2776"/>
      <c r="K3981" s="3688"/>
      <c r="L3981" s="2779"/>
      <c r="M3981" s="2779">
        <v>1000</v>
      </c>
      <c r="N3981" s="2847"/>
      <c r="O3981" s="86"/>
      <c r="P3981" s="1817" t="e">
        <f>INDEX(#REF!,MATCH(F3981,#REF!,0),2)</f>
        <v>#REF!</v>
      </c>
    </row>
    <row r="3982" spans="1:23" ht="20.45" customHeight="1">
      <c r="A3982" s="443"/>
      <c r="B3982" s="2790" t="s">
        <v>1248</v>
      </c>
      <c r="C3982" s="2790" t="s">
        <v>507</v>
      </c>
      <c r="D3982" s="3071"/>
      <c r="E3982" s="3109" t="s">
        <v>2486</v>
      </c>
      <c r="F3982" s="3072">
        <v>2250</v>
      </c>
      <c r="G3982" s="2774" t="s">
        <v>952</v>
      </c>
      <c r="H3982" s="3690"/>
      <c r="I3982" s="3687">
        <v>300</v>
      </c>
      <c r="J3982" s="2776"/>
      <c r="K3982" s="3688"/>
      <c r="L3982" s="2779"/>
      <c r="M3982" s="2779">
        <v>300</v>
      </c>
      <c r="N3982" s="2847"/>
      <c r="O3982" s="86"/>
      <c r="P3982" s="1817" t="e">
        <f>INDEX(#REF!,MATCH(F3982,#REF!,0),2)</f>
        <v>#REF!</v>
      </c>
    </row>
    <row r="3983" spans="1:23" ht="11.45" customHeight="1">
      <c r="A3983" s="443"/>
      <c r="B3983" s="2790" t="s">
        <v>1248</v>
      </c>
      <c r="C3983" s="2790" t="s">
        <v>507</v>
      </c>
      <c r="D3983" s="3071"/>
      <c r="E3983" s="3109" t="s">
        <v>2486</v>
      </c>
      <c r="F3983" s="3072">
        <v>2250</v>
      </c>
      <c r="G3983" s="2774" t="s">
        <v>824</v>
      </c>
      <c r="H3983" s="3690"/>
      <c r="I3983" s="3687">
        <v>280</v>
      </c>
      <c r="J3983" s="2776"/>
      <c r="K3983" s="3688"/>
      <c r="L3983" s="2779"/>
      <c r="M3983" s="2779">
        <v>280</v>
      </c>
      <c r="N3983" s="2847"/>
      <c r="O3983" s="86"/>
      <c r="P3983" s="1817" t="e">
        <f>INDEX(#REF!,MATCH(F3983,#REF!,0),2)</f>
        <v>#REF!</v>
      </c>
    </row>
    <row r="3984" spans="1:23" ht="27" customHeight="1">
      <c r="A3984" s="443"/>
      <c r="B3984" s="2790" t="s">
        <v>1248</v>
      </c>
      <c r="C3984" s="2790" t="s">
        <v>507</v>
      </c>
      <c r="D3984" s="3071"/>
      <c r="E3984" s="3109" t="s">
        <v>2486</v>
      </c>
      <c r="F3984" s="3072">
        <v>2250</v>
      </c>
      <c r="G3984" s="2774" t="s">
        <v>4970</v>
      </c>
      <c r="H3984" s="3690"/>
      <c r="I3984" s="3687">
        <v>600</v>
      </c>
      <c r="J3984" s="2776"/>
      <c r="K3984" s="3688"/>
      <c r="L3984" s="2779"/>
      <c r="M3984" s="2779">
        <v>600</v>
      </c>
      <c r="N3984" s="2847"/>
      <c r="O3984" s="86"/>
      <c r="P3984" s="1817" t="e">
        <f>INDEX(#REF!,MATCH(F3984,#REF!,0),2)</f>
        <v>#REF!</v>
      </c>
    </row>
    <row r="3985" spans="1:16" ht="18.600000000000001" customHeight="1">
      <c r="A3985" s="506"/>
      <c r="B3985" s="3084" t="s">
        <v>1248</v>
      </c>
      <c r="C3985" s="3084" t="s">
        <v>507</v>
      </c>
      <c r="D3985" s="3085">
        <v>981</v>
      </c>
      <c r="E3985" s="3619" t="s">
        <v>2486</v>
      </c>
      <c r="F3985" s="3086">
        <v>2264</v>
      </c>
      <c r="G3985" s="3087" t="s">
        <v>240</v>
      </c>
      <c r="H3985" s="2838">
        <v>317</v>
      </c>
      <c r="I3985" s="3685"/>
      <c r="J3985" s="2840">
        <v>252</v>
      </c>
      <c r="K3985" s="3686"/>
      <c r="L3985" s="2842">
        <v>117</v>
      </c>
      <c r="M3985" s="2842"/>
      <c r="N3985" s="2847"/>
      <c r="O3985" s="86"/>
      <c r="P3985" s="1817" t="e">
        <f>INDEX(#REF!,MATCH(F3985,#REF!,0),2)</f>
        <v>#REF!</v>
      </c>
    </row>
    <row r="3986" spans="1:16" ht="18.600000000000001" customHeight="1">
      <c r="A3986" s="443"/>
      <c r="B3986" s="2790" t="s">
        <v>1248</v>
      </c>
      <c r="C3986" s="2790" t="s">
        <v>507</v>
      </c>
      <c r="D3986" s="3071"/>
      <c r="E3986" s="3109" t="s">
        <v>2486</v>
      </c>
      <c r="F3986" s="3072">
        <v>2264</v>
      </c>
      <c r="G3986" s="2774" t="s">
        <v>4971</v>
      </c>
      <c r="H3986" s="2822"/>
      <c r="I3986" s="3687">
        <v>117</v>
      </c>
      <c r="J3986" s="2776"/>
      <c r="K3986" s="3688"/>
      <c r="L3986" s="2779"/>
      <c r="M3986" s="3662">
        <v>117</v>
      </c>
      <c r="N3986" s="2847"/>
      <c r="O3986" s="86"/>
      <c r="P3986" s="1817" t="e">
        <f>INDEX(#REF!,MATCH(F3986,#REF!,0),2)</f>
        <v>#REF!</v>
      </c>
    </row>
    <row r="3987" spans="1:16" ht="18.600000000000001" customHeight="1">
      <c r="A3987" s="506"/>
      <c r="B3987" s="3084" t="s">
        <v>1248</v>
      </c>
      <c r="C3987" s="3084" t="s">
        <v>507</v>
      </c>
      <c r="D3987" s="3085">
        <v>981</v>
      </c>
      <c r="E3987" s="3619" t="s">
        <v>2486</v>
      </c>
      <c r="F3987" s="3086">
        <v>2311</v>
      </c>
      <c r="G3987" s="3087" t="s">
        <v>362</v>
      </c>
      <c r="H3987" s="2838">
        <v>5470</v>
      </c>
      <c r="I3987" s="3685"/>
      <c r="J3987" s="2840">
        <v>2507</v>
      </c>
      <c r="K3987" s="3686"/>
      <c r="L3987" s="2839">
        <v>4220</v>
      </c>
      <c r="M3987" s="2842"/>
      <c r="N3987" s="241" t="s">
        <v>5761</v>
      </c>
      <c r="O3987" s="86"/>
      <c r="P3987" s="1817" t="e">
        <f>INDEX(#REF!,MATCH(F3987,#REF!,0),2)</f>
        <v>#REF!</v>
      </c>
    </row>
    <row r="3988" spans="1:16" ht="18.600000000000001" customHeight="1">
      <c r="A3988" s="443"/>
      <c r="B3988" s="2790" t="s">
        <v>1248</v>
      </c>
      <c r="C3988" s="2790" t="s">
        <v>507</v>
      </c>
      <c r="D3988" s="3071"/>
      <c r="E3988" s="3109" t="s">
        <v>2486</v>
      </c>
      <c r="F3988" s="3072">
        <v>2311</v>
      </c>
      <c r="G3988" s="2774" t="s">
        <v>439</v>
      </c>
      <c r="H3988" s="2822"/>
      <c r="I3988" s="3687">
        <v>3970</v>
      </c>
      <c r="J3988" s="2776"/>
      <c r="K3988" s="3688"/>
      <c r="L3988" s="2779"/>
      <c r="M3988" s="3659">
        <v>3470</v>
      </c>
      <c r="N3988" s="241" t="s">
        <v>5156</v>
      </c>
      <c r="O3988" s="86"/>
      <c r="P3988" s="1817" t="e">
        <f>INDEX(#REF!,MATCH(F3988,#REF!,0),2)</f>
        <v>#REF!</v>
      </c>
    </row>
    <row r="3989" spans="1:16" ht="24" customHeight="1">
      <c r="A3989" s="443"/>
      <c r="B3989" s="2790" t="s">
        <v>1248</v>
      </c>
      <c r="C3989" s="2790" t="s">
        <v>507</v>
      </c>
      <c r="D3989" s="3071"/>
      <c r="E3989" s="3109" t="s">
        <v>2486</v>
      </c>
      <c r="F3989" s="3072">
        <v>2311</v>
      </c>
      <c r="G3989" s="3082" t="s">
        <v>440</v>
      </c>
      <c r="H3989" s="2822"/>
      <c r="I3989" s="3687">
        <v>1500</v>
      </c>
      <c r="J3989" s="2776">
        <v>582</v>
      </c>
      <c r="K3989" s="3688"/>
      <c r="L3989" s="2779"/>
      <c r="M3989" s="4293">
        <v>750</v>
      </c>
      <c r="N3989" s="241" t="s">
        <v>5156</v>
      </c>
      <c r="O3989" s="86"/>
      <c r="P3989" s="1817" t="e">
        <f>INDEX(#REF!,MATCH(F3989,#REF!,0),2)</f>
        <v>#REF!</v>
      </c>
    </row>
    <row r="3990" spans="1:16" ht="11.45" customHeight="1">
      <c r="A3990" s="506"/>
      <c r="B3990" s="3084" t="s">
        <v>1248</v>
      </c>
      <c r="C3990" s="3084" t="s">
        <v>505</v>
      </c>
      <c r="D3990" s="3085">
        <v>981</v>
      </c>
      <c r="E3990" s="3619" t="s">
        <v>2486</v>
      </c>
      <c r="F3990" s="3086">
        <v>2312</v>
      </c>
      <c r="G3990" s="3087" t="s">
        <v>249</v>
      </c>
      <c r="H3990" s="2838">
        <v>4835</v>
      </c>
      <c r="I3990" s="3685"/>
      <c r="J3990" s="2840">
        <v>3599</v>
      </c>
      <c r="K3990" s="3686"/>
      <c r="L3990" s="2842">
        <v>4667.99</v>
      </c>
      <c r="M3990" s="2842"/>
      <c r="N3990" s="3506"/>
      <c r="O3990" s="86"/>
      <c r="P3990" s="1817" t="e">
        <f>INDEX(#REF!,MATCH(F3990,#REF!,0),2)</f>
        <v>#REF!</v>
      </c>
    </row>
    <row r="3991" spans="1:16" ht="11.45" customHeight="1">
      <c r="A3991" s="443"/>
      <c r="B3991" s="2790" t="s">
        <v>1248</v>
      </c>
      <c r="C3991" s="2790" t="s">
        <v>505</v>
      </c>
      <c r="D3991" s="3071"/>
      <c r="E3991" s="3109" t="s">
        <v>2486</v>
      </c>
      <c r="F3991" s="3072">
        <v>2312</v>
      </c>
      <c r="G3991" s="2774" t="s">
        <v>324</v>
      </c>
      <c r="H3991" s="2822"/>
      <c r="I3991" s="3687">
        <v>1500</v>
      </c>
      <c r="J3991" s="2776"/>
      <c r="K3991" s="3688"/>
      <c r="L3991" s="2779"/>
      <c r="M3991" s="3662">
        <v>1500</v>
      </c>
      <c r="N3991" s="2847"/>
      <c r="O3991" s="86"/>
      <c r="P3991" s="1817" t="e">
        <f>INDEX(#REF!,MATCH(F3991,#REF!,0),2)</f>
        <v>#REF!</v>
      </c>
    </row>
    <row r="3992" spans="1:16" ht="11.45" customHeight="1">
      <c r="A3992" s="1537"/>
      <c r="B3992" s="2790" t="s">
        <v>1248</v>
      </c>
      <c r="C3992" s="2790" t="s">
        <v>505</v>
      </c>
      <c r="D3992" s="3071"/>
      <c r="E3992" s="3109" t="s">
        <v>2486</v>
      </c>
      <c r="F3992" s="3072">
        <v>2312</v>
      </c>
      <c r="G3992" s="2774" t="s">
        <v>2383</v>
      </c>
      <c r="H3992" s="2822"/>
      <c r="I3992" s="3687">
        <v>685</v>
      </c>
      <c r="J3992" s="2776"/>
      <c r="K3992" s="3688"/>
      <c r="L3992" s="2779"/>
      <c r="M3992" s="3662">
        <v>685</v>
      </c>
      <c r="N3992" s="2847"/>
      <c r="O3992" s="86"/>
      <c r="P3992" s="1817" t="e">
        <f>INDEX(#REF!,MATCH(F3992,#REF!,0),2)</f>
        <v>#REF!</v>
      </c>
    </row>
    <row r="3993" spans="1:16" ht="23.45" customHeight="1">
      <c r="A3993" s="863"/>
      <c r="B3993" s="2790" t="s">
        <v>1248</v>
      </c>
      <c r="C3993" s="2790" t="s">
        <v>505</v>
      </c>
      <c r="D3993" s="3071"/>
      <c r="E3993" s="3109" t="s">
        <v>2486</v>
      </c>
      <c r="F3993" s="3072">
        <v>2312</v>
      </c>
      <c r="G3993" s="2774" t="s">
        <v>4973</v>
      </c>
      <c r="H3993" s="2822"/>
      <c r="I3993" s="3687"/>
      <c r="J3993" s="2776"/>
      <c r="K3993" s="3688"/>
      <c r="L3993" s="2779"/>
      <c r="M3993" s="3662">
        <v>90</v>
      </c>
      <c r="N3993" s="2847"/>
      <c r="O3993" s="86"/>
      <c r="P3993" s="1817" t="e">
        <f>INDEX(#REF!,MATCH(F3993,#REF!,0),2)</f>
        <v>#REF!</v>
      </c>
    </row>
    <row r="3994" spans="1:16" ht="11.45" customHeight="1">
      <c r="A3994" s="863"/>
      <c r="B3994" s="2790" t="s">
        <v>1248</v>
      </c>
      <c r="C3994" s="2790" t="s">
        <v>505</v>
      </c>
      <c r="D3994" s="3071"/>
      <c r="E3994" s="3109" t="s">
        <v>2486</v>
      </c>
      <c r="F3994" s="3072">
        <v>2312</v>
      </c>
      <c r="G3994" s="2774" t="s">
        <v>4974</v>
      </c>
      <c r="H3994" s="2822"/>
      <c r="I3994" s="3687"/>
      <c r="J3994" s="2776"/>
      <c r="K3994" s="3688"/>
      <c r="L3994" s="2779"/>
      <c r="M3994" s="3662">
        <v>190</v>
      </c>
      <c r="N3994" s="2847"/>
      <c r="O3994" s="86"/>
      <c r="P3994" s="1817" t="e">
        <f>INDEX(#REF!,MATCH(F3994,#REF!,0),2)</f>
        <v>#REF!</v>
      </c>
    </row>
    <row r="3995" spans="1:16" ht="41.45" customHeight="1">
      <c r="A3995" s="863"/>
      <c r="B3995" s="2790" t="s">
        <v>1248</v>
      </c>
      <c r="C3995" s="2790" t="s">
        <v>505</v>
      </c>
      <c r="D3995" s="3071"/>
      <c r="E3995" s="3109" t="s">
        <v>2486</v>
      </c>
      <c r="F3995" s="3072">
        <v>2312</v>
      </c>
      <c r="G3995" s="2774" t="s">
        <v>4975</v>
      </c>
      <c r="H3995" s="2822"/>
      <c r="I3995" s="3687"/>
      <c r="J3995" s="2776"/>
      <c r="K3995" s="3688"/>
      <c r="L3995" s="2779"/>
      <c r="M3995" s="3662">
        <v>125</v>
      </c>
      <c r="N3995" s="2847"/>
      <c r="O3995" s="86"/>
      <c r="P3995" s="1817" t="e">
        <f>INDEX(#REF!,MATCH(F3995,#REF!,0),2)</f>
        <v>#REF!</v>
      </c>
    </row>
    <row r="3996" spans="1:16" ht="22.15" customHeight="1">
      <c r="A3996" s="863"/>
      <c r="B3996" s="2790" t="s">
        <v>1248</v>
      </c>
      <c r="C3996" s="2790" t="s">
        <v>505</v>
      </c>
      <c r="D3996" s="3071"/>
      <c r="E3996" s="3109" t="s">
        <v>2486</v>
      </c>
      <c r="F3996" s="3072">
        <v>2312</v>
      </c>
      <c r="G3996" s="2774" t="s">
        <v>4976</v>
      </c>
      <c r="H3996" s="2822"/>
      <c r="I3996" s="3687"/>
      <c r="J3996" s="2776"/>
      <c r="K3996" s="3688"/>
      <c r="L3996" s="2779"/>
      <c r="M3996" s="3662">
        <v>90</v>
      </c>
      <c r="N3996" s="2847"/>
      <c r="O3996" s="86"/>
      <c r="P3996" s="1817" t="e">
        <f>INDEX(#REF!,MATCH(F3996,#REF!,0),2)</f>
        <v>#REF!</v>
      </c>
    </row>
    <row r="3997" spans="1:16" ht="19.149999999999999" customHeight="1">
      <c r="A3997" s="443"/>
      <c r="B3997" s="2790" t="s">
        <v>1248</v>
      </c>
      <c r="C3997" s="2790" t="s">
        <v>505</v>
      </c>
      <c r="D3997" s="3071"/>
      <c r="E3997" s="3109" t="s">
        <v>2486</v>
      </c>
      <c r="F3997" s="3072">
        <v>2312</v>
      </c>
      <c r="G3997" s="2774" t="s">
        <v>4977</v>
      </c>
      <c r="H3997" s="2822"/>
      <c r="I3997" s="3687"/>
      <c r="J3997" s="2776"/>
      <c r="K3997" s="3688"/>
      <c r="L3997" s="2779"/>
      <c r="M3997" s="3662">
        <v>140</v>
      </c>
      <c r="N3997" s="2847"/>
      <c r="O3997" s="86"/>
      <c r="P3997" s="1817" t="e">
        <f>INDEX(#REF!,MATCH(F3997,#REF!,0),2)</f>
        <v>#REF!</v>
      </c>
    </row>
    <row r="3998" spans="1:16" ht="30" customHeight="1">
      <c r="A3998" s="863"/>
      <c r="B3998" s="2790" t="s">
        <v>1248</v>
      </c>
      <c r="C3998" s="2790" t="s">
        <v>505</v>
      </c>
      <c r="D3998" s="3071"/>
      <c r="E3998" s="3109" t="s">
        <v>2486</v>
      </c>
      <c r="F3998" s="3072">
        <v>2312</v>
      </c>
      <c r="G3998" s="2774" t="s">
        <v>4978</v>
      </c>
      <c r="H3998" s="2822"/>
      <c r="I3998" s="3687"/>
      <c r="J3998" s="2776"/>
      <c r="K3998" s="3688"/>
      <c r="L3998" s="2779"/>
      <c r="M3998" s="3662">
        <v>900</v>
      </c>
      <c r="N3998" s="2847"/>
      <c r="O3998" s="86"/>
      <c r="P3998" s="1817" t="e">
        <f>INDEX(#REF!,MATCH(F3998,#REF!,0),2)</f>
        <v>#REF!</v>
      </c>
    </row>
    <row r="3999" spans="1:16" ht="20.45" customHeight="1">
      <c r="A3999" s="863"/>
      <c r="B3999" s="2790" t="s">
        <v>1248</v>
      </c>
      <c r="C3999" s="2790" t="s">
        <v>505</v>
      </c>
      <c r="D3999" s="3071"/>
      <c r="E3999" s="3109" t="s">
        <v>2486</v>
      </c>
      <c r="F3999" s="3072">
        <v>2312</v>
      </c>
      <c r="G3999" s="2774" t="s">
        <v>4979</v>
      </c>
      <c r="H3999" s="2822"/>
      <c r="I3999" s="3687"/>
      <c r="J3999" s="2776"/>
      <c r="K3999" s="3688"/>
      <c r="L3999" s="2779"/>
      <c r="M3999" s="3662">
        <v>28</v>
      </c>
      <c r="N3999" s="2847"/>
      <c r="O3999" s="86"/>
      <c r="P3999" s="1817" t="e">
        <f>INDEX(#REF!,MATCH(F3999,#REF!,0),2)</f>
        <v>#REF!</v>
      </c>
    </row>
    <row r="4000" spans="1:16" ht="18.600000000000001" customHeight="1">
      <c r="A4000" s="863"/>
      <c r="B4000" s="2790" t="s">
        <v>1248</v>
      </c>
      <c r="C4000" s="2790" t="s">
        <v>505</v>
      </c>
      <c r="D4000" s="3071"/>
      <c r="E4000" s="3109" t="s">
        <v>2486</v>
      </c>
      <c r="F4000" s="3072">
        <v>2312</v>
      </c>
      <c r="G4000" s="2774" t="s">
        <v>4980</v>
      </c>
      <c r="H4000" s="2822"/>
      <c r="I4000" s="3687"/>
      <c r="J4000" s="2776"/>
      <c r="K4000" s="3688"/>
      <c r="L4000" s="2779"/>
      <c r="M4000" s="3662">
        <v>430</v>
      </c>
      <c r="N4000" s="2847"/>
      <c r="O4000" s="86"/>
      <c r="P4000" s="1817" t="e">
        <f>INDEX(#REF!,MATCH(F4000,#REF!,0),2)</f>
        <v>#REF!</v>
      </c>
    </row>
    <row r="4001" spans="1:16" ht="25.9" customHeight="1">
      <c r="A4001" s="863"/>
      <c r="B4001" s="2790" t="s">
        <v>1248</v>
      </c>
      <c r="C4001" s="2790" t="s">
        <v>505</v>
      </c>
      <c r="D4001" s="3071"/>
      <c r="E4001" s="3109" t="s">
        <v>2486</v>
      </c>
      <c r="F4001" s="3072">
        <v>2312</v>
      </c>
      <c r="G4001" s="2774" t="s">
        <v>4981</v>
      </c>
      <c r="H4001" s="2822"/>
      <c r="I4001" s="3687"/>
      <c r="J4001" s="2776"/>
      <c r="K4001" s="3688"/>
      <c r="L4001" s="2779"/>
      <c r="M4001" s="3662">
        <v>85</v>
      </c>
      <c r="N4001" s="2847"/>
      <c r="O4001" s="86"/>
      <c r="P4001" s="1817" t="e">
        <f>INDEX(#REF!,MATCH(F4001,#REF!,0),2)</f>
        <v>#REF!</v>
      </c>
    </row>
    <row r="4002" spans="1:16" ht="11.45" customHeight="1">
      <c r="A4002" s="863"/>
      <c r="B4002" s="2790" t="s">
        <v>1248</v>
      </c>
      <c r="C4002" s="2790" t="s">
        <v>505</v>
      </c>
      <c r="D4002" s="3071"/>
      <c r="E4002" s="3109" t="s">
        <v>2486</v>
      </c>
      <c r="F4002" s="3072">
        <v>2312</v>
      </c>
      <c r="G4002" s="2774" t="s">
        <v>4982</v>
      </c>
      <c r="H4002" s="2822"/>
      <c r="I4002" s="3687"/>
      <c r="J4002" s="2776"/>
      <c r="K4002" s="3688"/>
      <c r="L4002" s="2779"/>
      <c r="M4002" s="3662">
        <v>250</v>
      </c>
      <c r="N4002" s="2847"/>
      <c r="O4002" s="86"/>
      <c r="P4002" s="1817" t="e">
        <f>INDEX(#REF!,MATCH(F4002,#REF!,0),2)</f>
        <v>#REF!</v>
      </c>
    </row>
    <row r="4003" spans="1:16" ht="11.45" customHeight="1">
      <c r="A4003" s="443"/>
      <c r="B4003" s="2790" t="s">
        <v>1248</v>
      </c>
      <c r="C4003" s="2790" t="s">
        <v>505</v>
      </c>
      <c r="D4003" s="3071"/>
      <c r="E4003" s="3109" t="s">
        <v>2486</v>
      </c>
      <c r="F4003" s="3072">
        <v>2312</v>
      </c>
      <c r="G4003" s="2774" t="s">
        <v>4983</v>
      </c>
      <c r="H4003" s="2822"/>
      <c r="I4003" s="3687"/>
      <c r="J4003" s="2776"/>
      <c r="K4003" s="3688"/>
      <c r="L4003" s="2779"/>
      <c r="M4003" s="3662">
        <v>105</v>
      </c>
      <c r="N4003" s="2847"/>
      <c r="O4003" s="86"/>
      <c r="P4003" s="1817" t="e">
        <f>INDEX(#REF!,MATCH(F4003,#REF!,0),2)</f>
        <v>#REF!</v>
      </c>
    </row>
    <row r="4004" spans="1:16" ht="11.45" customHeight="1">
      <c r="A4004" s="443"/>
      <c r="B4004" s="2790" t="s">
        <v>1248</v>
      </c>
      <c r="C4004" s="2790" t="s">
        <v>654</v>
      </c>
      <c r="D4004" s="3071"/>
      <c r="E4004" s="3109" t="s">
        <v>2486</v>
      </c>
      <c r="F4004" s="3072">
        <v>2312</v>
      </c>
      <c r="G4004" s="2774" t="s">
        <v>4984</v>
      </c>
      <c r="H4004" s="3690"/>
      <c r="I4004" s="3687"/>
      <c r="J4004" s="2776"/>
      <c r="K4004" s="3688"/>
      <c r="L4004" s="2779"/>
      <c r="M4004" s="3662">
        <v>49.99</v>
      </c>
      <c r="N4004" s="2847"/>
      <c r="O4004" s="86"/>
      <c r="P4004" s="1817" t="e">
        <f>INDEX(#REF!,MATCH(F4004,#REF!,0),2)</f>
        <v>#REF!</v>
      </c>
    </row>
    <row r="4005" spans="1:16" ht="18" customHeight="1">
      <c r="A4005" s="1537"/>
      <c r="B4005" s="2790" t="s">
        <v>1248</v>
      </c>
      <c r="C4005" s="2790" t="s">
        <v>505</v>
      </c>
      <c r="D4005" s="3071"/>
      <c r="E4005" s="3109" t="s">
        <v>2486</v>
      </c>
      <c r="F4005" s="3072">
        <v>2312</v>
      </c>
      <c r="G4005" s="2774" t="s">
        <v>2384</v>
      </c>
      <c r="H4005" s="2822"/>
      <c r="I4005" s="3687">
        <v>300</v>
      </c>
      <c r="J4005" s="2776"/>
      <c r="K4005" s="3688"/>
      <c r="L4005" s="2779"/>
      <c r="M4005" s="3662"/>
      <c r="N4005" s="2847"/>
      <c r="O4005" s="86"/>
      <c r="P4005" s="1817" t="e">
        <f>INDEX(#REF!,MATCH(F4005,#REF!,0),2)</f>
        <v>#REF!</v>
      </c>
    </row>
    <row r="4006" spans="1:16" ht="18" customHeight="1">
      <c r="A4006" s="1921"/>
      <c r="B4006" s="2790" t="s">
        <v>1248</v>
      </c>
      <c r="C4006" s="2790" t="s">
        <v>505</v>
      </c>
      <c r="D4006" s="3071"/>
      <c r="E4006" s="3109" t="s">
        <v>2486</v>
      </c>
      <c r="F4006" s="3072">
        <v>2312</v>
      </c>
      <c r="G4006" s="2774" t="s">
        <v>3247</v>
      </c>
      <c r="H4006" s="2822"/>
      <c r="I4006" s="3687">
        <v>2350</v>
      </c>
      <c r="J4006" s="2776"/>
      <c r="K4006" s="3688"/>
      <c r="L4006" s="2779"/>
      <c r="M4006" s="3662"/>
      <c r="N4006" s="2847"/>
      <c r="O4006" s="86"/>
      <c r="P4006" s="1817" t="e">
        <f>INDEX(#REF!,MATCH(F4006,#REF!,0),2)</f>
        <v>#REF!</v>
      </c>
    </row>
    <row r="4007" spans="1:16" ht="20.45" customHeight="1">
      <c r="A4007" s="506"/>
      <c r="B4007" s="3084" t="s">
        <v>1249</v>
      </c>
      <c r="C4007" s="3084" t="s">
        <v>505</v>
      </c>
      <c r="D4007" s="3085">
        <v>981</v>
      </c>
      <c r="E4007" s="3619" t="s">
        <v>2486</v>
      </c>
      <c r="F4007" s="3086">
        <v>2312</v>
      </c>
      <c r="G4007" s="3087" t="s">
        <v>249</v>
      </c>
      <c r="H4007" s="2838"/>
      <c r="I4007" s="3685"/>
      <c r="J4007" s="2840"/>
      <c r="K4007" s="3686"/>
      <c r="L4007" s="2842">
        <v>12600</v>
      </c>
      <c r="M4007" s="2842"/>
      <c r="N4007" s="3506"/>
      <c r="O4007" s="86"/>
      <c r="P4007" s="1817" t="e">
        <f>INDEX(#REF!,MATCH(F4007,#REF!,0),2)</f>
        <v>#REF!</v>
      </c>
    </row>
    <row r="4008" spans="1:16" ht="11.45" customHeight="1">
      <c r="A4008" s="863"/>
      <c r="B4008" s="2790" t="s">
        <v>1249</v>
      </c>
      <c r="C4008" s="2790" t="s">
        <v>505</v>
      </c>
      <c r="D4008" s="3071"/>
      <c r="E4008" s="3109" t="s">
        <v>2486</v>
      </c>
      <c r="F4008" s="3072">
        <v>2312</v>
      </c>
      <c r="G4008" s="2774" t="s">
        <v>4972</v>
      </c>
      <c r="H4008" s="2822"/>
      <c r="I4008" s="3687"/>
      <c r="J4008" s="2776"/>
      <c r="K4008" s="3688"/>
      <c r="L4008" s="2779"/>
      <c r="M4008" s="3662">
        <v>12600</v>
      </c>
      <c r="N4008" s="2847"/>
      <c r="O4008" s="86"/>
      <c r="P4008" s="1817"/>
    </row>
    <row r="4009" spans="1:16" ht="22.9" customHeight="1">
      <c r="A4009" s="506"/>
      <c r="B4009" s="3084" t="s">
        <v>1248</v>
      </c>
      <c r="C4009" s="3084" t="s">
        <v>505</v>
      </c>
      <c r="D4009" s="3085">
        <v>981</v>
      </c>
      <c r="E4009" s="3619" t="s">
        <v>2486</v>
      </c>
      <c r="F4009" s="3086">
        <v>2314</v>
      </c>
      <c r="G4009" s="3087" t="s">
        <v>2436</v>
      </c>
      <c r="H4009" s="2838">
        <v>400</v>
      </c>
      <c r="I4009" s="3685"/>
      <c r="J4009" s="2840"/>
      <c r="K4009" s="3686"/>
      <c r="L4009" s="2842">
        <v>400</v>
      </c>
      <c r="M4009" s="2842"/>
      <c r="N4009" s="2847"/>
      <c r="O4009" s="86"/>
      <c r="P4009" s="1817" t="e">
        <f>INDEX(#REF!,MATCH(F4009,#REF!,0),2)</f>
        <v>#REF!</v>
      </c>
    </row>
    <row r="4010" spans="1:16" ht="21" customHeight="1">
      <c r="A4010" s="443"/>
      <c r="B4010" s="2790" t="s">
        <v>1248</v>
      </c>
      <c r="C4010" s="2790" t="s">
        <v>505</v>
      </c>
      <c r="D4010" s="3071"/>
      <c r="E4010" s="3109" t="s">
        <v>2486</v>
      </c>
      <c r="F4010" s="3072">
        <v>2314</v>
      </c>
      <c r="G4010" s="2774" t="s">
        <v>326</v>
      </c>
      <c r="H4010" s="3690"/>
      <c r="I4010" s="3687">
        <v>200</v>
      </c>
      <c r="J4010" s="2776">
        <v>50</v>
      </c>
      <c r="K4010" s="3688"/>
      <c r="L4010" s="2779"/>
      <c r="M4010" s="3662">
        <v>200</v>
      </c>
      <c r="N4010" s="2847"/>
      <c r="O4010" s="86"/>
      <c r="P4010" s="1817" t="e">
        <f>INDEX(#REF!,MATCH(F4010,#REF!,0),2)</f>
        <v>#REF!</v>
      </c>
    </row>
    <row r="4011" spans="1:16" ht="13.9" customHeight="1">
      <c r="A4011" s="443"/>
      <c r="B4011" s="2790" t="s">
        <v>1248</v>
      </c>
      <c r="C4011" s="2790" t="s">
        <v>505</v>
      </c>
      <c r="D4011" s="3071"/>
      <c r="E4011" s="3109" t="s">
        <v>2486</v>
      </c>
      <c r="F4011" s="3072">
        <v>2314</v>
      </c>
      <c r="G4011" s="2774" t="s">
        <v>4994</v>
      </c>
      <c r="H4011" s="3690"/>
      <c r="I4011" s="3687">
        <v>200</v>
      </c>
      <c r="J4011" s="2776">
        <v>57</v>
      </c>
      <c r="K4011" s="3688"/>
      <c r="L4011" s="2779"/>
      <c r="M4011" s="3662">
        <v>200</v>
      </c>
      <c r="N4011" s="2847"/>
      <c r="O4011" s="86"/>
      <c r="P4011" s="1817" t="e">
        <f>INDEX(#REF!,MATCH(F4011,#REF!,0),2)</f>
        <v>#REF!</v>
      </c>
    </row>
    <row r="4012" spans="1:16" ht="13.9" customHeight="1">
      <c r="A4012" s="506"/>
      <c r="B4012" s="3084" t="s">
        <v>1248</v>
      </c>
      <c r="C4012" s="3084" t="s">
        <v>505</v>
      </c>
      <c r="D4012" s="3085">
        <v>981</v>
      </c>
      <c r="E4012" s="3619" t="s">
        <v>2486</v>
      </c>
      <c r="F4012" s="3086">
        <v>2322</v>
      </c>
      <c r="G4012" s="3087" t="s">
        <v>319</v>
      </c>
      <c r="H4012" s="2838">
        <v>418</v>
      </c>
      <c r="I4012" s="3685"/>
      <c r="J4012" s="2840">
        <v>226</v>
      </c>
      <c r="K4012" s="3686"/>
      <c r="L4012" s="2842">
        <v>2718</v>
      </c>
      <c r="M4012" s="2842"/>
      <c r="N4012" s="2847"/>
      <c r="O4012" s="86"/>
      <c r="P4012" s="1817" t="e">
        <f>INDEX(#REF!,MATCH(F4012,#REF!,0),2)</f>
        <v>#REF!</v>
      </c>
    </row>
    <row r="4013" spans="1:16" ht="11.45" customHeight="1">
      <c r="A4013" s="443"/>
      <c r="B4013" s="2790" t="s">
        <v>1248</v>
      </c>
      <c r="C4013" s="2790" t="s">
        <v>505</v>
      </c>
      <c r="D4013" s="3071"/>
      <c r="E4013" s="3109" t="s">
        <v>2486</v>
      </c>
      <c r="F4013" s="3072">
        <v>2322</v>
      </c>
      <c r="G4013" s="2774" t="s">
        <v>2385</v>
      </c>
      <c r="H4013" s="3690"/>
      <c r="I4013" s="3687">
        <v>418</v>
      </c>
      <c r="J4013" s="2776"/>
      <c r="K4013" s="3688"/>
      <c r="L4013" s="2779"/>
      <c r="M4013" s="3662">
        <v>418</v>
      </c>
      <c r="N4013" s="2847"/>
      <c r="O4013" s="86"/>
      <c r="P4013" s="1817" t="e">
        <f>INDEX(#REF!,MATCH(F4013,#REF!,0),2)</f>
        <v>#REF!</v>
      </c>
    </row>
    <row r="4014" spans="1:16" ht="13.15" customHeight="1">
      <c r="A4014" s="1921"/>
      <c r="B4014" s="2790" t="s">
        <v>1248</v>
      </c>
      <c r="C4014" s="2790" t="s">
        <v>505</v>
      </c>
      <c r="D4014" s="3071"/>
      <c r="E4014" s="3109" t="s">
        <v>2486</v>
      </c>
      <c r="F4014" s="3072">
        <v>2322</v>
      </c>
      <c r="G4014" s="2774" t="s">
        <v>4985</v>
      </c>
      <c r="H4014" s="3690"/>
      <c r="I4014" s="3687"/>
      <c r="J4014" s="2776"/>
      <c r="K4014" s="3688"/>
      <c r="L4014" s="2779"/>
      <c r="M4014" s="3662">
        <v>2300</v>
      </c>
      <c r="N4014" s="4296"/>
      <c r="O4014" s="86"/>
      <c r="P4014" s="1817" t="e">
        <f>INDEX(#REF!,MATCH(F4014,#REF!,0),2)</f>
        <v>#REF!</v>
      </c>
    </row>
    <row r="4015" spans="1:16" ht="13.15" customHeight="1">
      <c r="A4015" s="506"/>
      <c r="B4015" s="3084" t="s">
        <v>1248</v>
      </c>
      <c r="C4015" s="3084" t="s">
        <v>507</v>
      </c>
      <c r="D4015" s="3085">
        <v>981</v>
      </c>
      <c r="E4015" s="3619" t="s">
        <v>2486</v>
      </c>
      <c r="F4015" s="3086">
        <v>2341</v>
      </c>
      <c r="G4015" s="3087" t="s">
        <v>320</v>
      </c>
      <c r="H4015" s="2838">
        <v>2000</v>
      </c>
      <c r="I4015" s="3685"/>
      <c r="J4015" s="2840">
        <v>745</v>
      </c>
      <c r="K4015" s="3686"/>
      <c r="L4015" s="2842">
        <v>2000</v>
      </c>
      <c r="M4015" s="2842"/>
      <c r="N4015" s="2847"/>
      <c r="O4015" s="86"/>
      <c r="P4015" s="1817" t="e">
        <f>INDEX(#REF!,MATCH(F4015,#REF!,0),2)</f>
        <v>#REF!</v>
      </c>
    </row>
    <row r="4016" spans="1:16" ht="11.45" customHeight="1">
      <c r="A4016" s="443"/>
      <c r="B4016" s="2790" t="s">
        <v>1248</v>
      </c>
      <c r="C4016" s="2790" t="s">
        <v>507</v>
      </c>
      <c r="D4016" s="3071"/>
      <c r="E4016" s="3109" t="s">
        <v>2486</v>
      </c>
      <c r="F4016" s="3072">
        <v>2341</v>
      </c>
      <c r="G4016" s="2774" t="s">
        <v>884</v>
      </c>
      <c r="H4016" s="3690"/>
      <c r="I4016" s="3687">
        <v>1500</v>
      </c>
      <c r="J4016" s="2776"/>
      <c r="K4016" s="3688"/>
      <c r="L4016" s="2779"/>
      <c r="M4016" s="3662">
        <v>2000</v>
      </c>
      <c r="N4016" s="2847"/>
      <c r="O4016" s="86"/>
      <c r="P4016" s="1817" t="e">
        <f>INDEX(#REF!,MATCH(F4016,#REF!,0),2)</f>
        <v>#REF!</v>
      </c>
    </row>
    <row r="4017" spans="1:23" ht="48.6" customHeight="1">
      <c r="A4017" s="443"/>
      <c r="B4017" s="2790" t="s">
        <v>1248</v>
      </c>
      <c r="C4017" s="2790" t="s">
        <v>507</v>
      </c>
      <c r="D4017" s="3071"/>
      <c r="E4017" s="3109" t="s">
        <v>2486</v>
      </c>
      <c r="F4017" s="3072">
        <v>2341</v>
      </c>
      <c r="G4017" s="2774" t="s">
        <v>4986</v>
      </c>
      <c r="H4017" s="3690"/>
      <c r="I4017" s="3687">
        <v>500</v>
      </c>
      <c r="J4017" s="2776"/>
      <c r="K4017" s="3688"/>
      <c r="L4017" s="2779"/>
      <c r="M4017" s="3662"/>
      <c r="N4017" s="2847"/>
      <c r="O4017" s="86"/>
      <c r="P4017" s="1817" t="e">
        <f>INDEX(#REF!,MATCH(F4017,#REF!,0),2)</f>
        <v>#REF!</v>
      </c>
    </row>
    <row r="4018" spans="1:23" ht="19.899999999999999" customHeight="1">
      <c r="A4018" s="506"/>
      <c r="B4018" s="3084" t="s">
        <v>1248</v>
      </c>
      <c r="C4018" s="3084" t="s">
        <v>505</v>
      </c>
      <c r="D4018" s="3085">
        <v>981</v>
      </c>
      <c r="E4018" s="3619" t="s">
        <v>2486</v>
      </c>
      <c r="F4018" s="3086">
        <v>2350</v>
      </c>
      <c r="G4018" s="3087" t="s">
        <v>290</v>
      </c>
      <c r="H4018" s="2838">
        <v>13850</v>
      </c>
      <c r="I4018" s="3685"/>
      <c r="J4018" s="2840">
        <v>9821</v>
      </c>
      <c r="K4018" s="3686"/>
      <c r="L4018" s="2842">
        <v>13850</v>
      </c>
      <c r="M4018" s="2842"/>
      <c r="N4018" s="2396"/>
      <c r="O4018" s="86"/>
      <c r="P4018" s="1817" t="e">
        <f>INDEX(#REF!,MATCH(F4018,#REF!,0),2)</f>
        <v>#REF!</v>
      </c>
      <c r="V4018" s="81"/>
      <c r="W4018"/>
    </row>
    <row r="4019" spans="1:23" ht="20.45" customHeight="1">
      <c r="A4019" s="443"/>
      <c r="B4019" s="2790" t="s">
        <v>1248</v>
      </c>
      <c r="C4019" s="2790" t="s">
        <v>505</v>
      </c>
      <c r="D4019" s="3071"/>
      <c r="E4019" s="3109" t="s">
        <v>2486</v>
      </c>
      <c r="F4019" s="3072">
        <v>2350</v>
      </c>
      <c r="G4019" s="2774" t="s">
        <v>826</v>
      </c>
      <c r="H4019" s="3690"/>
      <c r="I4019" s="3687">
        <v>1000</v>
      </c>
      <c r="J4019" s="2776"/>
      <c r="K4019" s="3688"/>
      <c r="L4019" s="2779"/>
      <c r="M4019" s="3662">
        <v>1000</v>
      </c>
      <c r="N4019" s="2847"/>
      <c r="O4019" s="86"/>
      <c r="P4019" s="1817" t="e">
        <f>INDEX(#REF!,MATCH(F4019,#REF!,0),2)</f>
        <v>#REF!</v>
      </c>
    </row>
    <row r="4020" spans="1:23" ht="13.15" customHeight="1">
      <c r="A4020" s="443"/>
      <c r="B4020" s="2790" t="s">
        <v>1248</v>
      </c>
      <c r="C4020" s="2790" t="s">
        <v>505</v>
      </c>
      <c r="D4020" s="3071"/>
      <c r="E4020" s="3109" t="s">
        <v>2486</v>
      </c>
      <c r="F4020" s="3072">
        <v>2350</v>
      </c>
      <c r="G4020" s="2774" t="s">
        <v>446</v>
      </c>
      <c r="H4020" s="3690"/>
      <c r="I4020" s="3687">
        <v>12000</v>
      </c>
      <c r="J4020" s="2776"/>
      <c r="K4020" s="3688"/>
      <c r="L4020" s="2779"/>
      <c r="M4020" s="4297">
        <v>12000</v>
      </c>
      <c r="N4020" s="241" t="s">
        <v>5156</v>
      </c>
      <c r="O4020" s="1817"/>
      <c r="P4020" s="1817" t="e">
        <f>INDEX(#REF!,MATCH(F4020,#REF!,0),2)</f>
        <v>#REF!</v>
      </c>
    </row>
    <row r="4021" spans="1:23" ht="25.9" customHeight="1">
      <c r="A4021" s="1537"/>
      <c r="B4021" s="2790" t="s">
        <v>1248</v>
      </c>
      <c r="C4021" s="2790" t="s">
        <v>505</v>
      </c>
      <c r="D4021" s="3071"/>
      <c r="E4021" s="3109" t="s">
        <v>2486</v>
      </c>
      <c r="F4021" s="3072">
        <v>2350</v>
      </c>
      <c r="G4021" s="2774" t="s">
        <v>1209</v>
      </c>
      <c r="H4021" s="2822"/>
      <c r="I4021" s="3687">
        <v>500</v>
      </c>
      <c r="J4021" s="2776"/>
      <c r="K4021" s="3688"/>
      <c r="L4021" s="2779"/>
      <c r="M4021" s="3662">
        <v>500</v>
      </c>
      <c r="N4021" s="2847"/>
      <c r="O4021" s="86"/>
      <c r="P4021" s="1817" t="e">
        <f>INDEX(#REF!,MATCH(F4021,#REF!,0),2)</f>
        <v>#REF!</v>
      </c>
    </row>
    <row r="4022" spans="1:23" ht="13.15" customHeight="1">
      <c r="A4022" s="443"/>
      <c r="B4022" s="2790" t="s">
        <v>1248</v>
      </c>
      <c r="C4022" s="2790" t="s">
        <v>505</v>
      </c>
      <c r="D4022" s="3071"/>
      <c r="E4022" s="3109" t="s">
        <v>2486</v>
      </c>
      <c r="F4022" s="3072">
        <v>2350</v>
      </c>
      <c r="G4022" s="2774" t="s">
        <v>1055</v>
      </c>
      <c r="H4022" s="3690"/>
      <c r="I4022" s="3687">
        <v>350</v>
      </c>
      <c r="J4022" s="2776"/>
      <c r="K4022" s="3688"/>
      <c r="L4022" s="2779"/>
      <c r="M4022" s="3662">
        <v>350</v>
      </c>
      <c r="N4022" s="2847"/>
      <c r="O4022" s="86"/>
      <c r="P4022" s="1817" t="e">
        <f>INDEX(#REF!,MATCH(F4022,#REF!,0),2)</f>
        <v>#REF!</v>
      </c>
    </row>
    <row r="4023" spans="1:23" ht="49.15" customHeight="1">
      <c r="A4023" s="506"/>
      <c r="B4023" s="506" t="s">
        <v>512</v>
      </c>
      <c r="C4023" s="506" t="s">
        <v>506</v>
      </c>
      <c r="D4023" s="1589">
        <v>950</v>
      </c>
      <c r="E4023" s="2223" t="s">
        <v>1913</v>
      </c>
      <c r="F4023" s="540">
        <v>2363</v>
      </c>
      <c r="G4023" s="411" t="s">
        <v>901</v>
      </c>
      <c r="H4023" s="926">
        <v>173757.8</v>
      </c>
      <c r="I4023" s="603"/>
      <c r="J4023" s="604"/>
      <c r="K4023" s="605"/>
      <c r="L4023" s="619">
        <v>173757.8</v>
      </c>
      <c r="M4023" s="619"/>
      <c r="N4023" s="2847"/>
      <c r="O4023" s="86"/>
      <c r="P4023" s="1817" t="e">
        <f>INDEX(#REF!,MATCH(F4023,#REF!,0),2)</f>
        <v>#REF!</v>
      </c>
    </row>
    <row r="4024" spans="1:23" ht="14.45" customHeight="1">
      <c r="A4024" s="443"/>
      <c r="B4024" s="443" t="s">
        <v>512</v>
      </c>
      <c r="C4024" s="443" t="s">
        <v>506</v>
      </c>
      <c r="D4024" s="1615"/>
      <c r="E4024" s="2224" t="s">
        <v>1913</v>
      </c>
      <c r="F4024" s="453">
        <v>2363</v>
      </c>
      <c r="G4024" s="439" t="s">
        <v>3062</v>
      </c>
      <c r="H4024" s="924"/>
      <c r="I4024" s="602">
        <v>7451</v>
      </c>
      <c r="J4024" s="511"/>
      <c r="K4024" s="573"/>
      <c r="L4024" s="420"/>
      <c r="M4024" s="1521">
        <v>7451</v>
      </c>
      <c r="N4024" s="2847"/>
      <c r="O4024" s="86"/>
      <c r="P4024" s="1817" t="e">
        <f>INDEX(#REF!,MATCH(F4024,#REF!,0),2)</f>
        <v>#REF!</v>
      </c>
    </row>
    <row r="4025" spans="1:23" ht="19.149999999999999" customHeight="1">
      <c r="A4025" s="443"/>
      <c r="B4025" s="443" t="s">
        <v>512</v>
      </c>
      <c r="C4025" s="443" t="s">
        <v>506</v>
      </c>
      <c r="D4025" s="1615"/>
      <c r="E4025" s="2224" t="s">
        <v>1913</v>
      </c>
      <c r="F4025" s="453">
        <v>2363</v>
      </c>
      <c r="G4025" s="860" t="s">
        <v>1476</v>
      </c>
      <c r="H4025" s="1062"/>
      <c r="I4025" s="1063">
        <v>166306.79999999999</v>
      </c>
      <c r="J4025" s="753"/>
      <c r="K4025" s="1064"/>
      <c r="L4025" s="769"/>
      <c r="M4025" s="1521">
        <v>166306.79999999999</v>
      </c>
      <c r="N4025" s="2847"/>
      <c r="O4025" s="86"/>
      <c r="P4025" s="1817" t="e">
        <f>INDEX(#REF!,MATCH(F4025,#REF!,0),2)</f>
        <v>#REF!</v>
      </c>
    </row>
    <row r="4026" spans="1:23" ht="19.149999999999999" customHeight="1">
      <c r="A4026" s="506"/>
      <c r="B4026" s="506" t="s">
        <v>512</v>
      </c>
      <c r="C4026" s="506" t="s">
        <v>506</v>
      </c>
      <c r="D4026" s="1589">
        <v>950</v>
      </c>
      <c r="E4026" s="2223" t="s">
        <v>1913</v>
      </c>
      <c r="F4026" s="540">
        <v>7245</v>
      </c>
      <c r="G4026" s="411" t="s">
        <v>786</v>
      </c>
      <c r="H4026" s="926">
        <v>38292</v>
      </c>
      <c r="I4026" s="603"/>
      <c r="J4026" s="604"/>
      <c r="K4026" s="605"/>
      <c r="L4026" s="619">
        <v>38292</v>
      </c>
      <c r="M4026" s="619"/>
      <c r="N4026" s="2847"/>
      <c r="O4026" s="86"/>
      <c r="P4026" s="1817" t="e">
        <f>INDEX(#REF!,MATCH(F4026,#REF!,0),2)</f>
        <v>#REF!</v>
      </c>
    </row>
    <row r="4027" spans="1:23" ht="19.149999999999999" customHeight="1">
      <c r="A4027" s="443"/>
      <c r="B4027" s="443" t="s">
        <v>512</v>
      </c>
      <c r="C4027" s="443" t="s">
        <v>506</v>
      </c>
      <c r="D4027" s="1615"/>
      <c r="E4027" s="2224" t="s">
        <v>1913</v>
      </c>
      <c r="F4027" s="453">
        <v>7245</v>
      </c>
      <c r="G4027" s="439" t="s">
        <v>3239</v>
      </c>
      <c r="H4027" s="924"/>
      <c r="I4027" s="602">
        <v>38292</v>
      </c>
      <c r="J4027" s="511"/>
      <c r="K4027" s="573"/>
      <c r="L4027" s="420"/>
      <c r="M4027" s="420">
        <v>38292</v>
      </c>
      <c r="N4027" s="2847"/>
      <c r="O4027" s="86"/>
      <c r="P4027" s="1817" t="e">
        <f>INDEX(#REF!,MATCH(F4027,#REF!,0),2)</f>
        <v>#REF!</v>
      </c>
    </row>
    <row r="4028" spans="1:23" ht="19.149999999999999" customHeight="1">
      <c r="A4028" s="506"/>
      <c r="B4028" s="3084" t="s">
        <v>1248</v>
      </c>
      <c r="C4028" s="3084" t="s">
        <v>507</v>
      </c>
      <c r="D4028" s="3085" t="s">
        <v>2344</v>
      </c>
      <c r="E4028" s="3619" t="s">
        <v>2486</v>
      </c>
      <c r="F4028" s="3086">
        <v>2361</v>
      </c>
      <c r="G4028" s="3087" t="s">
        <v>3760</v>
      </c>
      <c r="H4028" s="2838">
        <v>500</v>
      </c>
      <c r="I4028" s="3685"/>
      <c r="J4028" s="2840"/>
      <c r="K4028" s="3686"/>
      <c r="L4028" s="2842">
        <v>700</v>
      </c>
      <c r="M4028" s="2842"/>
      <c r="N4028" s="2847"/>
      <c r="O4028" s="86"/>
      <c r="P4028" s="1817"/>
    </row>
    <row r="4029" spans="1:23" ht="19.149999999999999" customHeight="1">
      <c r="A4029" s="443"/>
      <c r="B4029" s="2790" t="s">
        <v>1248</v>
      </c>
      <c r="C4029" s="2790" t="s">
        <v>505</v>
      </c>
      <c r="D4029" s="3071"/>
      <c r="E4029" s="3109" t="s">
        <v>2486</v>
      </c>
      <c r="F4029" s="3072">
        <v>2361</v>
      </c>
      <c r="G4029" s="2774" t="s">
        <v>1475</v>
      </c>
      <c r="H4029" s="2822"/>
      <c r="I4029" s="3687">
        <v>500</v>
      </c>
      <c r="J4029" s="2776"/>
      <c r="K4029" s="3688"/>
      <c r="L4029" s="2779"/>
      <c r="M4029" s="3662">
        <v>700</v>
      </c>
      <c r="N4029" s="241" t="s">
        <v>3758</v>
      </c>
      <c r="O4029" s="86"/>
      <c r="P4029" s="1817"/>
    </row>
    <row r="4030" spans="1:23" ht="19.149999999999999" customHeight="1">
      <c r="A4030" s="506"/>
      <c r="B4030" s="3084" t="s">
        <v>1248</v>
      </c>
      <c r="C4030" s="3084" t="s">
        <v>507</v>
      </c>
      <c r="D4030" s="3085" t="s">
        <v>2344</v>
      </c>
      <c r="E4030" s="3619" t="s">
        <v>2486</v>
      </c>
      <c r="F4030" s="3086">
        <v>2363</v>
      </c>
      <c r="G4030" s="3087" t="s">
        <v>901</v>
      </c>
      <c r="H4030" s="2838">
        <v>166306.79999999999</v>
      </c>
      <c r="I4030" s="3685"/>
      <c r="J4030" s="2840">
        <v>103359</v>
      </c>
      <c r="K4030" s="3686"/>
      <c r="L4030" s="2842">
        <v>174384.32</v>
      </c>
      <c r="M4030" s="2842"/>
      <c r="N4030" s="2847"/>
      <c r="O4030" s="86"/>
      <c r="P4030" s="1817"/>
    </row>
    <row r="4031" spans="1:23" ht="15" customHeight="1">
      <c r="A4031" s="443"/>
      <c r="B4031" s="2790" t="s">
        <v>1248</v>
      </c>
      <c r="C4031" s="2790" t="s">
        <v>507</v>
      </c>
      <c r="D4031" s="3071"/>
      <c r="E4031" s="3109" t="s">
        <v>2486</v>
      </c>
      <c r="F4031" s="3072">
        <v>2363</v>
      </c>
      <c r="G4031" s="3381" t="s">
        <v>4987</v>
      </c>
      <c r="H4031" s="2822"/>
      <c r="I4031" s="3687">
        <v>166306.79999999999</v>
      </c>
      <c r="J4031" s="3694"/>
      <c r="K4031" s="3688"/>
      <c r="L4031" s="2779"/>
      <c r="M4031" s="3662">
        <v>174384.32</v>
      </c>
      <c r="N4031" s="2846" t="s">
        <v>5764</v>
      </c>
      <c r="O4031" s="86"/>
      <c r="P4031" s="1817"/>
    </row>
    <row r="4032" spans="1:23" ht="40.9" customHeight="1">
      <c r="A4032" s="506"/>
      <c r="B4032" s="3084" t="s">
        <v>1248</v>
      </c>
      <c r="C4032" s="3084" t="s">
        <v>507</v>
      </c>
      <c r="D4032" s="3085">
        <v>981</v>
      </c>
      <c r="E4032" s="3619" t="s">
        <v>2486</v>
      </c>
      <c r="F4032" s="3086">
        <v>2370</v>
      </c>
      <c r="G4032" s="3087" t="s">
        <v>963</v>
      </c>
      <c r="H4032" s="2838">
        <v>45880</v>
      </c>
      <c r="I4032" s="3685"/>
      <c r="J4032" s="2840">
        <v>37074</v>
      </c>
      <c r="K4032" s="3686"/>
      <c r="L4032" s="2839">
        <v>62440</v>
      </c>
      <c r="M4032" s="2842"/>
      <c r="N4032" s="241" t="s">
        <v>5762</v>
      </c>
      <c r="O4032" s="86"/>
      <c r="P4032" s="1817"/>
    </row>
    <row r="4033" spans="1:16" ht="30" customHeight="1">
      <c r="A4033" s="443"/>
      <c r="B4033" s="2790" t="s">
        <v>1248</v>
      </c>
      <c r="C4033" s="2790" t="s">
        <v>507</v>
      </c>
      <c r="D4033" s="3071"/>
      <c r="E4033" s="3109" t="s">
        <v>2486</v>
      </c>
      <c r="F4033" s="3072">
        <v>2370</v>
      </c>
      <c r="G4033" s="2774" t="s">
        <v>4988</v>
      </c>
      <c r="H4033" s="3690"/>
      <c r="I4033" s="3687"/>
      <c r="J4033" s="2776"/>
      <c r="K4033" s="3688"/>
      <c r="L4033" s="2779"/>
      <c r="M4033" s="3662">
        <v>1400</v>
      </c>
      <c r="N4033" s="2847"/>
      <c r="O4033" s="86"/>
      <c r="P4033" s="1817" t="e">
        <f>INDEX(#REF!,MATCH(F4033,#REF!,0),2)</f>
        <v>#REF!</v>
      </c>
    </row>
    <row r="4034" spans="1:16" ht="11.45" customHeight="1">
      <c r="A4034" s="1921"/>
      <c r="B4034" s="2790" t="s">
        <v>1248</v>
      </c>
      <c r="C4034" s="2790" t="s">
        <v>507</v>
      </c>
      <c r="D4034" s="3071"/>
      <c r="E4034" s="3109" t="s">
        <v>2486</v>
      </c>
      <c r="F4034" s="3072">
        <v>2370</v>
      </c>
      <c r="G4034" s="2774" t="s">
        <v>4989</v>
      </c>
      <c r="H4034" s="3690"/>
      <c r="I4034" s="3687"/>
      <c r="J4034" s="2776"/>
      <c r="K4034" s="3688"/>
      <c r="L4034" s="2779"/>
      <c r="M4034" s="3662">
        <v>240</v>
      </c>
      <c r="N4034" s="2847"/>
      <c r="O4034" s="86"/>
      <c r="P4034" s="1817" t="e">
        <f>INDEX(#REF!,MATCH(F4034,#REF!,0),2)</f>
        <v>#REF!</v>
      </c>
    </row>
    <row r="4035" spans="1:16" ht="11.45" customHeight="1">
      <c r="A4035" s="1921"/>
      <c r="B4035" s="2790" t="s">
        <v>1248</v>
      </c>
      <c r="C4035" s="2790" t="s">
        <v>507</v>
      </c>
      <c r="D4035" s="3071"/>
      <c r="E4035" s="3109" t="s">
        <v>2486</v>
      </c>
      <c r="F4035" s="3072">
        <v>2370</v>
      </c>
      <c r="G4035" s="2774" t="s">
        <v>4990</v>
      </c>
      <c r="H4035" s="3690"/>
      <c r="I4035" s="3687"/>
      <c r="J4035" s="2776"/>
      <c r="K4035" s="3688"/>
      <c r="L4035" s="2779"/>
      <c r="M4035" s="3662">
        <v>9800</v>
      </c>
      <c r="N4035" s="2847"/>
      <c r="O4035" s="86"/>
      <c r="P4035" s="1817" t="e">
        <f>INDEX(#REF!,MATCH(F4035,#REF!,0),2)</f>
        <v>#REF!</v>
      </c>
    </row>
    <row r="4036" spans="1:16" ht="20.45" customHeight="1">
      <c r="A4036" s="1921"/>
      <c r="B4036" s="2790" t="s">
        <v>1248</v>
      </c>
      <c r="C4036" s="2790" t="s">
        <v>507</v>
      </c>
      <c r="D4036" s="3071"/>
      <c r="E4036" s="3109" t="s">
        <v>2486</v>
      </c>
      <c r="F4036" s="3072">
        <v>2370</v>
      </c>
      <c r="G4036" s="2774" t="s">
        <v>4991</v>
      </c>
      <c r="H4036" s="3690"/>
      <c r="I4036" s="3687"/>
      <c r="J4036" s="2776"/>
      <c r="K4036" s="3688"/>
      <c r="L4036" s="2779"/>
      <c r="M4036" s="3662">
        <v>19200</v>
      </c>
      <c r="N4036" s="2847"/>
      <c r="O4036" s="86"/>
      <c r="P4036" s="1817" t="e">
        <f>INDEX(#REF!,MATCH(F4036,#REF!,0),2)</f>
        <v>#REF!</v>
      </c>
    </row>
    <row r="4037" spans="1:16" ht="20.45" customHeight="1">
      <c r="A4037" s="1921"/>
      <c r="B4037" s="2790" t="s">
        <v>1248</v>
      </c>
      <c r="C4037" s="2790" t="s">
        <v>507</v>
      </c>
      <c r="D4037" s="3071"/>
      <c r="E4037" s="3109" t="s">
        <v>2486</v>
      </c>
      <c r="F4037" s="3072">
        <v>2370</v>
      </c>
      <c r="G4037" s="2774" t="s">
        <v>4992</v>
      </c>
      <c r="H4037" s="3690"/>
      <c r="I4037" s="3687"/>
      <c r="J4037" s="2776"/>
      <c r="K4037" s="3688"/>
      <c r="L4037" s="2779"/>
      <c r="M4037" s="3662">
        <v>1300</v>
      </c>
      <c r="N4037" s="2847"/>
      <c r="O4037" s="86"/>
      <c r="P4037" s="1817" t="e">
        <f>INDEX(#REF!,MATCH(F4037,#REF!,0),2)</f>
        <v>#REF!</v>
      </c>
    </row>
    <row r="4038" spans="1:16" ht="16.149999999999999" customHeight="1">
      <c r="A4038" s="1921"/>
      <c r="B4038" s="2790" t="s">
        <v>1248</v>
      </c>
      <c r="C4038" s="2790" t="s">
        <v>507</v>
      </c>
      <c r="D4038" s="3071"/>
      <c r="E4038" s="3109" t="s">
        <v>2486</v>
      </c>
      <c r="F4038" s="3072">
        <v>2370</v>
      </c>
      <c r="G4038" s="2774" t="s">
        <v>4993</v>
      </c>
      <c r="H4038" s="3690"/>
      <c r="I4038" s="3687"/>
      <c r="J4038" s="2776"/>
      <c r="K4038" s="3688"/>
      <c r="L4038" s="2779"/>
      <c r="M4038" s="3662">
        <v>5500</v>
      </c>
      <c r="N4038" s="2847"/>
      <c r="O4038" s="86"/>
      <c r="P4038" s="1817" t="e">
        <f>INDEX(#REF!,MATCH(F4038,#REF!,0),2)</f>
        <v>#REF!</v>
      </c>
    </row>
    <row r="4039" spans="1:16" ht="31.9" customHeight="1">
      <c r="A4039" s="443"/>
      <c r="B4039" s="2790" t="s">
        <v>1248</v>
      </c>
      <c r="C4039" s="2790" t="s">
        <v>507</v>
      </c>
      <c r="D4039" s="3071"/>
      <c r="E4039" s="3109" t="s">
        <v>2486</v>
      </c>
      <c r="F4039" s="3072">
        <v>2370</v>
      </c>
      <c r="G4039" s="2774" t="s">
        <v>447</v>
      </c>
      <c r="H4039" s="3690"/>
      <c r="I4039" s="3687">
        <v>30000</v>
      </c>
      <c r="J4039" s="2776"/>
      <c r="K4039" s="3688"/>
      <c r="L4039" s="2779"/>
      <c r="M4039" s="3662">
        <v>25000</v>
      </c>
      <c r="N4039" s="2847"/>
      <c r="O4039" s="86"/>
      <c r="P4039" s="1817" t="e">
        <f>INDEX(#REF!,MATCH(F4039,#REF!,0),2)</f>
        <v>#REF!</v>
      </c>
    </row>
    <row r="4040" spans="1:16" ht="31.9" customHeight="1">
      <c r="A4040" s="443"/>
      <c r="B4040" s="2790" t="s">
        <v>1248</v>
      </c>
      <c r="C4040" s="2790" t="s">
        <v>507</v>
      </c>
      <c r="D4040" s="3071"/>
      <c r="E4040" s="3109" t="s">
        <v>2486</v>
      </c>
      <c r="F4040" s="3072">
        <v>2370</v>
      </c>
      <c r="G4040" s="2774" t="s">
        <v>1056</v>
      </c>
      <c r="H4040" s="3690"/>
      <c r="I4040" s="3687">
        <v>3080</v>
      </c>
      <c r="J4040" s="2776"/>
      <c r="K4040" s="3688"/>
      <c r="L4040" s="2779"/>
      <c r="M4040" s="3662"/>
      <c r="N4040" s="2847"/>
      <c r="O4040" s="86"/>
      <c r="P4040" s="1817" t="e">
        <f>INDEX(#REF!,MATCH(F4040,#REF!,0),2)</f>
        <v>#REF!</v>
      </c>
    </row>
    <row r="4041" spans="1:16" ht="16.149999999999999" customHeight="1">
      <c r="A4041" s="506"/>
      <c r="B4041" s="3084" t="s">
        <v>1248</v>
      </c>
      <c r="C4041" s="3084" t="s">
        <v>505</v>
      </c>
      <c r="D4041" s="3085">
        <v>981</v>
      </c>
      <c r="E4041" s="3619" t="s">
        <v>2486</v>
      </c>
      <c r="F4041" s="3086">
        <v>2390</v>
      </c>
      <c r="G4041" s="3087" t="s">
        <v>881</v>
      </c>
      <c r="H4041" s="2838">
        <v>1500</v>
      </c>
      <c r="I4041" s="3685"/>
      <c r="J4041" s="2840">
        <v>1219</v>
      </c>
      <c r="K4041" s="3686"/>
      <c r="L4041" s="2842">
        <v>1500</v>
      </c>
      <c r="M4041" s="2842"/>
      <c r="N4041" s="2847"/>
      <c r="O4041" s="86"/>
      <c r="P4041" s="1817" t="e">
        <f>INDEX(#REF!,MATCH(F4041,#REF!,0),2)</f>
        <v>#REF!</v>
      </c>
    </row>
    <row r="4042" spans="1:16" ht="57" customHeight="1">
      <c r="A4042" s="443"/>
      <c r="B4042" s="2790" t="s">
        <v>1248</v>
      </c>
      <c r="C4042" s="2790" t="s">
        <v>505</v>
      </c>
      <c r="D4042" s="3071"/>
      <c r="E4042" s="3109" t="s">
        <v>2486</v>
      </c>
      <c r="F4042" s="3072">
        <v>2390</v>
      </c>
      <c r="G4042" s="2774" t="s">
        <v>448</v>
      </c>
      <c r="H4042" s="3690"/>
      <c r="I4042" s="3687">
        <v>1500</v>
      </c>
      <c r="J4042" s="2776"/>
      <c r="K4042" s="3688"/>
      <c r="L4042" s="2779"/>
      <c r="M4042" s="3662">
        <v>1500</v>
      </c>
      <c r="N4042" s="2847"/>
      <c r="O4042" s="86"/>
      <c r="P4042" s="1817"/>
    </row>
    <row r="4043" spans="1:16" ht="28.9" customHeight="1">
      <c r="A4043" s="506"/>
      <c r="B4043" s="3084" t="s">
        <v>1250</v>
      </c>
      <c r="C4043" s="3084" t="s">
        <v>654</v>
      </c>
      <c r="D4043" s="3085">
        <v>981</v>
      </c>
      <c r="E4043" s="3619" t="s">
        <v>2486</v>
      </c>
      <c r="F4043" s="3086">
        <v>5233</v>
      </c>
      <c r="G4043" s="3087" t="s">
        <v>1124</v>
      </c>
      <c r="H4043" s="2838">
        <v>850</v>
      </c>
      <c r="I4043" s="3685"/>
      <c r="J4043" s="2840">
        <v>847</v>
      </c>
      <c r="K4043" s="3686"/>
      <c r="L4043" s="2842">
        <v>1000</v>
      </c>
      <c r="M4043" s="2842"/>
      <c r="N4043" s="2847"/>
      <c r="O4043" s="86"/>
      <c r="P4043" s="1817" t="e">
        <f>INDEX(#REF!,MATCH(F4043,#REF!,0),2)</f>
        <v>#REF!</v>
      </c>
    </row>
    <row r="4044" spans="1:16" ht="25.9" customHeight="1">
      <c r="A4044" s="443"/>
      <c r="B4044" s="2790" t="s">
        <v>1250</v>
      </c>
      <c r="C4044" s="2790" t="s">
        <v>654</v>
      </c>
      <c r="D4044" s="3071"/>
      <c r="E4044" s="3109" t="s">
        <v>2486</v>
      </c>
      <c r="F4044" s="3072">
        <v>5233</v>
      </c>
      <c r="G4044" s="2774" t="s">
        <v>1786</v>
      </c>
      <c r="H4044" s="3690"/>
      <c r="I4044" s="3687">
        <v>450</v>
      </c>
      <c r="J4044" s="2776"/>
      <c r="K4044" s="3688"/>
      <c r="L4044" s="2779"/>
      <c r="M4044" s="3662">
        <v>500</v>
      </c>
      <c r="N4044" s="2847"/>
      <c r="O4044" s="86"/>
      <c r="P4044" s="1817" t="e">
        <f>INDEX(#REF!,MATCH(F4044,#REF!,0),2)</f>
        <v>#REF!</v>
      </c>
    </row>
    <row r="4045" spans="1:16" ht="18.600000000000001" customHeight="1">
      <c r="A4045" s="863"/>
      <c r="B4045" s="2790" t="s">
        <v>1250</v>
      </c>
      <c r="C4045" s="2790" t="s">
        <v>654</v>
      </c>
      <c r="D4045" s="3071"/>
      <c r="E4045" s="3109" t="s">
        <v>2486</v>
      </c>
      <c r="F4045" s="3072">
        <v>5233</v>
      </c>
      <c r="G4045" s="2774" t="s">
        <v>4995</v>
      </c>
      <c r="H4045" s="3690"/>
      <c r="I4045" s="3687">
        <v>400</v>
      </c>
      <c r="J4045" s="2776"/>
      <c r="K4045" s="3688"/>
      <c r="L4045" s="2779"/>
      <c r="M4045" s="4293">
        <v>500</v>
      </c>
      <c r="N4045" s="241" t="s">
        <v>5156</v>
      </c>
      <c r="O4045" s="86"/>
      <c r="P4045" s="1817" t="e">
        <f>INDEX(#REF!,MATCH(F4045,#REF!,0),2)</f>
        <v>#REF!</v>
      </c>
    </row>
    <row r="4046" spans="1:16" ht="51" customHeight="1">
      <c r="A4046" s="506"/>
      <c r="B4046" s="3084" t="s">
        <v>1248</v>
      </c>
      <c r="C4046" s="3084" t="s">
        <v>645</v>
      </c>
      <c r="D4046" s="3085">
        <v>981</v>
      </c>
      <c r="E4046" s="3619" t="s">
        <v>2486</v>
      </c>
      <c r="F4046" s="3086">
        <v>5238</v>
      </c>
      <c r="G4046" s="3087" t="s">
        <v>257</v>
      </c>
      <c r="H4046" s="2838">
        <v>400</v>
      </c>
      <c r="I4046" s="3685"/>
      <c r="J4046" s="2840"/>
      <c r="K4046" s="3686"/>
      <c r="L4046" s="2842">
        <v>900</v>
      </c>
      <c r="M4046" s="2842"/>
      <c r="N4046" s="2847"/>
      <c r="O4046" s="86"/>
      <c r="P4046" s="1817" t="e">
        <f>INDEX(#REF!,MATCH(F4046,#REF!,0),2)</f>
        <v>#REF!</v>
      </c>
    </row>
    <row r="4047" spans="1:16" ht="31.15" customHeight="1">
      <c r="A4047" s="443"/>
      <c r="B4047" s="2790" t="s">
        <v>1248</v>
      </c>
      <c r="C4047" s="2790" t="s">
        <v>645</v>
      </c>
      <c r="D4047" s="3071"/>
      <c r="E4047" s="3109" t="s">
        <v>2486</v>
      </c>
      <c r="F4047" s="3072">
        <v>5238</v>
      </c>
      <c r="G4047" s="2774" t="s">
        <v>2386</v>
      </c>
      <c r="H4047" s="2822"/>
      <c r="I4047" s="3687">
        <v>400</v>
      </c>
      <c r="J4047" s="2776"/>
      <c r="K4047" s="3688"/>
      <c r="L4047" s="2779"/>
      <c r="M4047" s="3662">
        <v>400</v>
      </c>
      <c r="N4047" s="241" t="s">
        <v>3839</v>
      </c>
      <c r="O4047" s="86"/>
      <c r="P4047" s="1817" t="e">
        <f>INDEX(#REF!,MATCH(F4047,#REF!,0),2)</f>
        <v>#REF!</v>
      </c>
    </row>
    <row r="4048" spans="1:16" ht="11.45" customHeight="1">
      <c r="A4048" s="1921"/>
      <c r="B4048" s="2790" t="s">
        <v>1248</v>
      </c>
      <c r="C4048" s="2790" t="s">
        <v>645</v>
      </c>
      <c r="D4048" s="3071"/>
      <c r="E4048" s="3109" t="s">
        <v>2486</v>
      </c>
      <c r="F4048" s="3072">
        <v>5238</v>
      </c>
      <c r="G4048" s="2774" t="s">
        <v>4996</v>
      </c>
      <c r="H4048" s="2822"/>
      <c r="I4048" s="3687"/>
      <c r="J4048" s="2776"/>
      <c r="K4048" s="3688"/>
      <c r="L4048" s="2779"/>
      <c r="M4048" s="3662">
        <v>500</v>
      </c>
      <c r="N4048" s="2847"/>
      <c r="O4048" s="86"/>
      <c r="P4048" s="1817" t="e">
        <f>INDEX(#REF!,MATCH(F4048,#REF!,0),2)</f>
        <v>#REF!</v>
      </c>
    </row>
    <row r="4049" spans="1:33" ht="11.45" customHeight="1">
      <c r="A4049" s="506"/>
      <c r="B4049" s="3084" t="s">
        <v>1249</v>
      </c>
      <c r="C4049" s="3084" t="s">
        <v>645</v>
      </c>
      <c r="D4049" s="3085">
        <v>981</v>
      </c>
      <c r="E4049" s="3619" t="s">
        <v>2486</v>
      </c>
      <c r="F4049" s="3086">
        <v>5238</v>
      </c>
      <c r="G4049" s="3087" t="s">
        <v>257</v>
      </c>
      <c r="H4049" s="2838">
        <v>3000</v>
      </c>
      <c r="I4049" s="3685"/>
      <c r="J4049" s="2840">
        <v>2952</v>
      </c>
      <c r="K4049" s="3686"/>
      <c r="L4049" s="2842">
        <v>9000</v>
      </c>
      <c r="M4049" s="2842"/>
      <c r="N4049" s="2847"/>
      <c r="O4049" s="86"/>
      <c r="P4049" s="1817" t="e">
        <f>INDEX(#REF!,MATCH(F4049,#REF!,0),2)</f>
        <v>#REF!</v>
      </c>
    </row>
    <row r="4050" spans="1:33" ht="11.45" customHeight="1">
      <c r="A4050" s="443"/>
      <c r="B4050" s="2790" t="s">
        <v>1249</v>
      </c>
      <c r="C4050" s="2790" t="s">
        <v>645</v>
      </c>
      <c r="D4050" s="3071"/>
      <c r="E4050" s="3109" t="s">
        <v>2486</v>
      </c>
      <c r="F4050" s="3072">
        <v>5238</v>
      </c>
      <c r="G4050" s="2774" t="s">
        <v>4997</v>
      </c>
      <c r="H4050" s="2822"/>
      <c r="I4050" s="3687">
        <v>3000</v>
      </c>
      <c r="J4050" s="2776"/>
      <c r="K4050" s="3688"/>
      <c r="L4050" s="2779"/>
      <c r="M4050" s="3662">
        <v>9000</v>
      </c>
      <c r="N4050" s="2847"/>
      <c r="O4050" s="86"/>
      <c r="P4050" s="1817" t="e">
        <f>INDEX(#REF!,MATCH(F4050,#REF!,0),2)</f>
        <v>#REF!</v>
      </c>
    </row>
    <row r="4051" spans="1:33" ht="46.5" customHeight="1">
      <c r="A4051" s="506"/>
      <c r="B4051" s="3084" t="s">
        <v>1249</v>
      </c>
      <c r="C4051" s="3084" t="s">
        <v>645</v>
      </c>
      <c r="D4051" s="3085">
        <v>981</v>
      </c>
      <c r="E4051" s="3619" t="s">
        <v>2486</v>
      </c>
      <c r="F4051" s="3086">
        <v>5239</v>
      </c>
      <c r="G4051" s="3087" t="s">
        <v>2440</v>
      </c>
      <c r="H4051" s="2838"/>
      <c r="I4051" s="3685"/>
      <c r="J4051" s="2840"/>
      <c r="K4051" s="3686"/>
      <c r="L4051" s="2842">
        <v>10000</v>
      </c>
      <c r="M4051" s="2842"/>
      <c r="N4051" s="2847"/>
      <c r="O4051" s="86"/>
      <c r="P4051" s="1817" t="e">
        <f>INDEX(#REF!,MATCH(F4051,#REF!,0),2)</f>
        <v>#REF!</v>
      </c>
    </row>
    <row r="4052" spans="1:33" ht="34.15" customHeight="1">
      <c r="A4052" s="443"/>
      <c r="B4052" s="2790" t="s">
        <v>1249</v>
      </c>
      <c r="C4052" s="2790" t="s">
        <v>645</v>
      </c>
      <c r="D4052" s="3071"/>
      <c r="E4052" s="3109" t="s">
        <v>2486</v>
      </c>
      <c r="F4052" s="3072">
        <v>5239</v>
      </c>
      <c r="G4052" s="2774" t="s">
        <v>4998</v>
      </c>
      <c r="H4052" s="2822"/>
      <c r="I4052" s="3687"/>
      <c r="J4052" s="2776"/>
      <c r="K4052" s="3688"/>
      <c r="L4052" s="2779"/>
      <c r="M4052" s="3662">
        <v>10000</v>
      </c>
      <c r="N4052" s="4296" t="s">
        <v>4999</v>
      </c>
      <c r="O4052" s="86"/>
      <c r="P4052" s="1817" t="e">
        <f>INDEX(#REF!,MATCH(F4052,#REF!,0),2)</f>
        <v>#REF!</v>
      </c>
    </row>
    <row r="4053" spans="1:33" ht="20.45" customHeight="1">
      <c r="A4053" s="506"/>
      <c r="B4053" s="3084" t="s">
        <v>1249</v>
      </c>
      <c r="C4053" s="3084" t="s">
        <v>645</v>
      </c>
      <c r="D4053" s="3085">
        <v>981</v>
      </c>
      <c r="E4053" s="3619" t="s">
        <v>2486</v>
      </c>
      <c r="F4053" s="3086">
        <v>5240</v>
      </c>
      <c r="G4053" s="3087" t="s">
        <v>2595</v>
      </c>
      <c r="H4053" s="2838">
        <v>8070</v>
      </c>
      <c r="I4053" s="3685"/>
      <c r="J4053" s="2840">
        <v>8069</v>
      </c>
      <c r="K4053" s="3686"/>
      <c r="L4053" s="2842">
        <v>0</v>
      </c>
      <c r="M4053" s="2842"/>
      <c r="N4053" s="2847"/>
      <c r="O4053" s="86"/>
      <c r="P4053" s="1817" t="e">
        <f>INDEX(#REF!,MATCH(F4053,#REF!,0),2)</f>
        <v>#REF!</v>
      </c>
    </row>
    <row r="4054" spans="1:33" ht="11.45" customHeight="1">
      <c r="A4054" s="863"/>
      <c r="B4054" s="2790" t="s">
        <v>1249</v>
      </c>
      <c r="C4054" s="2790" t="s">
        <v>645</v>
      </c>
      <c r="D4054" s="3071"/>
      <c r="E4054" s="3109" t="s">
        <v>2486</v>
      </c>
      <c r="F4054" s="3072">
        <v>5240</v>
      </c>
      <c r="G4054" s="2774" t="s">
        <v>3121</v>
      </c>
      <c r="H4054" s="3690"/>
      <c r="I4054" s="3687">
        <v>7000</v>
      </c>
      <c r="J4054" s="2776"/>
      <c r="K4054" s="3688"/>
      <c r="L4054" s="2779"/>
      <c r="M4054" s="2779"/>
      <c r="N4054" s="2847"/>
      <c r="O4054" s="86"/>
      <c r="P4054" s="1817" t="e">
        <f>INDEX(#REF!,MATCH(F4054,#REF!,0),2)</f>
        <v>#REF!</v>
      </c>
    </row>
    <row r="4055" spans="1:33" ht="11.45" customHeight="1">
      <c r="A4055" s="1921"/>
      <c r="B4055" s="2790" t="s">
        <v>1249</v>
      </c>
      <c r="C4055" s="2790" t="s">
        <v>645</v>
      </c>
      <c r="D4055" s="3071"/>
      <c r="E4055" s="3109" t="s">
        <v>2486</v>
      </c>
      <c r="F4055" s="3072">
        <v>5240</v>
      </c>
      <c r="G4055" s="2774" t="s">
        <v>3196</v>
      </c>
      <c r="H4055" s="3690"/>
      <c r="I4055" s="3687">
        <v>1070</v>
      </c>
      <c r="J4055" s="2776"/>
      <c r="K4055" s="3688"/>
      <c r="L4055" s="2779"/>
      <c r="M4055" s="2779"/>
      <c r="N4055" s="2847"/>
      <c r="O4055" s="86"/>
      <c r="P4055" s="1817" t="e">
        <f>INDEX(#REF!,MATCH(F4055,#REF!,0),2)</f>
        <v>#REF!</v>
      </c>
    </row>
    <row r="4056" spans="1:33" ht="34.15" customHeight="1">
      <c r="A4056" s="16"/>
      <c r="B4056" s="5" t="s">
        <v>512</v>
      </c>
      <c r="C4056" s="5" t="s">
        <v>506</v>
      </c>
      <c r="D4056" s="1592">
        <v>1011</v>
      </c>
      <c r="E4056" s="2220" t="s">
        <v>1950</v>
      </c>
      <c r="F4056" s="6">
        <v>1119</v>
      </c>
      <c r="G4056" s="7" t="s">
        <v>224</v>
      </c>
      <c r="H4056" s="8">
        <v>3160</v>
      </c>
      <c r="I4056" s="70"/>
      <c r="J4056" s="17"/>
      <c r="K4056" s="10"/>
      <c r="L4056" s="8">
        <v>3160</v>
      </c>
      <c r="M4056" s="8"/>
      <c r="N4056" s="2847"/>
      <c r="O4056" s="86"/>
      <c r="P4056" s="1817" t="e">
        <f>INDEX(#REF!,MATCH(F4056,#REF!,0),2)</f>
        <v>#REF!</v>
      </c>
    </row>
    <row r="4057" spans="1:33" ht="11.45" customHeight="1">
      <c r="A4057" s="167"/>
      <c r="B4057" s="12" t="s">
        <v>512</v>
      </c>
      <c r="C4057" s="12" t="s">
        <v>506</v>
      </c>
      <c r="D4057" s="1593"/>
      <c r="E4057" s="2222" t="s">
        <v>1950</v>
      </c>
      <c r="F4057" s="23">
        <v>1119</v>
      </c>
      <c r="G4057" s="166" t="s">
        <v>3061</v>
      </c>
      <c r="H4057" s="69"/>
      <c r="I4057" s="31">
        <v>1214</v>
      </c>
      <c r="J4057" s="31"/>
      <c r="K4057" s="76"/>
      <c r="L4057" s="28"/>
      <c r="M4057" s="28">
        <v>1214</v>
      </c>
      <c r="N4057" s="2847"/>
      <c r="O4057" s="86"/>
      <c r="P4057" s="1817" t="e">
        <f>INDEX(#REF!,MATCH(F4057,#REF!,0),2)</f>
        <v>#REF!</v>
      </c>
    </row>
    <row r="4058" spans="1:33" ht="39.6" customHeight="1">
      <c r="A4058" s="167"/>
      <c r="B4058" s="12" t="s">
        <v>512</v>
      </c>
      <c r="C4058" s="12" t="s">
        <v>506</v>
      </c>
      <c r="D4058" s="1593"/>
      <c r="E4058" s="2222" t="s">
        <v>1950</v>
      </c>
      <c r="F4058" s="23">
        <v>1119</v>
      </c>
      <c r="G4058" s="166" t="s">
        <v>594</v>
      </c>
      <c r="H4058" s="69"/>
      <c r="I4058" s="31">
        <v>446</v>
      </c>
      <c r="J4058" s="31"/>
      <c r="K4058" s="76"/>
      <c r="L4058" s="28"/>
      <c r="M4058" s="28">
        <v>446</v>
      </c>
      <c r="N4058" s="2847"/>
      <c r="O4058" s="86"/>
      <c r="P4058" s="1817" t="e">
        <f>INDEX(#REF!,MATCH(F4058,#REF!,0),2)</f>
        <v>#REF!</v>
      </c>
    </row>
    <row r="4059" spans="1:33" ht="34.15" customHeight="1">
      <c r="A4059" s="334"/>
      <c r="B4059" s="12" t="s">
        <v>512</v>
      </c>
      <c r="C4059" s="12" t="s">
        <v>506</v>
      </c>
      <c r="D4059" s="1607"/>
      <c r="E4059" s="2222" t="s">
        <v>1950</v>
      </c>
      <c r="F4059" s="23">
        <v>1119</v>
      </c>
      <c r="G4059" s="323" t="s">
        <v>1002</v>
      </c>
      <c r="H4059" s="69"/>
      <c r="I4059" s="31"/>
      <c r="J4059" s="31"/>
      <c r="K4059" s="76"/>
      <c r="L4059" s="28"/>
      <c r="M4059" s="28"/>
      <c r="N4059" s="2847"/>
      <c r="O4059" s="86"/>
      <c r="P4059" s="1817" t="e">
        <f>INDEX(#REF!,MATCH(F4059,#REF!,0),2)</f>
        <v>#REF!</v>
      </c>
    </row>
    <row r="4060" spans="1:33" ht="39.6" customHeight="1">
      <c r="A4060" s="768"/>
      <c r="B4060" s="12" t="s">
        <v>512</v>
      </c>
      <c r="C4060" s="12" t="s">
        <v>506</v>
      </c>
      <c r="D4060" s="1607"/>
      <c r="E4060" s="2222" t="s">
        <v>1950</v>
      </c>
      <c r="F4060" s="23">
        <v>1119</v>
      </c>
      <c r="G4060" s="850" t="s">
        <v>1243</v>
      </c>
      <c r="H4060" s="921"/>
      <c r="I4060" s="921">
        <v>1500</v>
      </c>
      <c r="J4060" s="31"/>
      <c r="K4060" s="76"/>
      <c r="L4060" s="28"/>
      <c r="M4060" s="28">
        <v>1500</v>
      </c>
      <c r="N4060" s="2847"/>
      <c r="O4060" s="86"/>
      <c r="P4060" s="1817" t="e">
        <f>INDEX(#REF!,MATCH(F4060,#REF!,0),2)</f>
        <v>#REF!</v>
      </c>
    </row>
    <row r="4061" spans="1:33" ht="11.45" customHeight="1">
      <c r="A4061" s="16"/>
      <c r="B4061" s="5" t="s">
        <v>1248</v>
      </c>
      <c r="C4061" s="5" t="s">
        <v>652</v>
      </c>
      <c r="D4061" s="1592">
        <v>1011</v>
      </c>
      <c r="E4061" s="2220" t="s">
        <v>1950</v>
      </c>
      <c r="F4061" s="6">
        <v>1210</v>
      </c>
      <c r="G4061" s="7" t="s">
        <v>483</v>
      </c>
      <c r="H4061" s="8">
        <v>1407</v>
      </c>
      <c r="I4061" s="70"/>
      <c r="J4061" s="17"/>
      <c r="K4061" s="10"/>
      <c r="L4061" s="8">
        <v>1407</v>
      </c>
      <c r="M4061" s="8"/>
      <c r="N4061" s="2847"/>
      <c r="O4061" s="86"/>
      <c r="P4061" s="1817" t="e">
        <f>INDEX(#REF!,MATCH(F4061,#REF!,0),2)</f>
        <v>#REF!</v>
      </c>
    </row>
    <row r="4062" spans="1:33" ht="11.45" customHeight="1">
      <c r="A4062" s="334"/>
      <c r="B4062" s="12" t="s">
        <v>1248</v>
      </c>
      <c r="C4062" s="12" t="s">
        <v>652</v>
      </c>
      <c r="D4062" s="1607"/>
      <c r="E4062" s="2222" t="s">
        <v>1950</v>
      </c>
      <c r="F4062" s="23">
        <v>1210</v>
      </c>
      <c r="G4062" s="330" t="s">
        <v>1242</v>
      </c>
      <c r="H4062" s="69"/>
      <c r="I4062" s="31">
        <v>407</v>
      </c>
      <c r="J4062" s="31"/>
      <c r="K4062" s="76"/>
      <c r="L4062" s="28"/>
      <c r="M4062" s="28">
        <v>407</v>
      </c>
      <c r="N4062" s="2847"/>
      <c r="O4062" s="86"/>
      <c r="P4062" s="1817" t="e">
        <f>INDEX(#REF!,MATCH(F4062,#REF!,0),2)</f>
        <v>#REF!</v>
      </c>
      <c r="Q4062" s="43"/>
      <c r="R4062" s="43"/>
      <c r="S4062" s="43"/>
      <c r="T4062" s="43"/>
      <c r="U4062" s="43"/>
      <c r="V4062" s="43"/>
      <c r="W4062" s="43"/>
      <c r="X4062" s="43"/>
      <c r="Y4062" s="43"/>
      <c r="Z4062" s="43"/>
      <c r="AA4062" s="43"/>
      <c r="AB4062" s="43"/>
      <c r="AC4062" s="43"/>
      <c r="AD4062" s="43"/>
      <c r="AE4062" s="43"/>
      <c r="AF4062" s="43"/>
      <c r="AG4062" s="43"/>
    </row>
    <row r="4063" spans="1:33" ht="33.6" customHeight="1">
      <c r="A4063" s="334"/>
      <c r="B4063" s="12" t="s">
        <v>1248</v>
      </c>
      <c r="C4063" s="12" t="s">
        <v>652</v>
      </c>
      <c r="D4063" s="1607"/>
      <c r="E4063" s="2222" t="s">
        <v>1950</v>
      </c>
      <c r="F4063" s="23">
        <v>1210</v>
      </c>
      <c r="G4063" s="330" t="s">
        <v>1003</v>
      </c>
      <c r="H4063" s="69"/>
      <c r="I4063" s="31"/>
      <c r="J4063" s="31"/>
      <c r="K4063" s="76"/>
      <c r="L4063" s="28"/>
      <c r="M4063" s="28"/>
      <c r="N4063" s="2847"/>
      <c r="O4063" s="86"/>
      <c r="P4063" s="1817" t="e">
        <f>INDEX(#REF!,MATCH(F4063,#REF!,0),2)</f>
        <v>#REF!</v>
      </c>
      <c r="Q4063" s="43"/>
      <c r="R4063" s="43"/>
      <c r="S4063" s="43"/>
      <c r="T4063" s="43"/>
      <c r="U4063" s="43"/>
      <c r="V4063" s="43"/>
      <c r="W4063" s="43"/>
      <c r="X4063" s="43"/>
      <c r="Y4063" s="43"/>
      <c r="Z4063" s="43"/>
      <c r="AA4063" s="43"/>
      <c r="AB4063" s="43"/>
      <c r="AC4063" s="43"/>
      <c r="AD4063" s="43"/>
      <c r="AE4063" s="43"/>
      <c r="AF4063" s="43"/>
      <c r="AG4063" s="43"/>
    </row>
    <row r="4064" spans="1:33" ht="11.45" customHeight="1">
      <c r="A4064" s="768"/>
      <c r="B4064" s="12" t="s">
        <v>1248</v>
      </c>
      <c r="C4064" s="12" t="s">
        <v>652</v>
      </c>
      <c r="D4064" s="1607"/>
      <c r="E4064" s="2222" t="s">
        <v>1950</v>
      </c>
      <c r="F4064" s="23">
        <v>1210</v>
      </c>
      <c r="G4064" s="850" t="s">
        <v>1243</v>
      </c>
      <c r="H4064" s="921"/>
      <c r="I4064" s="921">
        <v>1000</v>
      </c>
      <c r="J4064" s="31"/>
      <c r="K4064" s="76"/>
      <c r="L4064" s="28"/>
      <c r="M4064" s="28">
        <v>1000</v>
      </c>
      <c r="N4064" s="2847"/>
      <c r="O4064" s="86"/>
      <c r="P4064" s="1817" t="e">
        <f>INDEX(#REF!,MATCH(F4064,#REF!,0),2)</f>
        <v>#REF!</v>
      </c>
      <c r="Q4064" s="43"/>
      <c r="R4064" s="43"/>
      <c r="S4064" s="43"/>
      <c r="T4064" s="43"/>
      <c r="U4064" s="43"/>
      <c r="V4064" s="43"/>
      <c r="W4064" s="43"/>
      <c r="X4064" s="43"/>
      <c r="Y4064" s="43"/>
      <c r="Z4064" s="43"/>
      <c r="AA4064" s="43"/>
      <c r="AB4064" s="43"/>
      <c r="AC4064" s="43"/>
      <c r="AD4064" s="43"/>
      <c r="AE4064" s="43"/>
      <c r="AF4064" s="43"/>
      <c r="AG4064" s="43"/>
    </row>
    <row r="4065" spans="1:48" ht="11.45" customHeight="1">
      <c r="A4065" s="16"/>
      <c r="B4065" s="5" t="s">
        <v>512</v>
      </c>
      <c r="C4065" s="5" t="s">
        <v>506</v>
      </c>
      <c r="D4065" s="1592">
        <v>1011</v>
      </c>
      <c r="E4065" s="2220" t="s">
        <v>1950</v>
      </c>
      <c r="F4065" s="6">
        <v>6242</v>
      </c>
      <c r="G4065" s="7" t="s">
        <v>484</v>
      </c>
      <c r="H4065" s="8">
        <v>5471</v>
      </c>
      <c r="I4065" s="70"/>
      <c r="J4065" s="17"/>
      <c r="K4065" s="10"/>
      <c r="L4065" s="8">
        <v>5471</v>
      </c>
      <c r="M4065" s="8"/>
      <c r="N4065" s="2847"/>
      <c r="O4065" s="86"/>
      <c r="P4065" s="1817" t="e">
        <f>INDEX(#REF!,MATCH(F4065,#REF!,0),2)</f>
        <v>#REF!</v>
      </c>
      <c r="Q4065" s="43"/>
      <c r="R4065" s="43"/>
      <c r="S4065" s="43"/>
      <c r="T4065" s="43"/>
      <c r="U4065" s="43"/>
      <c r="V4065" s="43"/>
      <c r="W4065" s="43"/>
      <c r="X4065" s="43"/>
      <c r="Y4065" s="43"/>
      <c r="Z4065" s="43"/>
      <c r="AA4065" s="43"/>
      <c r="AB4065" s="43"/>
      <c r="AC4065" s="43"/>
      <c r="AD4065" s="43"/>
      <c r="AE4065" s="43"/>
      <c r="AF4065" s="43"/>
      <c r="AG4065" s="43"/>
    </row>
    <row r="4066" spans="1:48" ht="11.45" customHeight="1">
      <c r="A4066" s="21"/>
      <c r="B4066" s="12" t="s">
        <v>512</v>
      </c>
      <c r="C4066" s="12" t="s">
        <v>506</v>
      </c>
      <c r="D4066" s="1593"/>
      <c r="E4066" s="2222" t="s">
        <v>1950</v>
      </c>
      <c r="F4066" s="23">
        <v>6242</v>
      </c>
      <c r="G4066" s="22" t="s">
        <v>1088</v>
      </c>
      <c r="H4066" s="69"/>
      <c r="I4066" s="31">
        <v>2971</v>
      </c>
      <c r="J4066" s="31"/>
      <c r="K4066" s="76"/>
      <c r="L4066" s="28"/>
      <c r="M4066" s="28">
        <v>2971</v>
      </c>
      <c r="N4066" s="2847"/>
      <c r="O4066" s="86"/>
      <c r="P4066" s="1817" t="e">
        <f>INDEX(#REF!,MATCH(F4066,#REF!,0),2)</f>
        <v>#REF!</v>
      </c>
      <c r="Q4066" s="43"/>
      <c r="R4066" s="43"/>
      <c r="S4066" s="43"/>
      <c r="T4066" s="43"/>
      <c r="U4066" s="43"/>
      <c r="V4066" s="43"/>
      <c r="W4066" s="43"/>
      <c r="X4066" s="43"/>
      <c r="Y4066" s="43"/>
      <c r="Z4066" s="43"/>
      <c r="AA4066" s="43"/>
      <c r="AB4066" s="43"/>
      <c r="AC4066" s="43"/>
      <c r="AD4066" s="43"/>
      <c r="AE4066" s="43"/>
      <c r="AF4066" s="43"/>
      <c r="AG4066" s="43"/>
    </row>
    <row r="4067" spans="1:48" ht="11.45" customHeight="1">
      <c r="A4067" s="768"/>
      <c r="B4067" s="12" t="s">
        <v>512</v>
      </c>
      <c r="C4067" s="12" t="s">
        <v>506</v>
      </c>
      <c r="D4067" s="1593"/>
      <c r="E4067" s="2222" t="s">
        <v>1950</v>
      </c>
      <c r="F4067" s="23">
        <v>6242</v>
      </c>
      <c r="G4067" s="850" t="s">
        <v>1243</v>
      </c>
      <c r="H4067" s="921"/>
      <c r="I4067" s="921">
        <v>2500</v>
      </c>
      <c r="J4067" s="31"/>
      <c r="K4067" s="76"/>
      <c r="L4067" s="28"/>
      <c r="M4067" s="28">
        <v>2500</v>
      </c>
      <c r="N4067" s="2847"/>
      <c r="O4067" s="86"/>
      <c r="P4067" s="1817" t="e">
        <f>INDEX(#REF!,MATCH(F4067,#REF!,0),2)</f>
        <v>#REF!</v>
      </c>
      <c r="Q4067" s="43"/>
      <c r="R4067" s="43"/>
      <c r="S4067" s="43"/>
      <c r="T4067" s="43"/>
      <c r="U4067" s="43"/>
      <c r="V4067" s="43"/>
      <c r="W4067" s="43"/>
      <c r="X4067" s="43"/>
      <c r="Y4067" s="43"/>
      <c r="Z4067" s="43"/>
      <c r="AA4067" s="43"/>
      <c r="AB4067" s="43"/>
      <c r="AC4067" s="43"/>
      <c r="AD4067" s="43"/>
      <c r="AE4067" s="43"/>
      <c r="AF4067" s="43"/>
      <c r="AG4067" s="43"/>
    </row>
    <row r="4068" spans="1:48" ht="11.45" customHeight="1">
      <c r="A4068" s="16"/>
      <c r="B4068" s="5" t="s">
        <v>512</v>
      </c>
      <c r="C4068" s="5" t="s">
        <v>506</v>
      </c>
      <c r="D4068" s="1592">
        <v>1011</v>
      </c>
      <c r="E4068" s="2220" t="s">
        <v>1950</v>
      </c>
      <c r="F4068" s="6">
        <v>7245</v>
      </c>
      <c r="G4068" s="7" t="s">
        <v>786</v>
      </c>
      <c r="H4068" s="8">
        <v>0</v>
      </c>
      <c r="I4068" s="70"/>
      <c r="J4068" s="17"/>
      <c r="K4068" s="10"/>
      <c r="L4068" s="8">
        <v>0</v>
      </c>
      <c r="M4068" s="8"/>
      <c r="N4068" s="2847"/>
      <c r="O4068" s="86"/>
      <c r="P4068" s="1817" t="e">
        <f>INDEX(#REF!,MATCH(F4068,#REF!,0),2)</f>
        <v>#REF!</v>
      </c>
      <c r="Q4068" s="43"/>
      <c r="R4068" s="43"/>
      <c r="S4068" s="43"/>
      <c r="T4068" s="43"/>
      <c r="U4068" s="43"/>
      <c r="V4068" s="43"/>
      <c r="W4068" s="43"/>
      <c r="X4068" s="43"/>
      <c r="Y4068" s="43"/>
      <c r="Z4068" s="43"/>
      <c r="AA4068" s="43"/>
      <c r="AB4068" s="43"/>
      <c r="AC4068" s="43"/>
      <c r="AD4068" s="43"/>
      <c r="AE4068" s="43"/>
      <c r="AF4068" s="43"/>
      <c r="AG4068" s="43"/>
    </row>
    <row r="4069" spans="1:48" ht="30.6" customHeight="1">
      <c r="A4069" s="21"/>
      <c r="B4069" s="12" t="s">
        <v>512</v>
      </c>
      <c r="C4069" s="12" t="s">
        <v>506</v>
      </c>
      <c r="D4069" s="1593"/>
      <c r="E4069" s="2222" t="s">
        <v>1950</v>
      </c>
      <c r="F4069" s="23">
        <v>7245</v>
      </c>
      <c r="G4069" s="22" t="s">
        <v>788</v>
      </c>
      <c r="H4069" s="69"/>
      <c r="I4069" s="69"/>
      <c r="J4069" s="31"/>
      <c r="K4069" s="76"/>
      <c r="L4069" s="28"/>
      <c r="M4069" s="28"/>
      <c r="N4069" s="2847"/>
      <c r="O4069" s="86"/>
      <c r="P4069" s="1817" t="e">
        <f>INDEX(#REF!,MATCH(F4069,#REF!,0),2)</f>
        <v>#REF!</v>
      </c>
      <c r="Q4069" s="43"/>
      <c r="R4069" s="43"/>
      <c r="S4069" s="43"/>
      <c r="T4069" s="43"/>
      <c r="U4069" s="43"/>
      <c r="V4069" s="43"/>
      <c r="W4069" s="43"/>
      <c r="X4069" s="43"/>
      <c r="Y4069" s="43"/>
      <c r="Z4069" s="43"/>
      <c r="AA4069" s="43"/>
      <c r="AB4069" s="43"/>
      <c r="AC4069" s="43"/>
      <c r="AD4069" s="43"/>
      <c r="AE4069" s="43"/>
      <c r="AF4069" s="43"/>
      <c r="AG4069" s="43"/>
    </row>
    <row r="4070" spans="1:48" ht="16.149999999999999" customHeight="1">
      <c r="A4070" s="170"/>
      <c r="B4070" s="170" t="s">
        <v>566</v>
      </c>
      <c r="C4070" s="170" t="s">
        <v>508</v>
      </c>
      <c r="D4070" s="1603">
        <v>951</v>
      </c>
      <c r="E4070" s="2250" t="s">
        <v>1941</v>
      </c>
      <c r="F4070" s="171">
        <v>2233</v>
      </c>
      <c r="G4070" s="172" t="s">
        <v>263</v>
      </c>
      <c r="H4070" s="63">
        <v>1500</v>
      </c>
      <c r="I4070" s="181"/>
      <c r="J4070" s="207"/>
      <c r="K4070" s="62"/>
      <c r="L4070" s="2469">
        <v>1500</v>
      </c>
      <c r="M4070" s="181"/>
      <c r="N4070" s="3652"/>
      <c r="O4070" s="86"/>
      <c r="P4070" s="1817" t="e">
        <f>INDEX(#REF!,MATCH(F4070,#REF!,0),2)</f>
        <v>#REF!</v>
      </c>
      <c r="Q4070" s="43"/>
      <c r="R4070" s="43"/>
      <c r="S4070" s="43"/>
      <c r="T4070" s="43"/>
      <c r="U4070" s="43"/>
      <c r="V4070" s="43"/>
      <c r="W4070" s="43"/>
      <c r="X4070" s="43"/>
      <c r="Y4070" s="43"/>
      <c r="Z4070" s="43"/>
      <c r="AA4070" s="43"/>
      <c r="AB4070" s="43"/>
      <c r="AC4070" s="43"/>
      <c r="AD4070" s="43"/>
      <c r="AE4070" s="43"/>
      <c r="AF4070" s="43"/>
      <c r="AG4070" s="43"/>
    </row>
    <row r="4071" spans="1:48" ht="33.75">
      <c r="A4071" s="325"/>
      <c r="B4071" s="173" t="s">
        <v>566</v>
      </c>
      <c r="C4071" s="173" t="s">
        <v>508</v>
      </c>
      <c r="D4071" s="1604"/>
      <c r="E4071" s="2251" t="s">
        <v>1941</v>
      </c>
      <c r="F4071" s="370">
        <v>2233</v>
      </c>
      <c r="G4071" s="344" t="s">
        <v>3003</v>
      </c>
      <c r="H4071" s="294"/>
      <c r="I4071" s="343">
        <v>1500</v>
      </c>
      <c r="J4071" s="285"/>
      <c r="K4071" s="287"/>
      <c r="L4071" s="294"/>
      <c r="M4071" s="2471">
        <v>1500</v>
      </c>
      <c r="N4071" s="3652" t="s">
        <v>4919</v>
      </c>
      <c r="O4071" s="86"/>
      <c r="P4071" s="1817" t="e">
        <f>INDEX(#REF!,MATCH(F4071,#REF!,0),2)</f>
        <v>#REF!</v>
      </c>
    </row>
    <row r="4072" spans="1:48">
      <c r="A4072" s="170"/>
      <c r="B4072" s="170" t="s">
        <v>566</v>
      </c>
      <c r="C4072" s="170" t="s">
        <v>508</v>
      </c>
      <c r="D4072" s="1603">
        <v>951</v>
      </c>
      <c r="E4072" s="2252" t="s">
        <v>1941</v>
      </c>
      <c r="F4072" s="171">
        <v>2239</v>
      </c>
      <c r="G4072" s="172" t="s">
        <v>266</v>
      </c>
      <c r="H4072" s="63">
        <v>11147</v>
      </c>
      <c r="I4072" s="181"/>
      <c r="J4072" s="207"/>
      <c r="K4072" s="62"/>
      <c r="L4072" s="2469">
        <v>11484.76</v>
      </c>
      <c r="M4072" s="181"/>
      <c r="N4072" s="2847"/>
      <c r="O4072" s="86"/>
      <c r="P4072" s="1817" t="e">
        <f>INDEX(#REF!,MATCH(F4072,#REF!,0),2)</f>
        <v>#REF!</v>
      </c>
    </row>
    <row r="4073" spans="1:48" ht="16.899999999999999" customHeight="1">
      <c r="A4073" s="173"/>
      <c r="B4073" s="173" t="s">
        <v>566</v>
      </c>
      <c r="C4073" s="173" t="s">
        <v>508</v>
      </c>
      <c r="D4073" s="1604"/>
      <c r="E4073" s="2251" t="s">
        <v>1941</v>
      </c>
      <c r="F4073" s="370">
        <v>2239</v>
      </c>
      <c r="G4073" s="344" t="s">
        <v>3003</v>
      </c>
      <c r="H4073" s="214"/>
      <c r="I4073" s="215">
        <v>13158</v>
      </c>
      <c r="J4073" s="183"/>
      <c r="K4073" s="182"/>
      <c r="L4073" s="214"/>
      <c r="M4073" s="2470">
        <v>11484.76</v>
      </c>
      <c r="N4073" s="2847"/>
      <c r="O4073" s="86"/>
      <c r="P4073" s="1817" t="e">
        <f>INDEX(#REF!,MATCH(F4073,#REF!,0),2)</f>
        <v>#REF!</v>
      </c>
      <c r="Q4073" s="4"/>
      <c r="R4073" s="4"/>
      <c r="S4073" s="4"/>
      <c r="T4073" s="4"/>
      <c r="U4073" s="4"/>
      <c r="V4073" s="4"/>
      <c r="W4073" s="4"/>
      <c r="X4073" s="4"/>
      <c r="Y4073" s="4"/>
      <c r="Z4073" s="4"/>
      <c r="AA4073" s="4"/>
      <c r="AB4073" s="4"/>
      <c r="AC4073" s="4"/>
      <c r="AD4073" s="4"/>
      <c r="AE4073" s="4"/>
      <c r="AF4073" s="4"/>
      <c r="AG4073" s="4"/>
      <c r="AH4073" s="4"/>
      <c r="AI4073" s="4"/>
      <c r="AJ4073" s="4"/>
      <c r="AK4073" s="4"/>
      <c r="AL4073" s="4"/>
      <c r="AM4073" s="4"/>
      <c r="AN4073" s="4"/>
      <c r="AO4073" s="4"/>
      <c r="AP4073" s="4"/>
      <c r="AQ4073" s="4"/>
      <c r="AR4073" s="4"/>
      <c r="AS4073" s="4"/>
      <c r="AT4073" s="4"/>
      <c r="AU4073" s="4"/>
      <c r="AV4073" s="4"/>
    </row>
    <row r="4074" spans="1:48" ht="11.45" customHeight="1">
      <c r="A4074" s="1882"/>
      <c r="B4074" s="173" t="s">
        <v>566</v>
      </c>
      <c r="C4074" s="173" t="s">
        <v>508</v>
      </c>
      <c r="D4074" s="1604"/>
      <c r="E4074" s="2251" t="s">
        <v>1941</v>
      </c>
      <c r="F4074" s="370">
        <v>2239</v>
      </c>
      <c r="G4074" s="2316" t="s">
        <v>3133</v>
      </c>
      <c r="H4074" s="2317"/>
      <c r="I4074" s="2318">
        <v>-2011</v>
      </c>
      <c r="J4074" s="1895"/>
      <c r="K4074" s="1896"/>
      <c r="L4074" s="2317"/>
      <c r="M4074" s="2476"/>
      <c r="N4074" s="2847"/>
      <c r="O4074" s="86"/>
      <c r="P4074" s="1817" t="e">
        <f>INDEX(#REF!,MATCH(F4074,#REF!,0),2)</f>
        <v>#REF!</v>
      </c>
      <c r="Q4074" s="11"/>
      <c r="R4074" s="11"/>
      <c r="S4074" s="11"/>
      <c r="T4074" s="11"/>
      <c r="U4074" s="11"/>
      <c r="V4074" s="11"/>
      <c r="W4074" s="4"/>
      <c r="X4074" s="11"/>
      <c r="Y4074" s="11"/>
      <c r="Z4074" s="11"/>
      <c r="AA4074" s="11"/>
      <c r="AB4074" s="11"/>
      <c r="AC4074" s="11"/>
      <c r="AD4074" s="11"/>
      <c r="AE4074" s="11"/>
      <c r="AF4074" s="11"/>
      <c r="AG4074" s="11"/>
      <c r="AH4074" s="11"/>
      <c r="AI4074" s="11"/>
      <c r="AJ4074" s="11"/>
      <c r="AK4074" s="11"/>
      <c r="AL4074" s="11"/>
      <c r="AM4074" s="11"/>
      <c r="AN4074" s="11"/>
      <c r="AO4074" s="11"/>
      <c r="AP4074" s="11"/>
      <c r="AQ4074" s="11"/>
      <c r="AR4074" s="11"/>
      <c r="AS4074" s="11"/>
      <c r="AT4074" s="11"/>
      <c r="AU4074" s="11"/>
      <c r="AV4074" s="11"/>
    </row>
    <row r="4075" spans="1:48">
      <c r="A4075" s="170"/>
      <c r="B4075" s="170" t="s">
        <v>566</v>
      </c>
      <c r="C4075" s="170" t="s">
        <v>508</v>
      </c>
      <c r="D4075" s="1603">
        <v>951</v>
      </c>
      <c r="E4075" s="2252" t="s">
        <v>1941</v>
      </c>
      <c r="F4075" s="171">
        <v>2370</v>
      </c>
      <c r="G4075" s="172" t="s">
        <v>794</v>
      </c>
      <c r="H4075" s="63">
        <v>1500</v>
      </c>
      <c r="I4075" s="181"/>
      <c r="J4075" s="207"/>
      <c r="K4075" s="62"/>
      <c r="L4075" s="2469">
        <v>1500</v>
      </c>
      <c r="M4075" s="181"/>
      <c r="N4075" s="2847"/>
      <c r="O4075" s="86"/>
      <c r="P4075" s="1817" t="e">
        <f>INDEX(#REF!,MATCH(F4075,#REF!,0),2)</f>
        <v>#REF!</v>
      </c>
    </row>
    <row r="4076" spans="1:48" ht="11.45" customHeight="1">
      <c r="A4076" s="173"/>
      <c r="B4076" s="173" t="s">
        <v>566</v>
      </c>
      <c r="C4076" s="173" t="s">
        <v>508</v>
      </c>
      <c r="D4076" s="1604"/>
      <c r="E4076" s="2251" t="s">
        <v>1941</v>
      </c>
      <c r="F4076" s="370">
        <v>2370</v>
      </c>
      <c r="G4076" s="344" t="s">
        <v>3003</v>
      </c>
      <c r="H4076" s="214"/>
      <c r="I4076" s="215">
        <v>1500</v>
      </c>
      <c r="J4076" s="183"/>
      <c r="K4076" s="182"/>
      <c r="L4076" s="214"/>
      <c r="M4076" s="2470">
        <v>1500</v>
      </c>
      <c r="N4076" s="2847"/>
      <c r="O4076" s="86"/>
      <c r="P4076" s="1817" t="e">
        <f>INDEX(#REF!,MATCH(F4076,#REF!,0),2)</f>
        <v>#REF!</v>
      </c>
      <c r="Q4076" s="11"/>
      <c r="R4076" s="11"/>
      <c r="S4076" s="11"/>
      <c r="T4076" s="11"/>
      <c r="U4076" s="11"/>
      <c r="V4076" s="11"/>
      <c r="W4076" s="4"/>
      <c r="X4076" s="11"/>
      <c r="Y4076" s="11"/>
      <c r="Z4076" s="11"/>
      <c r="AA4076" s="11"/>
      <c r="AB4076" s="11"/>
      <c r="AC4076" s="11"/>
      <c r="AD4076" s="11"/>
      <c r="AE4076" s="11"/>
      <c r="AF4076" s="11"/>
      <c r="AG4076" s="11"/>
      <c r="AH4076" s="11"/>
      <c r="AI4076" s="11"/>
      <c r="AJ4076" s="11"/>
      <c r="AK4076" s="11"/>
      <c r="AL4076" s="11"/>
      <c r="AM4076" s="11"/>
      <c r="AN4076" s="11"/>
      <c r="AO4076" s="11"/>
      <c r="AP4076" s="11"/>
      <c r="AQ4076" s="11"/>
      <c r="AR4076" s="11"/>
      <c r="AS4076" s="11"/>
      <c r="AT4076" s="11"/>
      <c r="AU4076" s="11"/>
      <c r="AV4076" s="11"/>
    </row>
    <row r="4077" spans="1:48" ht="33.75">
      <c r="A4077" s="170"/>
      <c r="B4077" s="170" t="s">
        <v>566</v>
      </c>
      <c r="C4077" s="170" t="s">
        <v>508</v>
      </c>
      <c r="D4077" s="1603">
        <v>951</v>
      </c>
      <c r="E4077" s="2252" t="s">
        <v>1941</v>
      </c>
      <c r="F4077" s="171">
        <v>7245</v>
      </c>
      <c r="G4077" s="172" t="s">
        <v>786</v>
      </c>
      <c r="H4077" s="63"/>
      <c r="I4077" s="181"/>
      <c r="J4077" s="207"/>
      <c r="K4077" s="62"/>
      <c r="L4077" s="2469"/>
      <c r="M4077" s="181"/>
      <c r="N4077" s="2847"/>
      <c r="O4077" s="86"/>
      <c r="P4077" s="1817" t="e">
        <f>INDEX(#REF!,MATCH(F4077,#REF!,0),2)</f>
        <v>#REF!</v>
      </c>
    </row>
    <row r="4078" spans="1:48">
      <c r="A4078" s="173"/>
      <c r="B4078" s="173" t="s">
        <v>566</v>
      </c>
      <c r="C4078" s="173" t="s">
        <v>508</v>
      </c>
      <c r="D4078" s="1604"/>
      <c r="E4078" s="2251" t="s">
        <v>1941</v>
      </c>
      <c r="F4078" s="370">
        <v>7245</v>
      </c>
      <c r="G4078" s="344"/>
      <c r="H4078" s="214"/>
      <c r="I4078" s="215"/>
      <c r="J4078" s="183"/>
      <c r="K4078" s="182"/>
      <c r="L4078" s="214"/>
      <c r="M4078" s="2470"/>
      <c r="N4078" s="2847"/>
      <c r="O4078" s="86"/>
      <c r="P4078" s="1817" t="e">
        <f>INDEX(#REF!,MATCH(F4078,#REF!,0),2)</f>
        <v>#REF!</v>
      </c>
    </row>
    <row r="4079" spans="1:48">
      <c r="A4079" s="544"/>
      <c r="B4079" s="506" t="s">
        <v>663</v>
      </c>
      <c r="C4079" s="506" t="s">
        <v>652</v>
      </c>
      <c r="D4079" s="1632">
        <v>170</v>
      </c>
      <c r="E4079" s="2232" t="s">
        <v>1929</v>
      </c>
      <c r="F4079" s="540">
        <v>1119</v>
      </c>
      <c r="G4079" s="570" t="s">
        <v>628</v>
      </c>
      <c r="H4079" s="571">
        <v>93503</v>
      </c>
      <c r="I4079" s="571"/>
      <c r="J4079" s="572"/>
      <c r="K4079" s="573"/>
      <c r="L4079" s="3804">
        <v>125767.84800000001</v>
      </c>
      <c r="M4079" s="3754"/>
      <c r="N4079" s="2847"/>
      <c r="O4079" s="86"/>
      <c r="P4079" s="1817" t="e">
        <f>INDEX(#REF!,MATCH(F4079,#REF!,0),2)</f>
        <v>#REF!</v>
      </c>
    </row>
    <row r="4080" spans="1:48">
      <c r="A4080" s="515"/>
      <c r="B4080" s="412" t="s">
        <v>663</v>
      </c>
      <c r="C4080" s="412" t="s">
        <v>652</v>
      </c>
      <c r="D4080" s="1590"/>
      <c r="E4080" s="2224" t="s">
        <v>1929</v>
      </c>
      <c r="F4080" s="505">
        <v>1119</v>
      </c>
      <c r="G4080" s="565"/>
      <c r="H4080" s="578"/>
      <c r="I4080" s="578">
        <v>95510.8</v>
      </c>
      <c r="J4080" s="575"/>
      <c r="K4080" s="573"/>
      <c r="L4080" s="1764"/>
      <c r="M4080" s="3805">
        <v>125767.84800000001</v>
      </c>
      <c r="N4080" s="2847"/>
      <c r="O4080" s="86"/>
      <c r="P4080" s="1817" t="e">
        <f>INDEX(#REF!,MATCH(F4080,#REF!,0),2)</f>
        <v>#REF!</v>
      </c>
    </row>
    <row r="4081" spans="1:48">
      <c r="A4081" s="771"/>
      <c r="B4081" s="412" t="s">
        <v>663</v>
      </c>
      <c r="C4081" s="412" t="s">
        <v>652</v>
      </c>
      <c r="D4081" s="1590"/>
      <c r="E4081" s="2224" t="s">
        <v>1929</v>
      </c>
      <c r="F4081" s="505">
        <v>1119</v>
      </c>
      <c r="G4081" s="1191"/>
      <c r="H4081" s="550"/>
      <c r="I4081" s="550">
        <v>-2007.8000000000029</v>
      </c>
      <c r="J4081" s="551"/>
      <c r="K4081" s="722"/>
      <c r="L4081" s="550"/>
      <c r="M4081" s="1671"/>
      <c r="N4081" s="2847"/>
      <c r="O4081" s="86"/>
      <c r="P4081" s="1817" t="e">
        <f>INDEX(#REF!,MATCH(F4081,#REF!,0),2)</f>
        <v>#REF!</v>
      </c>
    </row>
    <row r="4082" spans="1:48">
      <c r="A4082" s="506"/>
      <c r="B4082" s="506" t="s">
        <v>663</v>
      </c>
      <c r="C4082" s="506" t="s">
        <v>652</v>
      </c>
      <c r="D4082" s="1632">
        <v>170</v>
      </c>
      <c r="E4082" s="2223" t="s">
        <v>1929</v>
      </c>
      <c r="F4082" s="540">
        <v>1141</v>
      </c>
      <c r="G4082" s="411" t="s">
        <v>268</v>
      </c>
      <c r="H4082" s="541">
        <v>58</v>
      </c>
      <c r="I4082" s="542"/>
      <c r="J4082" s="542"/>
      <c r="K4082" s="458"/>
      <c r="L4082" s="3750">
        <v>100</v>
      </c>
      <c r="M4082" s="1580"/>
      <c r="N4082" s="2847"/>
      <c r="O4082" s="86"/>
      <c r="P4082" s="1817" t="e">
        <f>INDEX(#REF!,MATCH(F4082,#REF!,0),2)</f>
        <v>#REF!</v>
      </c>
    </row>
    <row r="4083" spans="1:48">
      <c r="A4083" s="412"/>
      <c r="B4083" s="412" t="s">
        <v>663</v>
      </c>
      <c r="C4083" s="412" t="s">
        <v>652</v>
      </c>
      <c r="D4083" s="1590"/>
      <c r="E4083" s="2224" t="s">
        <v>1929</v>
      </c>
      <c r="F4083" s="505">
        <v>1141</v>
      </c>
      <c r="G4083" s="565"/>
      <c r="H4083" s="419"/>
      <c r="I4083" s="578">
        <v>58</v>
      </c>
      <c r="J4083" s="511"/>
      <c r="K4083" s="543"/>
      <c r="L4083" s="1650"/>
      <c r="M4083" s="1576">
        <v>100</v>
      </c>
      <c r="N4083" s="2847"/>
      <c r="O4083" s="86"/>
      <c r="P4083" s="1817" t="e">
        <f>INDEX(#REF!,MATCH(F4083,#REF!,0),2)</f>
        <v>#REF!</v>
      </c>
    </row>
    <row r="4084" spans="1:48">
      <c r="A4084" s="506"/>
      <c r="B4084" s="506" t="s">
        <v>663</v>
      </c>
      <c r="C4084" s="506" t="s">
        <v>652</v>
      </c>
      <c r="D4084" s="1632">
        <v>170</v>
      </c>
      <c r="E4084" s="2223" t="s">
        <v>1929</v>
      </c>
      <c r="F4084" s="540">
        <v>1142</v>
      </c>
      <c r="G4084" s="411" t="s">
        <v>1201</v>
      </c>
      <c r="H4084" s="541">
        <v>2100</v>
      </c>
      <c r="I4084" s="542"/>
      <c r="J4084" s="542"/>
      <c r="K4084" s="458"/>
      <c r="L4084" s="3750">
        <v>100</v>
      </c>
      <c r="M4084" s="1580"/>
      <c r="N4084" s="2847"/>
      <c r="O4084" s="86"/>
      <c r="P4084" s="1817" t="e">
        <f>INDEX(#REF!,MATCH(F4084,#REF!,0),2)</f>
        <v>#REF!</v>
      </c>
    </row>
    <row r="4085" spans="1:48" ht="22.5">
      <c r="A4085" s="412"/>
      <c r="B4085" s="412" t="s">
        <v>663</v>
      </c>
      <c r="C4085" s="412" t="s">
        <v>652</v>
      </c>
      <c r="D4085" s="1590"/>
      <c r="E4085" s="2224" t="s">
        <v>1929</v>
      </c>
      <c r="F4085" s="505">
        <v>1142</v>
      </c>
      <c r="G4085" s="565" t="s">
        <v>1968</v>
      </c>
      <c r="H4085" s="419"/>
      <c r="I4085" s="578">
        <v>2100</v>
      </c>
      <c r="J4085" s="511"/>
      <c r="K4085" s="543"/>
      <c r="L4085" s="1650"/>
      <c r="M4085" s="1576">
        <v>100</v>
      </c>
      <c r="N4085" s="2847"/>
      <c r="O4085" s="86"/>
      <c r="P4085" s="1817" t="e">
        <f>INDEX(#REF!,MATCH(F4085,#REF!,0),2)</f>
        <v>#REF!</v>
      </c>
    </row>
    <row r="4086" spans="1:48">
      <c r="A4086" s="544"/>
      <c r="B4086" s="506" t="s">
        <v>663</v>
      </c>
      <c r="C4086" s="506" t="s">
        <v>652</v>
      </c>
      <c r="D4086" s="1632">
        <v>170</v>
      </c>
      <c r="E4086" s="2223" t="s">
        <v>1929</v>
      </c>
      <c r="F4086" s="540">
        <v>1147</v>
      </c>
      <c r="G4086" s="570" t="s">
        <v>767</v>
      </c>
      <c r="H4086" s="571">
        <v>6106</v>
      </c>
      <c r="I4086" s="571"/>
      <c r="J4086" s="572"/>
      <c r="K4086" s="573"/>
      <c r="L4086" s="3804">
        <v>6480.6540000000005</v>
      </c>
      <c r="M4086" s="3754"/>
      <c r="N4086" s="2847"/>
      <c r="O4086" s="86"/>
      <c r="P4086" s="1817" t="e">
        <f>INDEX(#REF!,MATCH(F4086,#REF!,0),2)</f>
        <v>#REF!</v>
      </c>
    </row>
    <row r="4087" spans="1:48">
      <c r="A4087" s="515"/>
      <c r="B4087" s="412" t="s">
        <v>663</v>
      </c>
      <c r="C4087" s="412" t="s">
        <v>652</v>
      </c>
      <c r="D4087" s="1590"/>
      <c r="E4087" s="2224" t="s">
        <v>1929</v>
      </c>
      <c r="F4087" s="505">
        <v>1147</v>
      </c>
      <c r="G4087" s="1191" t="s">
        <v>1967</v>
      </c>
      <c r="H4087" s="578"/>
      <c r="I4087" s="578">
        <v>4105.9000000000005</v>
      </c>
      <c r="J4087" s="575"/>
      <c r="K4087" s="573"/>
      <c r="L4087" s="1764"/>
      <c r="M4087" s="3805">
        <v>6480.6540000000005</v>
      </c>
      <c r="N4087" s="2847"/>
      <c r="O4087" s="86"/>
      <c r="P4087" s="1817" t="e">
        <f>INDEX(#REF!,MATCH(F4087,#REF!,0),2)</f>
        <v>#REF!</v>
      </c>
    </row>
    <row r="4088" spans="1:48">
      <c r="A4088" s="1391"/>
      <c r="B4088" s="412" t="s">
        <v>663</v>
      </c>
      <c r="C4088" s="412" t="s">
        <v>652</v>
      </c>
      <c r="D4088" s="1590"/>
      <c r="E4088" s="2224" t="s">
        <v>1929</v>
      </c>
      <c r="F4088" s="505">
        <v>1147</v>
      </c>
      <c r="G4088" s="1395"/>
      <c r="H4088" s="1417"/>
      <c r="I4088" s="1417">
        <v>2000</v>
      </c>
      <c r="J4088" s="1392"/>
      <c r="K4088" s="1371"/>
      <c r="L4088" s="1764"/>
      <c r="M4088" s="3805"/>
      <c r="N4088" s="2847"/>
      <c r="O4088" s="86"/>
      <c r="P4088" s="1817" t="e">
        <f>INDEX(#REF!,MATCH(F4088,#REF!,0),2)</f>
        <v>#REF!</v>
      </c>
    </row>
    <row r="4089" spans="1:48">
      <c r="A4089" s="544"/>
      <c r="B4089" s="506" t="s">
        <v>663</v>
      </c>
      <c r="C4089" s="506" t="s">
        <v>652</v>
      </c>
      <c r="D4089" s="1632">
        <v>170</v>
      </c>
      <c r="E4089" s="2223" t="s">
        <v>1929</v>
      </c>
      <c r="F4089" s="540">
        <v>1148</v>
      </c>
      <c r="G4089" s="570" t="s">
        <v>911</v>
      </c>
      <c r="H4089" s="571">
        <v>1950</v>
      </c>
      <c r="I4089" s="571"/>
      <c r="J4089" s="572"/>
      <c r="K4089" s="573"/>
      <c r="L4089" s="3804">
        <v>4000</v>
      </c>
      <c r="M4089" s="3754"/>
      <c r="N4089" s="2847"/>
      <c r="O4089" s="86"/>
      <c r="P4089" s="1817" t="e">
        <f>INDEX(#REF!,MATCH(F4089,#REF!,0),2)</f>
        <v>#REF!</v>
      </c>
    </row>
    <row r="4090" spans="1:48" ht="12" customHeight="1">
      <c r="A4090" s="515"/>
      <c r="B4090" s="412" t="s">
        <v>663</v>
      </c>
      <c r="C4090" s="412" t="s">
        <v>652</v>
      </c>
      <c r="D4090" s="1590"/>
      <c r="E4090" s="2224" t="s">
        <v>1929</v>
      </c>
      <c r="F4090" s="505">
        <v>1148</v>
      </c>
      <c r="G4090" s="565"/>
      <c r="H4090" s="578"/>
      <c r="I4090" s="578">
        <v>1950</v>
      </c>
      <c r="J4090" s="575"/>
      <c r="K4090" s="573"/>
      <c r="L4090" s="1764"/>
      <c r="M4090" s="3805">
        <v>4000</v>
      </c>
      <c r="N4090" s="2847"/>
      <c r="O4090" s="86"/>
      <c r="P4090" s="1817" t="e">
        <f>INDEX(#REF!,MATCH(F4090,#REF!,0),2)</f>
        <v>#REF!</v>
      </c>
      <c r="Q4090" s="4"/>
      <c r="R4090" s="4"/>
      <c r="S4090" s="4"/>
      <c r="T4090" s="4"/>
      <c r="U4090" s="4"/>
      <c r="V4090" s="4"/>
      <c r="W4090" s="4"/>
      <c r="X4090" s="4"/>
      <c r="Y4090" s="4"/>
      <c r="Z4090" s="4"/>
      <c r="AA4090" s="4"/>
      <c r="AB4090" s="4"/>
      <c r="AC4090" s="4"/>
      <c r="AD4090" s="4"/>
      <c r="AE4090" s="4"/>
      <c r="AF4090" s="4"/>
      <c r="AG4090" s="4"/>
      <c r="AH4090" s="4"/>
      <c r="AI4090" s="4"/>
      <c r="AJ4090" s="4"/>
      <c r="AK4090" s="4"/>
      <c r="AL4090" s="4"/>
      <c r="AM4090" s="4"/>
      <c r="AN4090" s="4"/>
      <c r="AO4090" s="4"/>
      <c r="AP4090" s="4"/>
      <c r="AQ4090" s="4"/>
      <c r="AR4090" s="4"/>
      <c r="AS4090" s="4"/>
      <c r="AT4090" s="4"/>
      <c r="AU4090" s="4"/>
      <c r="AV4090" s="4"/>
    </row>
    <row r="4091" spans="1:48">
      <c r="A4091" s="1391"/>
      <c r="B4091" s="412" t="s">
        <v>663</v>
      </c>
      <c r="C4091" s="412" t="s">
        <v>652</v>
      </c>
      <c r="D4091" s="1590"/>
      <c r="E4091" s="2224" t="s">
        <v>1929</v>
      </c>
      <c r="F4091" s="505">
        <v>1148</v>
      </c>
      <c r="G4091" s="1418"/>
      <c r="H4091" s="1417"/>
      <c r="I4091" s="1417"/>
      <c r="J4091" s="1392"/>
      <c r="K4091" s="1371"/>
      <c r="L4091" s="1764"/>
      <c r="M4091" s="3805"/>
      <c r="N4091" s="2847"/>
      <c r="O4091" s="86"/>
      <c r="P4091" s="1817" t="e">
        <f>INDEX(#REF!,MATCH(F4091,#REF!,0),2)</f>
        <v>#REF!</v>
      </c>
    </row>
    <row r="4092" spans="1:48" ht="22.5">
      <c r="A4092" s="544"/>
      <c r="B4092" s="506" t="s">
        <v>1248</v>
      </c>
      <c r="C4092" s="506" t="s">
        <v>652</v>
      </c>
      <c r="D4092" s="1632">
        <v>170</v>
      </c>
      <c r="E4092" s="2223" t="s">
        <v>1929</v>
      </c>
      <c r="F4092" s="540">
        <v>1150</v>
      </c>
      <c r="G4092" s="570" t="s">
        <v>1197</v>
      </c>
      <c r="H4092" s="571">
        <v>0</v>
      </c>
      <c r="I4092" s="571"/>
      <c r="J4092" s="572"/>
      <c r="K4092" s="573"/>
      <c r="L4092" s="3804">
        <v>0</v>
      </c>
      <c r="M4092" s="3754"/>
      <c r="N4092" s="2847"/>
      <c r="O4092" s="86"/>
      <c r="P4092" s="1817" t="e">
        <f>INDEX(#REF!,MATCH(F4092,#REF!,0),2)</f>
        <v>#REF!</v>
      </c>
    </row>
    <row r="4093" spans="1:48">
      <c r="A4093" s="515"/>
      <c r="B4093" s="412" t="s">
        <v>1248</v>
      </c>
      <c r="C4093" s="412" t="s">
        <v>652</v>
      </c>
      <c r="D4093" s="1590"/>
      <c r="E4093" s="2224" t="s">
        <v>1929</v>
      </c>
      <c r="F4093" s="505">
        <v>1150</v>
      </c>
      <c r="G4093" s="565"/>
      <c r="H4093" s="578"/>
      <c r="I4093" s="578"/>
      <c r="J4093" s="575"/>
      <c r="K4093" s="573"/>
      <c r="L4093" s="1763"/>
      <c r="M4093" s="1767"/>
      <c r="N4093" s="2847"/>
      <c r="O4093" s="86"/>
      <c r="P4093" s="1817" t="e">
        <f>INDEX(#REF!,MATCH(F4093,#REF!,0),2)</f>
        <v>#REF!</v>
      </c>
    </row>
    <row r="4094" spans="1:48">
      <c r="A4094" s="544"/>
      <c r="B4094" s="506" t="s">
        <v>663</v>
      </c>
      <c r="C4094" s="506" t="s">
        <v>652</v>
      </c>
      <c r="D4094" s="1632">
        <v>170</v>
      </c>
      <c r="E4094" s="2223" t="s">
        <v>1929</v>
      </c>
      <c r="F4094" s="540">
        <v>1170</v>
      </c>
      <c r="G4094" s="570" t="s">
        <v>724</v>
      </c>
      <c r="H4094" s="571">
        <v>75</v>
      </c>
      <c r="I4094" s="571"/>
      <c r="J4094" s="572"/>
      <c r="K4094" s="573"/>
      <c r="L4094" s="3804">
        <v>75</v>
      </c>
      <c r="M4094" s="3754"/>
      <c r="N4094" s="2847"/>
      <c r="O4094" s="86"/>
      <c r="P4094" s="1817" t="e">
        <f>INDEX(#REF!,MATCH(F4094,#REF!,0),2)</f>
        <v>#REF!</v>
      </c>
    </row>
    <row r="4095" spans="1:48">
      <c r="A4095" s="515"/>
      <c r="B4095" s="412" t="s">
        <v>663</v>
      </c>
      <c r="C4095" s="412" t="s">
        <v>652</v>
      </c>
      <c r="D4095" s="1590"/>
      <c r="E4095" s="2224" t="s">
        <v>1929</v>
      </c>
      <c r="F4095" s="505">
        <v>1170</v>
      </c>
      <c r="G4095" s="565" t="s">
        <v>1430</v>
      </c>
      <c r="H4095" s="578"/>
      <c r="I4095" s="578">
        <v>75</v>
      </c>
      <c r="J4095" s="575"/>
      <c r="K4095" s="573"/>
      <c r="L4095" s="1764"/>
      <c r="M4095" s="3805">
        <v>75</v>
      </c>
      <c r="N4095" s="2847"/>
      <c r="O4095" s="86"/>
      <c r="P4095" s="1817" t="e">
        <f>INDEX(#REF!,MATCH(F4095,#REF!,0),2)</f>
        <v>#REF!</v>
      </c>
    </row>
    <row r="4096" spans="1:48">
      <c r="A4096" s="544"/>
      <c r="B4096" s="506" t="s">
        <v>663</v>
      </c>
      <c r="C4096" s="506" t="s">
        <v>652</v>
      </c>
      <c r="D4096" s="1632">
        <v>170</v>
      </c>
      <c r="E4096" s="2223" t="s">
        <v>1929</v>
      </c>
      <c r="F4096" s="540">
        <v>1210</v>
      </c>
      <c r="G4096" s="570" t="s">
        <v>228</v>
      </c>
      <c r="H4096" s="571">
        <v>24129.306913250006</v>
      </c>
      <c r="I4096" s="571"/>
      <c r="J4096" s="572"/>
      <c r="K4096" s="573"/>
      <c r="L4096" s="3804">
        <v>31708.354023045002</v>
      </c>
      <c r="M4096" s="3754"/>
      <c r="N4096" s="2847"/>
      <c r="O4096" s="86"/>
      <c r="P4096" s="1817" t="e">
        <f>INDEX(#REF!,MATCH(F4096,#REF!,0),2)</f>
        <v>#REF!</v>
      </c>
    </row>
    <row r="4097" spans="1:48">
      <c r="A4097" s="515"/>
      <c r="B4097" s="412" t="s">
        <v>663</v>
      </c>
      <c r="C4097" s="412" t="s">
        <v>652</v>
      </c>
      <c r="D4097" s="1590"/>
      <c r="E4097" s="2224" t="s">
        <v>1929</v>
      </c>
      <c r="F4097" s="505">
        <v>1210</v>
      </c>
      <c r="G4097" s="565"/>
      <c r="H4097" s="578"/>
      <c r="I4097" s="578">
        <v>24129.306913250006</v>
      </c>
      <c r="J4097" s="575"/>
      <c r="K4097" s="573"/>
      <c r="L4097" s="1764"/>
      <c r="M4097" s="3805">
        <v>31708.354023045002</v>
      </c>
      <c r="N4097" s="2847"/>
      <c r="O4097" s="86"/>
      <c r="P4097" s="1817" t="e">
        <f>INDEX(#REF!,MATCH(F4097,#REF!,0),2)</f>
        <v>#REF!</v>
      </c>
    </row>
    <row r="4098" spans="1:48">
      <c r="A4098" s="771"/>
      <c r="B4098" s="412" t="s">
        <v>663</v>
      </c>
      <c r="C4098" s="412" t="s">
        <v>652</v>
      </c>
      <c r="D4098" s="1590"/>
      <c r="E4098" s="2224" t="s">
        <v>1929</v>
      </c>
      <c r="F4098" s="505">
        <v>1210</v>
      </c>
      <c r="G4098" s="1362"/>
      <c r="H4098" s="550"/>
      <c r="I4098" s="550"/>
      <c r="J4098" s="551"/>
      <c r="K4098" s="722"/>
      <c r="L4098" s="550"/>
      <c r="M4098" s="1671"/>
      <c r="N4098" s="2847"/>
      <c r="O4098" s="86"/>
      <c r="P4098" s="1817" t="e">
        <f>INDEX(#REF!,MATCH(F4098,#REF!,0),2)</f>
        <v>#REF!</v>
      </c>
    </row>
    <row r="4099" spans="1:48" ht="22.5">
      <c r="A4099" s="544"/>
      <c r="B4099" s="506" t="s">
        <v>663</v>
      </c>
      <c r="C4099" s="506" t="s">
        <v>652</v>
      </c>
      <c r="D4099" s="1632">
        <v>170</v>
      </c>
      <c r="E4099" s="2223" t="s">
        <v>1929</v>
      </c>
      <c r="F4099" s="540">
        <v>1221</v>
      </c>
      <c r="G4099" s="411" t="s">
        <v>295</v>
      </c>
      <c r="H4099" s="571">
        <v>5023</v>
      </c>
      <c r="I4099" s="571"/>
      <c r="J4099" s="572"/>
      <c r="K4099" s="573"/>
      <c r="L4099" s="3804">
        <v>6909.1877380550004</v>
      </c>
      <c r="M4099" s="3754"/>
      <c r="N4099" s="2847"/>
      <c r="O4099" s="86"/>
      <c r="P4099" s="1817" t="e">
        <f>INDEX(#REF!,MATCH(F4099,#REF!,0),2)</f>
        <v>#REF!</v>
      </c>
    </row>
    <row r="4100" spans="1:48" ht="20.45" customHeight="1">
      <c r="A4100" s="515"/>
      <c r="B4100" s="412" t="s">
        <v>663</v>
      </c>
      <c r="C4100" s="412" t="s">
        <v>652</v>
      </c>
      <c r="D4100" s="1590"/>
      <c r="E4100" s="2224" t="s">
        <v>1929</v>
      </c>
      <c r="F4100" s="505">
        <v>1221</v>
      </c>
      <c r="G4100" s="565" t="s">
        <v>1987</v>
      </c>
      <c r="H4100" s="578"/>
      <c r="I4100" s="578">
        <v>5322.9135217500007</v>
      </c>
      <c r="J4100" s="575"/>
      <c r="K4100" s="573"/>
      <c r="L4100" s="1764"/>
      <c r="M4100" s="3805">
        <v>6909.1877380550004</v>
      </c>
      <c r="N4100" s="2847"/>
      <c r="O4100" s="86"/>
      <c r="P4100" s="1817" t="e">
        <f>INDEX(#REF!,MATCH(F4100,#REF!,0),2)</f>
        <v>#REF!</v>
      </c>
    </row>
    <row r="4101" spans="1:48" ht="20.45" customHeight="1">
      <c r="A4101" s="1344"/>
      <c r="B4101" s="412" t="s">
        <v>663</v>
      </c>
      <c r="C4101" s="412" t="s">
        <v>652</v>
      </c>
      <c r="D4101" s="1590"/>
      <c r="E4101" s="2224" t="s">
        <v>1929</v>
      </c>
      <c r="F4101" s="505">
        <v>1221</v>
      </c>
      <c r="G4101" s="1191"/>
      <c r="H4101" s="1184"/>
      <c r="I4101" s="1184">
        <v>-300</v>
      </c>
      <c r="J4101" s="1185"/>
      <c r="K4101" s="1345"/>
      <c r="L4101" s="1764"/>
      <c r="M4101" s="3805"/>
      <c r="N4101" s="2847"/>
      <c r="O4101" s="86"/>
      <c r="P4101" s="1817" t="e">
        <f>INDEX(#REF!,MATCH(F4101,#REF!,0),2)</f>
        <v>#REF!</v>
      </c>
    </row>
    <row r="4102" spans="1:48" ht="20.45" customHeight="1">
      <c r="A4102" s="544"/>
      <c r="B4102" s="506" t="s">
        <v>663</v>
      </c>
      <c r="C4102" s="506" t="s">
        <v>652</v>
      </c>
      <c r="D4102" s="1632">
        <v>170</v>
      </c>
      <c r="E4102" s="2223" t="s">
        <v>1929</v>
      </c>
      <c r="F4102" s="540">
        <v>1228</v>
      </c>
      <c r="G4102" s="411" t="s">
        <v>1198</v>
      </c>
      <c r="H4102" s="571">
        <v>500</v>
      </c>
      <c r="I4102" s="571"/>
      <c r="J4102" s="572"/>
      <c r="K4102" s="573"/>
      <c r="L4102" s="3804">
        <v>200</v>
      </c>
      <c r="M4102" s="3754"/>
      <c r="N4102" s="2847"/>
      <c r="O4102" s="86"/>
      <c r="P4102" s="1817" t="e">
        <f>INDEX(#REF!,MATCH(F4102,#REF!,0),2)</f>
        <v>#REF!</v>
      </c>
    </row>
    <row r="4103" spans="1:48">
      <c r="A4103" s="515"/>
      <c r="B4103" s="412" t="s">
        <v>663</v>
      </c>
      <c r="C4103" s="412" t="s">
        <v>652</v>
      </c>
      <c r="D4103" s="1590"/>
      <c r="E4103" s="2224" t="s">
        <v>1929</v>
      </c>
      <c r="F4103" s="505">
        <v>1228</v>
      </c>
      <c r="G4103" s="565"/>
      <c r="H4103" s="578"/>
      <c r="I4103" s="578">
        <v>200</v>
      </c>
      <c r="J4103" s="575"/>
      <c r="K4103" s="573"/>
      <c r="L4103" s="1764"/>
      <c r="M4103" s="3805">
        <v>200</v>
      </c>
      <c r="N4103" s="2847"/>
      <c r="O4103" s="86"/>
      <c r="P4103" s="1817" t="e">
        <f>INDEX(#REF!,MATCH(F4103,#REF!,0),2)</f>
        <v>#REF!</v>
      </c>
    </row>
    <row r="4104" spans="1:48">
      <c r="A4104" s="1391"/>
      <c r="B4104" s="412" t="s">
        <v>663</v>
      </c>
      <c r="C4104" s="412" t="s">
        <v>652</v>
      </c>
      <c r="D4104" s="1590"/>
      <c r="E4104" s="2224" t="s">
        <v>1929</v>
      </c>
      <c r="F4104" s="505">
        <v>1228</v>
      </c>
      <c r="G4104" s="565"/>
      <c r="H4104" s="1417"/>
      <c r="I4104" s="1417">
        <v>300</v>
      </c>
      <c r="J4104" s="1392"/>
      <c r="K4104" s="1371"/>
      <c r="L4104" s="1764"/>
      <c r="M4104" s="3805"/>
      <c r="N4104" s="2847"/>
      <c r="O4104" s="86"/>
      <c r="P4104" s="1817" t="e">
        <f>INDEX(#REF!,MATCH(F4104,#REF!,0),2)</f>
        <v>#REF!</v>
      </c>
    </row>
    <row r="4105" spans="1:48">
      <c r="A4105" s="544"/>
      <c r="B4105" s="506" t="s">
        <v>1248</v>
      </c>
      <c r="C4105" s="506" t="s">
        <v>507</v>
      </c>
      <c r="D4105" s="1632">
        <v>170</v>
      </c>
      <c r="E4105" s="2223" t="s">
        <v>1929</v>
      </c>
      <c r="F4105" s="540">
        <v>2210</v>
      </c>
      <c r="G4105" s="570" t="s">
        <v>879</v>
      </c>
      <c r="H4105" s="571">
        <v>23514.54</v>
      </c>
      <c r="I4105" s="571"/>
      <c r="J4105" s="572"/>
      <c r="K4105" s="573"/>
      <c r="L4105" s="3804">
        <v>18539.900000000001</v>
      </c>
      <c r="M4105" s="1766"/>
      <c r="N4105" s="2847"/>
      <c r="O4105" s="86"/>
      <c r="P4105" s="1817" t="e">
        <f>INDEX(#REF!,MATCH(F4105,#REF!,0),2)</f>
        <v>#REF!</v>
      </c>
      <c r="Q4105" s="4"/>
      <c r="R4105" s="4"/>
      <c r="S4105" s="4"/>
      <c r="T4105" s="4"/>
      <c r="U4105" s="4"/>
      <c r="V4105" s="4"/>
      <c r="W4105" s="4"/>
      <c r="X4105" s="4"/>
      <c r="Y4105" s="4"/>
      <c r="Z4105" s="4"/>
      <c r="AA4105" s="4"/>
      <c r="AB4105" s="4"/>
      <c r="AC4105" s="4"/>
      <c r="AD4105" s="4"/>
      <c r="AE4105" s="4"/>
      <c r="AF4105" s="4"/>
      <c r="AG4105" s="4"/>
      <c r="AH4105" s="4"/>
      <c r="AI4105" s="4"/>
      <c r="AJ4105" s="4"/>
      <c r="AK4105" s="4"/>
      <c r="AL4105" s="4"/>
      <c r="AM4105" s="4"/>
      <c r="AN4105" s="4"/>
      <c r="AO4105" s="4"/>
      <c r="AP4105" s="4"/>
      <c r="AQ4105" s="4"/>
      <c r="AR4105" s="4"/>
      <c r="AS4105" s="4"/>
      <c r="AT4105" s="4"/>
      <c r="AU4105" s="4"/>
      <c r="AV4105" s="4"/>
    </row>
    <row r="4106" spans="1:48" ht="22.5">
      <c r="A4106" s="774"/>
      <c r="B4106" s="412" t="s">
        <v>1248</v>
      </c>
      <c r="C4106" s="412" t="s">
        <v>507</v>
      </c>
      <c r="D4106" s="1590"/>
      <c r="E4106" s="2224" t="s">
        <v>1929</v>
      </c>
      <c r="F4106" s="505">
        <v>2210</v>
      </c>
      <c r="G4106" s="3803" t="s">
        <v>1419</v>
      </c>
      <c r="H4106" s="1027"/>
      <c r="I4106" s="1027">
        <v>7164</v>
      </c>
      <c r="J4106" s="1028"/>
      <c r="K4106" s="1029"/>
      <c r="L4106" s="1763"/>
      <c r="M4106" s="3807">
        <v>9576</v>
      </c>
      <c r="N4106" s="3806" t="s">
        <v>5271</v>
      </c>
      <c r="O4106" s="86"/>
      <c r="P4106" s="1817" t="e">
        <f>INDEX(#REF!,MATCH(F4106,#REF!,0),2)</f>
        <v>#REF!</v>
      </c>
      <c r="Q4106" s="4"/>
      <c r="R4106" s="4"/>
      <c r="S4106" s="4"/>
      <c r="T4106" s="4"/>
      <c r="U4106" s="4"/>
      <c r="V4106" s="4"/>
      <c r="W4106" s="4"/>
      <c r="X4106" s="4"/>
      <c r="Y4106" s="4"/>
      <c r="Z4106" s="4"/>
      <c r="AA4106" s="4"/>
      <c r="AB4106" s="4"/>
      <c r="AC4106" s="4"/>
      <c r="AD4106" s="4"/>
      <c r="AE4106" s="4"/>
      <c r="AF4106" s="4"/>
      <c r="AG4106" s="4"/>
      <c r="AH4106" s="4"/>
      <c r="AI4106" s="4"/>
      <c r="AJ4106" s="4"/>
      <c r="AK4106" s="4"/>
      <c r="AL4106" s="4"/>
      <c r="AM4106" s="4"/>
      <c r="AN4106" s="4"/>
      <c r="AO4106" s="4"/>
      <c r="AP4106" s="4"/>
      <c r="AQ4106" s="4"/>
      <c r="AR4106" s="4"/>
      <c r="AS4106" s="4"/>
      <c r="AT4106" s="4"/>
      <c r="AU4106" s="4"/>
      <c r="AV4106" s="4"/>
    </row>
    <row r="4107" spans="1:48">
      <c r="A4107" s="774"/>
      <c r="B4107" s="412" t="s">
        <v>1248</v>
      </c>
      <c r="C4107" s="412" t="s">
        <v>507</v>
      </c>
      <c r="D4107" s="1590"/>
      <c r="E4107" s="2224" t="s">
        <v>1929</v>
      </c>
      <c r="F4107" s="505">
        <v>2210</v>
      </c>
      <c r="G4107" s="850" t="s">
        <v>1579</v>
      </c>
      <c r="H4107" s="1027"/>
      <c r="I4107" s="1027">
        <v>462.48</v>
      </c>
      <c r="J4107" s="1028"/>
      <c r="K4107" s="1029"/>
      <c r="L4107" s="1763"/>
      <c r="M4107" s="3807">
        <v>0</v>
      </c>
      <c r="N4107" s="66" t="s">
        <v>5272</v>
      </c>
      <c r="O4107" s="86"/>
      <c r="P4107" s="1817" t="e">
        <f>INDEX(#REF!,MATCH(F4107,#REF!,0),2)</f>
        <v>#REF!</v>
      </c>
      <c r="Q4107" s="1779"/>
      <c r="R4107" s="1779"/>
      <c r="S4107" s="1779"/>
      <c r="T4107" s="1779"/>
      <c r="U4107" s="1779"/>
      <c r="V4107" s="1779"/>
      <c r="W4107" s="43"/>
      <c r="X4107" s="1779"/>
      <c r="Y4107" s="1779"/>
      <c r="Z4107" s="1779"/>
      <c r="AA4107" s="1779"/>
      <c r="AB4107" s="1779"/>
      <c r="AC4107" s="1779"/>
      <c r="AD4107" s="1779"/>
      <c r="AE4107" s="1779"/>
      <c r="AF4107" s="1779"/>
      <c r="AG4107" s="1779"/>
      <c r="AH4107" s="1779"/>
      <c r="AI4107" s="1779"/>
      <c r="AJ4107" s="1779"/>
      <c r="AK4107" s="1779"/>
      <c r="AL4107" s="1779"/>
      <c r="AM4107" s="1779"/>
      <c r="AN4107" s="1779"/>
      <c r="AO4107" s="1779"/>
      <c r="AP4107" s="1779"/>
      <c r="AQ4107" s="1779"/>
      <c r="AR4107" s="1779"/>
      <c r="AS4107" s="1779"/>
      <c r="AT4107" s="1779"/>
      <c r="AU4107" s="1779"/>
      <c r="AV4107" s="1779"/>
    </row>
    <row r="4108" spans="1:48" ht="20.45" customHeight="1">
      <c r="A4108" s="1074"/>
      <c r="B4108" s="412" t="s">
        <v>1248</v>
      </c>
      <c r="C4108" s="412" t="s">
        <v>507</v>
      </c>
      <c r="D4108" s="1590"/>
      <c r="E4108" s="2224" t="s">
        <v>1929</v>
      </c>
      <c r="F4108" s="505">
        <v>2210</v>
      </c>
      <c r="G4108" s="1116" t="s">
        <v>1578</v>
      </c>
      <c r="H4108" s="1117"/>
      <c r="I4108" s="1117">
        <v>1620</v>
      </c>
      <c r="J4108" s="1075"/>
      <c r="K4108" s="1118"/>
      <c r="L4108" s="1763"/>
      <c r="M4108" s="3807">
        <v>1620</v>
      </c>
      <c r="N4108" s="66"/>
      <c r="O4108" s="86"/>
      <c r="P4108" s="1817" t="e">
        <f>INDEX(#REF!,MATCH(F4108,#REF!,0),2)</f>
        <v>#REF!</v>
      </c>
      <c r="Q4108" s="1779"/>
      <c r="R4108" s="1779"/>
      <c r="S4108" s="1779"/>
      <c r="T4108" s="1779"/>
      <c r="U4108" s="1779"/>
      <c r="V4108" s="1779"/>
      <c r="W4108" s="43"/>
      <c r="X4108" s="1779"/>
      <c r="Y4108" s="1779"/>
      <c r="Z4108" s="1779"/>
      <c r="AA4108" s="1779"/>
      <c r="AB4108" s="1779"/>
      <c r="AC4108" s="1779"/>
      <c r="AD4108" s="1779"/>
      <c r="AE4108" s="1779"/>
      <c r="AF4108" s="1779"/>
      <c r="AG4108" s="1779"/>
      <c r="AH4108" s="1779"/>
      <c r="AI4108" s="1779"/>
      <c r="AJ4108" s="1779"/>
      <c r="AK4108" s="1779"/>
      <c r="AL4108" s="1779"/>
      <c r="AM4108" s="1779"/>
      <c r="AN4108" s="1779"/>
      <c r="AO4108" s="1779"/>
      <c r="AP4108" s="1779"/>
      <c r="AQ4108" s="1779"/>
      <c r="AR4108" s="1779"/>
      <c r="AS4108" s="1779"/>
      <c r="AT4108" s="1779"/>
      <c r="AU4108" s="1779"/>
      <c r="AV4108" s="1779"/>
    </row>
    <row r="4109" spans="1:48">
      <c r="A4109" s="774"/>
      <c r="B4109" s="412" t="s">
        <v>1248</v>
      </c>
      <c r="C4109" s="412" t="s">
        <v>507</v>
      </c>
      <c r="D4109" s="1590"/>
      <c r="E4109" s="2224" t="s">
        <v>1929</v>
      </c>
      <c r="F4109" s="505">
        <v>2210</v>
      </c>
      <c r="G4109" s="850" t="s">
        <v>1420</v>
      </c>
      <c r="H4109" s="1027"/>
      <c r="I4109" s="1027">
        <v>1769.16</v>
      </c>
      <c r="J4109" s="1028"/>
      <c r="K4109" s="1029"/>
      <c r="L4109" s="1763"/>
      <c r="M4109" s="3807">
        <v>0</v>
      </c>
      <c r="N4109" s="66" t="s">
        <v>5272</v>
      </c>
      <c r="O4109" s="86"/>
      <c r="P4109" s="1817" t="e">
        <f>INDEX(#REF!,MATCH(F4109,#REF!,0),2)</f>
        <v>#REF!</v>
      </c>
    </row>
    <row r="4110" spans="1:48" ht="22.5">
      <c r="A4110" s="774"/>
      <c r="B4110" s="412" t="s">
        <v>1248</v>
      </c>
      <c r="C4110" s="412" t="s">
        <v>507</v>
      </c>
      <c r="D4110" s="1590"/>
      <c r="E4110" s="2224" t="s">
        <v>1929</v>
      </c>
      <c r="F4110" s="505">
        <v>2210</v>
      </c>
      <c r="G4110" s="850" t="s">
        <v>1428</v>
      </c>
      <c r="H4110" s="1027"/>
      <c r="I4110" s="1027">
        <v>600</v>
      </c>
      <c r="J4110" s="1028"/>
      <c r="K4110" s="1029"/>
      <c r="L4110" s="1763"/>
      <c r="M4110" s="3807">
        <v>600</v>
      </c>
      <c r="N4110" s="66"/>
      <c r="O4110" s="86"/>
      <c r="P4110" s="1817" t="e">
        <f>INDEX(#REF!,MATCH(F4110,#REF!,0),2)</f>
        <v>#REF!</v>
      </c>
    </row>
    <row r="4111" spans="1:48">
      <c r="A4111" s="1074"/>
      <c r="B4111" s="992" t="s">
        <v>1248</v>
      </c>
      <c r="C4111" s="992" t="s">
        <v>507</v>
      </c>
      <c r="D4111" s="1620"/>
      <c r="E4111" s="2246" t="s">
        <v>1929</v>
      </c>
      <c r="F4111" s="1011">
        <v>2210</v>
      </c>
      <c r="G4111" s="1116" t="s">
        <v>1580</v>
      </c>
      <c r="H4111" s="1184"/>
      <c r="I4111" s="1184">
        <v>108.9</v>
      </c>
      <c r="J4111" s="1185"/>
      <c r="K4111" s="1186"/>
      <c r="L4111" s="1763"/>
      <c r="M4111" s="3807">
        <v>108.9</v>
      </c>
      <c r="N4111" s="66"/>
      <c r="O4111" s="86"/>
      <c r="P4111" s="1817" t="e">
        <f>INDEX(#REF!,MATCH(F4111,#REF!,0),2)</f>
        <v>#REF!</v>
      </c>
    </row>
    <row r="4112" spans="1:48" ht="22.5">
      <c r="A4112" s="1074"/>
      <c r="B4112" s="412" t="s">
        <v>1248</v>
      </c>
      <c r="C4112" s="412" t="s">
        <v>507</v>
      </c>
      <c r="D4112" s="1590"/>
      <c r="E4112" s="2224" t="s">
        <v>1929</v>
      </c>
      <c r="F4112" s="505">
        <v>2210</v>
      </c>
      <c r="G4112" s="1116" t="s">
        <v>1635</v>
      </c>
      <c r="H4112" s="1117"/>
      <c r="I4112" s="1117">
        <v>1742.9999999999998</v>
      </c>
      <c r="J4112" s="1075"/>
      <c r="K4112" s="1118"/>
      <c r="L4112" s="1763"/>
      <c r="M4112" s="3647">
        <v>0</v>
      </c>
      <c r="N4112" s="66" t="s">
        <v>5272</v>
      </c>
      <c r="O4112" s="86"/>
      <c r="P4112" s="1817" t="e">
        <f>INDEX(#REF!,MATCH(F4112,#REF!,0),2)</f>
        <v>#REF!</v>
      </c>
    </row>
    <row r="4113" spans="1:48">
      <c r="A4113" s="412"/>
      <c r="B4113" s="412" t="s">
        <v>1248</v>
      </c>
      <c r="C4113" s="412" t="s">
        <v>505</v>
      </c>
      <c r="D4113" s="1590"/>
      <c r="E4113" s="2224" t="s">
        <v>1929</v>
      </c>
      <c r="F4113" s="505">
        <v>2210</v>
      </c>
      <c r="G4113" s="1116" t="s">
        <v>1636</v>
      </c>
      <c r="H4113" s="1076"/>
      <c r="I4113" s="1077">
        <v>1235</v>
      </c>
      <c r="J4113" s="1078"/>
      <c r="K4113" s="1079"/>
      <c r="L4113" s="1765"/>
      <c r="M4113" s="3518">
        <v>1235</v>
      </c>
      <c r="N4113" s="4"/>
      <c r="O4113" s="86"/>
      <c r="P4113" s="1817" t="e">
        <f>INDEX(#REF!,MATCH(F4113,#REF!,0),2)</f>
        <v>#REF!</v>
      </c>
    </row>
    <row r="4114" spans="1:48" ht="22.5">
      <c r="A4114" s="412"/>
      <c r="B4114" s="412" t="s">
        <v>1248</v>
      </c>
      <c r="C4114" s="412" t="s">
        <v>505</v>
      </c>
      <c r="D4114" s="1590"/>
      <c r="E4114" s="2224" t="s">
        <v>1929</v>
      </c>
      <c r="F4114" s="505">
        <v>2210</v>
      </c>
      <c r="G4114" s="1116" t="s">
        <v>1637</v>
      </c>
      <c r="H4114" s="1076"/>
      <c r="I4114" s="1077">
        <v>270</v>
      </c>
      <c r="J4114" s="1078"/>
      <c r="K4114" s="1080"/>
      <c r="L4114" s="1765"/>
      <c r="M4114" s="3518">
        <v>270</v>
      </c>
      <c r="N4114" s="4"/>
      <c r="O4114" s="86"/>
      <c r="P4114" s="1817" t="e">
        <f>INDEX(#REF!,MATCH(F4114,#REF!,0),2)</f>
        <v>#REF!</v>
      </c>
    </row>
    <row r="4115" spans="1:48">
      <c r="A4115" s="412"/>
      <c r="B4115" s="412" t="s">
        <v>1248</v>
      </c>
      <c r="C4115" s="412" t="s">
        <v>505</v>
      </c>
      <c r="D4115" s="1590"/>
      <c r="E4115" s="2224" t="s">
        <v>1929</v>
      </c>
      <c r="F4115" s="505">
        <v>2210</v>
      </c>
      <c r="G4115" s="1116" t="s">
        <v>1638</v>
      </c>
      <c r="H4115" s="574"/>
      <c r="I4115" s="574">
        <v>8500</v>
      </c>
      <c r="J4115" s="575"/>
      <c r="K4115" s="543"/>
      <c r="L4115" s="1767"/>
      <c r="M4115" s="3807">
        <v>5088</v>
      </c>
      <c r="N4115" s="3808" t="s">
        <v>5273</v>
      </c>
      <c r="O4115" s="86"/>
      <c r="P4115" s="1817" t="e">
        <f>INDEX(#REF!,MATCH(F4115,#REF!,0),2)</f>
        <v>#REF!</v>
      </c>
    </row>
    <row r="4116" spans="1:48" ht="22.5">
      <c r="A4116" s="412"/>
      <c r="B4116" s="412" t="s">
        <v>1248</v>
      </c>
      <c r="C4116" s="412" t="s">
        <v>505</v>
      </c>
      <c r="D4116" s="1590"/>
      <c r="E4116" s="2224" t="s">
        <v>1929</v>
      </c>
      <c r="F4116" s="505">
        <v>2210</v>
      </c>
      <c r="G4116" s="1116" t="s">
        <v>1639</v>
      </c>
      <c r="H4116" s="574"/>
      <c r="I4116" s="574">
        <v>42</v>
      </c>
      <c r="J4116" s="575"/>
      <c r="K4116" s="543"/>
      <c r="L4116" s="1767"/>
      <c r="M4116" s="3807">
        <v>42</v>
      </c>
      <c r="N4116" s="1779"/>
      <c r="O4116" s="86"/>
      <c r="P4116" s="1817" t="e">
        <f>INDEX(#REF!,MATCH(F4116,#REF!,0),2)</f>
        <v>#REF!</v>
      </c>
    </row>
    <row r="4117" spans="1:48" ht="22.9" customHeight="1">
      <c r="A4117" s="506"/>
      <c r="B4117" s="506" t="s">
        <v>1248</v>
      </c>
      <c r="C4117" s="506" t="s">
        <v>507</v>
      </c>
      <c r="D4117" s="1632">
        <v>170</v>
      </c>
      <c r="E4117" s="2223" t="s">
        <v>1929</v>
      </c>
      <c r="F4117" s="540">
        <v>2235</v>
      </c>
      <c r="G4117" s="411" t="s">
        <v>1202</v>
      </c>
      <c r="H4117" s="541">
        <v>2500</v>
      </c>
      <c r="I4117" s="542"/>
      <c r="J4117" s="542"/>
      <c r="K4117" s="458"/>
      <c r="L4117" s="1580">
        <v>2500</v>
      </c>
      <c r="M4117" s="1580"/>
      <c r="N4117" s="2847"/>
      <c r="O4117" s="86"/>
      <c r="P4117" s="1817" t="e">
        <f>INDEX(#REF!,MATCH(F4117,#REF!,0),2)</f>
        <v>#REF!</v>
      </c>
    </row>
    <row r="4118" spans="1:48" ht="22.5">
      <c r="A4118" s="412"/>
      <c r="B4118" s="412" t="s">
        <v>1248</v>
      </c>
      <c r="C4118" s="412" t="s">
        <v>507</v>
      </c>
      <c r="D4118" s="1590"/>
      <c r="E4118" s="2224" t="s">
        <v>1929</v>
      </c>
      <c r="F4118" s="505">
        <v>2235</v>
      </c>
      <c r="G4118" s="565" t="s">
        <v>1421</v>
      </c>
      <c r="H4118" s="419"/>
      <c r="I4118" s="578">
        <v>2500</v>
      </c>
      <c r="J4118" s="511"/>
      <c r="K4118" s="543"/>
      <c r="L4118" s="1576"/>
      <c r="M4118" s="1576">
        <v>2500</v>
      </c>
      <c r="N4118" s="2847" t="s">
        <v>5274</v>
      </c>
      <c r="O4118" s="86"/>
      <c r="P4118" s="1817" t="e">
        <f>INDEX(#REF!,MATCH(F4118,#REF!,0),2)</f>
        <v>#REF!</v>
      </c>
    </row>
    <row r="4119" spans="1:48">
      <c r="A4119" s="506"/>
      <c r="B4119" s="506" t="s">
        <v>1248</v>
      </c>
      <c r="C4119" s="506" t="s">
        <v>507</v>
      </c>
      <c r="D4119" s="1632">
        <v>170</v>
      </c>
      <c r="E4119" s="2223" t="s">
        <v>1929</v>
      </c>
      <c r="F4119" s="540">
        <v>2239</v>
      </c>
      <c r="G4119" s="411" t="s">
        <v>1801</v>
      </c>
      <c r="H4119" s="541"/>
      <c r="I4119" s="542"/>
      <c r="J4119" s="542"/>
      <c r="K4119" s="458"/>
      <c r="L4119" s="1578"/>
      <c r="M4119" s="1578"/>
      <c r="N4119" s="2847"/>
      <c r="O4119" s="86"/>
      <c r="P4119" s="1817" t="e">
        <f>INDEX(#REF!,MATCH(F4119,#REF!,0),2)</f>
        <v>#REF!</v>
      </c>
      <c r="T4119" s="81"/>
      <c r="W4119"/>
    </row>
    <row r="4120" spans="1:48">
      <c r="A4120" s="1882"/>
      <c r="B4120" s="412" t="s">
        <v>1248</v>
      </c>
      <c r="C4120" s="412" t="s">
        <v>507</v>
      </c>
      <c r="D4120" s="1590"/>
      <c r="E4120" s="2224" t="s">
        <v>1929</v>
      </c>
      <c r="F4120" s="505">
        <v>2239</v>
      </c>
      <c r="G4120" s="1939" t="s">
        <v>2432</v>
      </c>
      <c r="H4120" s="1650"/>
      <c r="I4120" s="1940"/>
      <c r="J4120" s="1651"/>
      <c r="K4120" s="1652"/>
      <c r="L4120" s="1968"/>
      <c r="M4120" s="1968"/>
      <c r="N4120" s="2847"/>
      <c r="O4120" s="86"/>
      <c r="P4120" s="1817" t="e">
        <f>INDEX(#REF!,MATCH(F4120,#REF!,0),2)</f>
        <v>#REF!</v>
      </c>
    </row>
    <row r="4121" spans="1:48" ht="22.5">
      <c r="A4121" s="506"/>
      <c r="B4121" s="506" t="s">
        <v>1248</v>
      </c>
      <c r="C4121" s="506" t="s">
        <v>507</v>
      </c>
      <c r="D4121" s="1632">
        <v>170</v>
      </c>
      <c r="E4121" s="2223" t="s">
        <v>1929</v>
      </c>
      <c r="F4121" s="540">
        <v>2243</v>
      </c>
      <c r="G4121" s="411" t="s">
        <v>329</v>
      </c>
      <c r="H4121" s="541">
        <v>5000</v>
      </c>
      <c r="I4121" s="542"/>
      <c r="J4121" s="542"/>
      <c r="K4121" s="458"/>
      <c r="L4121" s="1580">
        <v>5000</v>
      </c>
      <c r="M4121" s="1580"/>
      <c r="N4121" s="2847"/>
      <c r="P4121"/>
    </row>
    <row r="4122" spans="1:48" ht="22.5">
      <c r="A4122" s="412"/>
      <c r="B4122" s="412" t="s">
        <v>1248</v>
      </c>
      <c r="C4122" s="412" t="s">
        <v>507</v>
      </c>
      <c r="D4122" s="1590"/>
      <c r="E4122" s="2224" t="s">
        <v>1929</v>
      </c>
      <c r="F4122" s="505">
        <v>2243</v>
      </c>
      <c r="G4122" s="3803" t="s">
        <v>2686</v>
      </c>
      <c r="H4122" s="419"/>
      <c r="I4122" s="578">
        <v>5000</v>
      </c>
      <c r="J4122" s="511"/>
      <c r="K4122" s="543"/>
      <c r="L4122" s="1576"/>
      <c r="M4122" s="1576">
        <v>5000</v>
      </c>
      <c r="N4122" s="2847"/>
      <c r="O4122" s="86"/>
      <c r="P4122" s="1817" t="e">
        <f>INDEX(#REF!,MATCH(F4122,#REF!,0),2)</f>
        <v>#REF!</v>
      </c>
    </row>
    <row r="4123" spans="1:48">
      <c r="A4123" s="506"/>
      <c r="B4123" s="506" t="s">
        <v>1248</v>
      </c>
      <c r="C4123" s="506" t="s">
        <v>507</v>
      </c>
      <c r="D4123" s="1632">
        <v>170</v>
      </c>
      <c r="E4123" s="2223" t="s">
        <v>1929</v>
      </c>
      <c r="F4123" s="540">
        <v>2247</v>
      </c>
      <c r="G4123" s="411" t="s">
        <v>281</v>
      </c>
      <c r="H4123" s="541">
        <v>800</v>
      </c>
      <c r="I4123" s="542"/>
      <c r="J4123" s="542"/>
      <c r="K4123" s="458"/>
      <c r="L4123" s="1580">
        <v>800</v>
      </c>
      <c r="M4123" s="1580"/>
      <c r="N4123" s="2847"/>
      <c r="O4123" s="86"/>
      <c r="P4123" s="1817" t="e">
        <f>INDEX(#REF!,MATCH(F4123,#REF!,0),2)</f>
        <v>#REF!</v>
      </c>
      <c r="Q4123" s="43"/>
      <c r="R4123" s="43"/>
      <c r="S4123" s="43"/>
      <c r="T4123" s="43"/>
      <c r="U4123" s="43"/>
      <c r="V4123" s="43"/>
      <c r="W4123"/>
      <c r="X4123" s="43"/>
      <c r="Y4123" s="43"/>
      <c r="Z4123" s="43"/>
      <c r="AA4123" s="43"/>
      <c r="AB4123" s="43"/>
      <c r="AC4123" s="43"/>
      <c r="AD4123" s="43"/>
      <c r="AE4123" s="43"/>
      <c r="AF4123" s="43"/>
      <c r="AG4123" s="43"/>
      <c r="AH4123" s="43"/>
      <c r="AI4123" s="43"/>
      <c r="AJ4123" s="43"/>
      <c r="AK4123" s="43"/>
      <c r="AL4123" s="43"/>
      <c r="AM4123" s="43"/>
      <c r="AN4123" s="43"/>
      <c r="AO4123" s="43"/>
      <c r="AP4123" s="43"/>
      <c r="AQ4123" s="43"/>
      <c r="AR4123" s="43"/>
      <c r="AS4123" s="43"/>
      <c r="AT4123" s="43"/>
      <c r="AU4123" s="43"/>
      <c r="AV4123" s="43"/>
    </row>
    <row r="4124" spans="1:48">
      <c r="A4124" s="412"/>
      <c r="B4124" s="412" t="s">
        <v>1248</v>
      </c>
      <c r="C4124" s="412" t="s">
        <v>507</v>
      </c>
      <c r="D4124" s="1590"/>
      <c r="E4124" s="2224" t="s">
        <v>1929</v>
      </c>
      <c r="F4124" s="505">
        <v>2247</v>
      </c>
      <c r="G4124" s="565" t="s">
        <v>2492</v>
      </c>
      <c r="H4124" s="419"/>
      <c r="I4124" s="578">
        <v>500</v>
      </c>
      <c r="J4124" s="511"/>
      <c r="K4124" s="543"/>
      <c r="L4124" s="1576"/>
      <c r="M4124" s="1576">
        <v>800</v>
      </c>
      <c r="N4124" s="2847"/>
      <c r="O4124" s="86"/>
      <c r="P4124" s="1817" t="e">
        <f>INDEX(#REF!,MATCH(F4124,#REF!,0),2)</f>
        <v>#REF!</v>
      </c>
    </row>
    <row r="4125" spans="1:48" ht="22.5">
      <c r="A4125" s="1882"/>
      <c r="B4125" s="412" t="s">
        <v>1248</v>
      </c>
      <c r="C4125" s="412" t="s">
        <v>507</v>
      </c>
      <c r="D4125" s="1590"/>
      <c r="E4125" s="2224" t="s">
        <v>1929</v>
      </c>
      <c r="F4125" s="505">
        <v>2247</v>
      </c>
      <c r="G4125" s="1939" t="s">
        <v>3279</v>
      </c>
      <c r="H4125" s="1650"/>
      <c r="I4125" s="1940">
        <v>300</v>
      </c>
      <c r="J4125" s="1651"/>
      <c r="K4125" s="1917"/>
      <c r="L4125" s="1892"/>
      <c r="M4125" s="1892"/>
      <c r="N4125" s="2847"/>
      <c r="O4125" s="86"/>
      <c r="P4125" s="1817" t="e">
        <f>INDEX(#REF!,MATCH(F4125,#REF!,0),2)</f>
        <v>#REF!</v>
      </c>
    </row>
    <row r="4126" spans="1:48" ht="29.45" customHeight="1">
      <c r="A4126" s="544"/>
      <c r="B4126" s="506" t="s">
        <v>1249</v>
      </c>
      <c r="C4126" s="506" t="s">
        <v>505</v>
      </c>
      <c r="D4126" s="1632">
        <v>170</v>
      </c>
      <c r="E4126" s="2223" t="s">
        <v>1929</v>
      </c>
      <c r="F4126" s="540">
        <v>2250</v>
      </c>
      <c r="G4126" s="411" t="s">
        <v>239</v>
      </c>
      <c r="H4126" s="571">
        <v>8000</v>
      </c>
      <c r="I4126" s="571"/>
      <c r="J4126" s="572"/>
      <c r="K4126" s="573"/>
      <c r="L4126" s="3754">
        <v>8000</v>
      </c>
      <c r="M4126" s="1766"/>
      <c r="N4126" s="2847"/>
      <c r="O4126" s="86"/>
      <c r="P4126" s="1817" t="e">
        <f>INDEX(#REF!,MATCH(F4126,#REF!,0),2)</f>
        <v>#REF!</v>
      </c>
    </row>
    <row r="4127" spans="1:48" ht="49.15" customHeight="1">
      <c r="A4127" s="3404"/>
      <c r="B4127" s="2790" t="s">
        <v>1249</v>
      </c>
      <c r="C4127" s="2790" t="s">
        <v>510</v>
      </c>
      <c r="D4127" s="3071"/>
      <c r="E4127" s="3109" t="s">
        <v>1929</v>
      </c>
      <c r="F4127" s="3072">
        <v>2250</v>
      </c>
      <c r="G4127" s="3803" t="s">
        <v>2417</v>
      </c>
      <c r="H4127" s="3809"/>
      <c r="I4127" s="3807">
        <v>8000</v>
      </c>
      <c r="J4127" s="3518"/>
      <c r="K4127" s="3810"/>
      <c r="L4127" s="3520"/>
      <c r="M4127" s="3518">
        <v>8000</v>
      </c>
      <c r="N4127" t="s">
        <v>5275</v>
      </c>
      <c r="O4127" s="86"/>
      <c r="P4127" s="1817" t="e">
        <f>INDEX(#REF!,MATCH(F4127,#REF!,0),2)</f>
        <v>#REF!</v>
      </c>
    </row>
    <row r="4128" spans="1:48" ht="23.45" customHeight="1">
      <c r="A4128" s="544"/>
      <c r="B4128" s="506" t="s">
        <v>1248</v>
      </c>
      <c r="C4128" s="506" t="s">
        <v>505</v>
      </c>
      <c r="D4128" s="1632">
        <v>170</v>
      </c>
      <c r="E4128" s="2223" t="s">
        <v>1929</v>
      </c>
      <c r="F4128" s="540">
        <v>2250</v>
      </c>
      <c r="G4128" s="411" t="s">
        <v>239</v>
      </c>
      <c r="H4128" s="571">
        <v>109007</v>
      </c>
      <c r="I4128" s="571"/>
      <c r="J4128" s="572"/>
      <c r="K4128" s="573"/>
      <c r="L4128" s="3754">
        <v>141797.6</v>
      </c>
      <c r="M4128" s="1766"/>
      <c r="N4128" s="2847"/>
      <c r="O4128" s="86"/>
      <c r="P4128" s="1817" t="e">
        <f>INDEX(#REF!,MATCH(F4128,#REF!,0),2)</f>
        <v>#REF!</v>
      </c>
    </row>
    <row r="4129" spans="1:48" ht="23.45" customHeight="1">
      <c r="A4129" s="515"/>
      <c r="B4129" s="412" t="s">
        <v>1248</v>
      </c>
      <c r="C4129" s="412" t="s">
        <v>505</v>
      </c>
      <c r="D4129" s="1590"/>
      <c r="E4129" s="2224" t="s">
        <v>1929</v>
      </c>
      <c r="F4129" s="505">
        <v>2250</v>
      </c>
      <c r="G4129" s="1768" t="s">
        <v>2418</v>
      </c>
      <c r="H4129" s="578"/>
      <c r="I4129" s="575">
        <v>3149</v>
      </c>
      <c r="J4129" s="577"/>
      <c r="K4129" s="576"/>
      <c r="L4129" s="1670"/>
      <c r="M4129" s="3518">
        <v>3149</v>
      </c>
      <c r="N4129" s="81"/>
      <c r="O4129" s="86"/>
      <c r="P4129" s="1817" t="e">
        <f>INDEX(#REF!,MATCH(F4129,#REF!,0),2)</f>
        <v>#REF!</v>
      </c>
    </row>
    <row r="4130" spans="1:48" ht="31.15" customHeight="1">
      <c r="A4130" s="515"/>
      <c r="B4130" s="412" t="s">
        <v>1248</v>
      </c>
      <c r="C4130" s="412" t="s">
        <v>505</v>
      </c>
      <c r="D4130" s="1590"/>
      <c r="E4130" s="2224" t="s">
        <v>1929</v>
      </c>
      <c r="F4130" s="505">
        <v>2250</v>
      </c>
      <c r="G4130" s="1768" t="s">
        <v>2419</v>
      </c>
      <c r="H4130" s="578"/>
      <c r="I4130" s="575">
        <v>12830</v>
      </c>
      <c r="J4130" s="577"/>
      <c r="K4130" s="576"/>
      <c r="L4130" s="1670"/>
      <c r="M4130" s="3518">
        <v>12830</v>
      </c>
      <c r="N4130" s="81"/>
      <c r="O4130" s="86"/>
      <c r="P4130" s="1817"/>
    </row>
    <row r="4131" spans="1:48" ht="23.45" customHeight="1">
      <c r="A4131" s="992"/>
      <c r="B4131" s="412" t="s">
        <v>1248</v>
      </c>
      <c r="C4131" s="412" t="s">
        <v>505</v>
      </c>
      <c r="D4131" s="1590"/>
      <c r="E4131" s="2224" t="s">
        <v>1929</v>
      </c>
      <c r="F4131" s="505">
        <v>2250</v>
      </c>
      <c r="G4131" s="3803" t="s">
        <v>5276</v>
      </c>
      <c r="H4131" s="1018"/>
      <c r="I4131" s="966">
        <v>10000</v>
      </c>
      <c r="J4131" s="966"/>
      <c r="K4131" s="967"/>
      <c r="L4131" s="1657"/>
      <c r="M4131" s="3518">
        <v>16263</v>
      </c>
      <c r="N4131" s="77" t="s">
        <v>5981</v>
      </c>
      <c r="O4131" s="86"/>
      <c r="P4131" s="1817"/>
    </row>
    <row r="4132" spans="1:48" ht="23.45" customHeight="1">
      <c r="A4132" s="515"/>
      <c r="B4132" s="412" t="s">
        <v>1248</v>
      </c>
      <c r="C4132" s="412" t="s">
        <v>505</v>
      </c>
      <c r="D4132" s="1590"/>
      <c r="E4132" s="2224" t="s">
        <v>1929</v>
      </c>
      <c r="F4132" s="505">
        <v>2250</v>
      </c>
      <c r="G4132" s="1768" t="s">
        <v>2573</v>
      </c>
      <c r="H4132" s="578"/>
      <c r="I4132" s="575">
        <v>1200</v>
      </c>
      <c r="J4132" s="577"/>
      <c r="K4132" s="576"/>
      <c r="L4132" s="1670"/>
      <c r="M4132" s="3518">
        <v>1200</v>
      </c>
      <c r="N4132" s="81"/>
      <c r="O4132" s="86"/>
      <c r="P4132" s="1817"/>
    </row>
    <row r="4133" spans="1:48" ht="48">
      <c r="A4133" s="1769"/>
      <c r="B4133" s="412" t="s">
        <v>1248</v>
      </c>
      <c r="C4133" s="412" t="s">
        <v>505</v>
      </c>
      <c r="D4133" s="1590"/>
      <c r="E4133" s="2224" t="s">
        <v>1929</v>
      </c>
      <c r="F4133" s="505">
        <v>2250</v>
      </c>
      <c r="G4133" s="1768" t="s">
        <v>2420</v>
      </c>
      <c r="H4133" s="1770"/>
      <c r="I4133" s="3847">
        <v>6000</v>
      </c>
      <c r="J4133" s="1745"/>
      <c r="K4133" s="1771"/>
      <c r="L4133" s="1670"/>
      <c r="M4133" s="3518">
        <v>8000</v>
      </c>
      <c r="N4133" s="1986" t="s">
        <v>5277</v>
      </c>
      <c r="O4133" s="86"/>
      <c r="P4133" s="1817" t="e">
        <f>INDEX(#REF!,MATCH(F4133,#REF!,0),2)</f>
        <v>#REF!</v>
      </c>
      <c r="Q4133" s="43"/>
      <c r="R4133" s="43"/>
      <c r="S4133" s="43"/>
      <c r="T4133" s="43"/>
      <c r="U4133" s="43"/>
      <c r="V4133" s="43"/>
      <c r="W4133"/>
      <c r="X4133" s="43"/>
      <c r="Y4133" s="43"/>
      <c r="Z4133" s="43"/>
      <c r="AA4133" s="43"/>
      <c r="AB4133" s="43"/>
      <c r="AC4133" s="43"/>
      <c r="AD4133" s="43"/>
      <c r="AE4133" s="43"/>
      <c r="AF4133" s="43"/>
      <c r="AG4133" s="43"/>
      <c r="AH4133" s="43"/>
      <c r="AI4133" s="43"/>
      <c r="AJ4133" s="43"/>
      <c r="AK4133" s="43"/>
      <c r="AL4133" s="43"/>
      <c r="AM4133" s="43"/>
      <c r="AN4133" s="43"/>
      <c r="AO4133" s="43"/>
      <c r="AP4133" s="43"/>
      <c r="AQ4133" s="43"/>
      <c r="AR4133" s="43"/>
      <c r="AS4133" s="43"/>
      <c r="AT4133" s="43"/>
      <c r="AU4133" s="43"/>
      <c r="AV4133" s="43"/>
    </row>
    <row r="4134" spans="1:48" ht="33">
      <c r="A4134" s="515"/>
      <c r="B4134" s="412" t="s">
        <v>1248</v>
      </c>
      <c r="C4134" s="412" t="s">
        <v>505</v>
      </c>
      <c r="D4134" s="1590"/>
      <c r="E4134" s="2224" t="s">
        <v>1929</v>
      </c>
      <c r="F4134" s="505">
        <v>2250</v>
      </c>
      <c r="G4134" s="3803" t="s">
        <v>5278</v>
      </c>
      <c r="H4134" s="578"/>
      <c r="I4134" s="575">
        <v>2000</v>
      </c>
      <c r="J4134" s="577"/>
      <c r="K4134" s="576"/>
      <c r="L4134" s="1670"/>
      <c r="M4134" s="1670"/>
      <c r="N4134" s="2847"/>
      <c r="O4134" s="86"/>
      <c r="P4134" s="1817" t="e">
        <f>INDEX(#REF!,MATCH(F4134,#REF!,0),2)</f>
        <v>#REF!</v>
      </c>
      <c r="Q4134" s="43"/>
      <c r="R4134" s="43"/>
      <c r="S4134" s="43"/>
      <c r="T4134" s="43"/>
      <c r="U4134" s="43"/>
      <c r="V4134" s="43"/>
      <c r="W4134"/>
      <c r="X4134" s="43"/>
      <c r="Y4134" s="43"/>
      <c r="Z4134" s="43"/>
      <c r="AA4134" s="43"/>
      <c r="AB4134" s="43"/>
      <c r="AC4134" s="43"/>
      <c r="AD4134" s="43"/>
      <c r="AE4134" s="43"/>
      <c r="AF4134" s="43"/>
      <c r="AG4134" s="43"/>
      <c r="AH4134" s="43"/>
      <c r="AI4134" s="43"/>
      <c r="AJ4134" s="43"/>
      <c r="AK4134" s="43"/>
      <c r="AL4134" s="43"/>
      <c r="AM4134" s="43"/>
      <c r="AN4134" s="43"/>
      <c r="AO4134" s="43"/>
      <c r="AP4134" s="43"/>
      <c r="AQ4134" s="43"/>
      <c r="AR4134" s="43"/>
      <c r="AS4134" s="43"/>
      <c r="AT4134" s="43"/>
      <c r="AU4134" s="43"/>
      <c r="AV4134" s="43"/>
    </row>
    <row r="4135" spans="1:48" ht="36">
      <c r="A4135" s="1938"/>
      <c r="B4135" s="1882" t="s">
        <v>1248</v>
      </c>
      <c r="C4135" s="1882" t="s">
        <v>505</v>
      </c>
      <c r="D4135" s="1935"/>
      <c r="E4135" s="2229" t="s">
        <v>1929</v>
      </c>
      <c r="F4135" s="1936">
        <v>2250</v>
      </c>
      <c r="G4135" s="1939" t="s">
        <v>1776</v>
      </c>
      <c r="H4135" s="1978"/>
      <c r="I4135" s="3848">
        <v>59353</v>
      </c>
      <c r="J4135" s="1979"/>
      <c r="K4135" s="1941"/>
      <c r="L4135" s="1912"/>
      <c r="M4135" s="3518">
        <v>72787</v>
      </c>
      <c r="N4135" s="77" t="s">
        <v>5665</v>
      </c>
      <c r="O4135" s="86"/>
      <c r="P4135" s="1817" t="e">
        <f>INDEX(#REF!,MATCH(F4135,#REF!,0),2)</f>
        <v>#REF!</v>
      </c>
      <c r="Q4135" s="43"/>
      <c r="R4135" s="43"/>
      <c r="S4135" s="43"/>
      <c r="T4135" s="43"/>
      <c r="U4135" s="43"/>
      <c r="V4135" s="43"/>
      <c r="W4135"/>
      <c r="X4135" s="43"/>
      <c r="Y4135" s="43"/>
      <c r="Z4135" s="43"/>
      <c r="AA4135" s="43"/>
      <c r="AB4135" s="43"/>
      <c r="AC4135" s="43"/>
      <c r="AD4135" s="43"/>
      <c r="AE4135" s="43"/>
      <c r="AF4135" s="43"/>
      <c r="AG4135" s="43"/>
      <c r="AH4135" s="43"/>
      <c r="AI4135" s="43"/>
      <c r="AJ4135" s="43"/>
      <c r="AK4135" s="43"/>
      <c r="AL4135" s="43"/>
      <c r="AM4135" s="43"/>
      <c r="AN4135" s="43"/>
      <c r="AO4135" s="43"/>
      <c r="AP4135" s="43"/>
      <c r="AQ4135" s="43"/>
      <c r="AR4135" s="43"/>
      <c r="AS4135" s="43"/>
      <c r="AT4135" s="43"/>
      <c r="AU4135" s="43"/>
      <c r="AV4135" s="43"/>
    </row>
    <row r="4136" spans="1:48" ht="22.5">
      <c r="A4136" s="3404"/>
      <c r="B4136" s="1882" t="s">
        <v>1248</v>
      </c>
      <c r="C4136" s="1882" t="s">
        <v>505</v>
      </c>
      <c r="D4136" s="1935"/>
      <c r="E4136" s="2229" t="s">
        <v>1929</v>
      </c>
      <c r="F4136" s="1936">
        <v>2250</v>
      </c>
      <c r="G4136" s="3803" t="s">
        <v>5279</v>
      </c>
      <c r="H4136" s="3811"/>
      <c r="I4136" s="3849"/>
      <c r="J4136" s="3519"/>
      <c r="K4136" s="3810"/>
      <c r="L4136" s="3520"/>
      <c r="M4136" s="3518">
        <v>4235</v>
      </c>
      <c r="N4136" s="77"/>
      <c r="O4136" s="86"/>
      <c r="P4136" s="1817" t="e">
        <f>INDEX(#REF!,MATCH(F4136,#REF!,0),2)</f>
        <v>#REF!</v>
      </c>
    </row>
    <row r="4137" spans="1:48">
      <c r="A4137" s="4053"/>
      <c r="B4137" s="1882" t="s">
        <v>1248</v>
      </c>
      <c r="C4137" s="1882" t="s">
        <v>505</v>
      </c>
      <c r="D4137" s="1935"/>
      <c r="E4137" s="2229" t="s">
        <v>1929</v>
      </c>
      <c r="F4137" s="1936">
        <v>2250</v>
      </c>
      <c r="G4137" s="4054" t="s">
        <v>5666</v>
      </c>
      <c r="H4137" s="4055"/>
      <c r="I4137" s="4056"/>
      <c r="J4137" s="4057"/>
      <c r="K4137" s="4058"/>
      <c r="L4137" s="4044"/>
      <c r="M4137" s="3518">
        <v>4573.8</v>
      </c>
      <c r="N4137" s="77"/>
      <c r="O4137" s="86"/>
      <c r="P4137" s="1817" t="e">
        <f>INDEX(#REF!,MATCH(F4137,#REF!,0),2)</f>
        <v>#REF!</v>
      </c>
    </row>
    <row r="4138" spans="1:48" ht="33.75">
      <c r="A4138" s="3404"/>
      <c r="B4138" s="1882" t="s">
        <v>1248</v>
      </c>
      <c r="C4138" s="1882" t="s">
        <v>505</v>
      </c>
      <c r="D4138" s="1935"/>
      <c r="E4138" s="2229" t="s">
        <v>1929</v>
      </c>
      <c r="F4138" s="1936">
        <v>2250</v>
      </c>
      <c r="G4138" s="3803" t="s">
        <v>5280</v>
      </c>
      <c r="H4138" s="3811"/>
      <c r="I4138" s="3849"/>
      <c r="J4138" s="3519"/>
      <c r="K4138" s="3810"/>
      <c r="L4138" s="3520"/>
      <c r="M4138" s="3518">
        <v>3388</v>
      </c>
      <c r="N4138" s="77"/>
      <c r="O4138" s="86"/>
      <c r="P4138" s="1817" t="e">
        <f>INDEX(#REF!,MATCH(F4138,#REF!,0),2)</f>
        <v>#REF!</v>
      </c>
    </row>
    <row r="4139" spans="1:48">
      <c r="A4139" s="1938"/>
      <c r="B4139" s="1882" t="s">
        <v>1248</v>
      </c>
      <c r="C4139" s="1882" t="s">
        <v>505</v>
      </c>
      <c r="D4139" s="1935"/>
      <c r="E4139" s="2229" t="s">
        <v>1929</v>
      </c>
      <c r="F4139" s="1936">
        <v>2250</v>
      </c>
      <c r="G4139" s="1939" t="s">
        <v>2685</v>
      </c>
      <c r="H4139" s="1978"/>
      <c r="I4139" s="3848">
        <v>10418</v>
      </c>
      <c r="J4139" s="1979"/>
      <c r="K4139" s="1941"/>
      <c r="L4139" s="1912"/>
      <c r="M4139" s="3518">
        <v>5420.8</v>
      </c>
      <c r="N4139" s="77"/>
      <c r="O4139" s="86"/>
      <c r="P4139" s="1817" t="e">
        <f>INDEX(#REF!,MATCH(F4139,#REF!,0),2)</f>
        <v>#REF!</v>
      </c>
    </row>
    <row r="4140" spans="1:48" ht="22.5">
      <c r="A4140" s="1938"/>
      <c r="B4140" s="1882" t="s">
        <v>1248</v>
      </c>
      <c r="C4140" s="1882" t="s">
        <v>505</v>
      </c>
      <c r="D4140" s="1935"/>
      <c r="E4140" s="2229" t="s">
        <v>1929</v>
      </c>
      <c r="F4140" s="1936">
        <v>2250</v>
      </c>
      <c r="G4140" s="1939" t="s">
        <v>3143</v>
      </c>
      <c r="H4140" s="1978"/>
      <c r="I4140" s="3848">
        <v>-6014</v>
      </c>
      <c r="J4140" s="1979"/>
      <c r="K4140" s="1941"/>
      <c r="L4140" s="1765"/>
      <c r="M4140" s="1912"/>
      <c r="N4140" s="2847"/>
      <c r="O4140" s="86"/>
      <c r="P4140" s="1817" t="e">
        <f>INDEX(#REF!,MATCH(F4140,#REF!,0),2)</f>
        <v>#REF!</v>
      </c>
    </row>
    <row r="4141" spans="1:48">
      <c r="A4141" s="412"/>
      <c r="B4141" s="412" t="s">
        <v>1248</v>
      </c>
      <c r="C4141" s="412" t="s">
        <v>507</v>
      </c>
      <c r="D4141" s="1590"/>
      <c r="E4141" s="2224" t="s">
        <v>1929</v>
      </c>
      <c r="F4141" s="505">
        <v>2250</v>
      </c>
      <c r="G4141" s="553" t="s">
        <v>3769</v>
      </c>
      <c r="H4141" s="419"/>
      <c r="I4141" s="511">
        <v>5082</v>
      </c>
      <c r="J4141" s="511"/>
      <c r="K4141" s="543"/>
      <c r="L4141" s="1657"/>
      <c r="M4141" s="1576">
        <v>5082</v>
      </c>
      <c r="N4141" s="2847"/>
      <c r="O4141" s="86"/>
      <c r="P4141" s="1817" t="e">
        <f>INDEX(#REF!,MATCH(F4141,#REF!,0),2)</f>
        <v>#REF!</v>
      </c>
    </row>
    <row r="4142" spans="1:48">
      <c r="A4142" s="412"/>
      <c r="B4142" s="412" t="s">
        <v>1248</v>
      </c>
      <c r="C4142" s="412" t="s">
        <v>507</v>
      </c>
      <c r="D4142" s="1590"/>
      <c r="E4142" s="2224" t="s">
        <v>1929</v>
      </c>
      <c r="F4142" s="505">
        <v>2250</v>
      </c>
      <c r="G4142" s="553" t="s">
        <v>3770</v>
      </c>
      <c r="H4142" s="552"/>
      <c r="I4142" s="441">
        <v>4840</v>
      </c>
      <c r="J4142" s="441"/>
      <c r="K4142" s="421"/>
      <c r="L4142" s="1657"/>
      <c r="M4142" s="1576">
        <v>4719</v>
      </c>
      <c r="N4142" s="2847"/>
      <c r="O4142" s="86"/>
      <c r="P4142" s="1817" t="e">
        <f>INDEX(#REF!,MATCH(F4142,#REF!,0),2)</f>
        <v>#REF!</v>
      </c>
    </row>
    <row r="4143" spans="1:48" ht="22.5">
      <c r="A4143" s="412"/>
      <c r="B4143" s="412" t="s">
        <v>1248</v>
      </c>
      <c r="C4143" s="412" t="s">
        <v>507</v>
      </c>
      <c r="D4143" s="1590"/>
      <c r="E4143" s="2224" t="s">
        <v>1929</v>
      </c>
      <c r="F4143" s="505">
        <v>2250</v>
      </c>
      <c r="G4143" s="553" t="s">
        <v>3771</v>
      </c>
      <c r="H4143" s="552"/>
      <c r="I4143" s="441">
        <v>150</v>
      </c>
      <c r="J4143" s="441"/>
      <c r="K4143" s="421"/>
      <c r="L4143" s="1657"/>
      <c r="M4143" s="2779">
        <v>150</v>
      </c>
      <c r="N4143" s="2847"/>
      <c r="O4143" s="86"/>
      <c r="P4143" s="1817" t="e">
        <f>INDEX(#REF!,MATCH(F4143,#REF!,0),2)</f>
        <v>#REF!</v>
      </c>
    </row>
    <row r="4144" spans="1:48" ht="63" customHeight="1">
      <c r="A4144" s="544"/>
      <c r="B4144" s="506" t="s">
        <v>1248</v>
      </c>
      <c r="C4144" s="506" t="s">
        <v>507</v>
      </c>
      <c r="D4144" s="1632">
        <v>170</v>
      </c>
      <c r="E4144" s="2223" t="s">
        <v>1929</v>
      </c>
      <c r="F4144" s="540">
        <v>2311</v>
      </c>
      <c r="G4144" s="570" t="s">
        <v>426</v>
      </c>
      <c r="H4144" s="571">
        <v>1700</v>
      </c>
      <c r="I4144" s="571"/>
      <c r="J4144" s="572"/>
      <c r="K4144" s="573"/>
      <c r="L4144" s="571">
        <v>700</v>
      </c>
      <c r="M4144" s="3754"/>
      <c r="N4144" s="2847"/>
      <c r="O4144" s="86"/>
      <c r="P4144" s="1817" t="e">
        <f>INDEX(#REF!,MATCH(F4144,#REF!,0),2)</f>
        <v>#REF!</v>
      </c>
    </row>
    <row r="4145" spans="1:16" ht="22.9" customHeight="1">
      <c r="A4145" s="515"/>
      <c r="B4145" s="412" t="s">
        <v>1248</v>
      </c>
      <c r="C4145" s="412" t="s">
        <v>507</v>
      </c>
      <c r="D4145" s="1590"/>
      <c r="E4145" s="2224" t="s">
        <v>1929</v>
      </c>
      <c r="F4145" s="505">
        <v>2311</v>
      </c>
      <c r="G4145" s="565" t="s">
        <v>426</v>
      </c>
      <c r="H4145" s="578"/>
      <c r="I4145" s="578">
        <v>1700</v>
      </c>
      <c r="J4145" s="487"/>
      <c r="K4145" s="573"/>
      <c r="L4145" s="430"/>
      <c r="M4145" s="3805">
        <v>700</v>
      </c>
      <c r="N4145" s="2847"/>
      <c r="O4145" s="86"/>
      <c r="P4145" s="1817" t="e">
        <f>INDEX(#REF!,MATCH(F4145,#REF!,0),2)</f>
        <v>#REF!</v>
      </c>
    </row>
    <row r="4146" spans="1:16" ht="24.6" customHeight="1">
      <c r="A4146" s="544"/>
      <c r="B4146" s="506" t="s">
        <v>1248</v>
      </c>
      <c r="C4146" s="506" t="s">
        <v>505</v>
      </c>
      <c r="D4146" s="1632">
        <v>170</v>
      </c>
      <c r="E4146" s="2223" t="s">
        <v>1929</v>
      </c>
      <c r="F4146" s="540">
        <v>2312</v>
      </c>
      <c r="G4146" s="570" t="s">
        <v>249</v>
      </c>
      <c r="H4146" s="571">
        <v>16000</v>
      </c>
      <c r="I4146" s="571"/>
      <c r="J4146" s="572"/>
      <c r="K4146" s="573"/>
      <c r="L4146" s="571">
        <v>16000</v>
      </c>
      <c r="M4146" s="3754"/>
      <c r="N4146" s="2847"/>
      <c r="O4146" s="86"/>
      <c r="P4146" s="1817" t="e">
        <f>INDEX(#REF!,MATCH(F4146,#REF!,0),2)</f>
        <v>#REF!</v>
      </c>
    </row>
    <row r="4147" spans="1:16" ht="26.45" customHeight="1">
      <c r="A4147" s="515"/>
      <c r="B4147" s="412" t="s">
        <v>1248</v>
      </c>
      <c r="C4147" s="412" t="s">
        <v>505</v>
      </c>
      <c r="D4147" s="1590"/>
      <c r="E4147" s="2224" t="s">
        <v>1929</v>
      </c>
      <c r="F4147" s="505">
        <v>2312</v>
      </c>
      <c r="G4147" s="3803" t="s">
        <v>1422</v>
      </c>
      <c r="H4147" s="578"/>
      <c r="I4147" s="578">
        <v>6000</v>
      </c>
      <c r="J4147" s="487"/>
      <c r="K4147" s="573"/>
      <c r="L4147" s="430"/>
      <c r="M4147" s="3805">
        <v>6000</v>
      </c>
      <c r="N4147" s="2847" t="s">
        <v>2687</v>
      </c>
      <c r="O4147" s="86"/>
      <c r="P4147" s="1817"/>
    </row>
    <row r="4148" spans="1:16">
      <c r="A4148" s="1391"/>
      <c r="B4148" s="412" t="s">
        <v>1248</v>
      </c>
      <c r="C4148" s="412" t="s">
        <v>505</v>
      </c>
      <c r="D4148" s="1590"/>
      <c r="E4148" s="2224" t="s">
        <v>1929</v>
      </c>
      <c r="F4148" s="505">
        <v>2312</v>
      </c>
      <c r="G4148" s="3803" t="s">
        <v>2688</v>
      </c>
      <c r="H4148" s="1417"/>
      <c r="I4148" s="1417">
        <v>10000</v>
      </c>
      <c r="J4148" s="1392"/>
      <c r="K4148" s="1371"/>
      <c r="L4148" s="3812"/>
      <c r="M4148" s="3805">
        <v>10000</v>
      </c>
      <c r="N4148" s="241"/>
      <c r="O4148" s="86"/>
      <c r="P4148" s="1817" t="e">
        <f>INDEX(#REF!,MATCH(F4148,#REF!,0),2)</f>
        <v>#REF!</v>
      </c>
    </row>
    <row r="4149" spans="1:16">
      <c r="A4149" s="544"/>
      <c r="B4149" s="506" t="s">
        <v>1248</v>
      </c>
      <c r="C4149" s="506" t="s">
        <v>505</v>
      </c>
      <c r="D4149" s="1632">
        <v>170</v>
      </c>
      <c r="E4149" s="2223" t="s">
        <v>1929</v>
      </c>
      <c r="F4149" s="540">
        <v>2322</v>
      </c>
      <c r="G4149" s="570" t="s">
        <v>319</v>
      </c>
      <c r="H4149" s="571">
        <v>1800</v>
      </c>
      <c r="I4149" s="571"/>
      <c r="J4149" s="572"/>
      <c r="K4149" s="573"/>
      <c r="L4149" s="571">
        <v>1800</v>
      </c>
      <c r="M4149" s="3754"/>
      <c r="N4149" s="2847"/>
      <c r="O4149" s="86"/>
      <c r="P4149" s="1817" t="e">
        <f>INDEX(#REF!,MATCH(F4149,#REF!,0),2)</f>
        <v>#REF!</v>
      </c>
    </row>
    <row r="4150" spans="1:16">
      <c r="A4150" s="515"/>
      <c r="B4150" s="412" t="s">
        <v>1248</v>
      </c>
      <c r="C4150" s="412" t="s">
        <v>505</v>
      </c>
      <c r="D4150" s="1590"/>
      <c r="E4150" s="2224" t="s">
        <v>1929</v>
      </c>
      <c r="F4150" s="505">
        <v>2322</v>
      </c>
      <c r="G4150" s="565" t="s">
        <v>1423</v>
      </c>
      <c r="H4150" s="578"/>
      <c r="I4150" s="578">
        <v>1800</v>
      </c>
      <c r="J4150" s="487"/>
      <c r="K4150" s="573"/>
      <c r="L4150" s="430"/>
      <c r="M4150" s="3805">
        <v>1800</v>
      </c>
      <c r="N4150" s="2847" t="s">
        <v>2421</v>
      </c>
      <c r="O4150" s="86"/>
      <c r="P4150" s="1817" t="e">
        <f>INDEX(#REF!,MATCH(F4150,#REF!,0),2)</f>
        <v>#REF!</v>
      </c>
    </row>
    <row r="4151" spans="1:16">
      <c r="A4151" s="544"/>
      <c r="B4151" s="506" t="s">
        <v>1248</v>
      </c>
      <c r="C4151" s="506" t="s">
        <v>507</v>
      </c>
      <c r="D4151" s="1632">
        <v>170</v>
      </c>
      <c r="E4151" s="2223" t="s">
        <v>1929</v>
      </c>
      <c r="F4151" s="540">
        <v>2350</v>
      </c>
      <c r="G4151" s="570" t="s">
        <v>1199</v>
      </c>
      <c r="H4151" s="571">
        <v>21600</v>
      </c>
      <c r="I4151" s="571"/>
      <c r="J4151" s="572"/>
      <c r="K4151" s="573"/>
      <c r="L4151" s="571">
        <v>20000</v>
      </c>
      <c r="M4151" s="3754"/>
      <c r="N4151" s="2847"/>
      <c r="O4151" s="86"/>
      <c r="P4151" s="1817" t="e">
        <f>INDEX(#REF!,MATCH(F4151,#REF!,0),2)</f>
        <v>#REF!</v>
      </c>
    </row>
    <row r="4152" spans="1:16" ht="78.75">
      <c r="A4152" s="515"/>
      <c r="B4152" s="412" t="s">
        <v>1248</v>
      </c>
      <c r="C4152" s="412" t="s">
        <v>507</v>
      </c>
      <c r="D4152" s="1590"/>
      <c r="E4152" s="2224" t="s">
        <v>1929</v>
      </c>
      <c r="F4152" s="505">
        <v>2350</v>
      </c>
      <c r="G4152" s="3803" t="s">
        <v>5281</v>
      </c>
      <c r="H4152" s="578"/>
      <c r="I4152" s="578">
        <v>20000</v>
      </c>
      <c r="J4152" s="487"/>
      <c r="K4152" s="573"/>
      <c r="L4152" s="430"/>
      <c r="M4152" s="1764">
        <v>20000</v>
      </c>
      <c r="N4152" s="2847" t="s">
        <v>6145</v>
      </c>
      <c r="O4152" s="86"/>
      <c r="P4152" s="1817" t="e">
        <f>INDEX(#REF!,MATCH(F4152,#REF!,0),2)</f>
        <v>#REF!</v>
      </c>
    </row>
    <row r="4153" spans="1:16" ht="22.5">
      <c r="A4153" s="3404"/>
      <c r="B4153" s="412" t="s">
        <v>1248</v>
      </c>
      <c r="C4153" s="412" t="s">
        <v>507</v>
      </c>
      <c r="D4153" s="1590"/>
      <c r="E4153" s="2224" t="s">
        <v>1929</v>
      </c>
      <c r="F4153" s="505">
        <v>2350</v>
      </c>
      <c r="G4153" s="3803" t="s">
        <v>5268</v>
      </c>
      <c r="H4153" s="1940"/>
      <c r="I4153" s="1940">
        <v>-1000</v>
      </c>
      <c r="J4153" s="1772"/>
      <c r="K4153" s="3688"/>
      <c r="L4153" s="1764"/>
      <c r="M4153" s="1764"/>
      <c r="N4153" s="2847"/>
      <c r="O4153" s="86"/>
      <c r="P4153" s="1817" t="e">
        <f>INDEX(#REF!,MATCH(F4153,#REF!,0),2)</f>
        <v>#REF!</v>
      </c>
    </row>
    <row r="4154" spans="1:16" ht="22.5">
      <c r="A4154" s="1938"/>
      <c r="B4154" s="412" t="s">
        <v>1248</v>
      </c>
      <c r="C4154" s="412" t="s">
        <v>507</v>
      </c>
      <c r="D4154" s="1590"/>
      <c r="E4154" s="2224" t="s">
        <v>1929</v>
      </c>
      <c r="F4154" s="505">
        <v>2350</v>
      </c>
      <c r="G4154" s="1939" t="s">
        <v>3279</v>
      </c>
      <c r="H4154" s="1940"/>
      <c r="I4154" s="1940">
        <v>-300</v>
      </c>
      <c r="J4154" s="1772"/>
      <c r="K4154" s="2300"/>
      <c r="L4154" s="1764"/>
      <c r="M4154" s="1764"/>
      <c r="N4154" s="2847"/>
      <c r="O4154" s="86"/>
      <c r="P4154" s="1817" t="e">
        <f>INDEX(#REF!,MATCH(F4154,#REF!,0),2)</f>
        <v>#REF!</v>
      </c>
    </row>
    <row r="4155" spans="1:16" ht="22.5">
      <c r="A4155" s="1938"/>
      <c r="B4155" s="412" t="s">
        <v>1248</v>
      </c>
      <c r="C4155" s="412" t="s">
        <v>507</v>
      </c>
      <c r="D4155" s="1590"/>
      <c r="E4155" s="2224" t="s">
        <v>1929</v>
      </c>
      <c r="F4155" s="505">
        <v>2350</v>
      </c>
      <c r="G4155" s="1939" t="s">
        <v>3280</v>
      </c>
      <c r="H4155" s="1940"/>
      <c r="I4155" s="1940">
        <v>-2100</v>
      </c>
      <c r="J4155" s="1772"/>
      <c r="K4155" s="2300"/>
      <c r="L4155" s="1764"/>
      <c r="M4155" s="1764"/>
      <c r="N4155" s="2847"/>
      <c r="O4155" s="86"/>
      <c r="P4155" s="1817" t="e">
        <f>INDEX(#REF!,MATCH(F4155,#REF!,0),2)</f>
        <v>#REF!</v>
      </c>
    </row>
    <row r="4156" spans="1:16" ht="48.6" customHeight="1">
      <c r="A4156" s="1391"/>
      <c r="B4156" s="412" t="s">
        <v>1248</v>
      </c>
      <c r="C4156" s="412" t="s">
        <v>507</v>
      </c>
      <c r="D4156" s="1590"/>
      <c r="E4156" s="2224" t="s">
        <v>1929</v>
      </c>
      <c r="F4156" s="505">
        <v>2350</v>
      </c>
      <c r="G4156" s="1418" t="s">
        <v>5267</v>
      </c>
      <c r="H4156" s="1417"/>
      <c r="I4156" s="1417">
        <v>5000</v>
      </c>
      <c r="J4156" s="1392"/>
      <c r="K4156" s="1371"/>
      <c r="L4156" s="3812"/>
      <c r="M4156" s="3812"/>
      <c r="N4156" s="2847"/>
      <c r="O4156" s="86"/>
      <c r="P4156" s="1817"/>
    </row>
    <row r="4157" spans="1:16" ht="27" customHeight="1">
      <c r="A4157" s="506"/>
      <c r="B4157" s="506" t="s">
        <v>1248</v>
      </c>
      <c r="C4157" s="506" t="s">
        <v>505</v>
      </c>
      <c r="D4157" s="1632">
        <v>170</v>
      </c>
      <c r="E4157" s="2223" t="s">
        <v>1929</v>
      </c>
      <c r="F4157" s="540">
        <v>2512</v>
      </c>
      <c r="G4157" s="411" t="s">
        <v>1203</v>
      </c>
      <c r="H4157" s="541"/>
      <c r="I4157" s="542"/>
      <c r="J4157" s="542"/>
      <c r="K4157" s="458"/>
      <c r="L4157" s="620"/>
      <c r="M4157" s="1578"/>
      <c r="N4157" s="2847"/>
      <c r="O4157" s="86"/>
      <c r="P4157" s="1817" t="e">
        <f>INDEX(#REF!,MATCH(F4157,#REF!,0),2)</f>
        <v>#REF!</v>
      </c>
    </row>
    <row r="4158" spans="1:16" ht="27" customHeight="1">
      <c r="A4158" s="412"/>
      <c r="B4158" s="412" t="s">
        <v>1248</v>
      </c>
      <c r="C4158" s="412" t="s">
        <v>505</v>
      </c>
      <c r="D4158" s="1590"/>
      <c r="E4158" s="2224" t="s">
        <v>1929</v>
      </c>
      <c r="F4158" s="505">
        <v>2512</v>
      </c>
      <c r="G4158" s="565" t="s">
        <v>1196</v>
      </c>
      <c r="H4158" s="419"/>
      <c r="I4158" s="578"/>
      <c r="J4158" s="511"/>
      <c r="K4158" s="543"/>
      <c r="L4158" s="420"/>
      <c r="M4158" s="1575"/>
      <c r="N4158" s="2847"/>
      <c r="O4158" s="86"/>
      <c r="P4158" s="1817" t="e">
        <f>INDEX(#REF!,MATCH(F4158,#REF!,0),2)</f>
        <v>#REF!</v>
      </c>
    </row>
    <row r="4159" spans="1:16" ht="22.5">
      <c r="A4159" s="544"/>
      <c r="B4159" s="506" t="s">
        <v>1250</v>
      </c>
      <c r="C4159" s="506" t="s">
        <v>645</v>
      </c>
      <c r="D4159" s="1632">
        <v>170</v>
      </c>
      <c r="E4159" s="2223" t="s">
        <v>1929</v>
      </c>
      <c r="F4159" s="540">
        <v>5120</v>
      </c>
      <c r="G4159" s="570" t="s">
        <v>899</v>
      </c>
      <c r="H4159" s="571">
        <v>8114</v>
      </c>
      <c r="I4159" s="571"/>
      <c r="J4159" s="572"/>
      <c r="K4159" s="573"/>
      <c r="L4159" s="571">
        <v>13114</v>
      </c>
      <c r="M4159" s="3754"/>
      <c r="N4159" s="2847"/>
      <c r="O4159" s="86"/>
      <c r="P4159" s="1817" t="e">
        <f>INDEX(#REF!,MATCH(F4159,#REF!,0),2)</f>
        <v>#REF!</v>
      </c>
    </row>
    <row r="4160" spans="1:16">
      <c r="A4160" s="515"/>
      <c r="B4160" s="412" t="s">
        <v>1250</v>
      </c>
      <c r="C4160" s="412" t="s">
        <v>645</v>
      </c>
      <c r="D4160" s="1590"/>
      <c r="E4160" s="2224" t="s">
        <v>1929</v>
      </c>
      <c r="F4160" s="505">
        <v>5120</v>
      </c>
      <c r="G4160" s="565" t="s">
        <v>1424</v>
      </c>
      <c r="H4160" s="578"/>
      <c r="I4160" s="578">
        <v>7100</v>
      </c>
      <c r="J4160" s="487"/>
      <c r="K4160" s="573"/>
      <c r="L4160" s="430"/>
      <c r="M4160" s="3805">
        <v>7100</v>
      </c>
      <c r="N4160" s="2847"/>
      <c r="O4160" s="86"/>
      <c r="P4160" s="1817" t="e">
        <f>INDEX(#REF!,MATCH(F4160,#REF!,0),2)</f>
        <v>#REF!</v>
      </c>
    </row>
    <row r="4161" spans="1:48" ht="22.5">
      <c r="A4161" s="1938"/>
      <c r="B4161" s="412" t="s">
        <v>1250</v>
      </c>
      <c r="C4161" s="412" t="s">
        <v>645</v>
      </c>
      <c r="D4161" s="1590"/>
      <c r="E4161" s="2224" t="s">
        <v>1929</v>
      </c>
      <c r="F4161" s="505">
        <v>5120</v>
      </c>
      <c r="G4161" s="1939" t="s">
        <v>3143</v>
      </c>
      <c r="H4161" s="1940"/>
      <c r="I4161" s="1940">
        <v>6014</v>
      </c>
      <c r="J4161" s="1772"/>
      <c r="K4161" s="2300"/>
      <c r="L4161" s="1764"/>
      <c r="M4161" s="1949">
        <v>6014</v>
      </c>
      <c r="N4161" s="2847"/>
      <c r="O4161" s="86"/>
      <c r="P4161" s="1817" t="e">
        <f>INDEX(#REF!,MATCH(F4161,#REF!,0),2)</f>
        <v>#REF!</v>
      </c>
    </row>
    <row r="4162" spans="1:48" ht="22.5">
      <c r="A4162" s="3404"/>
      <c r="B4162" s="412" t="s">
        <v>1250</v>
      </c>
      <c r="C4162" s="412" t="s">
        <v>645</v>
      </c>
      <c r="D4162" s="1590"/>
      <c r="E4162" s="2224" t="s">
        <v>1929</v>
      </c>
      <c r="F4162" s="505">
        <v>5120</v>
      </c>
      <c r="G4162" s="1939" t="s">
        <v>5267</v>
      </c>
      <c r="H4162" s="1940"/>
      <c r="I4162" s="1940">
        <v>-5000</v>
      </c>
      <c r="J4162" s="1772"/>
      <c r="K4162" s="3688"/>
      <c r="L4162" s="1764"/>
      <c r="M4162" s="3807"/>
      <c r="N4162" s="2847"/>
      <c r="O4162" s="86"/>
      <c r="P4162" s="1817" t="e">
        <f>INDEX(#REF!,MATCH(F4162,#REF!,0),2)</f>
        <v>#REF!</v>
      </c>
    </row>
    <row r="4163" spans="1:48" ht="20.45" customHeight="1">
      <c r="A4163" s="544"/>
      <c r="B4163" s="506" t="s">
        <v>1250</v>
      </c>
      <c r="C4163" s="506" t="s">
        <v>645</v>
      </c>
      <c r="D4163" s="1632">
        <v>170</v>
      </c>
      <c r="E4163" s="2223" t="s">
        <v>1929</v>
      </c>
      <c r="F4163" s="540">
        <v>5238</v>
      </c>
      <c r="G4163" s="570" t="s">
        <v>257</v>
      </c>
      <c r="H4163" s="571">
        <v>26100</v>
      </c>
      <c r="I4163" s="571"/>
      <c r="J4163" s="572"/>
      <c r="K4163" s="573"/>
      <c r="L4163" s="571">
        <v>14714</v>
      </c>
      <c r="M4163" s="3754"/>
      <c r="N4163" s="2847"/>
      <c r="O4163" s="86"/>
      <c r="P4163" s="1817" t="e">
        <f>INDEX(#REF!,MATCH(F4163,#REF!,0),2)</f>
        <v>#REF!</v>
      </c>
      <c r="Q4163" s="1779"/>
      <c r="R4163" s="1779"/>
      <c r="S4163" s="1779"/>
      <c r="T4163" s="1779"/>
      <c r="U4163" s="1779"/>
      <c r="V4163" s="1779"/>
      <c r="W4163" s="43"/>
      <c r="X4163" s="1779"/>
      <c r="Y4163" s="1779"/>
      <c r="Z4163" s="1779"/>
      <c r="AA4163" s="1779"/>
      <c r="AB4163" s="1779"/>
      <c r="AC4163" s="1779"/>
      <c r="AD4163" s="1779"/>
      <c r="AE4163" s="1779"/>
      <c r="AF4163" s="1779"/>
      <c r="AG4163" s="1779"/>
      <c r="AH4163" s="1779"/>
      <c r="AI4163" s="1779"/>
      <c r="AJ4163" s="1779"/>
      <c r="AK4163" s="1779"/>
      <c r="AL4163" s="1779"/>
      <c r="AM4163" s="1779"/>
      <c r="AN4163" s="1779"/>
      <c r="AO4163" s="1779"/>
      <c r="AP4163" s="1779"/>
      <c r="AQ4163" s="1779"/>
      <c r="AR4163" s="1779"/>
      <c r="AS4163" s="1779"/>
      <c r="AT4163" s="1779"/>
      <c r="AU4163" s="1779"/>
      <c r="AV4163" s="1779"/>
    </row>
    <row r="4164" spans="1:48" ht="20.45" customHeight="1">
      <c r="A4164" s="515"/>
      <c r="B4164" s="412" t="s">
        <v>1250</v>
      </c>
      <c r="C4164" s="412" t="s">
        <v>645</v>
      </c>
      <c r="D4164" s="1590"/>
      <c r="E4164" s="2224" t="s">
        <v>1929</v>
      </c>
      <c r="F4164" s="505">
        <v>5238</v>
      </c>
      <c r="G4164" s="1768" t="s">
        <v>2422</v>
      </c>
      <c r="H4164" s="578"/>
      <c r="I4164" s="578">
        <v>12000</v>
      </c>
      <c r="J4164" s="487"/>
      <c r="K4164" s="573"/>
      <c r="L4164" s="430"/>
      <c r="M4164" s="4278">
        <v>7357</v>
      </c>
      <c r="N4164" s="241" t="s">
        <v>5156</v>
      </c>
      <c r="O4164" s="86"/>
      <c r="P4164" s="1817" t="e">
        <f>INDEX(#REF!,MATCH(F4164,#REF!,0),2)</f>
        <v>#REF!</v>
      </c>
      <c r="Q4164" s="1779"/>
      <c r="R4164" s="1779"/>
      <c r="S4164" s="1779"/>
      <c r="T4164" s="1779"/>
      <c r="U4164" s="1779"/>
      <c r="V4164" s="1779"/>
      <c r="W4164" s="43"/>
      <c r="X4164" s="1779"/>
      <c r="Y4164" s="1779"/>
      <c r="Z4164" s="1779"/>
      <c r="AA4164" s="1779"/>
      <c r="AB4164" s="1779"/>
      <c r="AC4164" s="1779"/>
      <c r="AD4164" s="1779"/>
      <c r="AE4164" s="1779"/>
      <c r="AF4164" s="1779"/>
      <c r="AG4164" s="1779"/>
      <c r="AH4164" s="1779"/>
      <c r="AI4164" s="1779"/>
      <c r="AJ4164" s="1779"/>
      <c r="AK4164" s="1779"/>
      <c r="AL4164" s="1779"/>
      <c r="AM4164" s="1779"/>
      <c r="AN4164" s="1779"/>
      <c r="AO4164" s="1779"/>
      <c r="AP4164" s="1779"/>
      <c r="AQ4164" s="1779"/>
      <c r="AR4164" s="1779"/>
      <c r="AS4164" s="1779"/>
      <c r="AT4164" s="1779"/>
      <c r="AU4164" s="1779"/>
      <c r="AV4164" s="1779"/>
    </row>
    <row r="4165" spans="1:48" ht="20.45" customHeight="1">
      <c r="A4165" s="515"/>
      <c r="B4165" s="412" t="s">
        <v>1250</v>
      </c>
      <c r="C4165" s="412" t="s">
        <v>645</v>
      </c>
      <c r="D4165" s="1590"/>
      <c r="E4165" s="2224" t="s">
        <v>1929</v>
      </c>
      <c r="F4165" s="505">
        <v>5238</v>
      </c>
      <c r="G4165" s="565" t="s">
        <v>1429</v>
      </c>
      <c r="H4165" s="578"/>
      <c r="I4165" s="578">
        <v>12000</v>
      </c>
      <c r="J4165" s="487"/>
      <c r="K4165" s="573"/>
      <c r="L4165" s="430"/>
      <c r="M4165" s="4278">
        <v>7357</v>
      </c>
      <c r="N4165" s="241" t="s">
        <v>5156</v>
      </c>
      <c r="O4165" s="86"/>
      <c r="P4165" s="1817" t="e">
        <f>INDEX(#REF!,MATCH(F4165,#REF!,0),2)</f>
        <v>#REF!</v>
      </c>
      <c r="Q4165" s="43"/>
      <c r="R4165" s="43"/>
      <c r="S4165" s="43"/>
      <c r="T4165" s="43"/>
      <c r="U4165" s="43"/>
      <c r="V4165" s="43"/>
      <c r="W4165" s="43"/>
      <c r="X4165" s="43"/>
      <c r="Y4165" s="43"/>
      <c r="Z4165" s="43"/>
      <c r="AA4165" s="43"/>
      <c r="AB4165" s="43"/>
      <c r="AC4165" s="43"/>
      <c r="AD4165" s="43"/>
      <c r="AE4165" s="43"/>
      <c r="AF4165" s="43"/>
      <c r="AG4165" s="43"/>
      <c r="AH4165" s="43"/>
      <c r="AI4165" s="43"/>
      <c r="AJ4165" s="43"/>
      <c r="AK4165" s="43"/>
      <c r="AL4165" s="43"/>
      <c r="AM4165" s="43"/>
      <c r="AN4165" s="43"/>
      <c r="AO4165" s="43"/>
      <c r="AP4165" s="43"/>
      <c r="AQ4165" s="43"/>
      <c r="AR4165" s="43"/>
      <c r="AS4165" s="43"/>
      <c r="AT4165" s="43"/>
      <c r="AU4165" s="43"/>
      <c r="AV4165" s="43"/>
    </row>
    <row r="4166" spans="1:48" ht="24.6" customHeight="1">
      <c r="A4166" s="1938"/>
      <c r="B4166" s="412" t="s">
        <v>1250</v>
      </c>
      <c r="C4166" s="412" t="s">
        <v>645</v>
      </c>
      <c r="D4166" s="1590"/>
      <c r="E4166" s="2224" t="s">
        <v>1929</v>
      </c>
      <c r="F4166" s="505">
        <v>5238</v>
      </c>
      <c r="G4166" s="1939" t="s">
        <v>3280</v>
      </c>
      <c r="H4166" s="1940"/>
      <c r="I4166" s="1940">
        <v>2100</v>
      </c>
      <c r="J4166" s="1772"/>
      <c r="K4166" s="2375"/>
      <c r="L4166" s="1764"/>
      <c r="M4166" s="1949"/>
      <c r="N4166" s="2847"/>
      <c r="O4166" s="86"/>
      <c r="P4166" s="1817" t="e">
        <f>INDEX(#REF!,MATCH(F4166,#REF!,0),2)</f>
        <v>#REF!</v>
      </c>
    </row>
    <row r="4167" spans="1:48" ht="29.45" customHeight="1">
      <c r="A4167" s="544"/>
      <c r="B4167" s="506" t="s">
        <v>1249</v>
      </c>
      <c r="C4167" s="506" t="s">
        <v>645</v>
      </c>
      <c r="D4167" s="1632">
        <v>170</v>
      </c>
      <c r="E4167" s="2223" t="s">
        <v>1929</v>
      </c>
      <c r="F4167" s="540">
        <v>5238</v>
      </c>
      <c r="G4167" s="570" t="s">
        <v>257</v>
      </c>
      <c r="H4167" s="571">
        <v>0</v>
      </c>
      <c r="I4167" s="571"/>
      <c r="J4167" s="572"/>
      <c r="K4167" s="573"/>
      <c r="L4167" s="571">
        <v>0</v>
      </c>
      <c r="M4167" s="3754"/>
      <c r="N4167" s="2847"/>
      <c r="O4167" s="86"/>
      <c r="P4167" s="1817" t="e">
        <f>INDEX(#REF!,MATCH(F4167,#REF!,0),2)</f>
        <v>#REF!</v>
      </c>
      <c r="Q4167" s="43"/>
      <c r="R4167" s="43"/>
      <c r="S4167" s="43"/>
      <c r="T4167" s="43"/>
      <c r="U4167" s="43"/>
      <c r="V4167" s="43"/>
      <c r="W4167" s="43"/>
      <c r="X4167" s="43"/>
      <c r="Y4167" s="43"/>
      <c r="Z4167" s="43"/>
      <c r="AA4167" s="43"/>
      <c r="AB4167" s="43"/>
      <c r="AC4167" s="43"/>
      <c r="AD4167" s="43"/>
      <c r="AE4167" s="43"/>
      <c r="AF4167" s="43"/>
      <c r="AG4167" s="43"/>
      <c r="AH4167" s="43"/>
      <c r="AI4167" s="43"/>
      <c r="AJ4167" s="43"/>
      <c r="AL4167" s="43"/>
      <c r="AM4167" s="43"/>
      <c r="AN4167" s="43"/>
      <c r="AO4167" s="43"/>
      <c r="AP4167" s="43"/>
      <c r="AQ4167" s="43"/>
      <c r="AR4167" s="43"/>
      <c r="AS4167" s="43"/>
      <c r="AT4167" s="43"/>
      <c r="AU4167" s="43"/>
      <c r="AV4167" s="43"/>
    </row>
    <row r="4168" spans="1:48" ht="29.45" customHeight="1">
      <c r="A4168" s="515"/>
      <c r="B4168" s="412" t="s">
        <v>1249</v>
      </c>
      <c r="C4168" s="412" t="s">
        <v>645</v>
      </c>
      <c r="D4168" s="1590"/>
      <c r="E4168" s="2224" t="s">
        <v>1929</v>
      </c>
      <c r="F4168" s="505">
        <v>5238</v>
      </c>
      <c r="G4168" s="1418" t="s">
        <v>2690</v>
      </c>
      <c r="H4168" s="578"/>
      <c r="I4168" s="578">
        <v>0</v>
      </c>
      <c r="J4168" s="487"/>
      <c r="K4168" s="573"/>
      <c r="L4168" s="430"/>
      <c r="M4168" s="3805">
        <v>0</v>
      </c>
      <c r="N4168" s="2847" t="s">
        <v>3331</v>
      </c>
      <c r="O4168" s="86"/>
      <c r="P4168" s="1817" t="e">
        <f>INDEX(#REF!,MATCH(F4168,#REF!,0),2)</f>
        <v>#REF!</v>
      </c>
      <c r="Q4168" s="43"/>
      <c r="R4168" s="43"/>
      <c r="S4168" s="43"/>
      <c r="T4168" s="43"/>
      <c r="U4168" s="43"/>
      <c r="V4168" s="43"/>
      <c r="W4168" s="43"/>
      <c r="X4168" s="43"/>
      <c r="Y4168" s="43"/>
      <c r="Z4168" s="43"/>
      <c r="AA4168" s="43"/>
      <c r="AB4168" s="43"/>
      <c r="AC4168" s="43"/>
      <c r="AD4168" s="43"/>
      <c r="AE4168" s="43"/>
      <c r="AF4168" s="43"/>
      <c r="AG4168" s="43"/>
      <c r="AH4168" s="43"/>
      <c r="AI4168" s="43"/>
      <c r="AJ4168" s="43"/>
      <c r="AL4168" s="43"/>
      <c r="AM4168" s="43"/>
      <c r="AN4168" s="43"/>
      <c r="AO4168" s="43"/>
      <c r="AP4168" s="43"/>
      <c r="AQ4168" s="43"/>
      <c r="AR4168" s="43"/>
      <c r="AS4168" s="43"/>
      <c r="AT4168" s="43"/>
      <c r="AU4168" s="43"/>
      <c r="AV4168" s="43"/>
    </row>
    <row r="4169" spans="1:48" ht="29.45" customHeight="1">
      <c r="A4169" s="544"/>
      <c r="B4169" s="506" t="s">
        <v>1249</v>
      </c>
      <c r="C4169" s="506" t="s">
        <v>645</v>
      </c>
      <c r="D4169" s="1632">
        <v>170</v>
      </c>
      <c r="E4169" s="2223" t="s">
        <v>1929</v>
      </c>
      <c r="F4169" s="540">
        <v>5239</v>
      </c>
      <c r="G4169" s="570" t="s">
        <v>2574</v>
      </c>
      <c r="H4169" s="571">
        <v>0</v>
      </c>
      <c r="I4169" s="571"/>
      <c r="J4169" s="572"/>
      <c r="K4169" s="573"/>
      <c r="L4169" s="571">
        <v>0</v>
      </c>
      <c r="M4169" s="3754"/>
      <c r="N4169" s="2847"/>
      <c r="O4169" s="86"/>
      <c r="P4169" s="1817" t="e">
        <f>INDEX(#REF!,MATCH(F4169,#REF!,0),2)</f>
        <v>#REF!</v>
      </c>
      <c r="Q4169" s="43"/>
      <c r="R4169" s="43"/>
      <c r="S4169" s="43"/>
      <c r="T4169" s="43"/>
      <c r="U4169" s="43"/>
      <c r="V4169" s="43"/>
      <c r="W4169" s="43"/>
      <c r="X4169" s="43"/>
      <c r="Y4169" s="43"/>
      <c r="Z4169" s="43"/>
      <c r="AA4169" s="43"/>
      <c r="AB4169" s="43"/>
      <c r="AC4169" s="43"/>
      <c r="AD4169" s="43"/>
      <c r="AE4169" s="43"/>
      <c r="AF4169" s="43"/>
      <c r="AG4169" s="43"/>
      <c r="AH4169" s="43"/>
      <c r="AI4169" s="43"/>
      <c r="AJ4169" s="43"/>
      <c r="AL4169" s="43"/>
      <c r="AM4169" s="43"/>
      <c r="AN4169" s="43"/>
      <c r="AO4169" s="43"/>
      <c r="AP4169" s="43"/>
      <c r="AQ4169" s="43"/>
      <c r="AR4169" s="43"/>
      <c r="AS4169" s="43"/>
      <c r="AT4169" s="43"/>
      <c r="AU4169" s="43"/>
      <c r="AV4169" s="43"/>
    </row>
    <row r="4170" spans="1:48" ht="29.45" customHeight="1">
      <c r="A4170" s="1769"/>
      <c r="B4170" s="412" t="s">
        <v>1249</v>
      </c>
      <c r="C4170" s="412" t="s">
        <v>505</v>
      </c>
      <c r="D4170" s="1590"/>
      <c r="E4170" s="2224" t="s">
        <v>1929</v>
      </c>
      <c r="F4170" s="505">
        <v>5239</v>
      </c>
      <c r="G4170" s="1768" t="s">
        <v>2689</v>
      </c>
      <c r="H4170" s="1770"/>
      <c r="I4170" s="1770"/>
      <c r="J4170" s="1772"/>
      <c r="K4170" s="1718"/>
      <c r="L4170" s="1764"/>
      <c r="M4170" s="3805"/>
      <c r="N4170" s="2847"/>
      <c r="O4170" s="86"/>
      <c r="P4170" s="1817" t="e">
        <f>INDEX(#REF!,MATCH(F4170,#REF!,0),2)</f>
        <v>#REF!</v>
      </c>
      <c r="Q4170" s="43"/>
      <c r="R4170" s="43"/>
      <c r="S4170" s="43"/>
      <c r="T4170" s="43"/>
      <c r="U4170" s="43"/>
      <c r="V4170" s="43"/>
      <c r="W4170" s="43"/>
      <c r="X4170" s="43"/>
      <c r="Y4170" s="43"/>
      <c r="Z4170" s="43"/>
      <c r="AA4170" s="43"/>
      <c r="AB4170" s="43"/>
      <c r="AC4170" s="43"/>
      <c r="AD4170" s="43"/>
      <c r="AE4170" s="43"/>
      <c r="AF4170" s="43"/>
      <c r="AG4170" s="43"/>
      <c r="AH4170" s="43"/>
      <c r="AI4170" s="43"/>
      <c r="AJ4170" s="43"/>
      <c r="AL4170" s="43"/>
      <c r="AM4170" s="43"/>
      <c r="AN4170" s="43"/>
      <c r="AO4170" s="43"/>
      <c r="AP4170" s="43"/>
      <c r="AQ4170" s="43"/>
      <c r="AR4170" s="43"/>
      <c r="AS4170" s="43"/>
      <c r="AT4170" s="43"/>
      <c r="AU4170" s="43"/>
      <c r="AV4170" s="43"/>
    </row>
    <row r="4171" spans="1:48" ht="52.15" customHeight="1">
      <c r="A4171" s="755"/>
      <c r="B4171" s="775" t="s">
        <v>1249</v>
      </c>
      <c r="C4171" s="755" t="s">
        <v>570</v>
      </c>
      <c r="D4171" s="1600">
        <v>880</v>
      </c>
      <c r="E4171" s="2248" t="s">
        <v>1927</v>
      </c>
      <c r="F4171" s="756">
        <v>3263</v>
      </c>
      <c r="G4171" s="757" t="s">
        <v>1261</v>
      </c>
      <c r="H4171" s="1114">
        <v>4000</v>
      </c>
      <c r="I4171" s="975"/>
      <c r="J4171" s="621"/>
      <c r="K4171" s="524"/>
      <c r="L4171" s="4332">
        <v>4000</v>
      </c>
      <c r="M4171" s="4332"/>
      <c r="N4171" s="2847" t="s">
        <v>2276</v>
      </c>
      <c r="O4171" s="86"/>
      <c r="P4171" s="1817" t="e">
        <f>INDEX(#REF!,MATCH(F4171,#REF!,0),2)</f>
        <v>#REF!</v>
      </c>
      <c r="Q4171" s="43"/>
      <c r="R4171" s="43"/>
      <c r="S4171" s="43"/>
      <c r="T4171" s="43"/>
      <c r="U4171" s="43"/>
      <c r="V4171" s="43"/>
      <c r="W4171" s="43"/>
      <c r="X4171" s="43"/>
      <c r="Y4171" s="43"/>
      <c r="Z4171" s="43"/>
      <c r="AA4171" s="43"/>
      <c r="AB4171" s="43"/>
      <c r="AC4171" s="43"/>
      <c r="AD4171" s="43"/>
      <c r="AE4171" s="43"/>
      <c r="AF4171" s="43"/>
      <c r="AG4171" s="43"/>
      <c r="AH4171" s="43"/>
      <c r="AI4171" s="43"/>
      <c r="AJ4171" s="43"/>
      <c r="AL4171" s="43"/>
      <c r="AM4171" s="43"/>
      <c r="AN4171" s="43"/>
      <c r="AO4171" s="43"/>
      <c r="AP4171" s="43"/>
      <c r="AQ4171" s="43"/>
      <c r="AR4171" s="43"/>
      <c r="AS4171" s="43"/>
      <c r="AT4171" s="43"/>
      <c r="AU4171" s="43"/>
      <c r="AV4171" s="43"/>
    </row>
    <row r="4172" spans="1:48" ht="18.600000000000001" customHeight="1">
      <c r="A4172" s="762"/>
      <c r="B4172" s="489" t="s">
        <v>1249</v>
      </c>
      <c r="C4172" s="762" t="s">
        <v>570</v>
      </c>
      <c r="D4172" s="1599"/>
      <c r="E4172" s="2267" t="s">
        <v>1927</v>
      </c>
      <c r="F4172" s="763">
        <v>3263</v>
      </c>
      <c r="G4172" s="976" t="s">
        <v>3110</v>
      </c>
      <c r="H4172" s="1115"/>
      <c r="I4172" s="978"/>
      <c r="J4172" s="977"/>
      <c r="K4172" s="979"/>
      <c r="L4172" s="977"/>
      <c r="M4172" s="977">
        <v>2000</v>
      </c>
      <c r="N4172" s="2847"/>
      <c r="O4172" s="86"/>
      <c r="P4172" s="1817" t="e">
        <f>INDEX(#REF!,MATCH(F4172,#REF!,0),2)</f>
        <v>#REF!</v>
      </c>
      <c r="Q4172" s="43"/>
      <c r="R4172" s="43"/>
      <c r="S4172" s="43"/>
      <c r="T4172" s="43"/>
      <c r="U4172" s="43"/>
      <c r="V4172" s="43"/>
      <c r="W4172" s="43"/>
      <c r="X4172" s="43"/>
      <c r="Y4172" s="43"/>
      <c r="Z4172" s="43"/>
      <c r="AA4172" s="43"/>
      <c r="AB4172" s="43"/>
      <c r="AC4172" s="43"/>
      <c r="AD4172" s="43"/>
      <c r="AE4172" s="43"/>
      <c r="AF4172" s="43"/>
      <c r="AG4172" s="43"/>
      <c r="AH4172" s="43"/>
      <c r="AI4172" s="43"/>
      <c r="AJ4172" s="43"/>
      <c r="AL4172" s="43"/>
      <c r="AM4172" s="43"/>
      <c r="AN4172" s="43"/>
      <c r="AO4172" s="43"/>
      <c r="AP4172" s="43"/>
      <c r="AQ4172" s="43"/>
      <c r="AR4172" s="43"/>
      <c r="AS4172" s="43"/>
      <c r="AT4172" s="43"/>
      <c r="AU4172" s="43"/>
      <c r="AV4172" s="43"/>
    </row>
    <row r="4173" spans="1:48" ht="29.45" customHeight="1">
      <c r="A4173" s="762"/>
      <c r="B4173" s="489" t="s">
        <v>1249</v>
      </c>
      <c r="C4173" s="762" t="s">
        <v>570</v>
      </c>
      <c r="D4173" s="1599"/>
      <c r="E4173" s="2267" t="s">
        <v>1927</v>
      </c>
      <c r="F4173" s="763">
        <v>3263</v>
      </c>
      <c r="G4173" s="976" t="s">
        <v>3111</v>
      </c>
      <c r="H4173" s="1115"/>
      <c r="I4173" s="978"/>
      <c r="J4173" s="977"/>
      <c r="K4173" s="979"/>
      <c r="L4173" s="977"/>
      <c r="M4173" s="977">
        <v>2000</v>
      </c>
      <c r="N4173" s="2847"/>
      <c r="O4173" s="86"/>
      <c r="P4173" s="1817" t="e">
        <f>INDEX(#REF!,MATCH(F4173,#REF!,0),2)</f>
        <v>#REF!</v>
      </c>
      <c r="Q4173" s="43"/>
      <c r="R4173" s="43"/>
      <c r="S4173" s="43"/>
      <c r="T4173" s="43"/>
      <c r="U4173" s="43"/>
      <c r="V4173" s="43"/>
      <c r="W4173" s="43"/>
      <c r="X4173" s="43"/>
      <c r="Y4173" s="43"/>
      <c r="Z4173" s="43"/>
      <c r="AA4173" s="43"/>
      <c r="AB4173" s="43"/>
      <c r="AC4173" s="43"/>
      <c r="AD4173" s="43"/>
      <c r="AE4173" s="43"/>
      <c r="AF4173" s="43"/>
      <c r="AG4173" s="43"/>
      <c r="AH4173" s="43"/>
      <c r="AI4173" s="43"/>
      <c r="AJ4173" s="43"/>
      <c r="AL4173" s="43"/>
      <c r="AM4173" s="43"/>
      <c r="AN4173" s="43"/>
      <c r="AO4173" s="43"/>
      <c r="AP4173" s="43"/>
      <c r="AQ4173" s="43"/>
      <c r="AR4173" s="43"/>
      <c r="AS4173" s="43"/>
      <c r="AT4173" s="43"/>
      <c r="AU4173" s="43"/>
      <c r="AV4173" s="43"/>
    </row>
    <row r="4174" spans="1:48" ht="29.45" customHeight="1">
      <c r="A4174" s="81"/>
      <c r="B4174" s="506" t="s">
        <v>566</v>
      </c>
      <c r="C4174" s="506" t="s">
        <v>1251</v>
      </c>
      <c r="D4174" s="1632" t="s">
        <v>1768</v>
      </c>
      <c r="E4174" s="2247" t="s">
        <v>1897</v>
      </c>
      <c r="F4174" s="540">
        <v>5240</v>
      </c>
      <c r="G4174" s="411" t="s">
        <v>1259</v>
      </c>
      <c r="H4174" s="541">
        <v>0</v>
      </c>
      <c r="I4174" s="579"/>
      <c r="J4174" s="542"/>
      <c r="K4174" s="458"/>
      <c r="L4174" s="1719">
        <v>0</v>
      </c>
      <c r="M4174" s="619"/>
      <c r="N4174" s="2847"/>
      <c r="O4174" s="86"/>
      <c r="P4174" s="1817" t="e">
        <f>INDEX(#REF!,MATCH(F4174,#REF!,0),2)</f>
        <v>#REF!</v>
      </c>
      <c r="Q4174" s="43"/>
      <c r="R4174" s="43"/>
      <c r="S4174" s="43"/>
      <c r="T4174" s="43"/>
      <c r="U4174" s="43"/>
      <c r="V4174" s="43"/>
      <c r="W4174" s="43"/>
      <c r="X4174" s="43"/>
      <c r="Y4174" s="43"/>
      <c r="Z4174" s="43"/>
      <c r="AA4174" s="43"/>
      <c r="AB4174" s="43"/>
      <c r="AC4174" s="43"/>
      <c r="AD4174" s="43"/>
      <c r="AE4174" s="43"/>
      <c r="AF4174" s="43"/>
      <c r="AG4174" s="43"/>
      <c r="AH4174" s="43"/>
      <c r="AI4174" s="43"/>
      <c r="AJ4174" s="43"/>
      <c r="AL4174" s="43"/>
      <c r="AM4174" s="43"/>
      <c r="AN4174" s="43"/>
      <c r="AO4174" s="43"/>
      <c r="AP4174" s="43"/>
      <c r="AQ4174" s="43"/>
      <c r="AR4174" s="43"/>
      <c r="AS4174" s="43"/>
      <c r="AT4174" s="43"/>
      <c r="AU4174" s="43"/>
      <c r="AV4174" s="43"/>
    </row>
    <row r="4175" spans="1:48" ht="29.45" customHeight="1">
      <c r="A4175" s="762"/>
      <c r="B4175" s="412" t="s">
        <v>566</v>
      </c>
      <c r="C4175" s="412" t="s">
        <v>1251</v>
      </c>
      <c r="D4175" s="1590"/>
      <c r="E4175" s="2245" t="s">
        <v>1897</v>
      </c>
      <c r="F4175" s="763">
        <v>5240</v>
      </c>
      <c r="G4175" s="1983" t="s">
        <v>2887</v>
      </c>
      <c r="H4175" s="968"/>
      <c r="I4175" s="752">
        <v>0</v>
      </c>
      <c r="J4175" s="966"/>
      <c r="K4175" s="967"/>
      <c r="L4175" s="973"/>
      <c r="M4175" s="769">
        <v>0</v>
      </c>
      <c r="N4175" s="2847" t="s">
        <v>2895</v>
      </c>
      <c r="O4175" s="86"/>
      <c r="P4175" s="1817" t="e">
        <f>INDEX(#REF!,MATCH(F4175,#REF!,0),2)</f>
        <v>#REF!</v>
      </c>
      <c r="Q4175" s="43"/>
      <c r="R4175" s="43"/>
      <c r="S4175" s="43"/>
      <c r="T4175" s="43"/>
      <c r="U4175" s="43"/>
      <c r="V4175" s="43"/>
      <c r="W4175" s="43"/>
      <c r="X4175" s="43"/>
      <c r="Y4175" s="43"/>
      <c r="Z4175" s="43"/>
      <c r="AA4175" s="43"/>
      <c r="AB4175" s="43"/>
      <c r="AC4175" s="43"/>
      <c r="AD4175" s="43"/>
      <c r="AE4175" s="43"/>
      <c r="AF4175" s="43"/>
      <c r="AG4175" s="43"/>
      <c r="AH4175" s="43"/>
      <c r="AI4175" s="43"/>
      <c r="AJ4175" s="43"/>
      <c r="AL4175" s="43"/>
      <c r="AM4175" s="43"/>
      <c r="AN4175" s="43"/>
      <c r="AO4175" s="43"/>
      <c r="AP4175" s="43"/>
      <c r="AQ4175" s="43"/>
      <c r="AR4175" s="43"/>
      <c r="AS4175" s="43"/>
      <c r="AT4175" s="43"/>
      <c r="AU4175" s="43"/>
      <c r="AV4175" s="43"/>
    </row>
    <row r="4176" spans="1:48" ht="24.6" customHeight="1">
      <c r="A4176" s="762"/>
      <c r="B4176" s="412" t="s">
        <v>566</v>
      </c>
      <c r="C4176" s="412" t="s">
        <v>1251</v>
      </c>
      <c r="D4176" s="1590"/>
      <c r="E4176" s="2245" t="s">
        <v>1897</v>
      </c>
      <c r="F4176" s="763">
        <v>5240</v>
      </c>
      <c r="G4176" s="1983" t="s">
        <v>2888</v>
      </c>
      <c r="H4176" s="968"/>
      <c r="I4176" s="752">
        <v>0</v>
      </c>
      <c r="J4176" s="966"/>
      <c r="K4176" s="967"/>
      <c r="L4176" s="973"/>
      <c r="M4176" s="973">
        <v>0</v>
      </c>
      <c r="N4176" s="2847"/>
      <c r="O4176" s="86"/>
      <c r="P4176" s="1817" t="e">
        <f>INDEX(#REF!,MATCH(F4176,#REF!,0),2)</f>
        <v>#REF!</v>
      </c>
    </row>
    <row r="4177" spans="1:48" ht="14.45" customHeight="1">
      <c r="A4177" s="762"/>
      <c r="B4177" s="412" t="s">
        <v>566</v>
      </c>
      <c r="C4177" s="412" t="s">
        <v>1251</v>
      </c>
      <c r="D4177" s="1590"/>
      <c r="E4177" s="2245" t="s">
        <v>1897</v>
      </c>
      <c r="F4177" s="763">
        <v>5240</v>
      </c>
      <c r="G4177" s="772" t="s">
        <v>1618</v>
      </c>
      <c r="H4177" s="968"/>
      <c r="I4177" s="752"/>
      <c r="J4177" s="966"/>
      <c r="K4177" s="967"/>
      <c r="L4177" s="973"/>
      <c r="M4177" s="769"/>
      <c r="N4177" s="2847"/>
      <c r="O4177" s="86"/>
      <c r="P4177" s="1817" t="e">
        <f>INDEX(#REF!,MATCH(F4177,#REF!,0),2)</f>
        <v>#REF!</v>
      </c>
      <c r="Q4177" s="43"/>
      <c r="R4177" s="43"/>
      <c r="S4177" s="43"/>
      <c r="T4177" s="43"/>
      <c r="U4177" s="43"/>
      <c r="V4177" s="43"/>
      <c r="W4177" s="43"/>
      <c r="X4177" s="43"/>
      <c r="Y4177" s="43"/>
      <c r="Z4177" s="43"/>
      <c r="AA4177" s="43"/>
      <c r="AB4177" s="43"/>
      <c r="AC4177" s="43"/>
      <c r="AD4177" s="43"/>
      <c r="AE4177" s="43"/>
      <c r="AF4177" s="43"/>
      <c r="AG4177" s="43"/>
      <c r="AH4177" s="43"/>
      <c r="AI4177" s="43"/>
      <c r="AJ4177" s="43"/>
      <c r="AL4177" s="43"/>
      <c r="AM4177" s="43"/>
      <c r="AN4177" s="43"/>
      <c r="AO4177" s="43"/>
      <c r="AP4177" s="43"/>
      <c r="AQ4177" s="43"/>
      <c r="AR4177" s="43"/>
      <c r="AS4177" s="43"/>
      <c r="AT4177" s="43"/>
      <c r="AU4177" s="43"/>
      <c r="AV4177" s="43"/>
    </row>
    <row r="4178" spans="1:48" ht="14.45" customHeight="1">
      <c r="A4178" s="762"/>
      <c r="B4178" s="412" t="s">
        <v>566</v>
      </c>
      <c r="C4178" s="412" t="s">
        <v>1251</v>
      </c>
      <c r="D4178" s="1590"/>
      <c r="E4178" s="2245" t="s">
        <v>1897</v>
      </c>
      <c r="F4178" s="763">
        <v>5240</v>
      </c>
      <c r="G4178" s="772" t="s">
        <v>1619</v>
      </c>
      <c r="H4178" s="968"/>
      <c r="I4178" s="752"/>
      <c r="J4178" s="966"/>
      <c r="K4178" s="967"/>
      <c r="L4178" s="973"/>
      <c r="M4178" s="769"/>
      <c r="N4178" s="2847"/>
      <c r="O4178" s="86"/>
      <c r="P4178" s="1817" t="e">
        <f>INDEX(#REF!,MATCH(F4178,#REF!,0),2)</f>
        <v>#REF!</v>
      </c>
      <c r="Q4178" s="43"/>
      <c r="R4178" s="43"/>
      <c r="S4178" s="43"/>
      <c r="T4178" s="43"/>
      <c r="U4178" s="43"/>
      <c r="V4178" s="43"/>
      <c r="W4178" s="43"/>
      <c r="X4178" s="43"/>
      <c r="Y4178" s="43"/>
      <c r="Z4178" s="43"/>
      <c r="AA4178" s="43"/>
      <c r="AB4178" s="43"/>
      <c r="AC4178" s="43"/>
      <c r="AD4178" s="43"/>
      <c r="AE4178" s="43"/>
      <c r="AF4178" s="43"/>
      <c r="AG4178" s="43"/>
      <c r="AH4178" s="43"/>
      <c r="AI4178" s="43"/>
      <c r="AJ4178" s="43"/>
      <c r="AL4178" s="43"/>
      <c r="AM4178" s="43"/>
      <c r="AN4178" s="43"/>
      <c r="AO4178" s="43"/>
      <c r="AP4178" s="43"/>
      <c r="AQ4178" s="43"/>
      <c r="AR4178" s="43"/>
      <c r="AS4178" s="43"/>
      <c r="AT4178" s="43"/>
      <c r="AU4178" s="43"/>
      <c r="AV4178" s="43"/>
    </row>
    <row r="4179" spans="1:48" ht="14.45" customHeight="1">
      <c r="A4179" s="762"/>
      <c r="B4179" s="412" t="s">
        <v>566</v>
      </c>
      <c r="C4179" s="412" t="s">
        <v>1251</v>
      </c>
      <c r="D4179" s="1590"/>
      <c r="E4179" s="2245" t="s">
        <v>1897</v>
      </c>
      <c r="F4179" s="763">
        <v>5240</v>
      </c>
      <c r="G4179" s="772" t="s">
        <v>1620</v>
      </c>
      <c r="H4179" s="968"/>
      <c r="I4179" s="752"/>
      <c r="J4179" s="966"/>
      <c r="K4179" s="967"/>
      <c r="L4179" s="973"/>
      <c r="M4179" s="1522"/>
      <c r="N4179" s="2847" t="s">
        <v>1695</v>
      </c>
      <c r="O4179" s="86"/>
      <c r="P4179" s="1817" t="e">
        <f>INDEX(#REF!,MATCH(F4179,#REF!,0),2)</f>
        <v>#REF!</v>
      </c>
      <c r="Q4179" s="43"/>
      <c r="R4179" s="43"/>
      <c r="S4179" s="43"/>
      <c r="T4179" s="43"/>
      <c r="U4179" s="43"/>
      <c r="V4179" s="43"/>
      <c r="W4179" s="43"/>
      <c r="X4179" s="43"/>
      <c r="Y4179" s="43"/>
      <c r="Z4179" s="43"/>
      <c r="AA4179" s="43"/>
      <c r="AB4179" s="43"/>
      <c r="AC4179" s="43"/>
      <c r="AD4179" s="43"/>
      <c r="AE4179" s="43"/>
      <c r="AF4179" s="43"/>
      <c r="AG4179" s="43"/>
      <c r="AH4179" s="43"/>
      <c r="AI4179" s="43"/>
      <c r="AJ4179" s="43"/>
      <c r="AL4179" s="43"/>
      <c r="AM4179" s="43"/>
      <c r="AN4179" s="43"/>
      <c r="AO4179" s="43"/>
      <c r="AP4179" s="43"/>
      <c r="AQ4179" s="43"/>
      <c r="AR4179" s="43"/>
      <c r="AS4179" s="43"/>
      <c r="AT4179" s="43"/>
      <c r="AU4179" s="43"/>
      <c r="AV4179" s="43"/>
    </row>
    <row r="4180" spans="1:48" ht="14.45" customHeight="1">
      <c r="A4180" s="762"/>
      <c r="B4180" s="412" t="s">
        <v>566</v>
      </c>
      <c r="C4180" s="412" t="s">
        <v>1251</v>
      </c>
      <c r="D4180" s="1590"/>
      <c r="E4180" s="2245" t="s">
        <v>1897</v>
      </c>
      <c r="F4180" s="763">
        <v>5240</v>
      </c>
      <c r="G4180" s="772" t="s">
        <v>1621</v>
      </c>
      <c r="H4180" s="764"/>
      <c r="I4180" s="752"/>
      <c r="J4180" s="765"/>
      <c r="K4180" s="766"/>
      <c r="L4180" s="770"/>
      <c r="M4180" s="769"/>
      <c r="N4180" s="2847"/>
      <c r="O4180" s="86"/>
      <c r="P4180" s="1817" t="e">
        <f>INDEX(#REF!,MATCH(F4180,#REF!,0),2)</f>
        <v>#REF!</v>
      </c>
      <c r="Q4180" s="43"/>
      <c r="R4180" s="43"/>
      <c r="S4180" s="43"/>
      <c r="T4180" s="43"/>
      <c r="U4180" s="43"/>
      <c r="V4180" s="43"/>
      <c r="W4180" s="43"/>
      <c r="X4180" s="43"/>
      <c r="Y4180" s="43"/>
      <c r="Z4180" s="43"/>
      <c r="AA4180" s="43"/>
      <c r="AB4180" s="43"/>
      <c r="AC4180" s="43"/>
      <c r="AD4180" s="43"/>
      <c r="AE4180" s="43"/>
      <c r="AF4180" s="43"/>
      <c r="AG4180" s="43"/>
      <c r="AH4180" s="43"/>
      <c r="AI4180" s="43"/>
      <c r="AJ4180" s="43"/>
      <c r="AL4180" s="43"/>
      <c r="AM4180" s="43"/>
      <c r="AN4180" s="43"/>
      <c r="AO4180" s="43"/>
      <c r="AP4180" s="43"/>
      <c r="AQ4180" s="43"/>
      <c r="AR4180" s="43"/>
      <c r="AS4180" s="43"/>
      <c r="AT4180" s="43"/>
      <c r="AU4180" s="43"/>
      <c r="AV4180" s="43"/>
    </row>
    <row r="4181" spans="1:48" ht="14.45" customHeight="1">
      <c r="A4181" s="762"/>
      <c r="B4181" s="412" t="s">
        <v>566</v>
      </c>
      <c r="C4181" s="412" t="s">
        <v>1251</v>
      </c>
      <c r="D4181" s="1590"/>
      <c r="E4181" s="2245" t="s">
        <v>1897</v>
      </c>
      <c r="F4181" s="763">
        <v>5240</v>
      </c>
      <c r="G4181" s="772" t="s">
        <v>1622</v>
      </c>
      <c r="H4181" s="968"/>
      <c r="I4181" s="752"/>
      <c r="J4181" s="966"/>
      <c r="K4181" s="967"/>
      <c r="L4181" s="973"/>
      <c r="M4181" s="769"/>
      <c r="N4181" s="2847"/>
      <c r="O4181" s="86"/>
      <c r="P4181" s="1817" t="e">
        <f>INDEX(#REF!,MATCH(F4181,#REF!,0),2)</f>
        <v>#REF!</v>
      </c>
      <c r="Q4181" s="43"/>
      <c r="R4181" s="43"/>
      <c r="S4181" s="43"/>
      <c r="T4181" s="43"/>
      <c r="U4181" s="43"/>
      <c r="V4181" s="43"/>
      <c r="W4181" s="43"/>
      <c r="X4181" s="43"/>
      <c r="Y4181" s="43"/>
      <c r="Z4181" s="43"/>
      <c r="AA4181" s="43"/>
      <c r="AB4181" s="43"/>
      <c r="AC4181" s="43"/>
      <c r="AD4181" s="43"/>
      <c r="AE4181" s="43"/>
      <c r="AF4181" s="43"/>
      <c r="AG4181" s="43"/>
      <c r="AH4181" s="43"/>
      <c r="AI4181" s="43"/>
      <c r="AJ4181" s="43"/>
      <c r="AL4181" s="43"/>
      <c r="AM4181" s="43"/>
      <c r="AN4181" s="43"/>
      <c r="AO4181" s="43"/>
      <c r="AP4181" s="43"/>
      <c r="AQ4181" s="43"/>
      <c r="AR4181" s="43"/>
      <c r="AS4181" s="43"/>
      <c r="AT4181" s="43"/>
      <c r="AU4181" s="43"/>
      <c r="AV4181" s="43"/>
    </row>
    <row r="4182" spans="1:48" ht="24.6" customHeight="1">
      <c r="A4182" s="13"/>
      <c r="B4182" s="412" t="s">
        <v>566</v>
      </c>
      <c r="C4182" s="412" t="s">
        <v>1251</v>
      </c>
      <c r="D4182" s="1590"/>
      <c r="E4182" s="2245" t="s">
        <v>1897</v>
      </c>
      <c r="F4182" s="763">
        <v>5240</v>
      </c>
      <c r="G4182" s="772" t="s">
        <v>271</v>
      </c>
      <c r="H4182" s="968"/>
      <c r="I4182" s="752"/>
      <c r="J4182" s="966"/>
      <c r="K4182" s="967"/>
      <c r="L4182" s="973"/>
      <c r="M4182" s="769"/>
      <c r="N4182" s="2847"/>
      <c r="O4182" s="86"/>
      <c r="P4182" s="1817" t="e">
        <f>INDEX(#REF!,MATCH(F4182,#REF!,0),2)</f>
        <v>#REF!</v>
      </c>
    </row>
    <row r="4183" spans="1:48" ht="36" customHeight="1">
      <c r="A4183" s="13"/>
      <c r="B4183" s="412" t="s">
        <v>566</v>
      </c>
      <c r="C4183" s="412" t="s">
        <v>1251</v>
      </c>
      <c r="D4183" s="1590"/>
      <c r="E4183" s="2245" t="s">
        <v>1897</v>
      </c>
      <c r="F4183" s="763">
        <v>5240</v>
      </c>
      <c r="G4183" s="772" t="s">
        <v>1977</v>
      </c>
      <c r="H4183" s="968"/>
      <c r="I4183" s="752"/>
      <c r="J4183" s="966"/>
      <c r="K4183" s="967"/>
      <c r="L4183" s="973"/>
      <c r="M4183" s="769"/>
      <c r="N4183" s="2847"/>
      <c r="O4183" s="86"/>
      <c r="P4183" s="1817" t="e">
        <f>INDEX(#REF!,MATCH(F4183,#REF!,0),2)</f>
        <v>#REF!</v>
      </c>
      <c r="Q4183" s="43"/>
      <c r="R4183" s="43"/>
      <c r="S4183" s="43"/>
      <c r="T4183" s="43"/>
      <c r="U4183" s="43"/>
      <c r="V4183" s="43"/>
      <c r="W4183" s="43"/>
      <c r="X4183" s="43"/>
      <c r="Y4183" s="43"/>
      <c r="Z4183" s="43"/>
      <c r="AA4183" s="43"/>
      <c r="AB4183" s="43"/>
      <c r="AC4183" s="43"/>
      <c r="AD4183" s="43"/>
      <c r="AE4183" s="43"/>
      <c r="AF4183" s="43"/>
      <c r="AG4183" s="43"/>
      <c r="AH4183" s="43"/>
      <c r="AI4183" s="43"/>
      <c r="AJ4183" s="43"/>
      <c r="AL4183" s="43"/>
      <c r="AM4183" s="43"/>
      <c r="AN4183" s="43"/>
      <c r="AO4183" s="43"/>
      <c r="AP4183" s="43"/>
      <c r="AQ4183" s="43"/>
      <c r="AR4183" s="43"/>
      <c r="AS4183" s="43"/>
      <c r="AT4183" s="43"/>
      <c r="AU4183" s="43"/>
      <c r="AV4183" s="43"/>
    </row>
    <row r="4184" spans="1:48" ht="14.45" customHeight="1">
      <c r="A4184" s="81"/>
      <c r="B4184" s="506" t="s">
        <v>566</v>
      </c>
      <c r="C4184" s="506" t="s">
        <v>1251</v>
      </c>
      <c r="D4184" s="1632" t="s">
        <v>1767</v>
      </c>
      <c r="E4184" s="2223" t="s">
        <v>1887</v>
      </c>
      <c r="F4184" s="540">
        <v>5240</v>
      </c>
      <c r="G4184" s="411" t="s">
        <v>1259</v>
      </c>
      <c r="H4184" s="541">
        <v>0</v>
      </c>
      <c r="I4184" s="579"/>
      <c r="J4184" s="542"/>
      <c r="K4184" s="458"/>
      <c r="L4184" s="620">
        <v>0</v>
      </c>
      <c r="M4184" s="619"/>
      <c r="N4184" s="2847"/>
      <c r="O4184" s="86"/>
      <c r="P4184" s="1817" t="e">
        <f>INDEX(#REF!,MATCH(F4184,#REF!,0),2)</f>
        <v>#REF!</v>
      </c>
      <c r="Q4184" s="43"/>
      <c r="R4184" s="43"/>
      <c r="S4184" s="43"/>
      <c r="T4184" s="43"/>
      <c r="U4184" s="43"/>
      <c r="V4184" s="43"/>
      <c r="W4184" s="43"/>
      <c r="X4184" s="43"/>
      <c r="Y4184" s="43"/>
      <c r="Z4184" s="43"/>
      <c r="AA4184" s="43"/>
      <c r="AB4184" s="43"/>
      <c r="AC4184" s="43"/>
      <c r="AD4184" s="43"/>
      <c r="AE4184" s="43"/>
      <c r="AF4184" s="43"/>
      <c r="AG4184" s="43"/>
      <c r="AH4184" s="43"/>
      <c r="AI4184" s="43"/>
      <c r="AJ4184" s="43"/>
      <c r="AL4184" s="43"/>
      <c r="AM4184" s="43"/>
      <c r="AN4184" s="43"/>
      <c r="AO4184" s="43"/>
      <c r="AP4184" s="43"/>
      <c r="AQ4184" s="43"/>
      <c r="AR4184" s="43"/>
      <c r="AS4184" s="43"/>
      <c r="AT4184" s="43"/>
      <c r="AU4184" s="43"/>
      <c r="AV4184" s="43"/>
    </row>
    <row r="4185" spans="1:48" ht="14.45" customHeight="1">
      <c r="A4185" s="762"/>
      <c r="B4185" s="412" t="s">
        <v>566</v>
      </c>
      <c r="C4185" s="412" t="s">
        <v>1251</v>
      </c>
      <c r="D4185" s="1590"/>
      <c r="E4185" s="2245" t="s">
        <v>1887</v>
      </c>
      <c r="F4185" s="763">
        <v>5240</v>
      </c>
      <c r="G4185" s="772" t="s">
        <v>1685</v>
      </c>
      <c r="H4185" s="968"/>
      <c r="I4185" s="752"/>
      <c r="J4185" s="966"/>
      <c r="K4185" s="967"/>
      <c r="L4185" s="973"/>
      <c r="M4185" s="769"/>
      <c r="N4185" s="2847" t="s">
        <v>2986</v>
      </c>
      <c r="O4185" s="86"/>
      <c r="P4185" s="1817" t="e">
        <f>INDEX(#REF!,MATCH(F4185,#REF!,0),2)</f>
        <v>#REF!</v>
      </c>
      <c r="Q4185" s="43"/>
      <c r="R4185" s="43"/>
      <c r="S4185" s="43"/>
      <c r="T4185" s="43"/>
      <c r="U4185" s="43"/>
      <c r="V4185" s="43"/>
      <c r="W4185" s="43"/>
      <c r="X4185" s="43"/>
      <c r="Y4185" s="43"/>
      <c r="Z4185" s="43"/>
      <c r="AA4185" s="43"/>
      <c r="AB4185" s="43"/>
      <c r="AC4185" s="43"/>
      <c r="AD4185" s="43"/>
      <c r="AE4185" s="43"/>
      <c r="AF4185" s="43"/>
      <c r="AG4185" s="43"/>
      <c r="AH4185" s="43"/>
      <c r="AI4185" s="43"/>
      <c r="AJ4185" s="43"/>
      <c r="AL4185" s="43"/>
      <c r="AM4185" s="43"/>
      <c r="AN4185" s="43"/>
      <c r="AO4185" s="43"/>
      <c r="AP4185" s="43"/>
      <c r="AQ4185" s="43"/>
      <c r="AR4185" s="43"/>
      <c r="AS4185" s="43"/>
      <c r="AT4185" s="43"/>
      <c r="AU4185" s="43"/>
      <c r="AV4185" s="43"/>
    </row>
    <row r="4186" spans="1:48" ht="14.45" customHeight="1">
      <c r="A4186" s="762"/>
      <c r="B4186" s="412" t="s">
        <v>566</v>
      </c>
      <c r="C4186" s="412" t="s">
        <v>1251</v>
      </c>
      <c r="D4186" s="1590"/>
      <c r="E4186" s="2245" t="s">
        <v>1887</v>
      </c>
      <c r="F4186" s="763">
        <v>5240</v>
      </c>
      <c r="G4186" s="772" t="s">
        <v>1646</v>
      </c>
      <c r="H4186" s="968"/>
      <c r="I4186" s="752"/>
      <c r="J4186" s="966"/>
      <c r="K4186" s="967"/>
      <c r="L4186" s="973"/>
      <c r="M4186" s="769"/>
      <c r="N4186" s="2847"/>
      <c r="O4186" s="86"/>
      <c r="P4186" s="1817" t="e">
        <f>INDEX(#REF!,MATCH(F4186,#REF!,0),2)</f>
        <v>#REF!</v>
      </c>
      <c r="Q4186" s="43"/>
      <c r="R4186" s="43"/>
      <c r="S4186" s="43"/>
      <c r="T4186" s="43"/>
      <c r="U4186" s="43"/>
      <c r="V4186" s="43"/>
      <c r="W4186" s="43"/>
      <c r="X4186" s="43"/>
      <c r="Y4186" s="43"/>
      <c r="Z4186" s="43"/>
      <c r="AA4186" s="43"/>
      <c r="AB4186" s="43"/>
      <c r="AC4186" s="43"/>
      <c r="AD4186" s="43"/>
      <c r="AE4186" s="43"/>
      <c r="AF4186" s="43"/>
      <c r="AG4186" s="43"/>
      <c r="AH4186" s="43"/>
      <c r="AI4186" s="43"/>
      <c r="AJ4186" s="43"/>
      <c r="AL4186" s="43"/>
      <c r="AM4186" s="43"/>
      <c r="AN4186" s="43"/>
      <c r="AO4186" s="43"/>
      <c r="AP4186" s="43"/>
      <c r="AQ4186" s="43"/>
      <c r="AR4186" s="43"/>
      <c r="AS4186" s="43"/>
      <c r="AT4186" s="43"/>
      <c r="AU4186" s="43"/>
      <c r="AV4186" s="43"/>
    </row>
    <row r="4187" spans="1:48" ht="14.45" customHeight="1">
      <c r="A4187" s="13"/>
      <c r="B4187" s="412" t="s">
        <v>566</v>
      </c>
      <c r="C4187" s="412" t="s">
        <v>1251</v>
      </c>
      <c r="D4187" s="1590"/>
      <c r="E4187" s="2245" t="s">
        <v>1887</v>
      </c>
      <c r="F4187" s="763">
        <v>5240</v>
      </c>
      <c r="G4187" s="1273" t="s">
        <v>271</v>
      </c>
      <c r="H4187" s="1173"/>
      <c r="I4187" s="1270"/>
      <c r="J4187" s="1174"/>
      <c r="K4187" s="1175"/>
      <c r="L4187" s="1176"/>
      <c r="M4187" s="1271"/>
      <c r="N4187" s="2847"/>
      <c r="O4187" s="86"/>
      <c r="P4187" s="1817"/>
      <c r="Q4187" s="43"/>
      <c r="R4187" s="43"/>
      <c r="S4187" s="43"/>
      <c r="T4187" s="43"/>
      <c r="U4187" s="43"/>
      <c r="V4187" s="43"/>
      <c r="W4187" s="43"/>
      <c r="X4187" s="43"/>
      <c r="Y4187" s="43"/>
      <c r="Z4187" s="43"/>
      <c r="AA4187" s="43"/>
      <c r="AB4187" s="43"/>
      <c r="AC4187" s="43"/>
      <c r="AD4187" s="43"/>
      <c r="AE4187" s="43"/>
      <c r="AF4187" s="43"/>
      <c r="AG4187" s="43"/>
      <c r="AH4187" s="43"/>
      <c r="AI4187" s="43"/>
      <c r="AJ4187" s="43"/>
      <c r="AL4187" s="43"/>
      <c r="AM4187" s="43"/>
      <c r="AN4187" s="43"/>
      <c r="AO4187" s="43"/>
      <c r="AP4187" s="43"/>
      <c r="AQ4187" s="43"/>
      <c r="AR4187" s="43"/>
      <c r="AS4187" s="43"/>
      <c r="AT4187" s="43"/>
      <c r="AU4187" s="43"/>
      <c r="AV4187" s="43"/>
    </row>
    <row r="4188" spans="1:48" ht="19.899999999999999" customHeight="1">
      <c r="A4188" s="762"/>
      <c r="B4188" s="412" t="s">
        <v>566</v>
      </c>
      <c r="C4188" s="412" t="s">
        <v>1251</v>
      </c>
      <c r="D4188" s="1590"/>
      <c r="E4188" s="2245" t="s">
        <v>1887</v>
      </c>
      <c r="F4188" s="763">
        <v>5240</v>
      </c>
      <c r="G4188" s="772" t="s">
        <v>1977</v>
      </c>
      <c r="H4188" s="1375"/>
      <c r="I4188" s="1372"/>
      <c r="J4188" s="1379"/>
      <c r="K4188" s="1380"/>
      <c r="L4188" s="1377"/>
      <c r="M4188" s="1398"/>
      <c r="N4188" s="2847"/>
      <c r="O4188" s="86"/>
      <c r="P4188" s="1817"/>
      <c r="Q4188" s="43"/>
      <c r="R4188" s="43"/>
      <c r="S4188" s="43"/>
      <c r="T4188" s="43"/>
      <c r="U4188" s="43"/>
      <c r="V4188" s="43"/>
      <c r="W4188" s="43"/>
      <c r="X4188" s="43"/>
      <c r="Y4188" s="43"/>
      <c r="Z4188" s="43"/>
      <c r="AA4188" s="43"/>
      <c r="AB4188" s="43"/>
      <c r="AC4188" s="43"/>
      <c r="AD4188" s="43"/>
      <c r="AE4188" s="43"/>
      <c r="AF4188" s="43"/>
      <c r="AG4188" s="43"/>
      <c r="AH4188" s="43"/>
      <c r="AI4188" s="43"/>
      <c r="AJ4188" s="43"/>
      <c r="AL4188" s="43"/>
      <c r="AM4188" s="43"/>
      <c r="AN4188" s="43"/>
      <c r="AO4188" s="43"/>
      <c r="AP4188" s="43"/>
      <c r="AQ4188" s="43"/>
      <c r="AR4188" s="43"/>
      <c r="AS4188" s="43"/>
      <c r="AT4188" s="43"/>
      <c r="AU4188" s="43"/>
      <c r="AV4188" s="43"/>
    </row>
    <row r="4189" spans="1:48" ht="24.6" customHeight="1">
      <c r="A4189" s="762"/>
      <c r="B4189" s="412" t="s">
        <v>566</v>
      </c>
      <c r="C4189" s="412" t="s">
        <v>1251</v>
      </c>
      <c r="D4189" s="1590"/>
      <c r="E4189" s="2245" t="s">
        <v>1887</v>
      </c>
      <c r="F4189" s="763">
        <v>5240</v>
      </c>
      <c r="G4189" s="772" t="s">
        <v>947</v>
      </c>
      <c r="H4189" s="1173"/>
      <c r="I4189" s="1270"/>
      <c r="J4189" s="1174"/>
      <c r="K4189" s="1175"/>
      <c r="L4189" s="1176"/>
      <c r="M4189" s="1271"/>
      <c r="N4189" s="2847"/>
      <c r="O4189" s="86"/>
      <c r="P4189" s="1817"/>
    </row>
    <row r="4190" spans="1:48" ht="49.9" customHeight="1">
      <c r="A4190" s="81"/>
      <c r="B4190" s="506" t="s">
        <v>566</v>
      </c>
      <c r="C4190" s="506" t="s">
        <v>1251</v>
      </c>
      <c r="D4190" s="1589">
        <v>633.1</v>
      </c>
      <c r="E4190" s="2223" t="s">
        <v>1886</v>
      </c>
      <c r="F4190" s="540">
        <v>5240</v>
      </c>
      <c r="G4190" s="411" t="s">
        <v>1259</v>
      </c>
      <c r="H4190" s="541">
        <v>85290</v>
      </c>
      <c r="I4190" s="579"/>
      <c r="J4190" s="542"/>
      <c r="K4190" s="458"/>
      <c r="L4190" s="541">
        <v>455284.00257000001</v>
      </c>
      <c r="M4190" s="579"/>
      <c r="N4190" s="2847"/>
      <c r="O4190" s="86"/>
      <c r="P4190" s="1817" t="e">
        <f>INDEX(#REF!,MATCH(F4190,#REF!,0),2)</f>
        <v>#REF!</v>
      </c>
    </row>
    <row r="4191" spans="1:48" ht="24.6" customHeight="1">
      <c r="A4191" s="762"/>
      <c r="B4191" s="412" t="s">
        <v>566</v>
      </c>
      <c r="C4191" s="412" t="s">
        <v>1251</v>
      </c>
      <c r="D4191" s="1590"/>
      <c r="E4191" s="2245" t="s">
        <v>1886</v>
      </c>
      <c r="F4191" s="763">
        <v>5240</v>
      </c>
      <c r="G4191" s="772" t="s">
        <v>2896</v>
      </c>
      <c r="H4191" s="968"/>
      <c r="I4191" s="752">
        <v>25368</v>
      </c>
      <c r="J4191" s="966"/>
      <c r="K4191" s="967"/>
      <c r="L4191" s="968"/>
      <c r="M4191" s="1892"/>
      <c r="N4191" s="2847"/>
      <c r="O4191" s="86"/>
      <c r="P4191" s="1817" t="e">
        <f>INDEX(#REF!,MATCH(F4191,#REF!,0),2)</f>
        <v>#REF!</v>
      </c>
    </row>
    <row r="4192" spans="1:48" ht="38.450000000000003" customHeight="1">
      <c r="A4192" s="1882"/>
      <c r="B4192" s="412" t="s">
        <v>566</v>
      </c>
      <c r="C4192" s="412" t="s">
        <v>1251</v>
      </c>
      <c r="D4192" s="1590"/>
      <c r="E4192" s="2245" t="s">
        <v>1886</v>
      </c>
      <c r="F4192" s="763">
        <v>5240</v>
      </c>
      <c r="G4192" s="2774" t="s">
        <v>4839</v>
      </c>
      <c r="H4192" s="1650"/>
      <c r="I4192" s="1892">
        <v>50000</v>
      </c>
      <c r="J4192" s="1651"/>
      <c r="K4192" s="1652"/>
      <c r="L4192" s="1650"/>
      <c r="M4192" s="1892"/>
      <c r="N4192" s="2847"/>
      <c r="O4192" s="86"/>
      <c r="P4192" s="1817" t="e">
        <f>INDEX(#REF!,MATCH(F4192,#REF!,0),2)</f>
        <v>#REF!</v>
      </c>
    </row>
    <row r="4193" spans="1:48" ht="24.6" customHeight="1">
      <c r="A4193" s="2790"/>
      <c r="B4193" s="412" t="s">
        <v>566</v>
      </c>
      <c r="C4193" s="412" t="s">
        <v>1251</v>
      </c>
      <c r="D4193" s="1590"/>
      <c r="E4193" s="2245" t="s">
        <v>1886</v>
      </c>
      <c r="F4193" s="763">
        <v>5240</v>
      </c>
      <c r="G4193" s="2774" t="s">
        <v>2907</v>
      </c>
      <c r="H4193" s="1650"/>
      <c r="I4193" s="2779"/>
      <c r="J4193" s="1651"/>
      <c r="K4193" s="1652"/>
      <c r="L4193" s="1650"/>
      <c r="M4193" s="2779">
        <v>7584</v>
      </c>
      <c r="N4193" s="2847"/>
      <c r="O4193" s="86"/>
      <c r="P4193" s="1817" t="e">
        <f>INDEX(#REF!,MATCH(F4193,#REF!,0),2)</f>
        <v>#REF!</v>
      </c>
    </row>
    <row r="4194" spans="1:48" ht="24.6" customHeight="1">
      <c r="A4194" s="2790"/>
      <c r="B4194" s="412" t="s">
        <v>566</v>
      </c>
      <c r="C4194" s="412" t="s">
        <v>1251</v>
      </c>
      <c r="D4194" s="1590"/>
      <c r="E4194" s="2245" t="s">
        <v>1886</v>
      </c>
      <c r="F4194" s="763">
        <v>5240</v>
      </c>
      <c r="G4194" s="2774" t="s">
        <v>617</v>
      </c>
      <c r="H4194" s="1650"/>
      <c r="I4194" s="2779"/>
      <c r="J4194" s="1651"/>
      <c r="K4194" s="1652"/>
      <c r="L4194" s="1650"/>
      <c r="M4194" s="2779">
        <v>390009.02</v>
      </c>
      <c r="N4194" s="2847"/>
      <c r="O4194" s="86"/>
      <c r="P4194" s="1817" t="e">
        <f>INDEX(#REF!,MATCH(F4194,#REF!,0),2)</f>
        <v>#REF!</v>
      </c>
    </row>
    <row r="4195" spans="1:48" ht="24.6" customHeight="1">
      <c r="A4195" s="2790"/>
      <c r="B4195" s="412" t="s">
        <v>566</v>
      </c>
      <c r="C4195" s="412" t="s">
        <v>1251</v>
      </c>
      <c r="D4195" s="1590"/>
      <c r="E4195" s="2245" t="s">
        <v>1886</v>
      </c>
      <c r="F4195" s="763">
        <v>5240</v>
      </c>
      <c r="G4195" s="2774" t="s">
        <v>1646</v>
      </c>
      <c r="H4195" s="1650"/>
      <c r="I4195" s="2779"/>
      <c r="J4195" s="1651"/>
      <c r="K4195" s="1652"/>
      <c r="L4195" s="1650"/>
      <c r="M4195" s="2779">
        <v>12920.982569999998</v>
      </c>
      <c r="N4195" s="2847"/>
      <c r="O4195" s="86"/>
      <c r="P4195" s="1817"/>
    </row>
    <row r="4196" spans="1:48" ht="24.6" customHeight="1">
      <c r="A4196" s="1882"/>
      <c r="B4196" s="412" t="s">
        <v>566</v>
      </c>
      <c r="C4196" s="412" t="s">
        <v>1251</v>
      </c>
      <c r="D4196" s="1590"/>
      <c r="E4196" s="2245" t="s">
        <v>1886</v>
      </c>
      <c r="F4196" s="763">
        <v>5240</v>
      </c>
      <c r="G4196" s="772" t="s">
        <v>2897</v>
      </c>
      <c r="H4196" s="1650"/>
      <c r="I4196" s="1892">
        <v>9922</v>
      </c>
      <c r="J4196" s="1651"/>
      <c r="K4196" s="1652"/>
      <c r="L4196" s="1650"/>
      <c r="M4196" s="1892">
        <v>44770</v>
      </c>
      <c r="N4196" s="2847"/>
      <c r="O4196" s="86"/>
      <c r="P4196" s="1817"/>
    </row>
    <row r="4197" spans="1:48" ht="14.45" customHeight="1">
      <c r="A4197" s="81"/>
      <c r="B4197" s="506" t="s">
        <v>566</v>
      </c>
      <c r="C4197" s="506" t="s">
        <v>1251</v>
      </c>
      <c r="D4197" s="1589" t="s">
        <v>1772</v>
      </c>
      <c r="E4197" s="2232" t="s">
        <v>1891</v>
      </c>
      <c r="F4197" s="540">
        <v>5240</v>
      </c>
      <c r="G4197" s="411" t="s">
        <v>1259</v>
      </c>
      <c r="H4197" s="541">
        <v>236171</v>
      </c>
      <c r="I4197" s="579"/>
      <c r="J4197" s="542"/>
      <c r="K4197" s="458"/>
      <c r="L4197" s="541">
        <v>2419999.9999999995</v>
      </c>
      <c r="M4197" s="619"/>
      <c r="N4197" s="2847"/>
      <c r="O4197" s="86"/>
      <c r="P4197" s="1817"/>
    </row>
    <row r="4198" spans="1:48" ht="45">
      <c r="A4198" s="81"/>
      <c r="B4198" s="412" t="s">
        <v>566</v>
      </c>
      <c r="C4198" s="412" t="s">
        <v>1251</v>
      </c>
      <c r="D4198" s="1590"/>
      <c r="E4198" s="2245" t="s">
        <v>1891</v>
      </c>
      <c r="F4198" s="763">
        <v>5240</v>
      </c>
      <c r="G4198" s="772" t="s">
        <v>2900</v>
      </c>
      <c r="H4198" s="772"/>
      <c r="I4198" s="3530">
        <v>25367.65</v>
      </c>
      <c r="J4198" s="772"/>
      <c r="K4198" s="1724"/>
      <c r="L4198" s="973"/>
      <c r="M4198" s="769"/>
      <c r="N4198" s="2847"/>
      <c r="O4198" s="86"/>
      <c r="P4198" s="1817" t="e">
        <f>INDEX(#REF!,MATCH(F4198,#REF!,0),2)</f>
        <v>#REF!</v>
      </c>
      <c r="Q4198" s="43"/>
      <c r="R4198" s="43"/>
      <c r="S4198" s="43"/>
      <c r="T4198" s="43"/>
      <c r="U4198" s="43"/>
      <c r="V4198" s="43"/>
      <c r="W4198" s="43"/>
      <c r="X4198" s="43"/>
      <c r="Y4198" s="43"/>
      <c r="Z4198" s="43"/>
      <c r="AA4198" s="43"/>
      <c r="AB4198" s="43"/>
      <c r="AC4198" s="43"/>
      <c r="AD4198" s="43"/>
      <c r="AE4198" s="43"/>
      <c r="AF4198" s="43"/>
      <c r="AG4198" s="43"/>
      <c r="AH4198" s="43"/>
      <c r="AI4198" s="43"/>
      <c r="AJ4198" s="43"/>
      <c r="AL4198" s="43"/>
      <c r="AM4198" s="43"/>
      <c r="AN4198" s="43"/>
      <c r="AO4198" s="43"/>
      <c r="AP4198" s="43"/>
      <c r="AQ4198" s="43"/>
      <c r="AR4198" s="43"/>
      <c r="AS4198" s="43"/>
      <c r="AT4198" s="43"/>
      <c r="AU4198" s="43"/>
      <c r="AV4198" s="43"/>
    </row>
    <row r="4199" spans="1:48">
      <c r="A4199" s="81"/>
      <c r="B4199" s="412" t="s">
        <v>566</v>
      </c>
      <c r="C4199" s="412" t="s">
        <v>1251</v>
      </c>
      <c r="D4199" s="1590"/>
      <c r="E4199" s="2245" t="s">
        <v>1891</v>
      </c>
      <c r="F4199" s="763">
        <v>5240</v>
      </c>
      <c r="G4199" s="772" t="s">
        <v>2901</v>
      </c>
      <c r="H4199" s="772"/>
      <c r="I4199" s="3530">
        <v>213.43</v>
      </c>
      <c r="J4199" s="772"/>
      <c r="K4199" s="1724"/>
      <c r="L4199" s="973"/>
      <c r="M4199" s="769"/>
      <c r="N4199" s="2847"/>
      <c r="O4199" s="86"/>
      <c r="P4199" s="1817" t="e">
        <f>INDEX(#REF!,MATCH(F4199,#REF!,0),2)</f>
        <v>#REF!</v>
      </c>
      <c r="Q4199" s="43"/>
      <c r="R4199" s="43"/>
      <c r="S4199" s="43"/>
      <c r="T4199" s="43"/>
      <c r="U4199" s="43"/>
      <c r="V4199" s="43"/>
      <c r="W4199" s="43"/>
      <c r="X4199" s="43"/>
      <c r="Y4199" s="43"/>
      <c r="Z4199" s="43"/>
      <c r="AA4199" s="43"/>
      <c r="AB4199" s="43"/>
      <c r="AC4199" s="43"/>
      <c r="AD4199" s="43"/>
      <c r="AE4199" s="43"/>
      <c r="AF4199" s="43"/>
      <c r="AG4199" s="43"/>
      <c r="AH4199" s="43"/>
      <c r="AI4199" s="43"/>
      <c r="AJ4199" s="43"/>
      <c r="AL4199" s="43"/>
      <c r="AM4199" s="43"/>
      <c r="AN4199" s="43"/>
      <c r="AO4199" s="43"/>
      <c r="AP4199" s="43"/>
      <c r="AQ4199" s="43"/>
      <c r="AR4199" s="43"/>
      <c r="AS4199" s="43"/>
      <c r="AT4199" s="43"/>
      <c r="AU4199" s="43"/>
      <c r="AV4199" s="43"/>
    </row>
    <row r="4200" spans="1:48" ht="22.5">
      <c r="A4200" s="81"/>
      <c r="B4200" s="412" t="s">
        <v>566</v>
      </c>
      <c r="C4200" s="412" t="s">
        <v>1251</v>
      </c>
      <c r="D4200" s="1590"/>
      <c r="E4200" s="2245" t="s">
        <v>1891</v>
      </c>
      <c r="F4200" s="763">
        <v>5240</v>
      </c>
      <c r="G4200" s="772" t="s">
        <v>2902</v>
      </c>
      <c r="H4200" s="772"/>
      <c r="I4200" s="3530">
        <v>178433.81</v>
      </c>
      <c r="J4200" s="772"/>
      <c r="K4200" s="1724"/>
      <c r="L4200" s="973"/>
      <c r="M4200" s="769"/>
      <c r="N4200" s="2847"/>
      <c r="O4200" s="86"/>
      <c r="P4200" s="1817" t="e">
        <f>INDEX(#REF!,MATCH(F4200,#REF!,0),2)</f>
        <v>#REF!</v>
      </c>
      <c r="Q4200" s="43"/>
      <c r="R4200" s="43"/>
      <c r="S4200" s="43"/>
      <c r="T4200" s="43"/>
      <c r="U4200" s="43"/>
      <c r="V4200" s="43"/>
      <c r="W4200" s="43"/>
      <c r="X4200" s="43"/>
      <c r="Y4200" s="43"/>
      <c r="Z4200" s="43"/>
      <c r="AA4200" s="43"/>
      <c r="AB4200" s="43"/>
      <c r="AC4200" s="43"/>
      <c r="AD4200" s="43"/>
      <c r="AE4200" s="43"/>
      <c r="AF4200" s="43"/>
      <c r="AG4200" s="43"/>
      <c r="AH4200" s="43"/>
      <c r="AI4200" s="43"/>
      <c r="AJ4200" s="43"/>
      <c r="AL4200" s="43"/>
      <c r="AM4200" s="43"/>
      <c r="AN4200" s="43"/>
      <c r="AO4200" s="43"/>
      <c r="AP4200" s="43"/>
      <c r="AQ4200" s="43"/>
      <c r="AR4200" s="43"/>
      <c r="AS4200" s="43"/>
      <c r="AT4200" s="43"/>
      <c r="AU4200" s="43"/>
      <c r="AV4200" s="43"/>
    </row>
    <row r="4201" spans="1:48">
      <c r="A4201" s="81"/>
      <c r="B4201" s="412" t="s">
        <v>566</v>
      </c>
      <c r="C4201" s="412" t="s">
        <v>1251</v>
      </c>
      <c r="D4201" s="1590"/>
      <c r="E4201" s="2245" t="s">
        <v>1891</v>
      </c>
      <c r="F4201" s="763">
        <v>5240</v>
      </c>
      <c r="G4201" s="2774" t="s">
        <v>617</v>
      </c>
      <c r="H4201" s="2774"/>
      <c r="I4201" s="3531"/>
      <c r="J4201" s="2774"/>
      <c r="K4201" s="1724"/>
      <c r="L4201" s="1657"/>
      <c r="M4201" s="2779">
        <v>2145400.31</v>
      </c>
      <c r="N4201" s="2847"/>
      <c r="O4201" s="86"/>
      <c r="P4201" s="1817" t="e">
        <f>INDEX(#REF!,MATCH(F4201,#REF!,0),2)</f>
        <v>#REF!</v>
      </c>
      <c r="Q4201" s="43"/>
      <c r="R4201" s="43"/>
      <c r="S4201" s="43"/>
      <c r="T4201" s="43"/>
      <c r="U4201" s="43"/>
      <c r="V4201" s="43"/>
      <c r="W4201" s="43"/>
      <c r="X4201" s="43"/>
      <c r="Y4201" s="43"/>
      <c r="Z4201" s="43"/>
      <c r="AA4201" s="43"/>
      <c r="AB4201" s="43"/>
      <c r="AC4201" s="43"/>
      <c r="AD4201" s="43"/>
      <c r="AE4201" s="43"/>
      <c r="AF4201" s="43"/>
      <c r="AG4201" s="43"/>
      <c r="AH4201" s="43"/>
      <c r="AI4201" s="43"/>
      <c r="AJ4201" s="43"/>
      <c r="AL4201" s="43"/>
      <c r="AM4201" s="43"/>
      <c r="AN4201" s="43"/>
      <c r="AO4201" s="43"/>
      <c r="AP4201" s="43"/>
      <c r="AQ4201" s="43"/>
      <c r="AR4201" s="43"/>
      <c r="AS4201" s="43"/>
      <c r="AT4201" s="43"/>
      <c r="AU4201" s="43"/>
      <c r="AV4201" s="43"/>
    </row>
    <row r="4202" spans="1:48">
      <c r="A4202" s="81"/>
      <c r="B4202" s="412" t="s">
        <v>566</v>
      </c>
      <c r="C4202" s="412" t="s">
        <v>1251</v>
      </c>
      <c r="D4202" s="1590"/>
      <c r="E4202" s="2245" t="s">
        <v>1891</v>
      </c>
      <c r="F4202" s="763">
        <v>5240</v>
      </c>
      <c r="G4202" s="2774" t="s">
        <v>2907</v>
      </c>
      <c r="H4202" s="2774"/>
      <c r="I4202" s="3531"/>
      <c r="J4202" s="2774"/>
      <c r="K4202" s="1724"/>
      <c r="L4202" s="1657"/>
      <c r="M4202" s="2779">
        <v>22618.55</v>
      </c>
      <c r="N4202" s="2847"/>
      <c r="O4202" s="86"/>
      <c r="P4202" s="1817" t="e">
        <f>INDEX(#REF!,MATCH(F4202,#REF!,0),2)</f>
        <v>#REF!</v>
      </c>
    </row>
    <row r="4203" spans="1:48" ht="20.25" customHeight="1">
      <c r="A4203" s="81"/>
      <c r="B4203" s="412" t="s">
        <v>566</v>
      </c>
      <c r="C4203" s="412" t="s">
        <v>1251</v>
      </c>
      <c r="D4203" s="1590"/>
      <c r="E4203" s="2245" t="s">
        <v>1891</v>
      </c>
      <c r="F4203" s="763">
        <v>5240</v>
      </c>
      <c r="G4203" s="2774" t="s">
        <v>1646</v>
      </c>
      <c r="H4203" s="2774"/>
      <c r="I4203" s="3531"/>
      <c r="J4203" s="2774"/>
      <c r="K4203" s="1724"/>
      <c r="L4203" s="1657"/>
      <c r="M4203" s="2779">
        <v>54491.8</v>
      </c>
      <c r="N4203" s="2847"/>
      <c r="O4203" s="86"/>
      <c r="P4203" s="1817" t="e">
        <f>INDEX(#REF!,MATCH(F4203,#REF!,0),2)</f>
        <v>#REF!</v>
      </c>
      <c r="Q4203" s="43"/>
      <c r="R4203" s="43"/>
      <c r="S4203" s="43"/>
      <c r="T4203" s="43"/>
      <c r="U4203" s="43"/>
      <c r="V4203" s="43"/>
      <c r="W4203" s="43"/>
      <c r="X4203" s="43"/>
      <c r="Y4203" s="43"/>
      <c r="Z4203" s="43"/>
      <c r="AA4203" s="43"/>
      <c r="AB4203" s="43"/>
      <c r="AC4203" s="43"/>
      <c r="AD4203" s="43"/>
      <c r="AE4203" s="43"/>
      <c r="AF4203" s="43"/>
      <c r="AG4203" s="43"/>
      <c r="AH4203" s="43"/>
      <c r="AI4203" s="43"/>
      <c r="AJ4203" s="43"/>
      <c r="AL4203" s="43"/>
      <c r="AM4203" s="43"/>
      <c r="AN4203" s="43"/>
      <c r="AO4203" s="43"/>
      <c r="AP4203" s="43"/>
      <c r="AQ4203" s="43"/>
      <c r="AR4203" s="43"/>
      <c r="AS4203" s="43"/>
      <c r="AT4203" s="43"/>
      <c r="AU4203" s="43"/>
      <c r="AV4203" s="43"/>
    </row>
    <row r="4204" spans="1:48" ht="15" customHeight="1">
      <c r="A4204" s="81"/>
      <c r="B4204" s="412" t="s">
        <v>566</v>
      </c>
      <c r="C4204" s="412" t="s">
        <v>1251</v>
      </c>
      <c r="D4204" s="1590"/>
      <c r="E4204" s="2245" t="s">
        <v>1891</v>
      </c>
      <c r="F4204" s="763">
        <v>5240</v>
      </c>
      <c r="G4204" s="772" t="s">
        <v>2903</v>
      </c>
      <c r="H4204" s="772"/>
      <c r="I4204" s="3530">
        <v>32156.11</v>
      </c>
      <c r="J4204" s="772"/>
      <c r="K4204" s="1724"/>
      <c r="L4204" s="973"/>
      <c r="M4204" s="752">
        <v>197489.34</v>
      </c>
      <c r="N4204" s="2847"/>
      <c r="O4204" s="86"/>
      <c r="P4204" s="1817" t="e">
        <f>INDEX(#REF!,MATCH(F4204,#REF!,0),2)</f>
        <v>#REF!</v>
      </c>
      <c r="Q4204" s="43"/>
      <c r="R4204" s="43"/>
      <c r="S4204" s="43"/>
      <c r="T4204" s="43"/>
      <c r="U4204" s="43"/>
      <c r="V4204" s="43"/>
      <c r="W4204" s="43"/>
      <c r="X4204" s="43"/>
      <c r="Y4204" s="43"/>
      <c r="Z4204" s="43"/>
      <c r="AA4204" s="43"/>
      <c r="AB4204" s="43"/>
      <c r="AC4204" s="43"/>
      <c r="AD4204" s="43"/>
      <c r="AE4204" s="43"/>
      <c r="AF4204" s="43"/>
      <c r="AG4204" s="43"/>
      <c r="AH4204" s="43"/>
      <c r="AI4204" s="43"/>
      <c r="AJ4204" s="43"/>
      <c r="AL4204" s="43"/>
      <c r="AM4204" s="43"/>
      <c r="AN4204" s="43"/>
      <c r="AO4204" s="43"/>
      <c r="AP4204" s="43"/>
      <c r="AQ4204" s="43"/>
      <c r="AR4204" s="43"/>
      <c r="AS4204" s="43"/>
      <c r="AT4204" s="43"/>
      <c r="AU4204" s="43"/>
      <c r="AV4204" s="43"/>
    </row>
    <row r="4205" spans="1:48" ht="15" customHeight="1">
      <c r="A4205" s="81"/>
      <c r="B4205" s="506" t="s">
        <v>566</v>
      </c>
      <c r="C4205" s="506" t="s">
        <v>1251</v>
      </c>
      <c r="D4205" s="1589" t="s">
        <v>1773</v>
      </c>
      <c r="E4205" s="2232" t="s">
        <v>1892</v>
      </c>
      <c r="F4205" s="540">
        <v>5240</v>
      </c>
      <c r="G4205" s="411" t="s">
        <v>1259</v>
      </c>
      <c r="H4205" s="541">
        <v>391244.98</v>
      </c>
      <c r="I4205" s="579"/>
      <c r="J4205" s="542"/>
      <c r="K4205" s="458"/>
      <c r="L4205" s="541">
        <v>0</v>
      </c>
      <c r="M4205" s="619"/>
      <c r="N4205" s="2847" t="s">
        <v>4831</v>
      </c>
      <c r="O4205" s="86"/>
      <c r="P4205" s="1817" t="e">
        <f>INDEX(#REF!,MATCH(F4205,#REF!,0),2)</f>
        <v>#REF!</v>
      </c>
      <c r="Q4205" s="43"/>
      <c r="R4205" s="43"/>
      <c r="S4205" s="43"/>
      <c r="T4205" s="43"/>
      <c r="U4205" s="43"/>
      <c r="V4205" s="43"/>
      <c r="W4205" s="43"/>
      <c r="X4205" s="43"/>
      <c r="Y4205" s="43"/>
      <c r="Z4205" s="43"/>
      <c r="AA4205" s="43"/>
      <c r="AB4205" s="43"/>
      <c r="AC4205" s="43"/>
      <c r="AD4205" s="43"/>
      <c r="AE4205" s="43"/>
      <c r="AF4205" s="43"/>
      <c r="AG4205" s="43"/>
      <c r="AH4205" s="43"/>
      <c r="AI4205" s="43"/>
      <c r="AJ4205" s="43"/>
      <c r="AL4205" s="43"/>
      <c r="AM4205" s="43"/>
      <c r="AN4205" s="43"/>
      <c r="AO4205" s="43"/>
      <c r="AP4205" s="43"/>
      <c r="AQ4205" s="43"/>
      <c r="AR4205" s="43"/>
      <c r="AS4205" s="43"/>
      <c r="AT4205" s="43"/>
      <c r="AU4205" s="43"/>
      <c r="AV4205" s="43"/>
    </row>
    <row r="4206" spans="1:48" ht="81.599999999999994" customHeight="1">
      <c r="A4206" s="13"/>
      <c r="B4206" s="1882" t="s">
        <v>566</v>
      </c>
      <c r="C4206" s="1882" t="s">
        <v>1251</v>
      </c>
      <c r="D4206" s="1935" t="s">
        <v>1773</v>
      </c>
      <c r="E4206" s="2229" t="s">
        <v>1892</v>
      </c>
      <c r="F4206" s="1936">
        <v>5240</v>
      </c>
      <c r="G4206" s="1884" t="s">
        <v>2906</v>
      </c>
      <c r="H4206" s="1650"/>
      <c r="I4206" s="1892">
        <v>10390.27</v>
      </c>
      <c r="J4206" s="1651"/>
      <c r="K4206" s="1652"/>
      <c r="L4206" s="1657"/>
      <c r="M4206" s="1968"/>
      <c r="N4206" s="2847"/>
      <c r="O4206" s="86"/>
      <c r="P4206" s="1817" t="e">
        <f>INDEX(#REF!,MATCH(F4206,#REF!,0),2)</f>
        <v>#REF!</v>
      </c>
    </row>
    <row r="4207" spans="1:48" ht="20.25" customHeight="1">
      <c r="A4207" s="13"/>
      <c r="B4207" s="1882" t="s">
        <v>566</v>
      </c>
      <c r="C4207" s="1882" t="s">
        <v>1251</v>
      </c>
      <c r="D4207" s="1935" t="s">
        <v>1773</v>
      </c>
      <c r="E4207" s="2229" t="s">
        <v>1892</v>
      </c>
      <c r="F4207" s="1936">
        <v>5240</v>
      </c>
      <c r="G4207" s="1987" t="s">
        <v>2907</v>
      </c>
      <c r="H4207" s="1650"/>
      <c r="I4207" s="1892">
        <v>5382.08</v>
      </c>
      <c r="J4207" s="1651"/>
      <c r="K4207" s="1652"/>
      <c r="L4207" s="1657"/>
      <c r="M4207" s="1968"/>
      <c r="N4207" s="2847"/>
      <c r="O4207" s="86"/>
      <c r="P4207" s="1817" t="e">
        <f>INDEX(#REF!,MATCH(F4207,#REF!,0),2)</f>
        <v>#REF!</v>
      </c>
      <c r="Q4207" s="43"/>
      <c r="R4207" s="43"/>
      <c r="S4207" s="43"/>
      <c r="T4207" s="43"/>
      <c r="U4207" s="43"/>
      <c r="V4207" s="43"/>
      <c r="W4207" s="43"/>
      <c r="X4207" s="43"/>
      <c r="Y4207" s="43"/>
      <c r="Z4207" s="43"/>
      <c r="AA4207" s="43"/>
      <c r="AB4207" s="43"/>
      <c r="AC4207" s="43"/>
      <c r="AD4207" s="43"/>
      <c r="AE4207" s="43"/>
      <c r="AF4207" s="43"/>
      <c r="AG4207" s="43"/>
      <c r="AH4207" s="43"/>
      <c r="AI4207" s="43"/>
      <c r="AJ4207" s="43"/>
      <c r="AL4207" s="43"/>
      <c r="AM4207" s="43"/>
      <c r="AN4207" s="43"/>
      <c r="AO4207" s="43"/>
      <c r="AP4207" s="43"/>
      <c r="AQ4207" s="43"/>
      <c r="AR4207" s="43"/>
      <c r="AS4207" s="43"/>
      <c r="AT4207" s="43"/>
      <c r="AU4207" s="43"/>
      <c r="AV4207" s="43"/>
    </row>
    <row r="4208" spans="1:48">
      <c r="A4208" s="13"/>
      <c r="B4208" s="1882" t="s">
        <v>566</v>
      </c>
      <c r="C4208" s="1882" t="s">
        <v>1251</v>
      </c>
      <c r="D4208" s="1935" t="s">
        <v>1773</v>
      </c>
      <c r="E4208" s="2229" t="s">
        <v>1892</v>
      </c>
      <c r="F4208" s="1936">
        <v>5240</v>
      </c>
      <c r="G4208" s="1884" t="s">
        <v>2905</v>
      </c>
      <c r="H4208" s="1650"/>
      <c r="I4208" s="1892">
        <v>371472.63</v>
      </c>
      <c r="J4208" s="1651"/>
      <c r="K4208" s="1652"/>
      <c r="L4208" s="1657"/>
      <c r="M4208" s="1968"/>
      <c r="N4208" s="2847"/>
      <c r="O4208" s="86"/>
      <c r="P4208" s="1817" t="e">
        <f>INDEX(#REF!,MATCH(F4208,#REF!,0),2)</f>
        <v>#REF!</v>
      </c>
    </row>
    <row r="4209" spans="1:48" ht="20.25" customHeight="1">
      <c r="A4209" s="13"/>
      <c r="B4209" s="1882" t="s">
        <v>566</v>
      </c>
      <c r="C4209" s="1882" t="s">
        <v>1251</v>
      </c>
      <c r="D4209" s="1935" t="s">
        <v>1773</v>
      </c>
      <c r="E4209" s="2229" t="s">
        <v>1892</v>
      </c>
      <c r="F4209" s="1936">
        <v>5240</v>
      </c>
      <c r="G4209" s="1884" t="s">
        <v>1646</v>
      </c>
      <c r="H4209" s="1650"/>
      <c r="I4209" s="1892">
        <v>4000</v>
      </c>
      <c r="J4209" s="1651"/>
      <c r="K4209" s="1652"/>
      <c r="L4209" s="1657"/>
      <c r="M4209" s="1968"/>
      <c r="N4209" s="2847"/>
      <c r="O4209" s="86"/>
      <c r="P4209" s="1817" t="e">
        <f>INDEX(#REF!,MATCH(F4209,#REF!,0),2)</f>
        <v>#REF!</v>
      </c>
      <c r="Q4209" s="43"/>
      <c r="R4209" s="43"/>
      <c r="S4209" s="43"/>
      <c r="T4209" s="43"/>
      <c r="U4209" s="43"/>
      <c r="V4209" s="43"/>
      <c r="W4209" s="43"/>
      <c r="X4209" s="43"/>
      <c r="Y4209" s="43"/>
      <c r="Z4209" s="43"/>
      <c r="AA4209" s="43"/>
      <c r="AB4209" s="43"/>
      <c r="AC4209" s="43"/>
      <c r="AD4209" s="43"/>
      <c r="AE4209" s="43"/>
      <c r="AF4209" s="43"/>
      <c r="AG4209" s="43"/>
      <c r="AH4209" s="43"/>
      <c r="AI4209" s="43"/>
      <c r="AJ4209" s="43"/>
      <c r="AL4209" s="43"/>
      <c r="AM4209" s="43"/>
      <c r="AN4209" s="43"/>
      <c r="AO4209" s="43"/>
      <c r="AP4209" s="43"/>
      <c r="AQ4209" s="43"/>
      <c r="AR4209" s="43"/>
      <c r="AS4209" s="43"/>
      <c r="AT4209" s="43"/>
      <c r="AU4209" s="43"/>
      <c r="AV4209" s="43"/>
    </row>
    <row r="4210" spans="1:48" ht="20.25" customHeight="1">
      <c r="A4210" s="81"/>
      <c r="B4210" s="506" t="s">
        <v>566</v>
      </c>
      <c r="C4210" s="506" t="s">
        <v>1251</v>
      </c>
      <c r="D4210" s="1632" t="s">
        <v>1838</v>
      </c>
      <c r="E4210" s="2232" t="s">
        <v>1978</v>
      </c>
      <c r="F4210" s="540">
        <v>5240</v>
      </c>
      <c r="G4210" s="411" t="s">
        <v>328</v>
      </c>
      <c r="H4210" s="541">
        <v>40898</v>
      </c>
      <c r="I4210" s="579"/>
      <c r="J4210" s="542"/>
      <c r="K4210" s="458"/>
      <c r="L4210" s="541">
        <v>0</v>
      </c>
      <c r="M4210" s="579"/>
      <c r="N4210" s="2847"/>
      <c r="O4210" s="86"/>
      <c r="P4210" s="1817" t="e">
        <f>INDEX(#REF!,MATCH(F4210,#REF!,0),2)</f>
        <v>#REF!</v>
      </c>
      <c r="Q4210" s="43"/>
      <c r="R4210" s="43"/>
      <c r="S4210" s="43"/>
      <c r="T4210" s="43"/>
      <c r="U4210" s="43"/>
      <c r="V4210" s="43"/>
      <c r="W4210" s="43"/>
      <c r="X4210" s="43"/>
      <c r="Y4210" s="43"/>
      <c r="Z4210" s="43"/>
      <c r="AA4210" s="43"/>
      <c r="AB4210" s="43"/>
      <c r="AC4210" s="43"/>
      <c r="AD4210" s="43"/>
      <c r="AE4210" s="43"/>
      <c r="AF4210" s="43"/>
      <c r="AG4210" s="43"/>
      <c r="AH4210" s="43"/>
      <c r="AI4210" s="43"/>
      <c r="AJ4210" s="43"/>
      <c r="AL4210" s="43"/>
      <c r="AM4210" s="43"/>
      <c r="AN4210" s="43"/>
      <c r="AO4210" s="43"/>
      <c r="AP4210" s="43"/>
      <c r="AQ4210" s="43"/>
      <c r="AR4210" s="43"/>
      <c r="AS4210" s="43"/>
      <c r="AT4210" s="43"/>
      <c r="AU4210" s="43"/>
      <c r="AV4210" s="43"/>
    </row>
    <row r="4211" spans="1:48" ht="40.9" customHeight="1">
      <c r="A4211" s="762"/>
      <c r="B4211" s="412" t="s">
        <v>566</v>
      </c>
      <c r="C4211" s="412" t="s">
        <v>1251</v>
      </c>
      <c r="D4211" s="1590" t="s">
        <v>1838</v>
      </c>
      <c r="E4211" s="2245" t="s">
        <v>1978</v>
      </c>
      <c r="F4211" s="763">
        <v>5240</v>
      </c>
      <c r="G4211" s="1884" t="s">
        <v>2942</v>
      </c>
      <c r="H4211" s="764"/>
      <c r="I4211" s="752">
        <v>40898</v>
      </c>
      <c r="J4211" s="765"/>
      <c r="K4211" s="766"/>
      <c r="L4211" s="764"/>
      <c r="M4211" s="752"/>
      <c r="N4211" s="2847"/>
      <c r="O4211" s="86"/>
      <c r="P4211" s="1817" t="e">
        <f>INDEX(#REF!,MATCH(F4211,#REF!,0),2)</f>
        <v>#REF!</v>
      </c>
      <c r="Q4211" s="43"/>
      <c r="R4211" s="43"/>
      <c r="S4211" s="43"/>
      <c r="T4211" s="43"/>
      <c r="U4211" s="43"/>
      <c r="V4211" s="43"/>
      <c r="W4211" s="43"/>
      <c r="X4211" s="43"/>
      <c r="Y4211" s="43"/>
      <c r="Z4211" s="43"/>
      <c r="AA4211" s="43"/>
      <c r="AB4211" s="43"/>
      <c r="AC4211" s="43"/>
      <c r="AD4211" s="43"/>
      <c r="AE4211" s="43"/>
      <c r="AF4211" s="43"/>
      <c r="AG4211" s="43"/>
      <c r="AH4211" s="43"/>
      <c r="AI4211" s="43"/>
      <c r="AJ4211" s="43"/>
      <c r="AL4211" s="43"/>
      <c r="AM4211" s="43"/>
      <c r="AN4211" s="43"/>
      <c r="AO4211" s="43"/>
      <c r="AP4211" s="43"/>
      <c r="AQ4211" s="43"/>
      <c r="AR4211" s="43"/>
      <c r="AS4211" s="43"/>
      <c r="AT4211" s="43"/>
      <c r="AU4211" s="43"/>
      <c r="AV4211" s="43"/>
    </row>
    <row r="4212" spans="1:48">
      <c r="A4212" s="762"/>
      <c r="B4212" s="412" t="s">
        <v>566</v>
      </c>
      <c r="C4212" s="412" t="s">
        <v>1251</v>
      </c>
      <c r="D4212" s="1590" t="s">
        <v>1838</v>
      </c>
      <c r="E4212" s="2245" t="s">
        <v>1978</v>
      </c>
      <c r="F4212" s="763">
        <v>5240</v>
      </c>
      <c r="G4212" s="772" t="s">
        <v>517</v>
      </c>
      <c r="H4212" s="764"/>
      <c r="I4212" s="752"/>
      <c r="J4212" s="765"/>
      <c r="K4212" s="766"/>
      <c r="L4212" s="764"/>
      <c r="M4212" s="752"/>
      <c r="N4212" s="2847"/>
      <c r="O4212" s="86"/>
      <c r="P4212" s="1817" t="e">
        <f>INDEX(#REF!,MATCH(F4212,#REF!,0),2)</f>
        <v>#REF!</v>
      </c>
    </row>
    <row r="4213" spans="1:48" ht="15" customHeight="1">
      <c r="A4213" s="762"/>
      <c r="B4213" s="412" t="s">
        <v>566</v>
      </c>
      <c r="C4213" s="412" t="s">
        <v>1251</v>
      </c>
      <c r="D4213" s="1590" t="s">
        <v>1838</v>
      </c>
      <c r="E4213" s="2245" t="s">
        <v>1978</v>
      </c>
      <c r="F4213" s="763">
        <v>5240</v>
      </c>
      <c r="G4213" s="772" t="s">
        <v>1879</v>
      </c>
      <c r="H4213" s="764"/>
      <c r="I4213" s="752"/>
      <c r="J4213" s="765"/>
      <c r="K4213" s="766"/>
      <c r="L4213" s="764"/>
      <c r="M4213" s="752"/>
      <c r="N4213" s="2847"/>
      <c r="O4213" s="86"/>
      <c r="P4213" s="1817" t="e">
        <f>INDEX(#REF!,MATCH(F4213,#REF!,0),2)</f>
        <v>#REF!</v>
      </c>
      <c r="Q4213" s="43"/>
      <c r="R4213" s="43"/>
      <c r="S4213" s="43"/>
      <c r="T4213" s="43"/>
      <c r="U4213" s="43"/>
      <c r="V4213" s="43"/>
      <c r="W4213" s="43"/>
      <c r="X4213" s="43"/>
      <c r="Y4213" s="43"/>
      <c r="Z4213" s="43"/>
      <c r="AA4213" s="43"/>
      <c r="AB4213" s="43"/>
      <c r="AC4213" s="43"/>
      <c r="AD4213" s="43"/>
      <c r="AE4213" s="43"/>
      <c r="AF4213" s="43"/>
      <c r="AG4213" s="43"/>
      <c r="AH4213" s="43"/>
      <c r="AI4213" s="43"/>
      <c r="AJ4213" s="43"/>
      <c r="AL4213" s="43"/>
      <c r="AM4213" s="43"/>
      <c r="AN4213" s="43"/>
      <c r="AO4213" s="43"/>
      <c r="AP4213" s="43"/>
      <c r="AQ4213" s="43"/>
      <c r="AR4213" s="43"/>
      <c r="AS4213" s="43"/>
      <c r="AT4213" s="43"/>
      <c r="AU4213" s="43"/>
      <c r="AV4213" s="43"/>
    </row>
    <row r="4214" spans="1:48" ht="15" customHeight="1">
      <c r="A4214" s="81"/>
      <c r="B4214" s="506" t="s">
        <v>566</v>
      </c>
      <c r="C4214" s="506" t="s">
        <v>1251</v>
      </c>
      <c r="D4214" s="1632" t="s">
        <v>1838</v>
      </c>
      <c r="E4214" s="2232" t="s">
        <v>3010</v>
      </c>
      <c r="F4214" s="540">
        <v>2350</v>
      </c>
      <c r="G4214" s="411" t="s">
        <v>1984</v>
      </c>
      <c r="H4214" s="541">
        <v>73</v>
      </c>
      <c r="I4214" s="579"/>
      <c r="J4214" s="542"/>
      <c r="K4214" s="458"/>
      <c r="L4214" s="541">
        <v>0</v>
      </c>
      <c r="M4214" s="619"/>
      <c r="N4214" s="2847" t="s">
        <v>4831</v>
      </c>
      <c r="O4214" s="86"/>
      <c r="P4214" s="1817" t="e">
        <f>INDEX(#REF!,MATCH(F4214,#REF!,0),2)</f>
        <v>#REF!</v>
      </c>
      <c r="Q4214" s="43"/>
      <c r="R4214" s="43"/>
      <c r="S4214" s="43"/>
      <c r="T4214" s="43"/>
      <c r="U4214" s="43"/>
      <c r="V4214" s="43"/>
      <c r="W4214" s="43"/>
      <c r="X4214" s="43"/>
      <c r="Y4214" s="43"/>
      <c r="Z4214" s="43"/>
      <c r="AA4214" s="43"/>
      <c r="AB4214" s="43"/>
      <c r="AC4214" s="43"/>
      <c r="AD4214" s="43"/>
      <c r="AE4214" s="43"/>
      <c r="AF4214" s="43"/>
      <c r="AG4214" s="43"/>
      <c r="AH4214" s="43"/>
      <c r="AI4214" s="43"/>
      <c r="AJ4214" s="43"/>
      <c r="AL4214" s="43"/>
      <c r="AM4214" s="43"/>
      <c r="AN4214" s="43"/>
      <c r="AO4214" s="43"/>
      <c r="AP4214" s="43"/>
      <c r="AQ4214" s="43"/>
      <c r="AR4214" s="43"/>
      <c r="AS4214" s="43"/>
      <c r="AT4214" s="43"/>
      <c r="AU4214" s="43"/>
      <c r="AV4214" s="43"/>
    </row>
    <row r="4215" spans="1:48" ht="23.45" customHeight="1">
      <c r="A4215" s="762"/>
      <c r="B4215" s="412" t="s">
        <v>566</v>
      </c>
      <c r="C4215" s="412" t="s">
        <v>1251</v>
      </c>
      <c r="D4215" s="1590" t="s">
        <v>1838</v>
      </c>
      <c r="E4215" s="2245" t="s">
        <v>3010</v>
      </c>
      <c r="F4215" s="763">
        <v>2350</v>
      </c>
      <c r="G4215" s="1884" t="s">
        <v>3276</v>
      </c>
      <c r="H4215" s="764"/>
      <c r="I4215" s="752">
        <v>73</v>
      </c>
      <c r="J4215" s="765"/>
      <c r="K4215" s="766"/>
      <c r="L4215" s="764"/>
      <c r="M4215" s="769"/>
      <c r="N4215" s="2847"/>
      <c r="O4215" s="86"/>
      <c r="P4215" s="1817" t="e">
        <f>INDEX(#REF!,MATCH(F4215,#REF!,0),2)</f>
        <v>#REF!</v>
      </c>
    </row>
    <row r="4216" spans="1:48" ht="15" customHeight="1">
      <c r="A4216" s="81"/>
      <c r="B4216" s="506" t="s">
        <v>566</v>
      </c>
      <c r="C4216" s="506" t="s">
        <v>1251</v>
      </c>
      <c r="D4216" s="1632" t="s">
        <v>1838</v>
      </c>
      <c r="E4216" s="2232" t="s">
        <v>3010</v>
      </c>
      <c r="F4216" s="540">
        <v>5240</v>
      </c>
      <c r="G4216" s="411" t="s">
        <v>328</v>
      </c>
      <c r="H4216" s="541">
        <v>16298</v>
      </c>
      <c r="I4216" s="579"/>
      <c r="J4216" s="542"/>
      <c r="K4216" s="458"/>
      <c r="L4216" s="541">
        <v>0</v>
      </c>
      <c r="M4216" s="619"/>
      <c r="N4216" s="2847" t="s">
        <v>4831</v>
      </c>
      <c r="O4216" s="86"/>
      <c r="P4216" s="1817" t="e">
        <f>INDEX(#REF!,MATCH(F4216,#REF!,0),2)</f>
        <v>#REF!</v>
      </c>
      <c r="Q4216" s="43"/>
      <c r="R4216" s="43"/>
      <c r="S4216" s="43"/>
      <c r="T4216" s="43"/>
      <c r="U4216" s="43"/>
      <c r="V4216" s="43"/>
      <c r="W4216" s="43"/>
      <c r="X4216" s="43"/>
      <c r="Y4216" s="43"/>
      <c r="Z4216" s="43"/>
      <c r="AA4216" s="43"/>
      <c r="AB4216" s="43"/>
      <c r="AC4216" s="43"/>
      <c r="AD4216" s="43"/>
      <c r="AE4216" s="43"/>
      <c r="AF4216" s="43"/>
      <c r="AG4216" s="43"/>
      <c r="AH4216" s="43"/>
      <c r="AI4216" s="43"/>
      <c r="AJ4216" s="43"/>
      <c r="AL4216" s="43"/>
      <c r="AM4216" s="43"/>
      <c r="AN4216" s="43"/>
      <c r="AO4216" s="43"/>
      <c r="AP4216" s="43"/>
      <c r="AQ4216" s="43"/>
      <c r="AR4216" s="43"/>
      <c r="AS4216" s="43"/>
      <c r="AT4216" s="43"/>
      <c r="AU4216" s="43"/>
      <c r="AV4216" s="43"/>
    </row>
    <row r="4217" spans="1:48">
      <c r="A4217" s="762"/>
      <c r="B4217" s="412" t="s">
        <v>566</v>
      </c>
      <c r="C4217" s="412" t="s">
        <v>1251</v>
      </c>
      <c r="D4217" s="1590" t="s">
        <v>1838</v>
      </c>
      <c r="E4217" s="2245" t="s">
        <v>3010</v>
      </c>
      <c r="F4217" s="763">
        <v>5240</v>
      </c>
      <c r="G4217" s="1884" t="s">
        <v>3011</v>
      </c>
      <c r="H4217" s="764"/>
      <c r="I4217" s="752">
        <v>15000</v>
      </c>
      <c r="J4217" s="765"/>
      <c r="K4217" s="766"/>
      <c r="L4217" s="770"/>
      <c r="M4217" s="769"/>
      <c r="N4217" s="2847"/>
      <c r="O4217" s="86"/>
      <c r="P4217" s="1817" t="e">
        <f>INDEX(#REF!,MATCH(F4217,#REF!,0),2)</f>
        <v>#REF!</v>
      </c>
      <c r="Q4217" s="43"/>
      <c r="R4217" s="43"/>
      <c r="S4217" s="43"/>
      <c r="T4217" s="43"/>
      <c r="U4217" s="43"/>
      <c r="V4217" s="43"/>
      <c r="W4217" s="43"/>
      <c r="X4217" s="43"/>
      <c r="Y4217" s="43"/>
      <c r="Z4217" s="43"/>
      <c r="AA4217" s="43"/>
      <c r="AB4217" s="43"/>
      <c r="AC4217" s="43"/>
      <c r="AD4217" s="43"/>
      <c r="AE4217" s="43"/>
      <c r="AF4217" s="43"/>
      <c r="AG4217" s="43"/>
      <c r="AH4217" s="43"/>
      <c r="AI4217" s="43"/>
      <c r="AJ4217" s="43"/>
      <c r="AL4217" s="43"/>
      <c r="AM4217" s="43"/>
      <c r="AN4217" s="43"/>
      <c r="AO4217" s="43"/>
      <c r="AP4217" s="43"/>
      <c r="AQ4217" s="43"/>
      <c r="AR4217" s="43"/>
      <c r="AS4217" s="43"/>
      <c r="AT4217" s="43"/>
      <c r="AU4217" s="43"/>
      <c r="AV4217" s="43"/>
    </row>
    <row r="4218" spans="1:48" ht="20.45" customHeight="1">
      <c r="A4218" s="1882"/>
      <c r="B4218" s="412" t="s">
        <v>566</v>
      </c>
      <c r="C4218" s="412" t="s">
        <v>1251</v>
      </c>
      <c r="D4218" s="1590" t="s">
        <v>1838</v>
      </c>
      <c r="E4218" s="2245" t="s">
        <v>3010</v>
      </c>
      <c r="F4218" s="763">
        <v>5240</v>
      </c>
      <c r="G4218" s="772" t="s">
        <v>3199</v>
      </c>
      <c r="H4218" s="1650"/>
      <c r="I4218" s="1892"/>
      <c r="J4218" s="1651"/>
      <c r="K4218" s="1652"/>
      <c r="L4218" s="1657"/>
      <c r="M4218" s="1968"/>
      <c r="N4218" s="2847"/>
      <c r="O4218" s="86"/>
      <c r="P4218" s="1817" t="e">
        <f>INDEX(#REF!,MATCH(F4218,#REF!,0),2)</f>
        <v>#REF!</v>
      </c>
    </row>
    <row r="4219" spans="1:48" ht="45">
      <c r="A4219" s="762"/>
      <c r="B4219" s="412" t="s">
        <v>566</v>
      </c>
      <c r="C4219" s="412" t="s">
        <v>1251</v>
      </c>
      <c r="D4219" s="1590" t="s">
        <v>1838</v>
      </c>
      <c r="E4219" s="2245" t="s">
        <v>3010</v>
      </c>
      <c r="F4219" s="763">
        <v>5240</v>
      </c>
      <c r="G4219" s="772" t="s">
        <v>3203</v>
      </c>
      <c r="H4219" s="764"/>
      <c r="I4219" s="752">
        <v>1298</v>
      </c>
      <c r="J4219" s="765"/>
      <c r="K4219" s="766"/>
      <c r="L4219" s="770"/>
      <c r="M4219" s="769"/>
      <c r="N4219" s="2847"/>
      <c r="O4219" s="86"/>
      <c r="P4219" s="1817" t="e">
        <f>INDEX(#REF!,MATCH(F4219,#REF!,0),2)</f>
        <v>#REF!</v>
      </c>
      <c r="Q4219" s="43"/>
      <c r="R4219" s="43"/>
      <c r="S4219" s="43"/>
      <c r="T4219" s="43"/>
      <c r="U4219" s="43"/>
      <c r="V4219" s="43"/>
      <c r="W4219" s="43"/>
      <c r="X4219" s="43"/>
      <c r="Y4219" s="43"/>
      <c r="Z4219" s="43"/>
      <c r="AA4219" s="43"/>
      <c r="AB4219" s="43"/>
      <c r="AC4219" s="43"/>
      <c r="AD4219" s="43"/>
      <c r="AE4219" s="43"/>
      <c r="AF4219" s="43"/>
      <c r="AG4219" s="43"/>
      <c r="AH4219" s="43"/>
      <c r="AI4219" s="43"/>
      <c r="AJ4219" s="43"/>
      <c r="AL4219" s="43"/>
      <c r="AM4219" s="43"/>
      <c r="AN4219" s="43"/>
      <c r="AO4219" s="43"/>
      <c r="AP4219" s="43"/>
      <c r="AQ4219" s="43"/>
      <c r="AR4219" s="43"/>
      <c r="AS4219" s="43"/>
      <c r="AT4219" s="43"/>
      <c r="AU4219" s="43"/>
      <c r="AV4219" s="43"/>
    </row>
    <row r="4220" spans="1:48" ht="13.15" customHeight="1">
      <c r="A4220" s="81"/>
      <c r="B4220" s="506" t="s">
        <v>566</v>
      </c>
      <c r="C4220" s="506" t="s">
        <v>1251</v>
      </c>
      <c r="D4220" s="1589" t="s">
        <v>1769</v>
      </c>
      <c r="E4220" s="2258" t="s">
        <v>1898</v>
      </c>
      <c r="F4220" s="540">
        <v>5240</v>
      </c>
      <c r="G4220" s="411"/>
      <c r="H4220" s="541">
        <v>0</v>
      </c>
      <c r="I4220" s="579"/>
      <c r="J4220" s="542"/>
      <c r="K4220" s="458"/>
      <c r="L4220" s="620">
        <v>0</v>
      </c>
      <c r="M4220" s="619"/>
      <c r="N4220" s="2847"/>
      <c r="O4220" s="86"/>
      <c r="P4220" s="1817" t="e">
        <f>INDEX(#REF!,MATCH(F4220,#REF!,0),2)</f>
        <v>#REF!</v>
      </c>
    </row>
    <row r="4221" spans="1:48" ht="12.6" customHeight="1">
      <c r="A4221" s="762"/>
      <c r="B4221" s="412" t="s">
        <v>566</v>
      </c>
      <c r="C4221" s="412" t="s">
        <v>1251</v>
      </c>
      <c r="D4221" s="1590" t="s">
        <v>1769</v>
      </c>
      <c r="E4221" s="2245" t="s">
        <v>1898</v>
      </c>
      <c r="F4221" s="763">
        <v>5240</v>
      </c>
      <c r="G4221" s="772" t="s">
        <v>617</v>
      </c>
      <c r="H4221" s="764"/>
      <c r="I4221" s="752"/>
      <c r="J4221" s="765"/>
      <c r="K4221" s="766"/>
      <c r="L4221" s="770"/>
      <c r="M4221" s="1989"/>
      <c r="N4221" s="2847" t="s">
        <v>2985</v>
      </c>
      <c r="O4221" s="86"/>
      <c r="P4221" s="1817"/>
    </row>
    <row r="4222" spans="1:48" ht="12.6" customHeight="1">
      <c r="A4222" s="762"/>
      <c r="B4222" s="412" t="s">
        <v>566</v>
      </c>
      <c r="C4222" s="412" t="s">
        <v>1251</v>
      </c>
      <c r="D4222" s="1590" t="s">
        <v>1769</v>
      </c>
      <c r="E4222" s="2245" t="s">
        <v>1898</v>
      </c>
      <c r="F4222" s="763">
        <v>5240</v>
      </c>
      <c r="G4222" s="772" t="s">
        <v>1645</v>
      </c>
      <c r="H4222" s="968"/>
      <c r="I4222" s="752"/>
      <c r="J4222" s="966"/>
      <c r="K4222" s="967"/>
      <c r="L4222" s="973"/>
      <c r="M4222" s="769"/>
      <c r="N4222" s="2847"/>
      <c r="O4222" s="86"/>
      <c r="P4222" s="1817" t="e">
        <f>INDEX(#REF!,MATCH(F4222,#REF!,0),2)</f>
        <v>#REF!</v>
      </c>
    </row>
    <row r="4223" spans="1:48" ht="12.6" customHeight="1">
      <c r="A4223" s="81"/>
      <c r="B4223" s="506" t="s">
        <v>566</v>
      </c>
      <c r="C4223" s="506" t="s">
        <v>1251</v>
      </c>
      <c r="D4223" s="1632">
        <v>891</v>
      </c>
      <c r="E4223" s="2232" t="s">
        <v>1789</v>
      </c>
      <c r="F4223" s="540">
        <v>7210</v>
      </c>
      <c r="G4223" s="564" t="s">
        <v>1628</v>
      </c>
      <c r="H4223" s="541">
        <v>212422.11000000002</v>
      </c>
      <c r="I4223" s="579"/>
      <c r="J4223" s="542"/>
      <c r="K4223" s="458"/>
      <c r="L4223" s="541">
        <v>0</v>
      </c>
      <c r="M4223" s="619"/>
      <c r="N4223" s="2847"/>
      <c r="O4223" s="86"/>
      <c r="P4223" s="1817" t="e">
        <f>INDEX(#REF!,MATCH(F4223,#REF!,0),2)</f>
        <v>#REF!</v>
      </c>
    </row>
    <row r="4224" spans="1:48" ht="12.6" customHeight="1">
      <c r="A4224" s="13"/>
      <c r="B4224" s="1882" t="s">
        <v>566</v>
      </c>
      <c r="C4224" s="1882" t="s">
        <v>1251</v>
      </c>
      <c r="D4224" s="1935">
        <v>891</v>
      </c>
      <c r="E4224" s="2229" t="s">
        <v>1789</v>
      </c>
      <c r="F4224" s="1936">
        <v>7210</v>
      </c>
      <c r="G4224" s="1884" t="s">
        <v>2913</v>
      </c>
      <c r="H4224" s="1650"/>
      <c r="I4224" s="1892">
        <v>202409.64</v>
      </c>
      <c r="J4224" s="1651"/>
      <c r="K4224" s="1652"/>
      <c r="L4224" s="1657"/>
      <c r="M4224" s="1968"/>
      <c r="N4224" s="2847"/>
      <c r="O4224" s="86"/>
      <c r="P4224" s="1817" t="e">
        <f>INDEX(#REF!,MATCH(F4224,#REF!,0),2)</f>
        <v>#REF!</v>
      </c>
    </row>
    <row r="4225" spans="1:16" ht="12.6" customHeight="1">
      <c r="A4225" s="13"/>
      <c r="B4225" s="1882" t="s">
        <v>566</v>
      </c>
      <c r="C4225" s="1882" t="s">
        <v>1251</v>
      </c>
      <c r="D4225" s="1935">
        <v>891</v>
      </c>
      <c r="E4225" s="2229" t="s">
        <v>1789</v>
      </c>
      <c r="F4225" s="1936">
        <v>7210</v>
      </c>
      <c r="G4225" s="1884" t="s">
        <v>2914</v>
      </c>
      <c r="H4225" s="1650"/>
      <c r="I4225" s="1650">
        <v>10012.469999999999</v>
      </c>
      <c r="J4225" s="1651"/>
      <c r="K4225" s="1652"/>
      <c r="L4225" s="1657"/>
      <c r="M4225" s="1968"/>
      <c r="N4225" s="2847" t="s">
        <v>4840</v>
      </c>
      <c r="O4225" s="86"/>
      <c r="P4225" s="1817" t="e">
        <f>INDEX(#REF!,MATCH(F4225,#REF!,0),2)</f>
        <v>#REF!</v>
      </c>
    </row>
    <row r="4226" spans="1:16" ht="12.6" customHeight="1">
      <c r="A4226" s="81"/>
      <c r="B4226" s="506" t="s">
        <v>566</v>
      </c>
      <c r="C4226" s="506" t="s">
        <v>1251</v>
      </c>
      <c r="D4226" s="1632">
        <v>892</v>
      </c>
      <c r="E4226" s="2232" t="s">
        <v>1790</v>
      </c>
      <c r="F4226" s="540">
        <v>2239</v>
      </c>
      <c r="G4226" s="411" t="s">
        <v>1260</v>
      </c>
      <c r="H4226" s="541">
        <v>15704.03</v>
      </c>
      <c r="I4226" s="579"/>
      <c r="J4226" s="542"/>
      <c r="K4226" s="458"/>
      <c r="L4226" s="620"/>
      <c r="M4226" s="619"/>
      <c r="N4226" s="3532" t="s">
        <v>4831</v>
      </c>
      <c r="O4226" s="86"/>
      <c r="P4226" s="1817" t="e">
        <f>INDEX(#REF!,MATCH(F4226,#REF!,0),2)</f>
        <v>#REF!</v>
      </c>
    </row>
    <row r="4227" spans="1:16" ht="12.6" customHeight="1">
      <c r="A4227" s="13"/>
      <c r="B4227" s="1882" t="s">
        <v>566</v>
      </c>
      <c r="C4227" s="1882" t="s">
        <v>1251</v>
      </c>
      <c r="D4227" s="1935">
        <v>891</v>
      </c>
      <c r="E4227" s="2229" t="s">
        <v>1790</v>
      </c>
      <c r="F4227" s="1936">
        <v>2239</v>
      </c>
      <c r="G4227" s="1884"/>
      <c r="H4227" s="1650"/>
      <c r="I4227" s="1650"/>
      <c r="J4227" s="1651"/>
      <c r="K4227" s="1652"/>
      <c r="L4227" s="1657"/>
      <c r="M4227" s="1968"/>
      <c r="N4227" s="2847"/>
      <c r="O4227" s="86"/>
      <c r="P4227" s="1817" t="e">
        <f>INDEX(#REF!,MATCH(F4227,#REF!,0),2)</f>
        <v>#REF!</v>
      </c>
    </row>
    <row r="4228" spans="1:16" ht="24" customHeight="1">
      <c r="A4228" s="755"/>
      <c r="B4228" s="755" t="s">
        <v>663</v>
      </c>
      <c r="C4228" s="755" t="s">
        <v>652</v>
      </c>
      <c r="D4228" s="1600">
        <v>901</v>
      </c>
      <c r="E4228" s="2248" t="s">
        <v>1934</v>
      </c>
      <c r="F4228" s="980">
        <v>1119</v>
      </c>
      <c r="G4228" s="757" t="s">
        <v>396</v>
      </c>
      <c r="H4228" s="2720">
        <v>540191.76000000024</v>
      </c>
      <c r="I4228" s="2720"/>
      <c r="J4228" s="2721">
        <v>408652</v>
      </c>
      <c r="K4228" s="2722"/>
      <c r="L4228" s="2720">
        <v>693333.12000000034</v>
      </c>
      <c r="M4228" s="2720"/>
      <c r="N4228" s="3854">
        <f>L4228/H4228-1</f>
        <v>0.28349443908585359</v>
      </c>
      <c r="O4228" s="86"/>
      <c r="P4228" s="1817" t="e">
        <f>INDEX(#REF!,MATCH(F4228,#REF!,0),2)</f>
        <v>#REF!</v>
      </c>
    </row>
    <row r="4229" spans="1:16" ht="12.6" customHeight="1">
      <c r="A4229" s="982"/>
      <c r="B4229" s="762" t="s">
        <v>663</v>
      </c>
      <c r="C4229" s="762" t="s">
        <v>652</v>
      </c>
      <c r="D4229" s="1599"/>
      <c r="E4229" s="2245" t="s">
        <v>1934</v>
      </c>
      <c r="F4229" s="763">
        <v>1119</v>
      </c>
      <c r="G4229" s="812" t="s">
        <v>1263</v>
      </c>
      <c r="H4229" s="2725"/>
      <c r="I4229" s="2725">
        <v>540191.76000000024</v>
      </c>
      <c r="J4229" s="2726"/>
      <c r="K4229" s="2727"/>
      <c r="L4229" s="2725"/>
      <c r="M4229" s="2725">
        <v>693333.12000000034</v>
      </c>
      <c r="N4229" s="2847"/>
      <c r="O4229" s="86"/>
      <c r="P4229" s="1817" t="e">
        <f>INDEX(#REF!,MATCH(F4229,#REF!,0),2)</f>
        <v>#REF!</v>
      </c>
    </row>
    <row r="4230" spans="1:16" ht="12.6" customHeight="1">
      <c r="A4230" s="1444"/>
      <c r="B4230" s="762" t="s">
        <v>663</v>
      </c>
      <c r="C4230" s="762" t="s">
        <v>652</v>
      </c>
      <c r="D4230" s="1599"/>
      <c r="E4230" s="2245" t="s">
        <v>1934</v>
      </c>
      <c r="F4230" s="763">
        <v>1119</v>
      </c>
      <c r="G4230" s="1399" t="s">
        <v>1180</v>
      </c>
      <c r="H4230" s="2725"/>
      <c r="I4230" s="2725"/>
      <c r="J4230" s="2726"/>
      <c r="K4230" s="2727"/>
      <c r="L4230" s="2725"/>
      <c r="M4230" s="2725"/>
      <c r="N4230" s="2847"/>
      <c r="O4230" s="86"/>
      <c r="P4230" s="1817" t="e">
        <f>INDEX(#REF!,MATCH(F4230,#REF!,0),2)</f>
        <v>#REF!</v>
      </c>
    </row>
    <row r="4231" spans="1:16" ht="12.6" customHeight="1">
      <c r="A4231" s="755" t="s">
        <v>1264</v>
      </c>
      <c r="B4231" s="755" t="s">
        <v>512</v>
      </c>
      <c r="C4231" s="755" t="s">
        <v>506</v>
      </c>
      <c r="D4231" s="1600">
        <v>901</v>
      </c>
      <c r="E4231" s="2247" t="s">
        <v>1935</v>
      </c>
      <c r="F4231" s="980">
        <v>1119</v>
      </c>
      <c r="G4231" s="757" t="s">
        <v>386</v>
      </c>
      <c r="H4231" s="2719">
        <v>155713.24000000002</v>
      </c>
      <c r="I4231" s="2720"/>
      <c r="J4231" s="2721"/>
      <c r="K4231" s="2722"/>
      <c r="L4231" s="2723">
        <v>191779.19999999995</v>
      </c>
      <c r="M4231" s="2724"/>
      <c r="N4231" s="2847"/>
      <c r="O4231" s="86"/>
      <c r="P4231" s="1817" t="e">
        <f>INDEX(#REF!,MATCH(F4231,#REF!,0),2)</f>
        <v>#REF!</v>
      </c>
    </row>
    <row r="4232" spans="1:16" ht="12.6" customHeight="1">
      <c r="A4232" s="762"/>
      <c r="B4232" s="762" t="s">
        <v>512</v>
      </c>
      <c r="C4232" s="762" t="s">
        <v>506</v>
      </c>
      <c r="D4232" s="1599"/>
      <c r="E4232" s="2245" t="s">
        <v>1935</v>
      </c>
      <c r="F4232" s="983">
        <v>1119</v>
      </c>
      <c r="G4232" s="786"/>
      <c r="H4232" s="2725"/>
      <c r="I4232" s="2725">
        <v>153870.24000000002</v>
      </c>
      <c r="J4232" s="2726"/>
      <c r="K4232" s="2727"/>
      <c r="L4232" s="2728"/>
      <c r="M4232" s="2728">
        <v>191779.19999999995</v>
      </c>
      <c r="N4232" s="2847"/>
      <c r="O4232" s="86"/>
      <c r="P4232" s="1817" t="e">
        <f>INDEX(#REF!,MATCH(F4232,#REF!,0),2)</f>
        <v>#REF!</v>
      </c>
    </row>
    <row r="4233" spans="1:16" ht="18.600000000000001" customHeight="1">
      <c r="A4233" s="762"/>
      <c r="B4233" s="762" t="s">
        <v>512</v>
      </c>
      <c r="C4233" s="762" t="s">
        <v>506</v>
      </c>
      <c r="D4233" s="1634"/>
      <c r="E4233" s="2283" t="s">
        <v>1935</v>
      </c>
      <c r="F4233" s="985">
        <v>1119</v>
      </c>
      <c r="G4233" s="786" t="s">
        <v>3063</v>
      </c>
      <c r="H4233" s="2725"/>
      <c r="I4233" s="2725">
        <v>1843</v>
      </c>
      <c r="J4233" s="2726"/>
      <c r="K4233" s="2727"/>
      <c r="L4233" s="2728"/>
      <c r="M4233" s="2728"/>
      <c r="N4233" s="2847"/>
      <c r="O4233" s="86"/>
      <c r="P4233" s="1817" t="e">
        <f>INDEX(#REF!,MATCH(F4233,#REF!,0),2)</f>
        <v>#REF!</v>
      </c>
    </row>
    <row r="4234" spans="1:16" ht="16.149999999999999" customHeight="1">
      <c r="A4234" s="986"/>
      <c r="B4234" s="755" t="s">
        <v>512</v>
      </c>
      <c r="C4234" s="755" t="s">
        <v>506</v>
      </c>
      <c r="D4234" s="1600">
        <v>901</v>
      </c>
      <c r="E4234" s="2247" t="s">
        <v>1935</v>
      </c>
      <c r="F4234" s="756">
        <v>1146</v>
      </c>
      <c r="G4234" s="599" t="s">
        <v>889</v>
      </c>
      <c r="H4234" s="2719">
        <v>0</v>
      </c>
      <c r="I4234" s="2720"/>
      <c r="J4234" s="2721"/>
      <c r="K4234" s="2727"/>
      <c r="L4234" s="2723">
        <v>0</v>
      </c>
      <c r="M4234" s="2724"/>
      <c r="N4234" s="2847"/>
      <c r="O4234" s="86"/>
      <c r="P4234" s="1817" t="e">
        <f>INDEX(#REF!,MATCH(F4234,#REF!,0),2)</f>
        <v>#REF!</v>
      </c>
    </row>
    <row r="4235" spans="1:16" ht="16.149999999999999" customHeight="1">
      <c r="A4235" s="762"/>
      <c r="B4235" s="762" t="s">
        <v>512</v>
      </c>
      <c r="C4235" s="762" t="s">
        <v>506</v>
      </c>
      <c r="D4235" s="1599"/>
      <c r="E4235" s="2245" t="s">
        <v>1935</v>
      </c>
      <c r="F4235" s="763">
        <v>1146</v>
      </c>
      <c r="G4235" s="772"/>
      <c r="H4235" s="2725"/>
      <c r="I4235" s="2725"/>
      <c r="J4235" s="2729"/>
      <c r="K4235" s="2727"/>
      <c r="L4235" s="2728"/>
      <c r="M4235" s="2728"/>
      <c r="N4235" s="2847"/>
      <c r="O4235" s="86"/>
      <c r="P4235" s="1817" t="e">
        <f>INDEX(#REF!,MATCH(F4235,#REF!,0),2)</f>
        <v>#REF!</v>
      </c>
    </row>
    <row r="4236" spans="1:16" ht="12.6" customHeight="1">
      <c r="A4236" s="986"/>
      <c r="B4236" s="755" t="s">
        <v>663</v>
      </c>
      <c r="C4236" s="755" t="s">
        <v>652</v>
      </c>
      <c r="D4236" s="1600">
        <v>901</v>
      </c>
      <c r="E4236" s="2247" t="s">
        <v>1934</v>
      </c>
      <c r="F4236" s="756">
        <v>1146</v>
      </c>
      <c r="G4236" s="599" t="s">
        <v>889</v>
      </c>
      <c r="H4236" s="2720">
        <v>17000</v>
      </c>
      <c r="I4236" s="2720"/>
      <c r="J4236" s="2721">
        <v>525</v>
      </c>
      <c r="K4236" s="2727"/>
      <c r="L4236" s="2720">
        <v>17000</v>
      </c>
      <c r="M4236" s="2720"/>
      <c r="N4236" s="3854">
        <f>L4236/H4236-1</f>
        <v>0</v>
      </c>
      <c r="O4236" s="86"/>
      <c r="P4236" s="1817" t="e">
        <f>INDEX(#REF!,MATCH(F4236,#REF!,0),2)</f>
        <v>#REF!</v>
      </c>
    </row>
    <row r="4237" spans="1:16" ht="12.6" customHeight="1">
      <c r="A4237" s="762"/>
      <c r="B4237" s="762" t="s">
        <v>663</v>
      </c>
      <c r="C4237" s="762" t="s">
        <v>652</v>
      </c>
      <c r="D4237" s="1599"/>
      <c r="E4237" s="2245" t="s">
        <v>1934</v>
      </c>
      <c r="F4237" s="763">
        <v>1146</v>
      </c>
      <c r="G4237" s="772"/>
      <c r="H4237" s="2725"/>
      <c r="I4237" s="2725">
        <v>17000</v>
      </c>
      <c r="J4237" s="2729"/>
      <c r="K4237" s="2727"/>
      <c r="L4237" s="2725"/>
      <c r="M4237" s="2725">
        <v>17000</v>
      </c>
      <c r="N4237" s="2847"/>
      <c r="O4237" s="86"/>
      <c r="P4237" s="1817" t="e">
        <f>INDEX(#REF!,MATCH(F4237,#REF!,0),2)</f>
        <v>#REF!</v>
      </c>
    </row>
    <row r="4238" spans="1:16" ht="20.25" customHeight="1">
      <c r="A4238" s="986"/>
      <c r="B4238" s="755" t="s">
        <v>512</v>
      </c>
      <c r="C4238" s="755" t="s">
        <v>506</v>
      </c>
      <c r="D4238" s="1600">
        <v>901</v>
      </c>
      <c r="E4238" s="2247" t="s">
        <v>1935</v>
      </c>
      <c r="F4238" s="756">
        <v>1147</v>
      </c>
      <c r="G4238" s="599" t="s">
        <v>1265</v>
      </c>
      <c r="H4238" s="2719">
        <v>0</v>
      </c>
      <c r="I4238" s="2720"/>
      <c r="J4238" s="2721"/>
      <c r="K4238" s="2727"/>
      <c r="L4238" s="2723">
        <v>0</v>
      </c>
      <c r="M4238" s="2724"/>
      <c r="N4238" s="2847"/>
      <c r="O4238" s="86"/>
      <c r="P4238" s="1817" t="e">
        <f>INDEX(#REF!,MATCH(F4238,#REF!,0),2)</f>
        <v>#REF!</v>
      </c>
    </row>
    <row r="4239" spans="1:16" ht="12.6" customHeight="1">
      <c r="A4239" s="762"/>
      <c r="B4239" s="762" t="s">
        <v>512</v>
      </c>
      <c r="C4239" s="762" t="s">
        <v>506</v>
      </c>
      <c r="D4239" s="1599"/>
      <c r="E4239" s="2245" t="s">
        <v>1935</v>
      </c>
      <c r="F4239" s="763">
        <v>1147</v>
      </c>
      <c r="G4239" s="772"/>
      <c r="H4239" s="2725"/>
      <c r="I4239" s="2725"/>
      <c r="J4239" s="2729"/>
      <c r="K4239" s="2727"/>
      <c r="L4239" s="2728"/>
      <c r="M4239" s="2728"/>
      <c r="N4239" s="2847"/>
      <c r="O4239" s="86"/>
      <c r="P4239" s="1817" t="e">
        <f>INDEX(#REF!,MATCH(F4239,#REF!,0),2)</f>
        <v>#REF!</v>
      </c>
    </row>
    <row r="4240" spans="1:16" ht="12.6" customHeight="1">
      <c r="A4240" s="986"/>
      <c r="B4240" s="755" t="s">
        <v>663</v>
      </c>
      <c r="C4240" s="755" t="s">
        <v>652</v>
      </c>
      <c r="D4240" s="1600">
        <v>901</v>
      </c>
      <c r="E4240" s="2247" t="s">
        <v>1934</v>
      </c>
      <c r="F4240" s="756">
        <v>1147</v>
      </c>
      <c r="G4240" s="599" t="s">
        <v>653</v>
      </c>
      <c r="H4240" s="2720">
        <v>75110.210800000001</v>
      </c>
      <c r="I4240" s="2720"/>
      <c r="J4240" s="2721">
        <v>29624</v>
      </c>
      <c r="K4240" s="2727"/>
      <c r="L4240" s="2720">
        <v>86857.895839999997</v>
      </c>
      <c r="M4240" s="2720"/>
      <c r="N4240" s="3854">
        <f>L4240/H4240-1</f>
        <v>0.15640596551221497</v>
      </c>
      <c r="O4240" s="86"/>
      <c r="P4240" s="1817" t="e">
        <f>INDEX(#REF!,MATCH(F4240,#REF!,0),2)</f>
        <v>#REF!</v>
      </c>
    </row>
    <row r="4241" spans="1:16" ht="12.6" customHeight="1">
      <c r="A4241" s="762"/>
      <c r="B4241" s="762" t="s">
        <v>663</v>
      </c>
      <c r="C4241" s="762" t="s">
        <v>652</v>
      </c>
      <c r="D4241" s="1599"/>
      <c r="E4241" s="2245" t="s">
        <v>1934</v>
      </c>
      <c r="F4241" s="763">
        <v>1147</v>
      </c>
      <c r="G4241" s="772" t="s">
        <v>2597</v>
      </c>
      <c r="H4241" s="2725"/>
      <c r="I4241" s="2725">
        <v>40838.5</v>
      </c>
      <c r="J4241" s="2729"/>
      <c r="K4241" s="2727"/>
      <c r="L4241" s="2725"/>
      <c r="M4241" s="2725">
        <v>56759.359999999986</v>
      </c>
      <c r="N4241" s="2847"/>
      <c r="O4241" s="86"/>
      <c r="P4241" s="1817" t="e">
        <f>INDEX(#REF!,MATCH(F4241,#REF!,0),2)</f>
        <v>#REF!</v>
      </c>
    </row>
    <row r="4242" spans="1:16" ht="12.6" customHeight="1">
      <c r="A4242" s="1268"/>
      <c r="B4242" s="762" t="s">
        <v>663</v>
      </c>
      <c r="C4242" s="762" t="s">
        <v>652</v>
      </c>
      <c r="D4242" s="1599"/>
      <c r="E4242" s="2245" t="s">
        <v>1934</v>
      </c>
      <c r="F4242" s="763">
        <v>1147</v>
      </c>
      <c r="G4242" s="1241" t="s">
        <v>2647</v>
      </c>
      <c r="H4242" s="2725"/>
      <c r="I4242" s="2725">
        <v>34271.710800000001</v>
      </c>
      <c r="J4242" s="2729"/>
      <c r="K4242" s="2727"/>
      <c r="L4242" s="2725"/>
      <c r="M4242" s="2725">
        <v>30098.535840000015</v>
      </c>
      <c r="N4242" s="2847"/>
      <c r="O4242" s="86"/>
      <c r="P4242" s="1817" t="e">
        <f>INDEX(#REF!,MATCH(F4242,#REF!,0),2)</f>
        <v>#REF!</v>
      </c>
    </row>
    <row r="4243" spans="1:16" ht="12.6" customHeight="1">
      <c r="A4243" s="1882"/>
      <c r="B4243" s="762" t="s">
        <v>663</v>
      </c>
      <c r="C4243" s="762" t="s">
        <v>652</v>
      </c>
      <c r="D4243" s="1599"/>
      <c r="E4243" s="2245" t="s">
        <v>1934</v>
      </c>
      <c r="F4243" s="763">
        <v>1147</v>
      </c>
      <c r="G4243" s="1887" t="s">
        <v>1180</v>
      </c>
      <c r="H4243" s="2725"/>
      <c r="I4243" s="2725"/>
      <c r="J4243" s="2729"/>
      <c r="K4243" s="2727"/>
      <c r="L4243" s="2725"/>
      <c r="M4243" s="2725"/>
      <c r="N4243" s="2847"/>
      <c r="O4243" s="86"/>
      <c r="P4243" s="1817" t="e">
        <f>INDEX(#REF!,MATCH(F4243,#REF!,0),2)</f>
        <v>#REF!</v>
      </c>
    </row>
    <row r="4244" spans="1:16" ht="12.6" customHeight="1">
      <c r="A4244" s="986" t="s">
        <v>1266</v>
      </c>
      <c r="B4244" s="755" t="s">
        <v>663</v>
      </c>
      <c r="C4244" s="755" t="s">
        <v>652</v>
      </c>
      <c r="D4244" s="1600">
        <v>901</v>
      </c>
      <c r="E4244" s="2247" t="s">
        <v>1934</v>
      </c>
      <c r="F4244" s="980">
        <v>1148</v>
      </c>
      <c r="G4244" s="987" t="s">
        <v>1265</v>
      </c>
      <c r="H4244" s="2720">
        <v>2700</v>
      </c>
      <c r="I4244" s="2720"/>
      <c r="J4244" s="2721">
        <v>1340</v>
      </c>
      <c r="K4244" s="2727"/>
      <c r="L4244" s="2720">
        <v>1800</v>
      </c>
      <c r="M4244" s="2720"/>
      <c r="N4244" s="3854">
        <f>L4244/H4244-1</f>
        <v>-0.33333333333333337</v>
      </c>
      <c r="O4244" s="86"/>
      <c r="P4244" s="1817" t="e">
        <f>INDEX(#REF!,MATCH(F4244,#REF!,0),2)</f>
        <v>#REF!</v>
      </c>
    </row>
    <row r="4245" spans="1:16" ht="18" customHeight="1">
      <c r="A4245" s="762"/>
      <c r="B4245" s="762" t="s">
        <v>663</v>
      </c>
      <c r="C4245" s="762" t="s">
        <v>652</v>
      </c>
      <c r="D4245" s="1599"/>
      <c r="E4245" s="2245" t="s">
        <v>1934</v>
      </c>
      <c r="F4245" s="983">
        <v>1148</v>
      </c>
      <c r="G4245" s="2590" t="s">
        <v>3597</v>
      </c>
      <c r="H4245" s="2725"/>
      <c r="I4245" s="2725">
        <v>2700</v>
      </c>
      <c r="J4245" s="2729"/>
      <c r="K4245" s="2727"/>
      <c r="L4245" s="2725"/>
      <c r="M4245" s="2725">
        <v>1800</v>
      </c>
      <c r="N4245" s="2847"/>
      <c r="O4245" s="86"/>
      <c r="P4245" s="1817" t="e">
        <f>INDEX(#REF!,MATCH(F4245,#REF!,0),2)</f>
        <v>#REF!</v>
      </c>
    </row>
    <row r="4246" spans="1:16" ht="12.6" customHeight="1">
      <c r="A4246" s="986" t="s">
        <v>1266</v>
      </c>
      <c r="B4246" s="755" t="s">
        <v>1248</v>
      </c>
      <c r="C4246" s="755" t="s">
        <v>507</v>
      </c>
      <c r="D4246" s="1600">
        <v>901</v>
      </c>
      <c r="E4246" s="2247" t="s">
        <v>1934</v>
      </c>
      <c r="F4246" s="980">
        <v>1150</v>
      </c>
      <c r="G4246" s="757" t="s">
        <v>1268</v>
      </c>
      <c r="H4246" s="2720">
        <v>0</v>
      </c>
      <c r="I4246" s="2720"/>
      <c r="J4246" s="2721"/>
      <c r="K4246" s="2727"/>
      <c r="L4246" s="2720">
        <v>0</v>
      </c>
      <c r="M4246" s="2720"/>
      <c r="N4246" s="2847"/>
      <c r="O4246" s="86"/>
      <c r="P4246" s="1817" t="e">
        <f>INDEX(#REF!,MATCH(F4246,#REF!,0),2)</f>
        <v>#REF!</v>
      </c>
    </row>
    <row r="4247" spans="1:16" ht="12.6" customHeight="1">
      <c r="A4247" s="762"/>
      <c r="B4247" s="762" t="s">
        <v>1248</v>
      </c>
      <c r="C4247" s="762" t="s">
        <v>507</v>
      </c>
      <c r="D4247" s="1599"/>
      <c r="E4247" s="2245" t="s">
        <v>1934</v>
      </c>
      <c r="F4247" s="983">
        <v>1150</v>
      </c>
      <c r="G4247" s="772" t="s">
        <v>1269</v>
      </c>
      <c r="H4247" s="2725"/>
      <c r="I4247" s="2725">
        <v>0</v>
      </c>
      <c r="J4247" s="2729"/>
      <c r="K4247" s="2727"/>
      <c r="L4247" s="2725"/>
      <c r="M4247" s="2725">
        <v>0</v>
      </c>
      <c r="N4247" s="2847"/>
      <c r="O4247" s="86"/>
      <c r="P4247" s="1817" t="e">
        <f>INDEX(#REF!,MATCH(F4247,#REF!,0),2)</f>
        <v>#REF!</v>
      </c>
    </row>
    <row r="4248" spans="1:16" ht="12.6" customHeight="1">
      <c r="A4248" s="986" t="s">
        <v>1266</v>
      </c>
      <c r="B4248" s="755" t="s">
        <v>663</v>
      </c>
      <c r="C4248" s="755" t="s">
        <v>652</v>
      </c>
      <c r="D4248" s="1600">
        <v>901</v>
      </c>
      <c r="E4248" s="2247" t="s">
        <v>1934</v>
      </c>
      <c r="F4248" s="980">
        <v>1210</v>
      </c>
      <c r="G4248" s="757" t="s">
        <v>228</v>
      </c>
      <c r="H4248" s="2720">
        <v>144368.08220658399</v>
      </c>
      <c r="I4248" s="2720"/>
      <c r="J4248" s="2721">
        <v>103866</v>
      </c>
      <c r="K4248" s="2722"/>
      <c r="L4248" s="2720">
        <v>184657.37762722318</v>
      </c>
      <c r="M4248" s="2720"/>
      <c r="N4248" s="3854">
        <f>L4248/H4248-1</f>
        <v>0.27907342679102087</v>
      </c>
      <c r="O4248" s="86"/>
      <c r="P4248" s="1817" t="e">
        <f>INDEX(#REF!,MATCH(F4248,#REF!,0),2)</f>
        <v>#REF!</v>
      </c>
    </row>
    <row r="4249" spans="1:16" ht="12.6" customHeight="1">
      <c r="A4249" s="762"/>
      <c r="B4249" s="762" t="s">
        <v>663</v>
      </c>
      <c r="C4249" s="762" t="s">
        <v>652</v>
      </c>
      <c r="D4249" s="1599"/>
      <c r="E4249" s="2245" t="s">
        <v>1934</v>
      </c>
      <c r="F4249" s="983">
        <v>1210</v>
      </c>
      <c r="G4249" s="786"/>
      <c r="H4249" s="2725"/>
      <c r="I4249" s="2725">
        <v>146368.08220658405</v>
      </c>
      <c r="J4249" s="2726"/>
      <c r="K4249" s="2727"/>
      <c r="L4249" s="2725"/>
      <c r="M4249" s="2725">
        <v>184657.37762722318</v>
      </c>
      <c r="N4249" s="2847"/>
      <c r="O4249" s="86"/>
      <c r="P4249" s="1817" t="e">
        <f>INDEX(#REF!,MATCH(F4249,#REF!,0),2)</f>
        <v>#REF!</v>
      </c>
    </row>
    <row r="4250" spans="1:16" ht="12.6" customHeight="1">
      <c r="A4250" s="1370"/>
      <c r="B4250" s="762" t="s">
        <v>663</v>
      </c>
      <c r="C4250" s="762" t="s">
        <v>652</v>
      </c>
      <c r="D4250" s="1599"/>
      <c r="E4250" s="2245" t="s">
        <v>1934</v>
      </c>
      <c r="F4250" s="983">
        <v>1210</v>
      </c>
      <c r="G4250" s="1411" t="s">
        <v>1180</v>
      </c>
      <c r="H4250" s="2725"/>
      <c r="I4250" s="2725"/>
      <c r="J4250" s="2726"/>
      <c r="K4250" s="2727"/>
      <c r="L4250" s="2725"/>
      <c r="M4250" s="2725"/>
      <c r="N4250" s="2847"/>
      <c r="O4250" s="86"/>
      <c r="P4250" s="1817" t="e">
        <f>INDEX(#REF!,MATCH(F4250,#REF!,0),2)</f>
        <v>#REF!</v>
      </c>
    </row>
    <row r="4251" spans="1:16" ht="12.6" customHeight="1">
      <c r="A4251" s="988"/>
      <c r="B4251" s="988" t="s">
        <v>512</v>
      </c>
      <c r="C4251" s="988" t="s">
        <v>506</v>
      </c>
      <c r="D4251" s="1619">
        <v>901</v>
      </c>
      <c r="E4251" s="2281" t="s">
        <v>1935</v>
      </c>
      <c r="F4251" s="989">
        <v>1210</v>
      </c>
      <c r="G4251" s="990" t="s">
        <v>336</v>
      </c>
      <c r="H4251" s="2730">
        <v>35297.989616000006</v>
      </c>
      <c r="I4251" s="2720"/>
      <c r="J4251" s="2721"/>
      <c r="K4251" s="2722"/>
      <c r="L4251" s="2723">
        <v>44240.713279999989</v>
      </c>
      <c r="M4251" s="2724"/>
      <c r="N4251" s="2847"/>
      <c r="O4251" s="86"/>
      <c r="P4251" s="1817" t="e">
        <f>INDEX(#REF!,MATCH(F4251,#REF!,0),2)</f>
        <v>#REF!</v>
      </c>
    </row>
    <row r="4252" spans="1:16" ht="12.6" customHeight="1">
      <c r="A4252" s="992"/>
      <c r="B4252" s="992" t="s">
        <v>512</v>
      </c>
      <c r="C4252" s="992" t="s">
        <v>506</v>
      </c>
      <c r="D4252" s="1620"/>
      <c r="E4252" s="2246" t="s">
        <v>1935</v>
      </c>
      <c r="F4252" s="993">
        <v>1210</v>
      </c>
      <c r="G4252" s="994"/>
      <c r="H4252" s="2725"/>
      <c r="I4252" s="2725">
        <v>35297.989616000006</v>
      </c>
      <c r="J4252" s="2726"/>
      <c r="K4252" s="2722"/>
      <c r="L4252" s="2728"/>
      <c r="M4252" s="2728">
        <v>44240.713279999989</v>
      </c>
      <c r="N4252" s="2847"/>
      <c r="O4252" s="86"/>
      <c r="P4252" s="1817" t="e">
        <f>INDEX(#REF!,MATCH(F4252,#REF!,0),2)</f>
        <v>#REF!</v>
      </c>
    </row>
    <row r="4253" spans="1:16" ht="20.45" customHeight="1">
      <c r="A4253" s="1370"/>
      <c r="B4253" s="992" t="s">
        <v>512</v>
      </c>
      <c r="C4253" s="992" t="s">
        <v>506</v>
      </c>
      <c r="D4253" s="1620"/>
      <c r="E4253" s="2246" t="s">
        <v>1935</v>
      </c>
      <c r="F4253" s="993">
        <v>1210</v>
      </c>
      <c r="G4253" s="1411" t="s">
        <v>1180</v>
      </c>
      <c r="H4253" s="2725"/>
      <c r="I4253" s="2725"/>
      <c r="J4253" s="2726"/>
      <c r="K4253" s="2722"/>
      <c r="L4253" s="2728"/>
      <c r="M4253" s="2728"/>
      <c r="N4253" s="2847"/>
      <c r="O4253" s="86"/>
      <c r="P4253" s="1817" t="e">
        <f>INDEX(#REF!,MATCH(F4253,#REF!,0),2)</f>
        <v>#REF!</v>
      </c>
    </row>
    <row r="4254" spans="1:16" ht="12.6" customHeight="1">
      <c r="A4254" s="995" t="s">
        <v>1266</v>
      </c>
      <c r="B4254" s="988" t="s">
        <v>663</v>
      </c>
      <c r="C4254" s="988" t="s">
        <v>652</v>
      </c>
      <c r="D4254" s="1619">
        <v>901</v>
      </c>
      <c r="E4254" s="2281" t="s">
        <v>1934</v>
      </c>
      <c r="F4254" s="989">
        <v>1221</v>
      </c>
      <c r="G4254" s="990" t="s">
        <v>229</v>
      </c>
      <c r="H4254" s="2720">
        <v>41533</v>
      </c>
      <c r="I4254" s="2720"/>
      <c r="J4254" s="2721">
        <v>43482</v>
      </c>
      <c r="K4254" s="2722"/>
      <c r="L4254" s="2720">
        <v>48979.579521432795</v>
      </c>
      <c r="M4254" s="2720"/>
      <c r="N4254" s="3854">
        <f>L4254/H4254-1</f>
        <v>0.1792930807173283</v>
      </c>
      <c r="O4254" s="86"/>
      <c r="P4254" s="1817" t="e">
        <f>INDEX(#REF!,MATCH(F4254,#REF!,0),2)</f>
        <v>#REF!</v>
      </c>
    </row>
    <row r="4255" spans="1:16" ht="12" customHeight="1">
      <c r="A4255" s="992"/>
      <c r="B4255" s="992" t="s">
        <v>663</v>
      </c>
      <c r="C4255" s="992" t="s">
        <v>652</v>
      </c>
      <c r="D4255" s="1620"/>
      <c r="E4255" s="2246" t="s">
        <v>1934</v>
      </c>
      <c r="F4255" s="993">
        <v>1221</v>
      </c>
      <c r="G4255" s="994" t="s">
        <v>2596</v>
      </c>
      <c r="H4255" s="2725"/>
      <c r="I4255" s="2725">
        <v>38533.253780136001</v>
      </c>
      <c r="J4255" s="2726"/>
      <c r="K4255" s="2727"/>
      <c r="L4255" s="2725"/>
      <c r="M4255" s="2725">
        <v>48979.579521432795</v>
      </c>
      <c r="N4255" s="2847"/>
      <c r="O4255" s="86"/>
      <c r="P4255" s="1817" t="e">
        <f>INDEX(#REF!,MATCH(F4255,#REF!,0),2)</f>
        <v>#REF!</v>
      </c>
    </row>
    <row r="4256" spans="1:16" ht="28.9" customHeight="1">
      <c r="A4256" s="992"/>
      <c r="B4256" s="992" t="s">
        <v>663</v>
      </c>
      <c r="C4256" s="992" t="s">
        <v>652</v>
      </c>
      <c r="D4256" s="1620"/>
      <c r="E4256" s="2246" t="s">
        <v>1934</v>
      </c>
      <c r="F4256" s="993">
        <v>1221</v>
      </c>
      <c r="G4256" s="994"/>
      <c r="H4256" s="2725"/>
      <c r="I4256" s="2725"/>
      <c r="J4256" s="2726"/>
      <c r="K4256" s="2727"/>
      <c r="L4256" s="2725"/>
      <c r="M4256" s="2725"/>
      <c r="N4256" s="2847"/>
      <c r="O4256" s="86"/>
      <c r="P4256" s="1817" t="e">
        <f>INDEX(#REF!,MATCH(F4256,#REF!,0),2)</f>
        <v>#REF!</v>
      </c>
    </row>
    <row r="4257" spans="1:16" ht="12.6" customHeight="1">
      <c r="A4257" s="995" t="s">
        <v>1266</v>
      </c>
      <c r="B4257" s="988" t="s">
        <v>512</v>
      </c>
      <c r="C4257" s="988" t="s">
        <v>506</v>
      </c>
      <c r="D4257" s="1619">
        <v>901</v>
      </c>
      <c r="E4257" s="2281" t="s">
        <v>1935</v>
      </c>
      <c r="F4257" s="989">
        <v>1221</v>
      </c>
      <c r="G4257" s="990" t="s">
        <v>229</v>
      </c>
      <c r="H4257" s="2730">
        <v>1000</v>
      </c>
      <c r="I4257" s="2720"/>
      <c r="J4257" s="2721"/>
      <c r="K4257" s="2722"/>
      <c r="L4257" s="2730">
        <v>1000</v>
      </c>
      <c r="M4257" s="2720"/>
      <c r="N4257" s="2847"/>
      <c r="O4257" s="86"/>
      <c r="P4257" s="1817" t="e">
        <f>INDEX(#REF!,MATCH(F4257,#REF!,0),2)</f>
        <v>#REF!</v>
      </c>
    </row>
    <row r="4258" spans="1:16" ht="12.6" customHeight="1">
      <c r="A4258" s="992"/>
      <c r="B4258" s="992" t="s">
        <v>512</v>
      </c>
      <c r="C4258" s="992" t="s">
        <v>506</v>
      </c>
      <c r="D4258" s="1620"/>
      <c r="E4258" s="2246" t="s">
        <v>1935</v>
      </c>
      <c r="F4258" s="993">
        <v>1221</v>
      </c>
      <c r="G4258" s="994" t="s">
        <v>1216</v>
      </c>
      <c r="H4258" s="2725"/>
      <c r="I4258" s="2725">
        <v>1000</v>
      </c>
      <c r="J4258" s="2726"/>
      <c r="K4258" s="2722"/>
      <c r="L4258" s="2725"/>
      <c r="M4258" s="2725">
        <v>1000</v>
      </c>
      <c r="N4258" s="2847"/>
      <c r="O4258" s="86"/>
      <c r="P4258" s="1817" t="e">
        <f>INDEX(#REF!,MATCH(F4258,#REF!,0),2)</f>
        <v>#REF!</v>
      </c>
    </row>
    <row r="4259" spans="1:16" ht="12.6" customHeight="1">
      <c r="A4259" s="992"/>
      <c r="B4259" s="992" t="s">
        <v>512</v>
      </c>
      <c r="C4259" s="992" t="s">
        <v>506</v>
      </c>
      <c r="D4259" s="1620"/>
      <c r="E4259" s="2246" t="s">
        <v>1935</v>
      </c>
      <c r="F4259" s="993">
        <v>1221</v>
      </c>
      <c r="G4259" s="994" t="s">
        <v>1177</v>
      </c>
      <c r="H4259" s="2725"/>
      <c r="I4259" s="2725"/>
      <c r="J4259" s="2726"/>
      <c r="K4259" s="2722"/>
      <c r="L4259" s="2728"/>
      <c r="M4259" s="2728"/>
      <c r="N4259" s="2847"/>
      <c r="O4259" s="86"/>
      <c r="P4259" s="1817" t="e">
        <f>INDEX(#REF!,MATCH(F4259,#REF!,0),2)</f>
        <v>#REF!</v>
      </c>
    </row>
    <row r="4260" spans="1:16" ht="12.6" customHeight="1">
      <c r="A4260" s="995" t="s">
        <v>1266</v>
      </c>
      <c r="B4260" s="988" t="s">
        <v>663</v>
      </c>
      <c r="C4260" s="988" t="s">
        <v>507</v>
      </c>
      <c r="D4260" s="1619">
        <v>901</v>
      </c>
      <c r="E4260" s="2281" t="s">
        <v>1934</v>
      </c>
      <c r="F4260" s="989">
        <v>1223</v>
      </c>
      <c r="G4260" s="990" t="s">
        <v>1270</v>
      </c>
      <c r="H4260" s="2720">
        <v>1000</v>
      </c>
      <c r="I4260" s="2720"/>
      <c r="J4260" s="2721"/>
      <c r="K4260" s="2722"/>
      <c r="L4260" s="2720">
        <v>2000</v>
      </c>
      <c r="M4260" s="2720"/>
      <c r="N4260" s="3854">
        <f>L4260/H4260-1</f>
        <v>1</v>
      </c>
      <c r="O4260" s="86"/>
      <c r="P4260" s="1817" t="e">
        <f>INDEX(#REF!,MATCH(F4260,#REF!,0),2)</f>
        <v>#REF!</v>
      </c>
    </row>
    <row r="4261" spans="1:16" ht="13.15" customHeight="1">
      <c r="A4261" s="992"/>
      <c r="B4261" s="992" t="s">
        <v>663</v>
      </c>
      <c r="C4261" s="992" t="s">
        <v>507</v>
      </c>
      <c r="D4261" s="1620"/>
      <c r="E4261" s="2246" t="s">
        <v>1934</v>
      </c>
      <c r="F4261" s="993">
        <v>1223</v>
      </c>
      <c r="G4261" s="994" t="s">
        <v>1384</v>
      </c>
      <c r="H4261" s="2725"/>
      <c r="I4261" s="2725">
        <v>2000</v>
      </c>
      <c r="J4261" s="2726"/>
      <c r="K4261" s="2722"/>
      <c r="L4261" s="2725"/>
      <c r="M4261" s="2725">
        <v>2000</v>
      </c>
      <c r="N4261" s="2847"/>
      <c r="O4261" s="86"/>
      <c r="P4261" s="1817" t="e">
        <f>INDEX(#REF!,MATCH(F4261,#REF!,0),2)</f>
        <v>#REF!</v>
      </c>
    </row>
    <row r="4262" spans="1:16" ht="12.6" customHeight="1">
      <c r="A4262" s="995" t="s">
        <v>1266</v>
      </c>
      <c r="B4262" s="988" t="s">
        <v>1248</v>
      </c>
      <c r="C4262" s="988" t="s">
        <v>652</v>
      </c>
      <c r="D4262" s="1619">
        <v>901</v>
      </c>
      <c r="E4262" s="2281" t="s">
        <v>1934</v>
      </c>
      <c r="F4262" s="989">
        <v>1228</v>
      </c>
      <c r="G4262" s="990" t="s">
        <v>942</v>
      </c>
      <c r="H4262" s="2720">
        <v>1400</v>
      </c>
      <c r="I4262" s="2720"/>
      <c r="J4262" s="2721">
        <v>4</v>
      </c>
      <c r="K4262" s="2722"/>
      <c r="L4262" s="2720">
        <v>1800</v>
      </c>
      <c r="M4262" s="2724"/>
      <c r="N4262" s="2847"/>
      <c r="O4262" s="86"/>
      <c r="P4262" s="1817" t="e">
        <f>INDEX(#REF!,MATCH(F4262,#REF!,0),2)</f>
        <v>#REF!</v>
      </c>
    </row>
    <row r="4263" spans="1:16" ht="12.6" customHeight="1">
      <c r="A4263" s="992"/>
      <c r="B4263" s="992" t="s">
        <v>1248</v>
      </c>
      <c r="C4263" s="992" t="s">
        <v>652</v>
      </c>
      <c r="D4263" s="1620"/>
      <c r="E4263" s="2246" t="s">
        <v>1934</v>
      </c>
      <c r="F4263" s="993">
        <v>1228</v>
      </c>
      <c r="G4263" s="992"/>
      <c r="H4263" s="2587"/>
      <c r="I4263" s="2587">
        <v>1000</v>
      </c>
      <c r="J4263" s="2587"/>
      <c r="K4263" s="2735"/>
      <c r="L4263" s="2652"/>
      <c r="M4263" s="2652">
        <v>0</v>
      </c>
      <c r="N4263" s="241" t="s">
        <v>5722</v>
      </c>
      <c r="O4263" s="86"/>
      <c r="P4263" s="1817" t="e">
        <f>INDEX(#REF!,MATCH(F4263,#REF!,0),2)</f>
        <v>#REF!</v>
      </c>
    </row>
    <row r="4264" spans="1:16" ht="22.15" customHeight="1">
      <c r="A4264" s="855"/>
      <c r="B4264" s="992" t="s">
        <v>1248</v>
      </c>
      <c r="C4264" s="992" t="s">
        <v>652</v>
      </c>
      <c r="D4264" s="1620"/>
      <c r="E4264" s="2246" t="s">
        <v>1934</v>
      </c>
      <c r="F4264" s="993">
        <v>1228</v>
      </c>
      <c r="G4264" s="2590" t="s">
        <v>3598</v>
      </c>
      <c r="H4264" s="2732"/>
      <c r="I4264" s="2732">
        <v>400</v>
      </c>
      <c r="J4264" s="2733"/>
      <c r="K4264" s="2731"/>
      <c r="L4264" s="2734"/>
      <c r="M4264" s="4284">
        <v>1800</v>
      </c>
      <c r="N4264" s="2846" t="s">
        <v>6128</v>
      </c>
      <c r="O4264" s="86"/>
      <c r="P4264" s="1817"/>
    </row>
    <row r="4265" spans="1:16" ht="23.45" customHeight="1">
      <c r="A4265" s="995" t="s">
        <v>1271</v>
      </c>
      <c r="B4265" s="988" t="s">
        <v>1248</v>
      </c>
      <c r="C4265" s="988" t="s">
        <v>507</v>
      </c>
      <c r="D4265" s="1619">
        <v>901</v>
      </c>
      <c r="E4265" s="2281" t="s">
        <v>1934</v>
      </c>
      <c r="F4265" s="989">
        <v>2111</v>
      </c>
      <c r="G4265" s="990" t="s">
        <v>369</v>
      </c>
      <c r="H4265" s="2720">
        <v>0</v>
      </c>
      <c r="I4265" s="2720"/>
      <c r="J4265" s="2721"/>
      <c r="K4265" s="2722"/>
      <c r="L4265" s="2720">
        <v>0</v>
      </c>
      <c r="M4265" s="2720"/>
      <c r="N4265" s="2847"/>
      <c r="O4265" s="86"/>
      <c r="P4265" s="1817" t="e">
        <f>INDEX(#REF!,MATCH(F4265,#REF!,0),2)</f>
        <v>#REF!</v>
      </c>
    </row>
    <row r="4266" spans="1:16" ht="12.6" customHeight="1">
      <c r="A4266" s="992"/>
      <c r="B4266" s="992" t="s">
        <v>1248</v>
      </c>
      <c r="C4266" s="992" t="s">
        <v>507</v>
      </c>
      <c r="D4266" s="1620"/>
      <c r="E4266" s="2246" t="s">
        <v>1934</v>
      </c>
      <c r="F4266" s="993">
        <v>2111</v>
      </c>
      <c r="G4266" s="996" t="s">
        <v>370</v>
      </c>
      <c r="H4266" s="2732"/>
      <c r="I4266" s="2732"/>
      <c r="J4266" s="2733"/>
      <c r="K4266" s="2731"/>
      <c r="L4266" s="2732"/>
      <c r="M4266" s="2732"/>
      <c r="N4266" s="2847"/>
      <c r="O4266" s="86"/>
      <c r="P4266" s="1817" t="e">
        <f>INDEX(#REF!,MATCH(F4266,#REF!,0),2)</f>
        <v>#REF!</v>
      </c>
    </row>
    <row r="4267" spans="1:16" ht="24.6" customHeight="1">
      <c r="A4267" s="988"/>
      <c r="B4267" s="988" t="s">
        <v>1248</v>
      </c>
      <c r="C4267" s="988" t="s">
        <v>507</v>
      </c>
      <c r="D4267" s="1619">
        <v>901</v>
      </c>
      <c r="E4267" s="2281" t="s">
        <v>1934</v>
      </c>
      <c r="F4267" s="989">
        <v>2112</v>
      </c>
      <c r="G4267" s="990" t="s">
        <v>371</v>
      </c>
      <c r="H4267" s="2720">
        <v>500</v>
      </c>
      <c r="I4267" s="2720"/>
      <c r="J4267" s="2721"/>
      <c r="K4267" s="2722"/>
      <c r="L4267" s="2720">
        <v>500</v>
      </c>
      <c r="M4267" s="2720"/>
      <c r="N4267" s="2847"/>
      <c r="O4267" s="86"/>
      <c r="P4267" s="1817" t="e">
        <f>INDEX(#REF!,MATCH(F4267,#REF!,0),2)</f>
        <v>#REF!</v>
      </c>
    </row>
    <row r="4268" spans="1:16" ht="19.899999999999999" customHeight="1">
      <c r="A4268" s="992"/>
      <c r="B4268" s="992" t="s">
        <v>1248</v>
      </c>
      <c r="C4268" s="992" t="s">
        <v>507</v>
      </c>
      <c r="D4268" s="1620"/>
      <c r="E4268" s="2246" t="s">
        <v>1934</v>
      </c>
      <c r="F4268" s="993">
        <v>2112</v>
      </c>
      <c r="G4268" s="996" t="s">
        <v>2173</v>
      </c>
      <c r="H4268" s="2732"/>
      <c r="I4268" s="2732">
        <v>500</v>
      </c>
      <c r="J4268" s="2733"/>
      <c r="K4268" s="2731"/>
      <c r="L4268" s="2732"/>
      <c r="M4268" s="2732">
        <v>500</v>
      </c>
      <c r="N4268" s="2847"/>
      <c r="O4268" s="86"/>
      <c r="P4268" s="1817" t="e">
        <f>INDEX(#REF!,MATCH(F4268,#REF!,0),2)</f>
        <v>#REF!</v>
      </c>
    </row>
    <row r="4269" spans="1:16" ht="12.6" customHeight="1">
      <c r="A4269" s="995"/>
      <c r="B4269" s="988" t="s">
        <v>1248</v>
      </c>
      <c r="C4269" s="998" t="s">
        <v>510</v>
      </c>
      <c r="D4269" s="1635">
        <v>901</v>
      </c>
      <c r="E4269" s="2282" t="s">
        <v>1934</v>
      </c>
      <c r="F4269" s="999">
        <v>2121</v>
      </c>
      <c r="G4269" s="1026" t="s">
        <v>369</v>
      </c>
      <c r="H4269" s="2720">
        <v>180</v>
      </c>
      <c r="I4269" s="2720"/>
      <c r="J4269" s="2721"/>
      <c r="K4269" s="2722"/>
      <c r="L4269" s="2720">
        <v>180</v>
      </c>
      <c r="M4269" s="2720"/>
      <c r="N4269" s="2847"/>
      <c r="O4269" s="86"/>
      <c r="P4269" s="1817" t="e">
        <f>INDEX(#REF!,MATCH(F4269,#REF!,0),2)</f>
        <v>#REF!</v>
      </c>
    </row>
    <row r="4270" spans="1:16" ht="12.6" customHeight="1">
      <c r="A4270" s="992"/>
      <c r="B4270" s="992" t="s">
        <v>1248</v>
      </c>
      <c r="C4270" s="992" t="s">
        <v>510</v>
      </c>
      <c r="D4270" s="1620">
        <v>901</v>
      </c>
      <c r="E4270" s="2246" t="s">
        <v>1934</v>
      </c>
      <c r="F4270" s="993">
        <v>2121</v>
      </c>
      <c r="G4270" s="996"/>
      <c r="H4270" s="2732"/>
      <c r="I4270" s="2732">
        <v>180</v>
      </c>
      <c r="J4270" s="2733"/>
      <c r="K4270" s="2731"/>
      <c r="L4270" s="2732"/>
      <c r="M4270" s="2732">
        <v>180</v>
      </c>
      <c r="N4270" s="2847"/>
      <c r="O4270" s="86"/>
      <c r="P4270" s="1817" t="e">
        <f>INDEX(#REF!,MATCH(F4270,#REF!,0),2)</f>
        <v>#REF!</v>
      </c>
    </row>
    <row r="4271" spans="1:16" ht="24" customHeight="1">
      <c r="A4271" s="995" t="s">
        <v>1266</v>
      </c>
      <c r="B4271" s="988" t="s">
        <v>1248</v>
      </c>
      <c r="C4271" s="988" t="s">
        <v>505</v>
      </c>
      <c r="D4271" s="1619">
        <v>901</v>
      </c>
      <c r="E4271" s="2281" t="s">
        <v>1934</v>
      </c>
      <c r="F4271" s="989">
        <v>2210</v>
      </c>
      <c r="G4271" s="990" t="s">
        <v>879</v>
      </c>
      <c r="H4271" s="2720">
        <v>2838</v>
      </c>
      <c r="I4271" s="2720"/>
      <c r="J4271" s="2721">
        <v>3006</v>
      </c>
      <c r="K4271" s="2722"/>
      <c r="L4271" s="2720">
        <v>2012.48</v>
      </c>
      <c r="M4271" s="2720"/>
      <c r="N4271" s="2847" t="s">
        <v>5705</v>
      </c>
      <c r="O4271" s="86"/>
      <c r="P4271" s="1817" t="e">
        <f>INDEX(#REF!,MATCH(F4271,#REF!,0),2)</f>
        <v>#REF!</v>
      </c>
    </row>
    <row r="4272" spans="1:16" ht="12.6" customHeight="1">
      <c r="A4272" s="992"/>
      <c r="B4272" s="992" t="s">
        <v>1248</v>
      </c>
      <c r="C4272" s="992" t="s">
        <v>505</v>
      </c>
      <c r="D4272" s="1620"/>
      <c r="E4272" s="2246" t="s">
        <v>1934</v>
      </c>
      <c r="F4272" s="993">
        <v>2210</v>
      </c>
      <c r="G4272" s="996" t="s">
        <v>1385</v>
      </c>
      <c r="H4272" s="2732"/>
      <c r="I4272" s="2732">
        <v>100</v>
      </c>
      <c r="J4272" s="2733"/>
      <c r="K4272" s="2731"/>
      <c r="L4272" s="2732"/>
      <c r="M4272" s="2732">
        <v>50</v>
      </c>
      <c r="N4272" s="2847"/>
      <c r="O4272" s="86"/>
      <c r="P4272" s="1817" t="e">
        <f>INDEX(#REF!,MATCH(F4272,#REF!,0),2)</f>
        <v>#REF!</v>
      </c>
    </row>
    <row r="4273" spans="1:16" ht="24" customHeight="1">
      <c r="A4273" s="762"/>
      <c r="B4273" s="762" t="s">
        <v>1248</v>
      </c>
      <c r="C4273" s="992" t="s">
        <v>505</v>
      </c>
      <c r="D4273" s="1620"/>
      <c r="E4273" s="2246" t="s">
        <v>1934</v>
      </c>
      <c r="F4273" s="993">
        <v>2210</v>
      </c>
      <c r="G4273" s="2590" t="s">
        <v>3599</v>
      </c>
      <c r="H4273" s="2732"/>
      <c r="I4273" s="2732">
        <v>1188</v>
      </c>
      <c r="J4273" s="2733"/>
      <c r="K4273" s="2731"/>
      <c r="L4273" s="2732"/>
      <c r="M4273" s="2732">
        <v>1962.48</v>
      </c>
      <c r="N4273" s="2847"/>
      <c r="O4273" s="86"/>
      <c r="P4273" s="1817"/>
    </row>
    <row r="4274" spans="1:16" ht="24" customHeight="1">
      <c r="A4274" s="995" t="s">
        <v>1266</v>
      </c>
      <c r="B4274" s="988" t="s">
        <v>1248</v>
      </c>
      <c r="C4274" s="988" t="s">
        <v>507</v>
      </c>
      <c r="D4274" s="1619">
        <v>901</v>
      </c>
      <c r="E4274" s="2281" t="s">
        <v>1934</v>
      </c>
      <c r="F4274" s="989">
        <v>2221</v>
      </c>
      <c r="G4274" s="990" t="s">
        <v>317</v>
      </c>
      <c r="H4274" s="2720">
        <v>46000</v>
      </c>
      <c r="I4274" s="2720"/>
      <c r="J4274" s="2721">
        <v>45043</v>
      </c>
      <c r="K4274" s="2722"/>
      <c r="L4274" s="2720">
        <v>53000</v>
      </c>
      <c r="M4274" s="2720"/>
      <c r="N4274" s="4592"/>
      <c r="O4274" s="86"/>
      <c r="P4274" s="1817" t="e">
        <f>INDEX(#REF!,MATCH(F4274,#REF!,0),2)</f>
        <v>#REF!</v>
      </c>
    </row>
    <row r="4275" spans="1:16" ht="19.899999999999999" customHeight="1">
      <c r="A4275" s="992"/>
      <c r="B4275" s="992" t="s">
        <v>1248</v>
      </c>
      <c r="C4275" s="992" t="s">
        <v>507</v>
      </c>
      <c r="D4275" s="1620"/>
      <c r="E4275" s="2246" t="s">
        <v>1934</v>
      </c>
      <c r="F4275" s="993">
        <v>2221</v>
      </c>
      <c r="G4275" s="996" t="s">
        <v>1272</v>
      </c>
      <c r="H4275" s="2732"/>
      <c r="I4275" s="2732">
        <v>32000</v>
      </c>
      <c r="J4275" s="2733"/>
      <c r="K4275" s="2722"/>
      <c r="L4275" s="2732"/>
      <c r="M4275" s="2732">
        <v>53000</v>
      </c>
      <c r="N4275" s="2847" t="s">
        <v>3600</v>
      </c>
      <c r="O4275" s="86"/>
      <c r="P4275" s="1817" t="e">
        <f>INDEX(#REF!,MATCH(F4275,#REF!,0),2)</f>
        <v>#REF!</v>
      </c>
    </row>
    <row r="4276" spans="1:16" ht="22.15" customHeight="1">
      <c r="A4276" s="1370"/>
      <c r="B4276" s="992" t="s">
        <v>1248</v>
      </c>
      <c r="C4276" s="992" t="s">
        <v>507</v>
      </c>
      <c r="D4276" s="1620"/>
      <c r="E4276" s="2246" t="s">
        <v>1934</v>
      </c>
      <c r="F4276" s="993">
        <v>2221</v>
      </c>
      <c r="G4276" s="1374" t="s">
        <v>3214</v>
      </c>
      <c r="H4276" s="2732"/>
      <c r="I4276" s="2732">
        <v>12000</v>
      </c>
      <c r="J4276" s="2733"/>
      <c r="K4276" s="2722"/>
      <c r="L4276" s="2734"/>
      <c r="M4276" s="2734"/>
      <c r="N4276" s="2847"/>
      <c r="O4276" s="86"/>
      <c r="P4276" s="1817"/>
    </row>
    <row r="4277" spans="1:16" ht="12.6" customHeight="1">
      <c r="A4277" s="995" t="s">
        <v>1266</v>
      </c>
      <c r="B4277" s="988" t="s">
        <v>1248</v>
      </c>
      <c r="C4277" s="988" t="s">
        <v>505</v>
      </c>
      <c r="D4277" s="1619">
        <v>901</v>
      </c>
      <c r="E4277" s="2281" t="s">
        <v>1934</v>
      </c>
      <c r="F4277" s="989">
        <v>2222</v>
      </c>
      <c r="G4277" s="990" t="s">
        <v>272</v>
      </c>
      <c r="H4277" s="2720">
        <v>8000</v>
      </c>
      <c r="I4277" s="2720"/>
      <c r="J4277" s="2721">
        <v>5987</v>
      </c>
      <c r="K4277" s="2722"/>
      <c r="L4277" s="2720">
        <v>9220</v>
      </c>
      <c r="M4277" s="2720"/>
      <c r="N4277" s="241"/>
      <c r="O4277" s="86"/>
      <c r="P4277" s="1817" t="e">
        <f>INDEX(#REF!,MATCH(F4277,#REF!,0),2)</f>
        <v>#REF!</v>
      </c>
    </row>
    <row r="4278" spans="1:16" ht="12.6" customHeight="1">
      <c r="A4278" s="992"/>
      <c r="B4278" s="992" t="s">
        <v>1248</v>
      </c>
      <c r="C4278" s="992" t="s">
        <v>505</v>
      </c>
      <c r="D4278" s="1620"/>
      <c r="E4278" s="2246" t="s">
        <v>1934</v>
      </c>
      <c r="F4278" s="993">
        <v>2222</v>
      </c>
      <c r="G4278" s="996" t="s">
        <v>272</v>
      </c>
      <c r="H4278" s="2732"/>
      <c r="I4278" s="2732">
        <v>8000</v>
      </c>
      <c r="J4278" s="2733"/>
      <c r="K4278" s="2731"/>
      <c r="L4278" s="2732"/>
      <c r="M4278" s="2732">
        <v>10000</v>
      </c>
      <c r="N4278" s="241" t="s">
        <v>5723</v>
      </c>
      <c r="O4278" s="86"/>
      <c r="P4278" s="1817" t="e">
        <f>INDEX(#REF!,MATCH(F4278,#REF!,0),2)</f>
        <v>#REF!</v>
      </c>
    </row>
    <row r="4279" spans="1:16" ht="12.6" customHeight="1">
      <c r="A4279" s="3872"/>
      <c r="B4279" s="992" t="s">
        <v>1248</v>
      </c>
      <c r="C4279" s="992" t="s">
        <v>505</v>
      </c>
      <c r="D4279" s="1620"/>
      <c r="E4279" s="2246" t="s">
        <v>1934</v>
      </c>
      <c r="F4279" s="993">
        <v>2222</v>
      </c>
      <c r="G4279" s="3892" t="s">
        <v>5709</v>
      </c>
      <c r="H4279" s="3865"/>
      <c r="I4279" s="3865"/>
      <c r="J4279" s="3866"/>
      <c r="K4279" s="3867"/>
      <c r="L4279" s="3865"/>
      <c r="M4279" s="4065">
        <v>-780</v>
      </c>
      <c r="N4279" s="2396" t="s">
        <v>5712</v>
      </c>
      <c r="O4279" s="86"/>
      <c r="P4279" s="1817" t="e">
        <f>INDEX(#REF!,MATCH(F4279,#REF!,0),2)</f>
        <v>#REF!</v>
      </c>
    </row>
    <row r="4280" spans="1:16" ht="18" customHeight="1">
      <c r="A4280" s="995" t="s">
        <v>1266</v>
      </c>
      <c r="B4280" s="988" t="s">
        <v>1248</v>
      </c>
      <c r="C4280" s="988" t="s">
        <v>505</v>
      </c>
      <c r="D4280" s="1619">
        <v>901</v>
      </c>
      <c r="E4280" s="2281" t="s">
        <v>1934</v>
      </c>
      <c r="F4280" s="989">
        <v>2223</v>
      </c>
      <c r="G4280" s="990" t="s">
        <v>273</v>
      </c>
      <c r="H4280" s="2720">
        <v>18000</v>
      </c>
      <c r="I4280" s="2720"/>
      <c r="J4280" s="2721">
        <v>15054</v>
      </c>
      <c r="K4280" s="2722"/>
      <c r="L4280" s="2720">
        <v>21660</v>
      </c>
      <c r="M4280" s="2720"/>
      <c r="N4280" s="241" t="s">
        <v>5703</v>
      </c>
      <c r="O4280" s="86"/>
      <c r="P4280" s="1817" t="e">
        <f>INDEX(#REF!,MATCH(F4280,#REF!,0),2)</f>
        <v>#REF!</v>
      </c>
    </row>
    <row r="4281" spans="1:16" ht="33" customHeight="1">
      <c r="A4281" s="992"/>
      <c r="B4281" s="992" t="s">
        <v>1248</v>
      </c>
      <c r="C4281" s="992" t="s">
        <v>505</v>
      </c>
      <c r="D4281" s="1620"/>
      <c r="E4281" s="2246" t="s">
        <v>1934</v>
      </c>
      <c r="F4281" s="993">
        <v>2223</v>
      </c>
      <c r="G4281" s="996" t="s">
        <v>273</v>
      </c>
      <c r="H4281" s="2732"/>
      <c r="I4281" s="2732">
        <v>30000</v>
      </c>
      <c r="J4281" s="2733"/>
      <c r="K4281" s="2731"/>
      <c r="L4281" s="2732"/>
      <c r="M4281" s="2732">
        <v>27000</v>
      </c>
      <c r="N4281" s="2846" t="s">
        <v>3600</v>
      </c>
      <c r="O4281" s="86"/>
      <c r="P4281" s="1817" t="e">
        <f>INDEX(#REF!,MATCH(F4281,#REF!,0),2)</f>
        <v>#REF!</v>
      </c>
    </row>
    <row r="4282" spans="1:16" ht="12.6" customHeight="1">
      <c r="A4282" s="3872"/>
      <c r="B4282" s="992" t="s">
        <v>1248</v>
      </c>
      <c r="C4282" s="992" t="s">
        <v>505</v>
      </c>
      <c r="D4282" s="1620"/>
      <c r="E4282" s="2246" t="s">
        <v>1934</v>
      </c>
      <c r="F4282" s="993">
        <v>2223</v>
      </c>
      <c r="G4282" s="3892" t="s">
        <v>5709</v>
      </c>
      <c r="H4282" s="3865"/>
      <c r="I4282" s="3865"/>
      <c r="J4282" s="3866"/>
      <c r="K4282" s="4067"/>
      <c r="L4282" s="3865"/>
      <c r="M4282" s="3865">
        <v>-5340</v>
      </c>
      <c r="N4282" s="2396" t="s">
        <v>5712</v>
      </c>
      <c r="O4282" s="86"/>
      <c r="P4282" s="1817" t="e">
        <f>INDEX(#REF!,MATCH(F4282,#REF!,0),2)</f>
        <v>#REF!</v>
      </c>
    </row>
    <row r="4283" spans="1:16" ht="19.149999999999999" customHeight="1">
      <c r="A4283" s="1370"/>
      <c r="B4283" s="992" t="s">
        <v>1248</v>
      </c>
      <c r="C4283" s="992" t="s">
        <v>507</v>
      </c>
      <c r="D4283" s="1620"/>
      <c r="E4283" s="2246" t="s">
        <v>1934</v>
      </c>
      <c r="F4283" s="993">
        <v>2223</v>
      </c>
      <c r="G4283" s="1374" t="s">
        <v>3214</v>
      </c>
      <c r="H4283" s="2732"/>
      <c r="I4283" s="2732">
        <v>-12000</v>
      </c>
      <c r="J4283" s="2733"/>
      <c r="K4283" s="2722"/>
      <c r="L4283" s="2734"/>
      <c r="M4283" s="2734"/>
      <c r="N4283" s="2847"/>
      <c r="O4283" s="86"/>
      <c r="P4283" s="1817" t="e">
        <f>INDEX(#REF!,MATCH(F4283,#REF!,0),2)</f>
        <v>#REF!</v>
      </c>
    </row>
    <row r="4284" spans="1:16" ht="21" customHeight="1">
      <c r="A4284" s="995" t="s">
        <v>1266</v>
      </c>
      <c r="B4284" s="988" t="s">
        <v>1248</v>
      </c>
      <c r="C4284" s="988" t="s">
        <v>505</v>
      </c>
      <c r="D4284" s="1619">
        <v>901</v>
      </c>
      <c r="E4284" s="2281" t="s">
        <v>1934</v>
      </c>
      <c r="F4284" s="989">
        <v>2231</v>
      </c>
      <c r="G4284" s="990" t="s">
        <v>1212</v>
      </c>
      <c r="H4284" s="2720"/>
      <c r="I4284" s="2720"/>
      <c r="J4284" s="2721"/>
      <c r="K4284" s="2722"/>
      <c r="L4284" s="2724"/>
      <c r="M4284" s="2724"/>
      <c r="N4284" s="2847"/>
      <c r="O4284" s="86"/>
      <c r="P4284" s="1817" t="e">
        <f>INDEX(#REF!,MATCH(F4284,#REF!,0),2)</f>
        <v>#REF!</v>
      </c>
    </row>
    <row r="4285" spans="1:16" ht="21.6" customHeight="1">
      <c r="A4285" s="1000"/>
      <c r="B4285" s="992" t="s">
        <v>1248</v>
      </c>
      <c r="C4285" s="992" t="s">
        <v>505</v>
      </c>
      <c r="D4285" s="1620"/>
      <c r="E4285" s="2246" t="s">
        <v>1934</v>
      </c>
      <c r="F4285" s="993">
        <v>2231</v>
      </c>
      <c r="G4285" s="996"/>
      <c r="H4285" s="2732"/>
      <c r="I4285" s="2732"/>
      <c r="J4285" s="2733"/>
      <c r="K4285" s="2731"/>
      <c r="L4285" s="2734"/>
      <c r="M4285" s="2734"/>
      <c r="N4285" s="2847"/>
      <c r="O4285" s="86"/>
      <c r="P4285" s="1817" t="e">
        <f>INDEX(#REF!,MATCH(F4285,#REF!,0),2)</f>
        <v>#REF!</v>
      </c>
    </row>
    <row r="4286" spans="1:16" ht="41.45" customHeight="1">
      <c r="A4286" s="988"/>
      <c r="B4286" s="988" t="s">
        <v>1248</v>
      </c>
      <c r="C4286" s="988" t="s">
        <v>507</v>
      </c>
      <c r="D4286" s="1619">
        <v>901</v>
      </c>
      <c r="E4286" s="2281" t="s">
        <v>1934</v>
      </c>
      <c r="F4286" s="989">
        <v>2233</v>
      </c>
      <c r="G4286" s="990" t="s">
        <v>397</v>
      </c>
      <c r="H4286" s="2720">
        <v>1000</v>
      </c>
      <c r="I4286" s="2720"/>
      <c r="J4286" s="2721"/>
      <c r="K4286" s="2722"/>
      <c r="L4286" s="2720">
        <v>500</v>
      </c>
      <c r="M4286" s="2720"/>
      <c r="N4286" s="2847"/>
      <c r="O4286" s="86"/>
      <c r="P4286" s="1817" t="e">
        <f>INDEX(#REF!,MATCH(F4286,#REF!,0),2)</f>
        <v>#REF!</v>
      </c>
    </row>
    <row r="4287" spans="1:16" ht="30.6" customHeight="1">
      <c r="A4287" s="992"/>
      <c r="B4287" s="992" t="s">
        <v>1248</v>
      </c>
      <c r="C4287" s="992" t="s">
        <v>507</v>
      </c>
      <c r="D4287" s="1620"/>
      <c r="E4287" s="2246" t="s">
        <v>1934</v>
      </c>
      <c r="F4287" s="993">
        <v>2233</v>
      </c>
      <c r="G4287" s="996" t="s">
        <v>2174</v>
      </c>
      <c r="H4287" s="2732"/>
      <c r="I4287" s="2732">
        <v>1000</v>
      </c>
      <c r="J4287" s="2733"/>
      <c r="K4287" s="2731"/>
      <c r="L4287" s="2732"/>
      <c r="M4287" s="4284">
        <v>500</v>
      </c>
      <c r="N4287" s="241" t="s">
        <v>5156</v>
      </c>
      <c r="O4287" s="86"/>
      <c r="P4287" s="1817" t="e">
        <f>INDEX(#REF!,MATCH(F4287,#REF!,0),2)</f>
        <v>#REF!</v>
      </c>
    </row>
    <row r="4288" spans="1:16" ht="12.6" customHeight="1">
      <c r="A4288" s="995" t="s">
        <v>1266</v>
      </c>
      <c r="B4288" s="988" t="s">
        <v>1248</v>
      </c>
      <c r="C4288" s="988" t="s">
        <v>507</v>
      </c>
      <c r="D4288" s="1619">
        <v>901</v>
      </c>
      <c r="E4288" s="2281" t="s">
        <v>1934</v>
      </c>
      <c r="F4288" s="989">
        <v>2234</v>
      </c>
      <c r="G4288" s="990" t="s">
        <v>398</v>
      </c>
      <c r="H4288" s="2720">
        <v>1000</v>
      </c>
      <c r="I4288" s="2720"/>
      <c r="J4288" s="2721">
        <v>115</v>
      </c>
      <c r="K4288" s="2722"/>
      <c r="L4288" s="2720">
        <v>1700</v>
      </c>
      <c r="M4288" s="2720"/>
      <c r="N4288" s="241" t="s">
        <v>5994</v>
      </c>
      <c r="O4288" s="86"/>
      <c r="P4288" s="1817" t="e">
        <f>INDEX(#REF!,MATCH(F4288,#REF!,0),2)</f>
        <v>#REF!</v>
      </c>
    </row>
    <row r="4289" spans="1:16" ht="13.9" customHeight="1">
      <c r="A4289" s="1002"/>
      <c r="B4289" s="1003" t="s">
        <v>1248</v>
      </c>
      <c r="C4289" s="1003" t="s">
        <v>507</v>
      </c>
      <c r="D4289" s="1621"/>
      <c r="E4289" s="2246" t="s">
        <v>1934</v>
      </c>
      <c r="F4289" s="993">
        <v>2234</v>
      </c>
      <c r="G4289" s="2590" t="s">
        <v>3602</v>
      </c>
      <c r="H4289" s="2732"/>
      <c r="I4289" s="2732">
        <v>500</v>
      </c>
      <c r="J4289" s="2733"/>
      <c r="K4289" s="2731"/>
      <c r="L4289" s="2732"/>
      <c r="M4289" s="2732">
        <v>1000</v>
      </c>
      <c r="N4289" s="2846" t="s">
        <v>6129</v>
      </c>
      <c r="O4289" s="86"/>
      <c r="P4289" s="1817" t="e">
        <f>INDEX(#REF!,MATCH(F4289,#REF!,0),2)</f>
        <v>#REF!</v>
      </c>
    </row>
    <row r="4290" spans="1:16" ht="12.75" customHeight="1">
      <c r="A4290" s="855"/>
      <c r="B4290" s="778" t="s">
        <v>1248</v>
      </c>
      <c r="C4290" s="1003" t="s">
        <v>507</v>
      </c>
      <c r="D4290" s="1621"/>
      <c r="E4290" s="2246" t="s">
        <v>1934</v>
      </c>
      <c r="F4290" s="993">
        <v>2234</v>
      </c>
      <c r="G4290" s="2590" t="s">
        <v>3603</v>
      </c>
      <c r="H4290" s="2732"/>
      <c r="I4290" s="2732">
        <v>500</v>
      </c>
      <c r="J4290" s="2733"/>
      <c r="K4290" s="2731"/>
      <c r="L4290" s="2732"/>
      <c r="M4290" s="2732">
        <v>700</v>
      </c>
      <c r="N4290" s="2847" t="s">
        <v>3601</v>
      </c>
      <c r="O4290" s="86"/>
      <c r="P4290" s="1817" t="e">
        <f>INDEX(#REF!,MATCH(F4290,#REF!,0),2)</f>
        <v>#REF!</v>
      </c>
    </row>
    <row r="4291" spans="1:16" ht="12.75" customHeight="1">
      <c r="A4291" s="995"/>
      <c r="B4291" s="988" t="s">
        <v>1248</v>
      </c>
      <c r="C4291" s="988" t="s">
        <v>505</v>
      </c>
      <c r="D4291" s="1619">
        <v>901</v>
      </c>
      <c r="E4291" s="2281" t="s">
        <v>1934</v>
      </c>
      <c r="F4291" s="989">
        <v>2235</v>
      </c>
      <c r="G4291" s="990" t="s">
        <v>1202</v>
      </c>
      <c r="H4291" s="2720">
        <v>1000</v>
      </c>
      <c r="I4291" s="2720"/>
      <c r="J4291" s="2721">
        <v>220</v>
      </c>
      <c r="K4291" s="2722"/>
      <c r="L4291" s="2720">
        <v>1000</v>
      </c>
      <c r="M4291" s="2720"/>
      <c r="N4291" s="2847"/>
      <c r="O4291" s="86"/>
      <c r="P4291" s="1817" t="e">
        <f>INDEX(#REF!,MATCH(F4291,#REF!,0),2)</f>
        <v>#REF!</v>
      </c>
    </row>
    <row r="4292" spans="1:16" ht="12.75" customHeight="1">
      <c r="A4292" s="1002"/>
      <c r="B4292" s="1003" t="s">
        <v>1248</v>
      </c>
      <c r="C4292" s="1003" t="s">
        <v>505</v>
      </c>
      <c r="D4292" s="1621"/>
      <c r="E4292" s="2246" t="s">
        <v>1934</v>
      </c>
      <c r="F4292" s="993">
        <v>2235</v>
      </c>
      <c r="G4292" s="1529" t="s">
        <v>2175</v>
      </c>
      <c r="H4292" s="2732"/>
      <c r="I4292" s="2732">
        <v>1000</v>
      </c>
      <c r="J4292" s="2733"/>
      <c r="K4292" s="2731"/>
      <c r="L4292" s="2732"/>
      <c r="M4292" s="4284">
        <v>1000</v>
      </c>
      <c r="N4292" s="241" t="s">
        <v>5156</v>
      </c>
      <c r="O4292" s="86"/>
      <c r="P4292" s="1817" t="e">
        <f>INDEX(#REF!,MATCH(F4292,#REF!,0),2)</f>
        <v>#REF!</v>
      </c>
    </row>
    <row r="4293" spans="1:16" ht="12.6" customHeight="1">
      <c r="A4293" s="995"/>
      <c r="B4293" s="988" t="s">
        <v>1248</v>
      </c>
      <c r="C4293" s="988" t="s">
        <v>507</v>
      </c>
      <c r="D4293" s="1619">
        <v>901</v>
      </c>
      <c r="E4293" s="2281" t="s">
        <v>1934</v>
      </c>
      <c r="F4293" s="989">
        <v>2239</v>
      </c>
      <c r="G4293" s="990" t="s">
        <v>297</v>
      </c>
      <c r="H4293" s="2720">
        <v>7951</v>
      </c>
      <c r="I4293" s="2720"/>
      <c r="J4293" s="2721">
        <v>6269</v>
      </c>
      <c r="K4293" s="2722"/>
      <c r="L4293" s="2720">
        <v>7800</v>
      </c>
      <c r="M4293" s="2724"/>
      <c r="N4293" s="2847"/>
      <c r="O4293" s="86"/>
      <c r="P4293" s="1817" t="e">
        <f>INDEX(#REF!,MATCH(F4293,#REF!,0),2)</f>
        <v>#REF!</v>
      </c>
    </row>
    <row r="4294" spans="1:16" ht="19.149999999999999" customHeight="1">
      <c r="A4294" s="1002"/>
      <c r="B4294" s="1003" t="s">
        <v>1248</v>
      </c>
      <c r="C4294" s="1003" t="s">
        <v>507</v>
      </c>
      <c r="D4294" s="1621"/>
      <c r="E4294" s="2246" t="s">
        <v>1934</v>
      </c>
      <c r="F4294" s="993">
        <v>2239</v>
      </c>
      <c r="G4294" s="996" t="s">
        <v>1386</v>
      </c>
      <c r="H4294" s="2732"/>
      <c r="I4294" s="2732">
        <v>2000</v>
      </c>
      <c r="J4294" s="2733"/>
      <c r="K4294" s="2731"/>
      <c r="L4294" s="2734"/>
      <c r="M4294" s="4284">
        <v>500</v>
      </c>
      <c r="N4294" s="2396" t="s">
        <v>5706</v>
      </c>
      <c r="O4294" s="86"/>
      <c r="P4294" s="1817" t="e">
        <f>INDEX(#REF!,MATCH(F4294,#REF!,0),2)</f>
        <v>#REF!</v>
      </c>
    </row>
    <row r="4295" spans="1:16" ht="12.6" customHeight="1">
      <c r="A4295" s="1002"/>
      <c r="B4295" s="1003" t="s">
        <v>1248</v>
      </c>
      <c r="C4295" s="1003" t="s">
        <v>507</v>
      </c>
      <c r="D4295" s="1621"/>
      <c r="E4295" s="2246" t="s">
        <v>1934</v>
      </c>
      <c r="F4295" s="993">
        <v>2239</v>
      </c>
      <c r="G4295" s="996" t="s">
        <v>5995</v>
      </c>
      <c r="H4295" s="2732"/>
      <c r="I4295" s="2732">
        <v>6000</v>
      </c>
      <c r="J4295" s="2733"/>
      <c r="K4295" s="2731"/>
      <c r="L4295" s="2734"/>
      <c r="M4295" s="2732">
        <v>7000</v>
      </c>
      <c r="N4295" s="2847"/>
      <c r="O4295" s="86"/>
      <c r="P4295" s="1817" t="e">
        <f>INDEX(#REF!,MATCH(F4295,#REF!,0),2)</f>
        <v>#REF!</v>
      </c>
    </row>
    <row r="4296" spans="1:16" ht="21" customHeight="1">
      <c r="A4296" s="1445"/>
      <c r="B4296" s="1003" t="s">
        <v>1248</v>
      </c>
      <c r="C4296" s="1003" t="s">
        <v>507</v>
      </c>
      <c r="D4296" s="1621"/>
      <c r="E4296" s="2246" t="s">
        <v>1934</v>
      </c>
      <c r="F4296" s="993">
        <v>2239</v>
      </c>
      <c r="G4296" s="1374" t="s">
        <v>1999</v>
      </c>
      <c r="H4296" s="2732"/>
      <c r="I4296" s="2732">
        <v>300</v>
      </c>
      <c r="J4296" s="2733"/>
      <c r="K4296" s="2731"/>
      <c r="L4296" s="2734"/>
      <c r="M4296" s="2732">
        <v>300</v>
      </c>
      <c r="N4296" s="2847"/>
      <c r="O4296" s="86"/>
      <c r="P4296" s="1817" t="e">
        <f>INDEX(#REF!,MATCH(F4296,#REF!,0),2)</f>
        <v>#REF!</v>
      </c>
    </row>
    <row r="4297" spans="1:16" ht="19.899999999999999" customHeight="1">
      <c r="A4297" s="1445"/>
      <c r="B4297" s="1003" t="s">
        <v>1248</v>
      </c>
      <c r="C4297" s="1003" t="s">
        <v>507</v>
      </c>
      <c r="D4297" s="1621"/>
      <c r="E4297" s="2246" t="s">
        <v>1934</v>
      </c>
      <c r="F4297" s="993">
        <v>2239</v>
      </c>
      <c r="G4297" s="1374" t="s">
        <v>3217</v>
      </c>
      <c r="H4297" s="2732"/>
      <c r="I4297" s="2732">
        <v>-150</v>
      </c>
      <c r="J4297" s="2733"/>
      <c r="K4297" s="2731"/>
      <c r="L4297" s="2734"/>
      <c r="M4297" s="2734"/>
      <c r="N4297" s="2847"/>
      <c r="O4297" s="86"/>
      <c r="P4297" s="1817" t="e">
        <f>INDEX(#REF!,MATCH(F4297,#REF!,0),2)</f>
        <v>#REF!</v>
      </c>
    </row>
    <row r="4298" spans="1:16" ht="19.899999999999999" customHeight="1">
      <c r="A4298" s="1891"/>
      <c r="B4298" s="1003" t="s">
        <v>1248</v>
      </c>
      <c r="C4298" s="1003" t="s">
        <v>507</v>
      </c>
      <c r="D4298" s="1621"/>
      <c r="E4298" s="2246" t="s">
        <v>1934</v>
      </c>
      <c r="F4298" s="993">
        <v>2239</v>
      </c>
      <c r="G4298" s="1529" t="s">
        <v>3309</v>
      </c>
      <c r="H4298" s="2732"/>
      <c r="I4298" s="2732">
        <v>-92</v>
      </c>
      <c r="J4298" s="2733"/>
      <c r="K4298" s="2731"/>
      <c r="L4298" s="2734"/>
      <c r="M4298" s="2734"/>
      <c r="N4298" s="2847"/>
      <c r="O4298" s="86"/>
      <c r="P4298" s="1817" t="e">
        <f>INDEX(#REF!,MATCH(F4298,#REF!,0),2)</f>
        <v>#REF!</v>
      </c>
    </row>
    <row r="4299" spans="1:16" ht="19.149999999999999" customHeight="1">
      <c r="A4299" s="1891"/>
      <c r="B4299" s="1003" t="s">
        <v>1248</v>
      </c>
      <c r="C4299" s="1003" t="s">
        <v>507</v>
      </c>
      <c r="D4299" s="1621"/>
      <c r="E4299" s="2246" t="s">
        <v>1934</v>
      </c>
      <c r="F4299" s="993">
        <v>2239</v>
      </c>
      <c r="G4299" s="1884" t="s">
        <v>3310</v>
      </c>
      <c r="H4299" s="2732"/>
      <c r="I4299" s="2732">
        <v>-74</v>
      </c>
      <c r="J4299" s="2733"/>
      <c r="K4299" s="2731"/>
      <c r="L4299" s="2734"/>
      <c r="M4299" s="2734"/>
      <c r="N4299" s="2847"/>
      <c r="O4299" s="86"/>
      <c r="P4299" s="1817" t="e">
        <f>INDEX(#REF!,MATCH(F4299,#REF!,0),2)</f>
        <v>#REF!</v>
      </c>
    </row>
    <row r="4300" spans="1:16" ht="12.6" customHeight="1">
      <c r="A4300" s="1891"/>
      <c r="B4300" s="1003" t="s">
        <v>1248</v>
      </c>
      <c r="C4300" s="1003" t="s">
        <v>507</v>
      </c>
      <c r="D4300" s="1621"/>
      <c r="E4300" s="2246" t="s">
        <v>1934</v>
      </c>
      <c r="F4300" s="993">
        <v>2239</v>
      </c>
      <c r="G4300" s="1884" t="s">
        <v>3311</v>
      </c>
      <c r="H4300" s="2732"/>
      <c r="I4300" s="2732">
        <v>-33</v>
      </c>
      <c r="J4300" s="2733"/>
      <c r="K4300" s="2731"/>
      <c r="L4300" s="2734"/>
      <c r="M4300" s="2734"/>
      <c r="N4300" s="2847"/>
      <c r="O4300" s="86"/>
      <c r="P4300" s="1817"/>
    </row>
    <row r="4301" spans="1:16" ht="12.6" customHeight="1">
      <c r="A4301" s="995"/>
      <c r="B4301" s="988" t="s">
        <v>1248</v>
      </c>
      <c r="C4301" s="988" t="s">
        <v>505</v>
      </c>
      <c r="D4301" s="1619">
        <v>901</v>
      </c>
      <c r="E4301" s="2281" t="s">
        <v>1934</v>
      </c>
      <c r="F4301" s="1010">
        <v>2241</v>
      </c>
      <c r="G4301" s="990" t="s">
        <v>276</v>
      </c>
      <c r="H4301" s="2720">
        <v>2200</v>
      </c>
      <c r="I4301" s="2720"/>
      <c r="J4301" s="2721"/>
      <c r="K4301" s="2722"/>
      <c r="L4301" s="2720">
        <v>2200</v>
      </c>
      <c r="M4301" s="2720"/>
      <c r="N4301" s="2847"/>
      <c r="O4301" s="86"/>
      <c r="P4301" s="1817" t="e">
        <f>INDEX(#REF!,MATCH(F4301,#REF!,0),2)</f>
        <v>#REF!</v>
      </c>
    </row>
    <row r="4302" spans="1:16" ht="12.6" customHeight="1">
      <c r="A4302" s="992"/>
      <c r="B4302" s="1003" t="s">
        <v>1248</v>
      </c>
      <c r="C4302" s="1003" t="s">
        <v>505</v>
      </c>
      <c r="D4302" s="1621"/>
      <c r="E4302" s="2246" t="s">
        <v>1934</v>
      </c>
      <c r="F4302" s="993">
        <v>2241</v>
      </c>
      <c r="G4302" s="1529" t="s">
        <v>2179</v>
      </c>
      <c r="H4302" s="2732"/>
      <c r="I4302" s="2732">
        <v>2000</v>
      </c>
      <c r="J4302" s="2733"/>
      <c r="K4302" s="2731"/>
      <c r="L4302" s="2732"/>
      <c r="M4302" s="2732">
        <v>2000</v>
      </c>
      <c r="N4302" s="2846" t="s">
        <v>3604</v>
      </c>
      <c r="O4302" s="86"/>
      <c r="P4302" s="1817" t="e">
        <f>INDEX(#REF!,MATCH(F4302,#REF!,0),2)</f>
        <v>#REF!</v>
      </c>
    </row>
    <row r="4303" spans="1:16" ht="10.5" customHeight="1">
      <c r="A4303" s="1003"/>
      <c r="B4303" s="1003" t="s">
        <v>1248</v>
      </c>
      <c r="C4303" s="1003" t="s">
        <v>505</v>
      </c>
      <c r="D4303" s="1621"/>
      <c r="E4303" s="2246" t="s">
        <v>1934</v>
      </c>
      <c r="F4303" s="993">
        <v>2241</v>
      </c>
      <c r="G4303" s="1007" t="s">
        <v>271</v>
      </c>
      <c r="H4303" s="2732"/>
      <c r="I4303" s="2732">
        <v>200</v>
      </c>
      <c r="J4303" s="2737"/>
      <c r="K4303" s="2731"/>
      <c r="L4303" s="2732"/>
      <c r="M4303" s="2732">
        <v>200</v>
      </c>
      <c r="N4303" s="2847"/>
      <c r="O4303" s="86"/>
      <c r="P4303" s="1817" t="e">
        <f>INDEX(#REF!,MATCH(F4303,#REF!,0),2)</f>
        <v>#REF!</v>
      </c>
    </row>
    <row r="4304" spans="1:16" ht="10.5" customHeight="1">
      <c r="A4304" s="995"/>
      <c r="B4304" s="988" t="s">
        <v>1248</v>
      </c>
      <c r="C4304" s="988" t="s">
        <v>505</v>
      </c>
      <c r="D4304" s="1619">
        <v>901</v>
      </c>
      <c r="E4304" s="2281" t="s">
        <v>1934</v>
      </c>
      <c r="F4304" s="989">
        <v>2243</v>
      </c>
      <c r="G4304" s="990" t="s">
        <v>329</v>
      </c>
      <c r="H4304" s="2720">
        <v>150</v>
      </c>
      <c r="I4304" s="2720"/>
      <c r="J4304" s="2721"/>
      <c r="K4304" s="2722"/>
      <c r="L4304" s="2720">
        <v>300</v>
      </c>
      <c r="M4304" s="2720"/>
      <c r="N4304" s="2847"/>
      <c r="O4304" s="86"/>
      <c r="P4304" s="1817" t="e">
        <f>INDEX(#REF!,MATCH(F4304,#REF!,0),2)</f>
        <v>#REF!</v>
      </c>
    </row>
    <row r="4305" spans="1:23" ht="10.5" customHeight="1">
      <c r="A4305" s="1003"/>
      <c r="B4305" s="1003" t="s">
        <v>1248</v>
      </c>
      <c r="C4305" s="1003" t="s">
        <v>505</v>
      </c>
      <c r="D4305" s="1620"/>
      <c r="E4305" s="2246" t="s">
        <v>1934</v>
      </c>
      <c r="F4305" s="993">
        <v>2243</v>
      </c>
      <c r="G4305" s="1008" t="s">
        <v>1388</v>
      </c>
      <c r="H4305" s="2732"/>
      <c r="I4305" s="2732">
        <v>150</v>
      </c>
      <c r="J4305" s="2737"/>
      <c r="K4305" s="2731"/>
      <c r="L4305" s="2732"/>
      <c r="M4305" s="2732">
        <v>150</v>
      </c>
      <c r="N4305" s="2847"/>
      <c r="O4305" s="86"/>
      <c r="P4305" s="1817" t="e">
        <f>INDEX(#REF!,MATCH(F4305,#REF!,0),2)</f>
        <v>#REF!</v>
      </c>
    </row>
    <row r="4306" spans="1:23" ht="10.5" customHeight="1">
      <c r="A4306" s="2739"/>
      <c r="B4306" s="1003" t="s">
        <v>1248</v>
      </c>
      <c r="C4306" s="1003" t="s">
        <v>505</v>
      </c>
      <c r="D4306" s="1620"/>
      <c r="E4306" s="2246" t="s">
        <v>1934</v>
      </c>
      <c r="F4306" s="993">
        <v>2243</v>
      </c>
      <c r="G4306" s="2743" t="s">
        <v>3605</v>
      </c>
      <c r="H4306" s="2732"/>
      <c r="I4306" s="2732"/>
      <c r="J4306" s="2737"/>
      <c r="K4306" s="2731"/>
      <c r="L4306" s="2732"/>
      <c r="M4306" s="2732">
        <v>150</v>
      </c>
      <c r="N4306" s="241"/>
      <c r="O4306" s="86"/>
      <c r="P4306" s="1817" t="e">
        <f>INDEX(#REF!,MATCH(F4306,#REF!,0),2)</f>
        <v>#REF!</v>
      </c>
    </row>
    <row r="4307" spans="1:23" ht="24" customHeight="1">
      <c r="A4307" s="778"/>
      <c r="B4307" s="778" t="s">
        <v>1248</v>
      </c>
      <c r="C4307" s="1003" t="s">
        <v>505</v>
      </c>
      <c r="D4307" s="1620"/>
      <c r="E4307" s="2246" t="s">
        <v>1934</v>
      </c>
      <c r="F4307" s="993">
        <v>2243</v>
      </c>
      <c r="G4307" s="779" t="s">
        <v>1389</v>
      </c>
      <c r="H4307" s="2732"/>
      <c r="I4307" s="2732">
        <v>0</v>
      </c>
      <c r="J4307" s="2737"/>
      <c r="K4307" s="2731"/>
      <c r="L4307" s="2734"/>
      <c r="M4307" s="2734"/>
      <c r="N4307" s="2847"/>
      <c r="O4307" s="86"/>
      <c r="P4307" s="1817" t="e">
        <f>INDEX(#REF!,MATCH(F4307,#REF!,0),2)</f>
        <v>#REF!</v>
      </c>
      <c r="V4307" s="81"/>
      <c r="W4307"/>
    </row>
    <row r="4308" spans="1:23">
      <c r="A4308" s="995"/>
      <c r="B4308" s="988" t="s">
        <v>1248</v>
      </c>
      <c r="C4308" s="988" t="s">
        <v>505</v>
      </c>
      <c r="D4308" s="1619">
        <v>901</v>
      </c>
      <c r="E4308" s="2281" t="s">
        <v>1934</v>
      </c>
      <c r="F4308" s="989">
        <v>2244</v>
      </c>
      <c r="G4308" s="990" t="s">
        <v>518</v>
      </c>
      <c r="H4308" s="2720">
        <v>0</v>
      </c>
      <c r="I4308" s="2720"/>
      <c r="J4308" s="2721"/>
      <c r="K4308" s="2722"/>
      <c r="L4308" s="2720">
        <v>0</v>
      </c>
      <c r="M4308" s="2720"/>
      <c r="N4308" s="2847"/>
      <c r="O4308" s="86"/>
      <c r="P4308" s="1817" t="e">
        <f>INDEX(#REF!,MATCH(F4308,#REF!,0),2)</f>
        <v>#REF!</v>
      </c>
    </row>
    <row r="4309" spans="1:23">
      <c r="A4309" s="1003"/>
      <c r="B4309" s="1003" t="s">
        <v>1248</v>
      </c>
      <c r="C4309" s="1003" t="s">
        <v>505</v>
      </c>
      <c r="D4309" s="1621"/>
      <c r="E4309" s="2246" t="s">
        <v>1934</v>
      </c>
      <c r="F4309" s="993">
        <v>2244</v>
      </c>
      <c r="G4309" s="996" t="s">
        <v>1390</v>
      </c>
      <c r="H4309" s="2732"/>
      <c r="I4309" s="2732"/>
      <c r="J4309" s="2737"/>
      <c r="K4309" s="2731"/>
      <c r="L4309" s="2732"/>
      <c r="M4309" s="2732"/>
      <c r="N4309" s="2847"/>
      <c r="O4309" s="86"/>
      <c r="P4309" s="1817" t="e">
        <f>INDEX(#REF!,MATCH(F4309,#REF!,0),2)</f>
        <v>#REF!</v>
      </c>
    </row>
    <row r="4310" spans="1:23">
      <c r="A4310" s="988"/>
      <c r="B4310" s="988" t="s">
        <v>1248</v>
      </c>
      <c r="C4310" s="988" t="s">
        <v>505</v>
      </c>
      <c r="D4310" s="1619">
        <v>901</v>
      </c>
      <c r="E4310" s="2281" t="s">
        <v>1934</v>
      </c>
      <c r="F4310" s="989">
        <v>2247</v>
      </c>
      <c r="G4310" s="990" t="s">
        <v>309</v>
      </c>
      <c r="H4310" s="2720">
        <v>11930</v>
      </c>
      <c r="I4310" s="2720"/>
      <c r="J4310" s="2721">
        <v>587</v>
      </c>
      <c r="K4310" s="2722"/>
      <c r="L4310" s="2720">
        <v>11600</v>
      </c>
      <c r="M4310" s="2724"/>
      <c r="N4310" s="2847"/>
      <c r="O4310" s="86"/>
      <c r="P4310" s="1817" t="e">
        <f>INDEX(#REF!,MATCH(F4310,#REF!,0),2)</f>
        <v>#REF!</v>
      </c>
    </row>
    <row r="4311" spans="1:23">
      <c r="A4311" s="1003"/>
      <c r="B4311" s="1003" t="s">
        <v>1248</v>
      </c>
      <c r="C4311" s="1003" t="s">
        <v>505</v>
      </c>
      <c r="D4311" s="1621"/>
      <c r="E4311" s="2246" t="s">
        <v>1934</v>
      </c>
      <c r="F4311" s="993">
        <v>2247</v>
      </c>
      <c r="G4311" s="1446" t="s">
        <v>850</v>
      </c>
      <c r="H4311" s="2732"/>
      <c r="I4311" s="2732">
        <v>165</v>
      </c>
      <c r="J4311" s="2733"/>
      <c r="K4311" s="2731"/>
      <c r="L4311" s="2734"/>
      <c r="M4311" s="2732"/>
      <c r="N4311" s="2847"/>
      <c r="O4311" s="86"/>
      <c r="P4311" s="1817" t="e">
        <f>INDEX(#REF!,MATCH(F4311,#REF!,0),2)</f>
        <v>#REF!</v>
      </c>
    </row>
    <row r="4312" spans="1:23">
      <c r="A4312" s="1566"/>
      <c r="B4312" s="1003" t="s">
        <v>1248</v>
      </c>
      <c r="C4312" s="1003" t="s">
        <v>505</v>
      </c>
      <c r="D4312" s="1621"/>
      <c r="E4312" s="2246" t="s">
        <v>1934</v>
      </c>
      <c r="F4312" s="993">
        <v>2247</v>
      </c>
      <c r="G4312" s="1570" t="s">
        <v>3606</v>
      </c>
      <c r="H4312" s="2732"/>
      <c r="I4312" s="2732">
        <v>7700</v>
      </c>
      <c r="J4312" s="2733"/>
      <c r="K4312" s="2731"/>
      <c r="L4312" s="2734"/>
      <c r="M4312" s="2732">
        <v>11600</v>
      </c>
      <c r="N4312" s="3756" t="s">
        <v>6130</v>
      </c>
      <c r="O4312" s="86"/>
      <c r="P4312" s="1817" t="e">
        <f>INDEX(#REF!,MATCH(F4312,#REF!,0),2)</f>
        <v>#REF!</v>
      </c>
    </row>
    <row r="4313" spans="1:23" ht="22.5">
      <c r="A4313" s="1889"/>
      <c r="B4313" s="1003" t="s">
        <v>1248</v>
      </c>
      <c r="C4313" s="1003" t="s">
        <v>505</v>
      </c>
      <c r="D4313" s="1621"/>
      <c r="E4313" s="2246" t="s">
        <v>1934</v>
      </c>
      <c r="F4313" s="993">
        <v>2247</v>
      </c>
      <c r="G4313" s="1884" t="s">
        <v>3312</v>
      </c>
      <c r="H4313" s="2732"/>
      <c r="I4313" s="2732">
        <v>2000</v>
      </c>
      <c r="J4313" s="2733"/>
      <c r="K4313" s="2731"/>
      <c r="L4313" s="2734"/>
      <c r="M4313" s="2734"/>
      <c r="N4313" s="2847"/>
      <c r="O4313" s="86"/>
      <c r="P4313" s="1817" t="e">
        <f>INDEX(#REF!,MATCH(F4313,#REF!,0),2)</f>
        <v>#REF!</v>
      </c>
    </row>
    <row r="4314" spans="1:23" ht="12.6" customHeight="1">
      <c r="A4314" s="1889"/>
      <c r="B4314" s="1003" t="s">
        <v>1248</v>
      </c>
      <c r="C4314" s="1003" t="s">
        <v>505</v>
      </c>
      <c r="D4314" s="1621"/>
      <c r="E4314" s="2246" t="s">
        <v>1934</v>
      </c>
      <c r="F4314" s="993">
        <v>2247</v>
      </c>
      <c r="G4314" s="1885" t="s">
        <v>3313</v>
      </c>
      <c r="H4314" s="2732"/>
      <c r="I4314" s="2732">
        <v>2100</v>
      </c>
      <c r="J4314" s="2733"/>
      <c r="K4314" s="2731"/>
      <c r="L4314" s="2734"/>
      <c r="M4314" s="2734"/>
      <c r="N4314" s="2847"/>
      <c r="O4314" s="86"/>
      <c r="P4314" s="1817" t="e">
        <f>INDEX(#REF!,MATCH(F4314,#REF!,0),2)</f>
        <v>#REF!</v>
      </c>
    </row>
    <row r="4315" spans="1:23" ht="19.149999999999999" customHeight="1">
      <c r="A4315" s="988"/>
      <c r="B4315" s="988" t="s">
        <v>1248</v>
      </c>
      <c r="C4315" s="988" t="s">
        <v>505</v>
      </c>
      <c r="D4315" s="1619"/>
      <c r="E4315" s="2281" t="s">
        <v>1934</v>
      </c>
      <c r="F4315" s="1010">
        <v>2250</v>
      </c>
      <c r="G4315" s="990" t="s">
        <v>1254</v>
      </c>
      <c r="H4315" s="2720">
        <v>500</v>
      </c>
      <c r="I4315" s="2720"/>
      <c r="J4315" s="2721">
        <v>465</v>
      </c>
      <c r="K4315" s="2722"/>
      <c r="L4315" s="2720">
        <v>2158</v>
      </c>
      <c r="M4315" s="2724"/>
      <c r="N4315" s="2847"/>
      <c r="O4315" s="86"/>
      <c r="P4315" s="1817" t="e">
        <f>INDEX(#REF!,MATCH(F4315,#REF!,0),2)</f>
        <v>#REF!</v>
      </c>
    </row>
    <row r="4316" spans="1:23" ht="12.6" customHeight="1">
      <c r="A4316" s="1889"/>
      <c r="B4316" s="1889" t="s">
        <v>1248</v>
      </c>
      <c r="C4316" s="1889" t="s">
        <v>505</v>
      </c>
      <c r="D4316" s="2360"/>
      <c r="E4316" s="2229" t="s">
        <v>1934</v>
      </c>
      <c r="F4316" s="1936">
        <v>2250</v>
      </c>
      <c r="G4316" s="1885" t="s">
        <v>3607</v>
      </c>
      <c r="H4316" s="2732"/>
      <c r="I4316" s="2732">
        <v>208</v>
      </c>
      <c r="J4316" s="2733"/>
      <c r="K4316" s="2731"/>
      <c r="L4316" s="2734"/>
      <c r="M4316" s="2732">
        <v>208</v>
      </c>
      <c r="N4316" s="2847"/>
      <c r="O4316" s="86"/>
      <c r="P4316" s="1817" t="e">
        <f>INDEX(#REF!,MATCH(F4316,#REF!,0),2)</f>
        <v>#REF!</v>
      </c>
    </row>
    <row r="4317" spans="1:23" ht="11.45" customHeight="1">
      <c r="A4317" s="1889"/>
      <c r="B4317" s="1889" t="s">
        <v>1248</v>
      </c>
      <c r="C4317" s="1889" t="s">
        <v>505</v>
      </c>
      <c r="D4317" s="2360"/>
      <c r="E4317" s="2229" t="s">
        <v>1934</v>
      </c>
      <c r="F4317" s="1936">
        <v>2250</v>
      </c>
      <c r="G4317" s="1885" t="s">
        <v>3608</v>
      </c>
      <c r="H4317" s="2732"/>
      <c r="I4317" s="2732">
        <v>150</v>
      </c>
      <c r="J4317" s="2733"/>
      <c r="K4317" s="2731"/>
      <c r="L4317" s="2734"/>
      <c r="M4317" s="2732">
        <v>150</v>
      </c>
      <c r="N4317" s="2847"/>
      <c r="O4317" s="86"/>
      <c r="P4317" s="1817" t="e">
        <f>INDEX(#REF!,MATCH(F4317,#REF!,0),2)</f>
        <v>#REF!</v>
      </c>
    </row>
    <row r="4318" spans="1:23" ht="20.45" customHeight="1">
      <c r="A4318" s="762" t="s">
        <v>1403</v>
      </c>
      <c r="B4318" s="762" t="s">
        <v>1248</v>
      </c>
      <c r="C4318" s="992" t="s">
        <v>505</v>
      </c>
      <c r="D4318" s="1620"/>
      <c r="E4318" s="2246" t="s">
        <v>1934</v>
      </c>
      <c r="F4318" s="1011">
        <v>2250</v>
      </c>
      <c r="G4318" s="779" t="s">
        <v>1406</v>
      </c>
      <c r="H4318" s="2732"/>
      <c r="I4318" s="2732">
        <v>400</v>
      </c>
      <c r="J4318" s="2733"/>
      <c r="K4318" s="2736"/>
      <c r="L4318" s="2732"/>
      <c r="M4318" s="2732">
        <v>400</v>
      </c>
      <c r="N4318" s="3768" t="s">
        <v>5233</v>
      </c>
      <c r="O4318" s="86"/>
      <c r="P4318" s="1817" t="e">
        <f>INDEX(#REF!,MATCH(F4318,#REF!,0),2)</f>
        <v>#REF!</v>
      </c>
    </row>
    <row r="4319" spans="1:23" ht="20.45" customHeight="1">
      <c r="A4319" s="1370"/>
      <c r="B4319" s="762" t="s">
        <v>1248</v>
      </c>
      <c r="C4319" s="992" t="s">
        <v>505</v>
      </c>
      <c r="D4319" s="1620"/>
      <c r="E4319" s="2246" t="s">
        <v>1934</v>
      </c>
      <c r="F4319" s="1011">
        <v>2250</v>
      </c>
      <c r="G4319" s="1559" t="s">
        <v>1387</v>
      </c>
      <c r="H4319" s="2732"/>
      <c r="I4319" s="2732">
        <v>1150</v>
      </c>
      <c r="J4319" s="2733"/>
      <c r="K4319" s="2736"/>
      <c r="L4319" s="2732"/>
      <c r="M4319" s="2732">
        <v>1400</v>
      </c>
      <c r="N4319" s="2847"/>
      <c r="O4319" s="86"/>
      <c r="P4319" s="1817" t="e">
        <f>INDEX(#REF!,MATCH(F4319,#REF!,0),2)</f>
        <v>#REF!</v>
      </c>
    </row>
    <row r="4320" spans="1:23" ht="12.6" customHeight="1">
      <c r="A4320" s="1889"/>
      <c r="B4320" s="1889" t="s">
        <v>1248</v>
      </c>
      <c r="C4320" s="1889" t="s">
        <v>505</v>
      </c>
      <c r="D4320" s="2360"/>
      <c r="E4320" s="2229" t="s">
        <v>1934</v>
      </c>
      <c r="F4320" s="1936">
        <v>2250</v>
      </c>
      <c r="G4320" s="1884" t="s">
        <v>3310</v>
      </c>
      <c r="H4320" s="2732"/>
      <c r="I4320" s="2732">
        <v>74</v>
      </c>
      <c r="J4320" s="2733"/>
      <c r="K4320" s="2731"/>
      <c r="L4320" s="2734"/>
      <c r="M4320" s="2734"/>
      <c r="N4320" s="2847"/>
      <c r="O4320" s="86"/>
      <c r="P4320" s="1817" t="e">
        <f>INDEX(#REF!,MATCH(F4320,#REF!,0),2)</f>
        <v>#REF!</v>
      </c>
    </row>
    <row r="4321" spans="1:16" ht="22.15" customHeight="1">
      <c r="A4321" s="1889"/>
      <c r="B4321" s="1889" t="s">
        <v>1248</v>
      </c>
      <c r="C4321" s="1889" t="s">
        <v>505</v>
      </c>
      <c r="D4321" s="2360"/>
      <c r="E4321" s="2229" t="s">
        <v>1934</v>
      </c>
      <c r="F4321" s="1936">
        <v>2250</v>
      </c>
      <c r="G4321" s="1884" t="s">
        <v>3311</v>
      </c>
      <c r="H4321" s="2732"/>
      <c r="I4321" s="2732">
        <v>33</v>
      </c>
      <c r="J4321" s="2733"/>
      <c r="K4321" s="2731"/>
      <c r="L4321" s="2734"/>
      <c r="M4321" s="2734"/>
      <c r="N4321" s="2847"/>
      <c r="O4321" s="86"/>
      <c r="P4321" s="1817"/>
    </row>
    <row r="4322" spans="1:16" ht="21" customHeight="1">
      <c r="A4322" s="995"/>
      <c r="B4322" s="988" t="s">
        <v>1248</v>
      </c>
      <c r="C4322" s="988" t="s">
        <v>505</v>
      </c>
      <c r="D4322" s="1619">
        <v>901</v>
      </c>
      <c r="E4322" s="2281" t="s">
        <v>1934</v>
      </c>
      <c r="F4322" s="1010">
        <v>2264</v>
      </c>
      <c r="G4322" s="990" t="s">
        <v>240</v>
      </c>
      <c r="H4322" s="2720">
        <v>500</v>
      </c>
      <c r="I4322" s="2720"/>
      <c r="J4322" s="2721">
        <v>113</v>
      </c>
      <c r="K4322" s="2722"/>
      <c r="L4322" s="2720">
        <v>0</v>
      </c>
      <c r="M4322" s="2724"/>
      <c r="N4322" s="2847"/>
      <c r="O4322" s="86"/>
      <c r="P4322" s="1817" t="e">
        <f>INDEX(#REF!,MATCH(F4322,#REF!,0),2)</f>
        <v>#REF!</v>
      </c>
    </row>
    <row r="4323" spans="1:16" ht="12.6" customHeight="1">
      <c r="A4323" s="992"/>
      <c r="B4323" s="992" t="s">
        <v>1248</v>
      </c>
      <c r="C4323" s="992" t="s">
        <v>505</v>
      </c>
      <c r="D4323" s="1620"/>
      <c r="E4323" s="2246" t="s">
        <v>1934</v>
      </c>
      <c r="F4323" s="993">
        <v>2264</v>
      </c>
      <c r="G4323" s="996" t="s">
        <v>1391</v>
      </c>
      <c r="H4323" s="2732"/>
      <c r="I4323" s="2732">
        <v>500</v>
      </c>
      <c r="J4323" s="2733"/>
      <c r="K4323" s="2731"/>
      <c r="L4323" s="2734"/>
      <c r="M4323" s="2734"/>
      <c r="N4323" s="2847"/>
      <c r="O4323" s="86"/>
      <c r="P4323" s="1817" t="e">
        <f>INDEX(#REF!,MATCH(F4323,#REF!,0),2)</f>
        <v>#REF!</v>
      </c>
    </row>
    <row r="4324" spans="1:16" ht="12.6" customHeight="1">
      <c r="A4324" s="995"/>
      <c r="B4324" s="988" t="s">
        <v>1248</v>
      </c>
      <c r="C4324" s="988" t="s">
        <v>507</v>
      </c>
      <c r="D4324" s="1619">
        <v>901</v>
      </c>
      <c r="E4324" s="2281" t="s">
        <v>1934</v>
      </c>
      <c r="F4324" s="989">
        <v>2311</v>
      </c>
      <c r="G4324" s="990" t="s">
        <v>245</v>
      </c>
      <c r="H4324" s="2720">
        <v>450</v>
      </c>
      <c r="I4324" s="2720"/>
      <c r="J4324" s="2721">
        <v>406</v>
      </c>
      <c r="K4324" s="2722"/>
      <c r="L4324" s="2720">
        <v>1550</v>
      </c>
      <c r="M4324" s="2720"/>
      <c r="N4324" s="2847"/>
      <c r="O4324" s="86"/>
      <c r="P4324" s="1817" t="e">
        <f>INDEX(#REF!,MATCH(F4324,#REF!,0),2)</f>
        <v>#REF!</v>
      </c>
    </row>
    <row r="4325" spans="1:16" ht="12.6" customHeight="1">
      <c r="A4325" s="992"/>
      <c r="B4325" s="992" t="s">
        <v>1248</v>
      </c>
      <c r="C4325" s="992" t="s">
        <v>507</v>
      </c>
      <c r="D4325" s="1620"/>
      <c r="E4325" s="2246" t="s">
        <v>1934</v>
      </c>
      <c r="F4325" s="993">
        <v>2311</v>
      </c>
      <c r="G4325" s="996" t="s">
        <v>3609</v>
      </c>
      <c r="H4325" s="2732"/>
      <c r="I4325" s="2732">
        <v>150</v>
      </c>
      <c r="J4325" s="2733"/>
      <c r="K4325" s="2731"/>
      <c r="L4325" s="2732"/>
      <c r="M4325" s="4284">
        <v>800</v>
      </c>
      <c r="N4325" s="241" t="s">
        <v>6131</v>
      </c>
      <c r="O4325" s="86"/>
      <c r="P4325" s="1817" t="e">
        <f>INDEX(#REF!,MATCH(F4325,#REF!,0),2)</f>
        <v>#REF!</v>
      </c>
    </row>
    <row r="4326" spans="1:16" ht="12.6" customHeight="1">
      <c r="A4326" s="992"/>
      <c r="B4326" s="992" t="s">
        <v>1248</v>
      </c>
      <c r="C4326" s="992" t="s">
        <v>507</v>
      </c>
      <c r="D4326" s="1620"/>
      <c r="E4326" s="2246" t="s">
        <v>1934</v>
      </c>
      <c r="F4326" s="993">
        <v>2311</v>
      </c>
      <c r="G4326" s="996" t="s">
        <v>1392</v>
      </c>
      <c r="H4326" s="2732"/>
      <c r="I4326" s="2732">
        <v>300</v>
      </c>
      <c r="J4326" s="2733"/>
      <c r="K4326" s="2731"/>
      <c r="L4326" s="2732"/>
      <c r="M4326" s="2732">
        <v>500</v>
      </c>
      <c r="N4326" s="2847"/>
      <c r="O4326" s="86"/>
      <c r="P4326" s="1817" t="e">
        <f>INDEX(#REF!,MATCH(F4326,#REF!,0),2)</f>
        <v>#REF!</v>
      </c>
    </row>
    <row r="4327" spans="1:16" ht="12.6" customHeight="1">
      <c r="A4327" s="2587"/>
      <c r="B4327" s="992" t="s">
        <v>1248</v>
      </c>
      <c r="C4327" s="992" t="s">
        <v>507</v>
      </c>
      <c r="D4327" s="1620"/>
      <c r="E4327" s="2246" t="s">
        <v>1934</v>
      </c>
      <c r="F4327" s="993">
        <v>2311</v>
      </c>
      <c r="G4327" s="2590" t="s">
        <v>3610</v>
      </c>
      <c r="H4327" s="2732"/>
      <c r="I4327" s="2732"/>
      <c r="J4327" s="2733"/>
      <c r="K4327" s="2731"/>
      <c r="L4327" s="2732"/>
      <c r="M4327" s="2732">
        <v>250</v>
      </c>
      <c r="N4327" s="2847"/>
      <c r="O4327" s="86"/>
      <c r="P4327" s="1817" t="e">
        <f>INDEX(#REF!,MATCH(F4327,#REF!,0),2)</f>
        <v>#REF!</v>
      </c>
    </row>
    <row r="4328" spans="1:16" ht="12.6" customHeight="1">
      <c r="A4328" s="995"/>
      <c r="B4328" s="988" t="s">
        <v>1248</v>
      </c>
      <c r="C4328" s="988" t="s">
        <v>507</v>
      </c>
      <c r="D4328" s="1619">
        <v>901</v>
      </c>
      <c r="E4328" s="2281" t="s">
        <v>1934</v>
      </c>
      <c r="F4328" s="1010">
        <v>2312</v>
      </c>
      <c r="G4328" s="990" t="s">
        <v>249</v>
      </c>
      <c r="H4328" s="2720">
        <v>12036</v>
      </c>
      <c r="I4328" s="2720"/>
      <c r="J4328" s="2721">
        <v>6978</v>
      </c>
      <c r="K4328" s="2722"/>
      <c r="L4328" s="2720">
        <v>6840</v>
      </c>
      <c r="M4328" s="2724"/>
      <c r="N4328" s="241" t="s">
        <v>5998</v>
      </c>
      <c r="O4328" s="86"/>
      <c r="P4328" s="1817" t="e">
        <f>INDEX(#REF!,MATCH(F4328,#REF!,0),2)</f>
        <v>#REF!</v>
      </c>
    </row>
    <row r="4329" spans="1:16" ht="12.6" customHeight="1">
      <c r="A4329" s="992"/>
      <c r="B4329" s="992" t="s">
        <v>1248</v>
      </c>
      <c r="C4329" s="992" t="s">
        <v>507</v>
      </c>
      <c r="D4329" s="1620"/>
      <c r="E4329" s="2246" t="s">
        <v>1934</v>
      </c>
      <c r="F4329" s="993">
        <v>2312</v>
      </c>
      <c r="G4329" s="996" t="s">
        <v>3621</v>
      </c>
      <c r="H4329" s="2732"/>
      <c r="I4329" s="2732">
        <v>2000</v>
      </c>
      <c r="J4329" s="2733"/>
      <c r="K4329" s="2731"/>
      <c r="L4329" s="2734"/>
      <c r="M4329" s="4284">
        <v>1000</v>
      </c>
      <c r="N4329" s="241" t="s">
        <v>6025</v>
      </c>
      <c r="O4329" s="86"/>
      <c r="P4329" s="1817"/>
    </row>
    <row r="4330" spans="1:16" ht="12.6" customHeight="1">
      <c r="A4330" s="992"/>
      <c r="B4330" s="992" t="s">
        <v>1248</v>
      </c>
      <c r="C4330" s="992" t="s">
        <v>507</v>
      </c>
      <c r="D4330" s="1620"/>
      <c r="E4330" s="2246" t="s">
        <v>1934</v>
      </c>
      <c r="F4330" s="993">
        <v>2312</v>
      </c>
      <c r="G4330" s="2590" t="s">
        <v>3611</v>
      </c>
      <c r="H4330" s="2732"/>
      <c r="I4330" s="2732">
        <v>1900</v>
      </c>
      <c r="J4330" s="2733"/>
      <c r="K4330" s="2731"/>
      <c r="L4330" s="2734"/>
      <c r="M4330" s="2732">
        <v>0</v>
      </c>
      <c r="N4330" s="3756" t="s">
        <v>6132</v>
      </c>
      <c r="O4330" s="86"/>
      <c r="P4330" s="1817" t="e">
        <f>INDEX(#REF!,MATCH(F4330,#REF!,0),2)</f>
        <v>#REF!</v>
      </c>
    </row>
    <row r="4331" spans="1:16" ht="12.6" customHeight="1">
      <c r="A4331" s="762"/>
      <c r="B4331" s="992" t="s">
        <v>1248</v>
      </c>
      <c r="C4331" s="992" t="s">
        <v>507</v>
      </c>
      <c r="D4331" s="1620"/>
      <c r="E4331" s="2246" t="s">
        <v>1934</v>
      </c>
      <c r="F4331" s="993">
        <v>2312</v>
      </c>
      <c r="G4331" s="772" t="s">
        <v>1393</v>
      </c>
      <c r="H4331" s="2732"/>
      <c r="I4331" s="2732">
        <v>200</v>
      </c>
      <c r="J4331" s="2733"/>
      <c r="K4331" s="2731"/>
      <c r="L4331" s="2734"/>
      <c r="M4331" s="2732">
        <v>200</v>
      </c>
      <c r="N4331" s="2847"/>
      <c r="O4331" s="86"/>
      <c r="P4331" s="1817"/>
    </row>
    <row r="4332" spans="1:16" ht="15.6" customHeight="1">
      <c r="A4332" s="762"/>
      <c r="B4332" s="992" t="s">
        <v>1248</v>
      </c>
      <c r="C4332" s="992" t="s">
        <v>507</v>
      </c>
      <c r="D4332" s="1620"/>
      <c r="E4332" s="2246" t="s">
        <v>1934</v>
      </c>
      <c r="F4332" s="993">
        <v>2312</v>
      </c>
      <c r="G4332" s="772" t="s">
        <v>1394</v>
      </c>
      <c r="H4332" s="2732"/>
      <c r="I4332" s="2732">
        <v>1500</v>
      </c>
      <c r="J4332" s="2733"/>
      <c r="K4332" s="2731"/>
      <c r="L4332" s="2734"/>
      <c r="M4332" s="2732">
        <v>1700</v>
      </c>
      <c r="N4332" s="2847"/>
      <c r="O4332" s="86"/>
      <c r="P4332" s="1817"/>
    </row>
    <row r="4333" spans="1:16" ht="15.6" customHeight="1">
      <c r="A4333" s="762"/>
      <c r="B4333" s="992" t="s">
        <v>1248</v>
      </c>
      <c r="C4333" s="992" t="s">
        <v>507</v>
      </c>
      <c r="D4333" s="1620"/>
      <c r="E4333" s="2246" t="s">
        <v>1934</v>
      </c>
      <c r="F4333" s="993">
        <v>2312</v>
      </c>
      <c r="G4333" s="2590" t="s">
        <v>3612</v>
      </c>
      <c r="H4333" s="2732"/>
      <c r="I4333" s="2732">
        <v>1000</v>
      </c>
      <c r="J4333" s="2733"/>
      <c r="K4333" s="2731"/>
      <c r="L4333" s="2734"/>
      <c r="M4333" s="2732">
        <v>1600</v>
      </c>
      <c r="N4333" s="2847"/>
      <c r="O4333" s="86"/>
      <c r="P4333" s="1817"/>
    </row>
    <row r="4334" spans="1:16" ht="15.6" customHeight="1">
      <c r="A4334" s="762"/>
      <c r="B4334" s="992" t="s">
        <v>1248</v>
      </c>
      <c r="C4334" s="992" t="s">
        <v>507</v>
      </c>
      <c r="D4334" s="1620"/>
      <c r="E4334" s="2246" t="s">
        <v>1934</v>
      </c>
      <c r="F4334" s="993">
        <v>2312</v>
      </c>
      <c r="G4334" s="2590" t="s">
        <v>3613</v>
      </c>
      <c r="H4334" s="2732"/>
      <c r="I4334" s="2732">
        <v>800</v>
      </c>
      <c r="J4334" s="2733"/>
      <c r="K4334" s="2731"/>
      <c r="L4334" s="2734"/>
      <c r="M4334" s="2732">
        <v>1000</v>
      </c>
      <c r="N4334" s="2847"/>
      <c r="O4334" s="86"/>
      <c r="P4334" s="1817" t="e">
        <f>INDEX(#REF!,MATCH(F4334,#REF!,0),2)</f>
        <v>#REF!</v>
      </c>
    </row>
    <row r="4335" spans="1:16" ht="15.6" customHeight="1">
      <c r="A4335" s="2587"/>
      <c r="B4335" s="2587" t="s">
        <v>1248</v>
      </c>
      <c r="C4335" s="2587" t="s">
        <v>507</v>
      </c>
      <c r="D4335" s="2740"/>
      <c r="E4335" s="2741" t="s">
        <v>1934</v>
      </c>
      <c r="F4335" s="2742">
        <v>2312</v>
      </c>
      <c r="G4335" s="2590" t="s">
        <v>3614</v>
      </c>
      <c r="H4335" s="2732"/>
      <c r="I4335" s="2732"/>
      <c r="J4335" s="2733"/>
      <c r="K4335" s="2731"/>
      <c r="L4335" s="2734"/>
      <c r="M4335" s="2732">
        <v>0</v>
      </c>
      <c r="N4335" s="3756" t="s">
        <v>6133</v>
      </c>
      <c r="O4335" s="86"/>
      <c r="P4335" s="1817"/>
    </row>
    <row r="4336" spans="1:16" ht="21" customHeight="1">
      <c r="A4336" s="762"/>
      <c r="B4336" s="992" t="s">
        <v>1248</v>
      </c>
      <c r="C4336" s="992" t="s">
        <v>507</v>
      </c>
      <c r="D4336" s="1620"/>
      <c r="E4336" s="2246" t="s">
        <v>1934</v>
      </c>
      <c r="F4336" s="993">
        <v>2312</v>
      </c>
      <c r="G4336" s="2590" t="s">
        <v>3615</v>
      </c>
      <c r="H4336" s="2732"/>
      <c r="I4336" s="2732">
        <v>150</v>
      </c>
      <c r="J4336" s="2733"/>
      <c r="K4336" s="2731"/>
      <c r="L4336" s="2734"/>
      <c r="M4336" s="2732">
        <v>120</v>
      </c>
      <c r="N4336" s="2847"/>
      <c r="O4336" s="86"/>
      <c r="P4336" s="1817"/>
    </row>
    <row r="4337" spans="1:16" ht="21" customHeight="1">
      <c r="A4337" s="2587"/>
      <c r="B4337" s="992" t="s">
        <v>1248</v>
      </c>
      <c r="C4337" s="992" t="s">
        <v>507</v>
      </c>
      <c r="D4337" s="1620"/>
      <c r="E4337" s="2246" t="s">
        <v>1934</v>
      </c>
      <c r="F4337" s="993">
        <v>2312</v>
      </c>
      <c r="G4337" s="2590" t="s">
        <v>3616</v>
      </c>
      <c r="H4337" s="2732"/>
      <c r="I4337" s="2732"/>
      <c r="J4337" s="2733"/>
      <c r="K4337" s="2731"/>
      <c r="L4337" s="2734"/>
      <c r="M4337" s="2732">
        <v>120</v>
      </c>
      <c r="N4337" s="2847"/>
      <c r="O4337" s="86"/>
      <c r="P4337" s="1817"/>
    </row>
    <row r="4338" spans="1:16" ht="21" customHeight="1">
      <c r="A4338" s="2587"/>
      <c r="B4338" s="992" t="s">
        <v>1248</v>
      </c>
      <c r="C4338" s="992" t="s">
        <v>507</v>
      </c>
      <c r="D4338" s="1620"/>
      <c r="E4338" s="2246" t="s">
        <v>1934</v>
      </c>
      <c r="F4338" s="993">
        <v>2312</v>
      </c>
      <c r="G4338" s="2590" t="s">
        <v>3617</v>
      </c>
      <c r="H4338" s="2732"/>
      <c r="I4338" s="2732"/>
      <c r="J4338" s="2733"/>
      <c r="K4338" s="2731"/>
      <c r="L4338" s="2734"/>
      <c r="M4338" s="2732">
        <v>250</v>
      </c>
      <c r="N4338" s="2847"/>
      <c r="O4338" s="86"/>
      <c r="P4338" s="1817" t="e">
        <f>INDEX(#REF!,MATCH(F4338,#REF!,0),2)</f>
        <v>#REF!</v>
      </c>
    </row>
    <row r="4339" spans="1:16" ht="21" customHeight="1">
      <c r="A4339" s="2587"/>
      <c r="B4339" s="992" t="s">
        <v>1248</v>
      </c>
      <c r="C4339" s="992" t="s">
        <v>507</v>
      </c>
      <c r="D4339" s="1620"/>
      <c r="E4339" s="2246" t="s">
        <v>1934</v>
      </c>
      <c r="F4339" s="993">
        <v>2312</v>
      </c>
      <c r="G4339" s="2590" t="s">
        <v>3618</v>
      </c>
      <c r="H4339" s="2732"/>
      <c r="I4339" s="2732"/>
      <c r="J4339" s="2733"/>
      <c r="K4339" s="2731"/>
      <c r="L4339" s="2734"/>
      <c r="M4339" s="2732">
        <v>250</v>
      </c>
      <c r="N4339" s="2847"/>
      <c r="O4339" s="86"/>
      <c r="P4339" s="1817" t="e">
        <f>INDEX(#REF!,MATCH(F4339,#REF!,0),2)</f>
        <v>#REF!</v>
      </c>
    </row>
    <row r="4340" spans="1:16" ht="24.6" customHeight="1">
      <c r="A4340" s="762"/>
      <c r="B4340" s="992" t="s">
        <v>1248</v>
      </c>
      <c r="C4340" s="992" t="s">
        <v>507</v>
      </c>
      <c r="D4340" s="1620"/>
      <c r="E4340" s="2246" t="s">
        <v>1934</v>
      </c>
      <c r="F4340" s="993">
        <v>2312</v>
      </c>
      <c r="G4340" s="2590" t="s">
        <v>3619</v>
      </c>
      <c r="H4340" s="2732"/>
      <c r="I4340" s="2732">
        <v>5600</v>
      </c>
      <c r="J4340" s="2733"/>
      <c r="K4340" s="2731"/>
      <c r="L4340" s="2734"/>
      <c r="M4340" s="2732">
        <v>0</v>
      </c>
      <c r="N4340" s="3756" t="s">
        <v>6134</v>
      </c>
      <c r="O4340" s="86"/>
      <c r="P4340" s="1817" t="e">
        <f>INDEX(#REF!,MATCH(F4340,#REF!,0),2)</f>
        <v>#REF!</v>
      </c>
    </row>
    <row r="4341" spans="1:16" ht="20.45" customHeight="1">
      <c r="A4341" s="2587"/>
      <c r="B4341" s="992" t="s">
        <v>1248</v>
      </c>
      <c r="C4341" s="992" t="s">
        <v>507</v>
      </c>
      <c r="D4341" s="1620"/>
      <c r="E4341" s="2246" t="s">
        <v>1934</v>
      </c>
      <c r="F4341" s="993">
        <v>2312</v>
      </c>
      <c r="G4341" s="2590" t="s">
        <v>3620</v>
      </c>
      <c r="H4341" s="2732"/>
      <c r="I4341" s="2732"/>
      <c r="J4341" s="2733"/>
      <c r="K4341" s="2731"/>
      <c r="L4341" s="2734"/>
      <c r="M4341" s="2732">
        <v>400</v>
      </c>
      <c r="N4341" s="2847"/>
      <c r="O4341" s="86"/>
      <c r="P4341" s="1817" t="e">
        <f>INDEX(#REF!,MATCH(F4341,#REF!,0),2)</f>
        <v>#REF!</v>
      </c>
    </row>
    <row r="4342" spans="1:16" ht="20.45" customHeight="1">
      <c r="A4342" s="2587"/>
      <c r="B4342" s="992" t="s">
        <v>1248</v>
      </c>
      <c r="C4342" s="992" t="s">
        <v>505</v>
      </c>
      <c r="D4342" s="1620"/>
      <c r="E4342" s="2246" t="s">
        <v>1934</v>
      </c>
      <c r="F4342" s="993">
        <v>2312</v>
      </c>
      <c r="G4342" s="996" t="s">
        <v>1395</v>
      </c>
      <c r="H4342" s="2732"/>
      <c r="I4342" s="2732">
        <v>200</v>
      </c>
      <c r="J4342" s="2733"/>
      <c r="K4342" s="2731"/>
      <c r="L4342" s="2734"/>
      <c r="M4342" s="2732">
        <v>200</v>
      </c>
      <c r="N4342" s="2847"/>
      <c r="O4342" s="86"/>
      <c r="P4342" s="1817" t="e">
        <f>INDEX(#REF!,MATCH(F4342,#REF!,0),2)</f>
        <v>#REF!</v>
      </c>
    </row>
    <row r="4343" spans="1:16" ht="20.45" customHeight="1">
      <c r="A4343" s="2587"/>
      <c r="B4343" s="992" t="s">
        <v>1248</v>
      </c>
      <c r="C4343" s="992" t="s">
        <v>505</v>
      </c>
      <c r="D4343" s="1620"/>
      <c r="E4343" s="2246" t="s">
        <v>1934</v>
      </c>
      <c r="F4343" s="993">
        <v>2312</v>
      </c>
      <c r="G4343" s="1529" t="s">
        <v>2177</v>
      </c>
      <c r="H4343" s="2732"/>
      <c r="I4343" s="2732">
        <v>300</v>
      </c>
      <c r="J4343" s="2733"/>
      <c r="K4343" s="2731"/>
      <c r="L4343" s="2734"/>
      <c r="M4343" s="2732">
        <v>0</v>
      </c>
      <c r="N4343" s="2847" t="s">
        <v>6135</v>
      </c>
      <c r="O4343" s="86"/>
      <c r="P4343" s="1817" t="e">
        <f>INDEX(#REF!,MATCH(F4343,#REF!,0),2)</f>
        <v>#REF!</v>
      </c>
    </row>
    <row r="4344" spans="1:16" ht="12.6" customHeight="1">
      <c r="A4344" s="1370"/>
      <c r="B4344" s="992" t="s">
        <v>1248</v>
      </c>
      <c r="C4344" s="992" t="s">
        <v>507</v>
      </c>
      <c r="D4344" s="1620"/>
      <c r="E4344" s="2246" t="s">
        <v>1934</v>
      </c>
      <c r="F4344" s="993">
        <v>2312</v>
      </c>
      <c r="G4344" s="1529" t="s">
        <v>3206</v>
      </c>
      <c r="H4344" s="2732"/>
      <c r="I4344" s="2732">
        <v>493</v>
      </c>
      <c r="J4344" s="2733"/>
      <c r="K4344" s="2731"/>
      <c r="L4344" s="2734"/>
      <c r="M4344" s="2734"/>
      <c r="N4344" s="2847"/>
      <c r="O4344" s="86"/>
      <c r="P4344" s="1817"/>
    </row>
    <row r="4345" spans="1:16" ht="12.6" customHeight="1">
      <c r="A4345" s="1882"/>
      <c r="B4345" s="992" t="s">
        <v>1248</v>
      </c>
      <c r="C4345" s="992" t="s">
        <v>507</v>
      </c>
      <c r="D4345" s="1620"/>
      <c r="E4345" s="2246" t="s">
        <v>1934</v>
      </c>
      <c r="F4345" s="993">
        <v>2312</v>
      </c>
      <c r="G4345" s="1884" t="s">
        <v>3254</v>
      </c>
      <c r="H4345" s="2732"/>
      <c r="I4345" s="2732">
        <v>93</v>
      </c>
      <c r="J4345" s="2733"/>
      <c r="K4345" s="2731"/>
      <c r="L4345" s="2734"/>
      <c r="M4345" s="2734"/>
      <c r="N4345" s="2847"/>
      <c r="O4345" s="86"/>
      <c r="P4345" s="1817"/>
    </row>
    <row r="4346" spans="1:16" ht="12.6" customHeight="1">
      <c r="A4346" s="1370"/>
      <c r="B4346" s="992" t="s">
        <v>1248</v>
      </c>
      <c r="C4346" s="992" t="s">
        <v>507</v>
      </c>
      <c r="D4346" s="1620"/>
      <c r="E4346" s="2246" t="s">
        <v>1934</v>
      </c>
      <c r="F4346" s="993">
        <v>2312</v>
      </c>
      <c r="G4346" s="1374" t="s">
        <v>3313</v>
      </c>
      <c r="H4346" s="2732"/>
      <c r="I4346" s="2732">
        <v>-2100</v>
      </c>
      <c r="J4346" s="2733"/>
      <c r="K4346" s="2731"/>
      <c r="L4346" s="2734"/>
      <c r="M4346" s="2734"/>
      <c r="N4346" s="2847"/>
      <c r="O4346" s="86"/>
      <c r="P4346" s="1817" t="e">
        <f>INDEX(#REF!,MATCH(F4346,#REF!,0),2)</f>
        <v>#REF!</v>
      </c>
    </row>
    <row r="4347" spans="1:16" ht="12.6" customHeight="1">
      <c r="A4347" s="1370"/>
      <c r="B4347" s="992" t="s">
        <v>1248</v>
      </c>
      <c r="C4347" s="992" t="s">
        <v>507</v>
      </c>
      <c r="D4347" s="1620"/>
      <c r="E4347" s="2246" t="s">
        <v>1934</v>
      </c>
      <c r="F4347" s="993">
        <v>2312</v>
      </c>
      <c r="G4347" s="1374" t="s">
        <v>3314</v>
      </c>
      <c r="H4347" s="2732"/>
      <c r="I4347" s="2732">
        <v>-300</v>
      </c>
      <c r="J4347" s="2733"/>
      <c r="K4347" s="2731"/>
      <c r="L4347" s="2734"/>
      <c r="M4347" s="2734"/>
      <c r="N4347" s="2847"/>
      <c r="O4347" s="86"/>
      <c r="P4347" s="1817" t="e">
        <f>INDEX(#REF!,MATCH(F4347,#REF!,0),2)</f>
        <v>#REF!</v>
      </c>
    </row>
    <row r="4348" spans="1:16" ht="12.6" customHeight="1">
      <c r="A4348" s="988"/>
      <c r="B4348" s="988" t="s">
        <v>1248</v>
      </c>
      <c r="C4348" s="988" t="s">
        <v>505</v>
      </c>
      <c r="D4348" s="1619">
        <v>901</v>
      </c>
      <c r="E4348" s="2281" t="s">
        <v>1934</v>
      </c>
      <c r="F4348" s="1010">
        <v>2314</v>
      </c>
      <c r="G4348" s="990" t="s">
        <v>3761</v>
      </c>
      <c r="H4348" s="2720">
        <v>1700</v>
      </c>
      <c r="I4348" s="2720"/>
      <c r="J4348" s="2721"/>
      <c r="K4348" s="2722"/>
      <c r="L4348" s="2720">
        <v>1550</v>
      </c>
      <c r="M4348" s="2720"/>
      <c r="N4348" s="241" t="s">
        <v>6107</v>
      </c>
      <c r="O4348" s="86"/>
      <c r="P4348" s="1817" t="e">
        <f>INDEX(#REF!,MATCH(F4348,#REF!,0),2)</f>
        <v>#REF!</v>
      </c>
    </row>
    <row r="4349" spans="1:16" ht="20.45" customHeight="1">
      <c r="A4349" s="992"/>
      <c r="B4349" s="992" t="s">
        <v>1248</v>
      </c>
      <c r="C4349" s="992" t="s">
        <v>505</v>
      </c>
      <c r="D4349" s="1620"/>
      <c r="E4349" s="2246" t="s">
        <v>1934</v>
      </c>
      <c r="F4349" s="1011">
        <v>2314</v>
      </c>
      <c r="G4349" s="1054" t="s">
        <v>5763</v>
      </c>
      <c r="H4349" s="2732"/>
      <c r="I4349" s="2744">
        <v>700</v>
      </c>
      <c r="J4349" s="2744"/>
      <c r="K4349" s="2745"/>
      <c r="L4349" s="2744"/>
      <c r="M4349" s="4415">
        <v>350</v>
      </c>
      <c r="N4349" s="241"/>
      <c r="O4349" s="86"/>
      <c r="P4349" s="1817" t="e">
        <f>INDEX(#REF!,MATCH(F4349,#REF!,0),2)</f>
        <v>#REF!</v>
      </c>
    </row>
    <row r="4350" spans="1:16" ht="24.6" customHeight="1">
      <c r="A4350" s="2587"/>
      <c r="B4350" s="992" t="s">
        <v>1248</v>
      </c>
      <c r="C4350" s="992" t="s">
        <v>505</v>
      </c>
      <c r="D4350" s="1620"/>
      <c r="E4350" s="2246" t="s">
        <v>1934</v>
      </c>
      <c r="F4350" s="1011">
        <v>2314</v>
      </c>
      <c r="G4350" s="1054" t="s">
        <v>1279</v>
      </c>
      <c r="H4350" s="2732"/>
      <c r="I4350" s="2744">
        <v>200</v>
      </c>
      <c r="J4350" s="2744"/>
      <c r="K4350" s="2745"/>
      <c r="L4350" s="2744"/>
      <c r="M4350" s="2744">
        <v>200</v>
      </c>
      <c r="N4350" s="2847"/>
      <c r="O4350" s="86"/>
      <c r="P4350" s="1817"/>
    </row>
    <row r="4351" spans="1:16">
      <c r="A4351" s="2587"/>
      <c r="B4351" s="992" t="s">
        <v>1248</v>
      </c>
      <c r="C4351" s="992" t="s">
        <v>505</v>
      </c>
      <c r="D4351" s="1620"/>
      <c r="E4351" s="2246" t="s">
        <v>1934</v>
      </c>
      <c r="F4351" s="1011">
        <v>2314</v>
      </c>
      <c r="G4351" s="1528" t="s">
        <v>2178</v>
      </c>
      <c r="H4351" s="2732"/>
      <c r="I4351" s="2744">
        <v>1500</v>
      </c>
      <c r="J4351" s="2744"/>
      <c r="K4351" s="2745"/>
      <c r="L4351" s="2744"/>
      <c r="M4351" s="4415">
        <v>1000</v>
      </c>
      <c r="N4351" s="2847"/>
      <c r="O4351" s="86"/>
      <c r="P4351" s="1817" t="e">
        <f>INDEX(#REF!,MATCH(F4351,#REF!,0),2)</f>
        <v>#REF!</v>
      </c>
    </row>
    <row r="4352" spans="1:16">
      <c r="A4352" s="988"/>
      <c r="B4352" s="988" t="s">
        <v>1248</v>
      </c>
      <c r="C4352" s="988" t="s">
        <v>505</v>
      </c>
      <c r="D4352" s="1619">
        <v>901</v>
      </c>
      <c r="E4352" s="2281" t="s">
        <v>1934</v>
      </c>
      <c r="F4352" s="989">
        <v>2322</v>
      </c>
      <c r="G4352" s="990" t="s">
        <v>390</v>
      </c>
      <c r="H4352" s="2720">
        <v>600</v>
      </c>
      <c r="I4352" s="2720"/>
      <c r="J4352" s="2721"/>
      <c r="K4352" s="2722"/>
      <c r="L4352" s="2720">
        <v>600</v>
      </c>
      <c r="M4352" s="2720"/>
      <c r="N4352" s="2847"/>
      <c r="O4352" s="86"/>
      <c r="P4352" s="1817" t="e">
        <f>INDEX(#REF!,MATCH(F4352,#REF!,0),2)</f>
        <v>#REF!</v>
      </c>
    </row>
    <row r="4353" spans="1:16" ht="30" customHeight="1">
      <c r="A4353" s="992"/>
      <c r="B4353" s="992" t="s">
        <v>1248</v>
      </c>
      <c r="C4353" s="992" t="s">
        <v>505</v>
      </c>
      <c r="D4353" s="1620"/>
      <c r="E4353" s="2246" t="s">
        <v>1934</v>
      </c>
      <c r="F4353" s="993">
        <v>2322</v>
      </c>
      <c r="G4353" s="996" t="s">
        <v>1396</v>
      </c>
      <c r="H4353" s="2732"/>
      <c r="I4353" s="2732">
        <v>600</v>
      </c>
      <c r="J4353" s="2733"/>
      <c r="K4353" s="2731"/>
      <c r="L4353" s="2732"/>
      <c r="M4353" s="2732">
        <v>600</v>
      </c>
      <c r="N4353" s="2847"/>
      <c r="O4353" s="86"/>
      <c r="P4353" s="1817" t="e">
        <f>INDEX(#REF!,MATCH(F4353,#REF!,0),2)</f>
        <v>#REF!</v>
      </c>
    </row>
    <row r="4354" spans="1:16">
      <c r="A4354" s="988"/>
      <c r="B4354" s="988" t="s">
        <v>1248</v>
      </c>
      <c r="C4354" s="988" t="s">
        <v>507</v>
      </c>
      <c r="D4354" s="1619">
        <v>901</v>
      </c>
      <c r="E4354" s="2281" t="s">
        <v>1934</v>
      </c>
      <c r="F4354" s="1010">
        <v>2341</v>
      </c>
      <c r="G4354" s="990" t="s">
        <v>364</v>
      </c>
      <c r="H4354" s="2720">
        <v>600</v>
      </c>
      <c r="I4354" s="2720"/>
      <c r="J4354" s="2721">
        <v>521</v>
      </c>
      <c r="K4354" s="2722"/>
      <c r="L4354" s="2720">
        <v>900</v>
      </c>
      <c r="M4354" s="2720"/>
      <c r="N4354" s="2847"/>
      <c r="O4354" s="86"/>
      <c r="P4354" s="1817"/>
    </row>
    <row r="4355" spans="1:16">
      <c r="A4355" s="992"/>
      <c r="B4355" s="992" t="s">
        <v>1248</v>
      </c>
      <c r="C4355" s="992" t="s">
        <v>507</v>
      </c>
      <c r="D4355" s="1620"/>
      <c r="E4355" s="2246" t="s">
        <v>1934</v>
      </c>
      <c r="F4355" s="993">
        <v>2341</v>
      </c>
      <c r="G4355" s="996" t="s">
        <v>1397</v>
      </c>
      <c r="H4355" s="2732"/>
      <c r="I4355" s="2732">
        <v>1500</v>
      </c>
      <c r="J4355" s="2733"/>
      <c r="K4355" s="2731"/>
      <c r="L4355" s="2732"/>
      <c r="M4355" s="2732">
        <v>750</v>
      </c>
      <c r="N4355" s="2847"/>
      <c r="O4355" s="86"/>
      <c r="P4355" s="1817"/>
    </row>
    <row r="4356" spans="1:16">
      <c r="A4356" s="2587"/>
      <c r="B4356" s="992" t="s">
        <v>1248</v>
      </c>
      <c r="C4356" s="992" t="s">
        <v>507</v>
      </c>
      <c r="D4356" s="1620"/>
      <c r="E4356" s="2246" t="s">
        <v>1934</v>
      </c>
      <c r="F4356" s="993">
        <v>2341</v>
      </c>
      <c r="G4356" s="2590" t="s">
        <v>364</v>
      </c>
      <c r="H4356" s="2732"/>
      <c r="I4356" s="2732"/>
      <c r="J4356" s="2733"/>
      <c r="K4356" s="2731"/>
      <c r="L4356" s="2732"/>
      <c r="M4356" s="2732">
        <v>150</v>
      </c>
      <c r="N4356" s="2847"/>
      <c r="O4356" s="86"/>
      <c r="P4356" s="1817"/>
    </row>
    <row r="4357" spans="1:16" ht="22.5">
      <c r="A4357" s="1882"/>
      <c r="B4357" s="992" t="s">
        <v>1248</v>
      </c>
      <c r="C4357" s="992" t="s">
        <v>507</v>
      </c>
      <c r="D4357" s="1620"/>
      <c r="E4357" s="2246" t="s">
        <v>1934</v>
      </c>
      <c r="F4357" s="993">
        <v>2341</v>
      </c>
      <c r="G4357" s="1884" t="s">
        <v>3315</v>
      </c>
      <c r="H4357" s="2732"/>
      <c r="I4357" s="2732">
        <v>-900</v>
      </c>
      <c r="J4357" s="2733"/>
      <c r="K4357" s="2731"/>
      <c r="L4357" s="2734"/>
      <c r="M4357" s="2734"/>
      <c r="N4357" s="2847"/>
      <c r="O4357" s="86"/>
      <c r="P4357" s="1817"/>
    </row>
    <row r="4358" spans="1:16" ht="12.6" customHeight="1">
      <c r="A4358" s="988"/>
      <c r="B4358" s="988" t="s">
        <v>1248</v>
      </c>
      <c r="C4358" s="988" t="s">
        <v>505</v>
      </c>
      <c r="D4358" s="1619">
        <v>901</v>
      </c>
      <c r="E4358" s="2281" t="s">
        <v>1934</v>
      </c>
      <c r="F4358" s="989">
        <v>2350</v>
      </c>
      <c r="G4358" s="990" t="s">
        <v>1273</v>
      </c>
      <c r="H4358" s="2720">
        <v>6914</v>
      </c>
      <c r="I4358" s="2720"/>
      <c r="J4358" s="2721">
        <v>6590</v>
      </c>
      <c r="K4358" s="2722"/>
      <c r="L4358" s="2720">
        <v>7435</v>
      </c>
      <c r="M4358" s="2724"/>
      <c r="N4358" s="2847"/>
      <c r="O4358" s="86"/>
      <c r="P4358" s="1817" t="e">
        <f>INDEX(#REF!,MATCH(F4358,#REF!,0),2)</f>
        <v>#REF!</v>
      </c>
    </row>
    <row r="4359" spans="1:16" ht="19.149999999999999" customHeight="1">
      <c r="A4359" s="992"/>
      <c r="B4359" s="992" t="s">
        <v>1248</v>
      </c>
      <c r="C4359" s="992" t="s">
        <v>505</v>
      </c>
      <c r="D4359" s="1620"/>
      <c r="E4359" s="2246" t="s">
        <v>1934</v>
      </c>
      <c r="F4359" s="993">
        <v>2350</v>
      </c>
      <c r="G4359" s="996" t="s">
        <v>1398</v>
      </c>
      <c r="H4359" s="2732"/>
      <c r="I4359" s="2732">
        <v>335</v>
      </c>
      <c r="J4359" s="2733"/>
      <c r="K4359" s="2731"/>
      <c r="L4359" s="2734"/>
      <c r="M4359" s="2732">
        <v>335</v>
      </c>
      <c r="N4359" s="2847"/>
      <c r="O4359" s="86"/>
      <c r="P4359" s="1817" t="e">
        <f>INDEX(#REF!,MATCH(F4359,#REF!,0),2)</f>
        <v>#REF!</v>
      </c>
    </row>
    <row r="4360" spans="1:16" ht="12.6" customHeight="1">
      <c r="A4360" s="2587"/>
      <c r="B4360" s="992" t="s">
        <v>1248</v>
      </c>
      <c r="C4360" s="992" t="s">
        <v>505</v>
      </c>
      <c r="D4360" s="1620"/>
      <c r="E4360" s="2246" t="s">
        <v>1934</v>
      </c>
      <c r="F4360" s="993">
        <v>2350</v>
      </c>
      <c r="G4360" s="2590" t="s">
        <v>5997</v>
      </c>
      <c r="H4360" s="2732"/>
      <c r="I4360" s="2732"/>
      <c r="J4360" s="2733"/>
      <c r="K4360" s="2731"/>
      <c r="L4360" s="2734"/>
      <c r="M4360" s="2732">
        <v>2000</v>
      </c>
      <c r="N4360" s="2847" t="s">
        <v>3624</v>
      </c>
      <c r="O4360" s="86"/>
      <c r="P4360" s="1817" t="e">
        <f>INDEX(#REF!,MATCH(F4360,#REF!,0),2)</f>
        <v>#REF!</v>
      </c>
    </row>
    <row r="4361" spans="1:16" ht="12.6" customHeight="1">
      <c r="A4361" s="2587"/>
      <c r="B4361" s="992" t="s">
        <v>1248</v>
      </c>
      <c r="C4361" s="992" t="s">
        <v>505</v>
      </c>
      <c r="D4361" s="1620"/>
      <c r="E4361" s="2246" t="s">
        <v>1934</v>
      </c>
      <c r="F4361" s="993">
        <v>2350</v>
      </c>
      <c r="G4361" s="2590" t="s">
        <v>3626</v>
      </c>
      <c r="H4361" s="2732"/>
      <c r="I4361" s="2732"/>
      <c r="J4361" s="2733"/>
      <c r="K4361" s="2731"/>
      <c r="L4361" s="2734"/>
      <c r="M4361" s="2732">
        <v>600</v>
      </c>
      <c r="N4361" s="2847"/>
      <c r="O4361" s="86"/>
      <c r="P4361" s="1817" t="e">
        <f>INDEX(#REF!,MATCH(F4361,#REF!,0),2)</f>
        <v>#REF!</v>
      </c>
    </row>
    <row r="4362" spans="1:16" ht="12.6" customHeight="1">
      <c r="A4362" s="2587"/>
      <c r="B4362" s="992" t="s">
        <v>1248</v>
      </c>
      <c r="C4362" s="992" t="s">
        <v>505</v>
      </c>
      <c r="D4362" s="1620"/>
      <c r="E4362" s="2246" t="s">
        <v>1934</v>
      </c>
      <c r="F4362" s="993">
        <v>2350</v>
      </c>
      <c r="G4362" s="2590" t="s">
        <v>3625</v>
      </c>
      <c r="H4362" s="2732"/>
      <c r="I4362" s="2732">
        <v>2307</v>
      </c>
      <c r="J4362" s="2733"/>
      <c r="K4362" s="2731"/>
      <c r="L4362" s="2734"/>
      <c r="M4362" s="2732">
        <v>2500</v>
      </c>
      <c r="N4362" s="2847"/>
      <c r="O4362" s="86"/>
      <c r="P4362" s="1817" t="e">
        <f>INDEX(#REF!,MATCH(F4362,#REF!,0),2)</f>
        <v>#REF!</v>
      </c>
    </row>
    <row r="4363" spans="1:16" ht="12.6" customHeight="1">
      <c r="A4363" s="2587"/>
      <c r="B4363" s="992" t="s">
        <v>1248</v>
      </c>
      <c r="C4363" s="992" t="s">
        <v>507</v>
      </c>
      <c r="D4363" s="1620"/>
      <c r="E4363" s="2246" t="s">
        <v>1934</v>
      </c>
      <c r="F4363" s="993" t="s">
        <v>5996</v>
      </c>
      <c r="G4363" s="1529" t="s">
        <v>2176</v>
      </c>
      <c r="H4363" s="2732"/>
      <c r="I4363" s="2732">
        <v>2000</v>
      </c>
      <c r="J4363" s="2733"/>
      <c r="K4363" s="2731"/>
      <c r="L4363" s="2734"/>
      <c r="M4363" s="2732">
        <v>2000</v>
      </c>
      <c r="N4363" s="2847"/>
      <c r="O4363" s="86"/>
      <c r="P4363" s="1817" t="e">
        <f>INDEX(#REF!,MATCH(F4363,#REF!,0),2)</f>
        <v>#REF!</v>
      </c>
    </row>
    <row r="4364" spans="1:16" ht="12.6" customHeight="1">
      <c r="A4364" s="992"/>
      <c r="B4364" s="992" t="s">
        <v>1248</v>
      </c>
      <c r="C4364" s="992" t="s">
        <v>505</v>
      </c>
      <c r="D4364" s="1620"/>
      <c r="E4364" s="2246" t="s">
        <v>1934</v>
      </c>
      <c r="F4364" s="993">
        <v>2350</v>
      </c>
      <c r="G4364" s="1529" t="s">
        <v>3308</v>
      </c>
      <c r="H4364" s="2732"/>
      <c r="I4364" s="2732">
        <v>1365</v>
      </c>
      <c r="J4364" s="2733"/>
      <c r="K4364" s="2731"/>
      <c r="L4364" s="2734"/>
      <c r="M4364" s="2734"/>
      <c r="N4364" s="2847"/>
      <c r="O4364" s="86"/>
      <c r="P4364" s="1817" t="e">
        <f>INDEX(#REF!,MATCH(F4364,#REF!,0),2)</f>
        <v>#REF!</v>
      </c>
    </row>
    <row r="4365" spans="1:16" ht="12.6" customHeight="1">
      <c r="A4365" s="1882"/>
      <c r="B4365" s="992" t="s">
        <v>1248</v>
      </c>
      <c r="C4365" s="992" t="s">
        <v>505</v>
      </c>
      <c r="D4365" s="1620"/>
      <c r="E4365" s="2246" t="s">
        <v>1934</v>
      </c>
      <c r="F4365" s="993">
        <v>2350</v>
      </c>
      <c r="G4365" s="1884" t="s">
        <v>3254</v>
      </c>
      <c r="H4365" s="2732"/>
      <c r="I4365" s="2732">
        <v>2407</v>
      </c>
      <c r="J4365" s="2733"/>
      <c r="K4365" s="2731"/>
      <c r="L4365" s="2734"/>
      <c r="M4365" s="2734"/>
      <c r="N4365" s="2847"/>
      <c r="O4365" s="86"/>
      <c r="P4365" s="1817" t="e">
        <f>INDEX(#REF!,MATCH(F4365,#REF!,0),2)</f>
        <v>#REF!</v>
      </c>
    </row>
    <row r="4366" spans="1:16" ht="12.6" customHeight="1">
      <c r="A4366" s="988"/>
      <c r="B4366" s="988" t="s">
        <v>1248</v>
      </c>
      <c r="C4366" s="988" t="s">
        <v>505</v>
      </c>
      <c r="D4366" s="1619">
        <v>901</v>
      </c>
      <c r="E4366" s="2281" t="s">
        <v>1934</v>
      </c>
      <c r="F4366" s="1010">
        <v>2361</v>
      </c>
      <c r="G4366" s="990" t="s">
        <v>3759</v>
      </c>
      <c r="H4366" s="2720">
        <v>1900</v>
      </c>
      <c r="I4366" s="2720"/>
      <c r="J4366" s="2721"/>
      <c r="K4366" s="2722"/>
      <c r="L4366" s="2720">
        <v>2000</v>
      </c>
      <c r="M4366" s="2720"/>
      <c r="N4366" s="2847"/>
      <c r="O4366" s="86"/>
      <c r="P4366" s="1817" t="e">
        <f>INDEX(#REF!,MATCH(F4366,#REF!,0),2)</f>
        <v>#REF!</v>
      </c>
    </row>
    <row r="4367" spans="1:16" ht="275.45" customHeight="1">
      <c r="A4367" s="2587"/>
      <c r="B4367" s="992" t="s">
        <v>1248</v>
      </c>
      <c r="C4367" s="992" t="s">
        <v>507</v>
      </c>
      <c r="D4367" s="1620"/>
      <c r="E4367" s="2246" t="s">
        <v>1934</v>
      </c>
      <c r="F4367" s="1011">
        <v>2361</v>
      </c>
      <c r="G4367" s="772" t="s">
        <v>3763</v>
      </c>
      <c r="H4367" s="2732"/>
      <c r="I4367" s="2732">
        <v>1900</v>
      </c>
      <c r="J4367" s="2733"/>
      <c r="K4367" s="2731"/>
      <c r="L4367" s="2734"/>
      <c r="M4367" s="2732">
        <v>2000</v>
      </c>
      <c r="N4367" s="2847"/>
      <c r="O4367" s="86"/>
      <c r="P4367" s="1817" t="e">
        <f>INDEX(#REF!,MATCH(F4367,#REF!,0),2)</f>
        <v>#REF!</v>
      </c>
    </row>
    <row r="4368" spans="1:16" ht="275.45" customHeight="1">
      <c r="A4368" s="988"/>
      <c r="B4368" s="988" t="s">
        <v>1248</v>
      </c>
      <c r="C4368" s="988" t="s">
        <v>507</v>
      </c>
      <c r="D4368" s="1619">
        <v>901</v>
      </c>
      <c r="E4368" s="2281" t="s">
        <v>1934</v>
      </c>
      <c r="F4368" s="1010">
        <v>2362</v>
      </c>
      <c r="G4368" s="990" t="s">
        <v>1274</v>
      </c>
      <c r="H4368" s="2720">
        <v>889</v>
      </c>
      <c r="I4368" s="2720"/>
      <c r="J4368" s="2721">
        <v>387</v>
      </c>
      <c r="K4368" s="2722"/>
      <c r="L4368" s="2720">
        <v>650</v>
      </c>
      <c r="M4368" s="2720"/>
      <c r="N4368" s="2847"/>
      <c r="O4368" s="86"/>
      <c r="P4368" s="1817" t="e">
        <f>INDEX(#REF!,MATCH(F4368,#REF!,0),2)</f>
        <v>#REF!</v>
      </c>
    </row>
    <row r="4369" spans="1:16">
      <c r="A4369" s="992"/>
      <c r="B4369" s="992" t="s">
        <v>1248</v>
      </c>
      <c r="C4369" s="992" t="s">
        <v>507</v>
      </c>
      <c r="D4369" s="1620"/>
      <c r="E4369" s="2246" t="s">
        <v>1934</v>
      </c>
      <c r="F4369" s="1011">
        <v>2362</v>
      </c>
      <c r="G4369" s="996" t="s">
        <v>1274</v>
      </c>
      <c r="H4369" s="2732"/>
      <c r="I4369" s="2732">
        <v>1000</v>
      </c>
      <c r="J4369" s="2733"/>
      <c r="K4369" s="2731"/>
      <c r="L4369" s="2732"/>
      <c r="M4369" s="4284">
        <v>650</v>
      </c>
      <c r="N4369" s="241" t="s">
        <v>5156</v>
      </c>
      <c r="O4369" s="86"/>
      <c r="P4369" s="1817" t="e">
        <f>INDEX(#REF!,MATCH(F4369,#REF!,0),2)</f>
        <v>#REF!</v>
      </c>
    </row>
    <row r="4370" spans="1:16" ht="22.5">
      <c r="A4370" s="1882"/>
      <c r="B4370" s="992" t="s">
        <v>1248</v>
      </c>
      <c r="C4370" s="992" t="s">
        <v>507</v>
      </c>
      <c r="D4370" s="1620"/>
      <c r="E4370" s="2246" t="s">
        <v>1934</v>
      </c>
      <c r="F4370" s="1011">
        <v>2362</v>
      </c>
      <c r="G4370" s="1884" t="s">
        <v>3316</v>
      </c>
      <c r="H4370" s="2732"/>
      <c r="I4370" s="2732">
        <v>-111</v>
      </c>
      <c r="J4370" s="2733"/>
      <c r="K4370" s="2731"/>
      <c r="L4370" s="2734"/>
      <c r="M4370" s="2734"/>
      <c r="N4370" s="2847"/>
      <c r="O4370" s="86"/>
      <c r="P4370" s="1817"/>
    </row>
    <row r="4371" spans="1:16">
      <c r="A4371" s="988"/>
      <c r="B4371" s="988" t="s">
        <v>1248</v>
      </c>
      <c r="C4371" s="988" t="s">
        <v>507</v>
      </c>
      <c r="D4371" s="1619">
        <v>901</v>
      </c>
      <c r="E4371" s="2281" t="s">
        <v>1934</v>
      </c>
      <c r="F4371" s="1010">
        <v>2363</v>
      </c>
      <c r="G4371" s="990" t="s">
        <v>1574</v>
      </c>
      <c r="H4371" s="2720">
        <v>203</v>
      </c>
      <c r="I4371" s="2720"/>
      <c r="J4371" s="2721">
        <v>203</v>
      </c>
      <c r="K4371" s="2722"/>
      <c r="L4371" s="2720">
        <v>0</v>
      </c>
      <c r="M4371" s="2720"/>
      <c r="N4371" s="2847"/>
      <c r="O4371" s="86"/>
      <c r="P4371" s="1817"/>
    </row>
    <row r="4372" spans="1:16">
      <c r="A4372" s="992"/>
      <c r="B4372" s="992" t="s">
        <v>1248</v>
      </c>
      <c r="C4372" s="992" t="s">
        <v>507</v>
      </c>
      <c r="D4372" s="1620"/>
      <c r="E4372" s="2246" t="s">
        <v>1934</v>
      </c>
      <c r="F4372" s="1011">
        <v>2363</v>
      </c>
      <c r="G4372" s="996" t="s">
        <v>3309</v>
      </c>
      <c r="H4372" s="2732"/>
      <c r="I4372" s="2732">
        <v>92</v>
      </c>
      <c r="J4372" s="2733"/>
      <c r="K4372" s="2731"/>
      <c r="L4372" s="2732"/>
      <c r="M4372" s="2732"/>
      <c r="N4372" s="2847"/>
      <c r="O4372" s="86"/>
      <c r="P4372" s="1817" t="e">
        <f>INDEX(#REF!,MATCH(F4372,#REF!,0),2)</f>
        <v>#REF!</v>
      </c>
    </row>
    <row r="4373" spans="1:16" ht="12.6" customHeight="1">
      <c r="A4373" s="1882"/>
      <c r="B4373" s="992" t="s">
        <v>1248</v>
      </c>
      <c r="C4373" s="992" t="s">
        <v>507</v>
      </c>
      <c r="D4373" s="1620"/>
      <c r="E4373" s="2246" t="s">
        <v>1934</v>
      </c>
      <c r="F4373" s="1011">
        <v>2363</v>
      </c>
      <c r="G4373" s="1884" t="s">
        <v>3316</v>
      </c>
      <c r="H4373" s="2732"/>
      <c r="I4373" s="2732">
        <v>111</v>
      </c>
      <c r="J4373" s="2733"/>
      <c r="K4373" s="2731"/>
      <c r="L4373" s="2732"/>
      <c r="M4373" s="2732"/>
      <c r="N4373" s="2847"/>
      <c r="O4373" s="86"/>
      <c r="P4373" s="1817" t="e">
        <f>INDEX(#REF!,MATCH(F4373,#REF!,0),2)</f>
        <v>#REF!</v>
      </c>
    </row>
    <row r="4374" spans="1:16" ht="12.6" customHeight="1">
      <c r="A4374" s="995" t="s">
        <v>1266</v>
      </c>
      <c r="B4374" s="988" t="s">
        <v>1248</v>
      </c>
      <c r="C4374" s="988" t="s">
        <v>507</v>
      </c>
      <c r="D4374" s="1619">
        <v>901</v>
      </c>
      <c r="E4374" s="2281" t="s">
        <v>1934</v>
      </c>
      <c r="F4374" s="989">
        <v>2370</v>
      </c>
      <c r="G4374" s="990" t="s">
        <v>365</v>
      </c>
      <c r="H4374" s="2720">
        <v>6010</v>
      </c>
      <c r="I4374" s="2720"/>
      <c r="J4374" s="2721">
        <v>5949</v>
      </c>
      <c r="K4374" s="2722"/>
      <c r="L4374" s="2720">
        <v>13000</v>
      </c>
      <c r="M4374" s="2720"/>
      <c r="N4374" s="241" t="s">
        <v>5704</v>
      </c>
      <c r="O4374" s="86"/>
      <c r="P4374" s="1817" t="e">
        <f>INDEX(#REF!,MATCH(F4374,#REF!,0),2)</f>
        <v>#REF!</v>
      </c>
    </row>
    <row r="4375" spans="1:16" ht="12.6" customHeight="1">
      <c r="A4375" s="992"/>
      <c r="B4375" s="992" t="s">
        <v>1248</v>
      </c>
      <c r="C4375" s="992" t="s">
        <v>507</v>
      </c>
      <c r="D4375" s="1620"/>
      <c r="E4375" s="2246" t="s">
        <v>1934</v>
      </c>
      <c r="F4375" s="993">
        <v>2370</v>
      </c>
      <c r="G4375" s="2590" t="s">
        <v>3627</v>
      </c>
      <c r="H4375" s="2732"/>
      <c r="I4375" s="2732">
        <v>6000</v>
      </c>
      <c r="J4375" s="2733"/>
      <c r="K4375" s="2731"/>
      <c r="L4375" s="2732"/>
      <c r="M4375" s="4284">
        <v>7300</v>
      </c>
      <c r="N4375" s="241" t="s">
        <v>5156</v>
      </c>
      <c r="O4375" s="86"/>
      <c r="P4375" s="1817" t="e">
        <f>INDEX(#REF!,MATCH(F4375,#REF!,0),2)</f>
        <v>#REF!</v>
      </c>
    </row>
    <row r="4376" spans="1:16" ht="12.6" customHeight="1">
      <c r="A4376" s="2587"/>
      <c r="B4376" s="992" t="s">
        <v>1248</v>
      </c>
      <c r="C4376" s="992" t="s">
        <v>507</v>
      </c>
      <c r="D4376" s="1620"/>
      <c r="E4376" s="2246" t="s">
        <v>1934</v>
      </c>
      <c r="F4376" s="993">
        <v>2370</v>
      </c>
      <c r="G4376" s="2590" t="s">
        <v>3628</v>
      </c>
      <c r="H4376" s="2732"/>
      <c r="I4376" s="2732"/>
      <c r="J4376" s="2733"/>
      <c r="K4376" s="2731"/>
      <c r="L4376" s="2732"/>
      <c r="M4376" s="2732">
        <v>1800</v>
      </c>
      <c r="N4376" s="2847"/>
      <c r="O4376" s="86"/>
      <c r="P4376" s="1817" t="e">
        <f>INDEX(#REF!,MATCH(F4376,#REF!,0),2)</f>
        <v>#REF!</v>
      </c>
    </row>
    <row r="4377" spans="1:16" ht="19.149999999999999" customHeight="1">
      <c r="A4377" s="2587"/>
      <c r="B4377" s="992" t="s">
        <v>1248</v>
      </c>
      <c r="C4377" s="992" t="s">
        <v>507</v>
      </c>
      <c r="D4377" s="1620"/>
      <c r="E4377" s="2246" t="s">
        <v>1934</v>
      </c>
      <c r="F4377" s="993">
        <v>2370</v>
      </c>
      <c r="G4377" s="2590" t="s">
        <v>3629</v>
      </c>
      <c r="H4377" s="2732"/>
      <c r="I4377" s="2732"/>
      <c r="J4377" s="2733"/>
      <c r="K4377" s="2731"/>
      <c r="L4377" s="2732"/>
      <c r="M4377" s="2732">
        <v>3900</v>
      </c>
      <c r="N4377" s="2847"/>
      <c r="O4377" s="86"/>
      <c r="P4377" s="1817" t="e">
        <f>INDEX(#REF!,MATCH(F4377,#REF!,0),2)</f>
        <v>#REF!</v>
      </c>
    </row>
    <row r="4378" spans="1:16" ht="12.6" customHeight="1">
      <c r="A4378" s="1882"/>
      <c r="B4378" s="992" t="s">
        <v>1248</v>
      </c>
      <c r="C4378" s="992" t="s">
        <v>507</v>
      </c>
      <c r="D4378" s="1620"/>
      <c r="E4378" s="2246" t="s">
        <v>1934</v>
      </c>
      <c r="F4378" s="993">
        <v>2370</v>
      </c>
      <c r="G4378" s="1884" t="s">
        <v>3244</v>
      </c>
      <c r="H4378" s="2732"/>
      <c r="I4378" s="2732">
        <v>-1190</v>
      </c>
      <c r="J4378" s="2733"/>
      <c r="K4378" s="2731"/>
      <c r="L4378" s="2734"/>
      <c r="M4378" s="2734"/>
      <c r="N4378" s="2847"/>
      <c r="O4378" s="86"/>
      <c r="P4378" s="1817" t="e">
        <f>INDEX(#REF!,MATCH(F4378,#REF!,0),2)</f>
        <v>#REF!</v>
      </c>
    </row>
    <row r="4379" spans="1:16" ht="12.6" customHeight="1">
      <c r="A4379" s="1882"/>
      <c r="B4379" s="992" t="s">
        <v>1248</v>
      </c>
      <c r="C4379" s="992" t="s">
        <v>507</v>
      </c>
      <c r="D4379" s="1620"/>
      <c r="E4379" s="2246" t="s">
        <v>1934</v>
      </c>
      <c r="F4379" s="993">
        <v>2370</v>
      </c>
      <c r="G4379" s="996" t="s">
        <v>3314</v>
      </c>
      <c r="H4379" s="2732"/>
      <c r="I4379" s="2732">
        <v>300</v>
      </c>
      <c r="J4379" s="2733"/>
      <c r="K4379" s="2731"/>
      <c r="L4379" s="2734"/>
      <c r="M4379" s="2734"/>
      <c r="N4379" s="2847"/>
      <c r="O4379" s="86"/>
      <c r="P4379" s="1817"/>
    </row>
    <row r="4380" spans="1:16" ht="12.6" customHeight="1">
      <c r="A4380" s="992"/>
      <c r="B4380" s="992" t="s">
        <v>1248</v>
      </c>
      <c r="C4380" s="992" t="s">
        <v>507</v>
      </c>
      <c r="D4380" s="1620"/>
      <c r="E4380" s="2246" t="s">
        <v>1934</v>
      </c>
      <c r="F4380" s="993">
        <v>2370</v>
      </c>
      <c r="G4380" s="996" t="s">
        <v>3315</v>
      </c>
      <c r="H4380" s="2732"/>
      <c r="I4380" s="2732">
        <v>900</v>
      </c>
      <c r="J4380" s="2733"/>
      <c r="K4380" s="2731"/>
      <c r="L4380" s="2734"/>
      <c r="M4380" s="2734"/>
      <c r="N4380" s="2847"/>
      <c r="O4380" s="86"/>
      <c r="P4380" s="1817" t="e">
        <f>INDEX(#REF!,MATCH(F4380,#REF!,0),2)</f>
        <v>#REF!</v>
      </c>
    </row>
    <row r="4381" spans="1:16" ht="24" customHeight="1">
      <c r="A4381" s="988"/>
      <c r="B4381" s="988" t="s">
        <v>512</v>
      </c>
      <c r="C4381" s="988" t="s">
        <v>506</v>
      </c>
      <c r="D4381" s="1619">
        <v>901</v>
      </c>
      <c r="E4381" s="2281" t="s">
        <v>1935</v>
      </c>
      <c r="F4381" s="989">
        <v>2370</v>
      </c>
      <c r="G4381" s="990" t="s">
        <v>365</v>
      </c>
      <c r="H4381" s="2730">
        <v>2968</v>
      </c>
      <c r="I4381" s="2720"/>
      <c r="J4381" s="2721"/>
      <c r="K4381" s="2731"/>
      <c r="L4381" s="2730">
        <v>2654.3</v>
      </c>
      <c r="M4381" s="2720"/>
      <c r="N4381" s="2847"/>
      <c r="O4381" s="86"/>
      <c r="P4381" s="1817" t="e">
        <f>INDEX(#REF!,MATCH(F4381,#REF!,0),2)</f>
        <v>#REF!</v>
      </c>
    </row>
    <row r="4382" spans="1:16" ht="16.149999999999999" customHeight="1">
      <c r="A4382" s="992"/>
      <c r="B4382" s="992" t="s">
        <v>512</v>
      </c>
      <c r="C4382" s="992" t="s">
        <v>506</v>
      </c>
      <c r="D4382" s="1620"/>
      <c r="E4382" s="2246" t="s">
        <v>1935</v>
      </c>
      <c r="F4382" s="993">
        <v>2370</v>
      </c>
      <c r="G4382" s="1014" t="s">
        <v>1693</v>
      </c>
      <c r="H4382" s="2732"/>
      <c r="I4382" s="2732"/>
      <c r="J4382" s="2733"/>
      <c r="K4382" s="2731"/>
      <c r="L4382" s="2732"/>
      <c r="M4382" s="2732"/>
      <c r="N4382" s="2847"/>
      <c r="O4382" s="86"/>
      <c r="P4382" s="1817" t="e">
        <f>INDEX(#REF!,MATCH(F4382,#REF!,0),2)</f>
        <v>#REF!</v>
      </c>
    </row>
    <row r="4383" spans="1:16" ht="33" customHeight="1">
      <c r="A4383" s="992"/>
      <c r="B4383" s="992" t="s">
        <v>512</v>
      </c>
      <c r="C4383" s="992" t="s">
        <v>506</v>
      </c>
      <c r="D4383" s="1620"/>
      <c r="E4383" s="2246" t="s">
        <v>1935</v>
      </c>
      <c r="F4383" s="993">
        <v>2370</v>
      </c>
      <c r="G4383" s="1014" t="s">
        <v>3596</v>
      </c>
      <c r="H4383" s="2732"/>
      <c r="I4383" s="2732">
        <v>2968</v>
      </c>
      <c r="J4383" s="2733"/>
      <c r="K4383" s="2731"/>
      <c r="L4383" s="2732"/>
      <c r="M4383" s="2732">
        <v>2654.3</v>
      </c>
      <c r="N4383" s="2847"/>
      <c r="O4383" s="86"/>
      <c r="P4383" s="1817" t="e">
        <f>INDEX(#REF!,MATCH(F4383,#REF!,0),2)</f>
        <v>#REF!</v>
      </c>
    </row>
    <row r="4384" spans="1:16" ht="12" customHeight="1">
      <c r="A4384" s="988"/>
      <c r="B4384" s="988" t="s">
        <v>1248</v>
      </c>
      <c r="C4384" s="988" t="s">
        <v>505</v>
      </c>
      <c r="D4384" s="1619">
        <v>901</v>
      </c>
      <c r="E4384" s="2281" t="s">
        <v>1934</v>
      </c>
      <c r="F4384" s="989">
        <v>2390</v>
      </c>
      <c r="G4384" s="990" t="s">
        <v>253</v>
      </c>
      <c r="H4384" s="2720">
        <v>700</v>
      </c>
      <c r="I4384" s="2720"/>
      <c r="J4384" s="2721">
        <v>1352</v>
      </c>
      <c r="K4384" s="2722"/>
      <c r="L4384" s="2720">
        <v>750</v>
      </c>
      <c r="M4384" s="2724"/>
      <c r="N4384" s="2847"/>
      <c r="O4384" s="86"/>
      <c r="P4384" s="1817" t="e">
        <f>INDEX(#REF!,MATCH(F4384,#REF!,0),2)</f>
        <v>#REF!</v>
      </c>
    </row>
    <row r="4385" spans="1:16" ht="13.9" customHeight="1">
      <c r="A4385" s="2587"/>
      <c r="B4385" s="992" t="s">
        <v>1248</v>
      </c>
      <c r="C4385" s="992" t="s">
        <v>505</v>
      </c>
      <c r="D4385" s="1620"/>
      <c r="E4385" s="2246" t="s">
        <v>1934</v>
      </c>
      <c r="F4385" s="993" t="s">
        <v>3622</v>
      </c>
      <c r="G4385" s="996" t="s">
        <v>3623</v>
      </c>
      <c r="H4385" s="2732"/>
      <c r="I4385" s="2732">
        <v>700</v>
      </c>
      <c r="J4385" s="2733"/>
      <c r="K4385" s="2731"/>
      <c r="L4385" s="2734"/>
      <c r="M4385" s="2732">
        <v>750</v>
      </c>
      <c r="N4385" s="2847"/>
      <c r="O4385" s="86"/>
      <c r="P4385" s="1817" t="e">
        <f>INDEX(#REF!,MATCH(F4385,#REF!,0),2)</f>
        <v>#REF!</v>
      </c>
    </row>
    <row r="4386" spans="1:16" ht="275.45" customHeight="1">
      <c r="A4386" s="995" t="s">
        <v>1271</v>
      </c>
      <c r="B4386" s="988" t="s">
        <v>1248</v>
      </c>
      <c r="C4386" s="988" t="s">
        <v>505</v>
      </c>
      <c r="D4386" s="1619">
        <v>901</v>
      </c>
      <c r="E4386" s="2281" t="s">
        <v>1934</v>
      </c>
      <c r="F4386" s="1010">
        <v>2512</v>
      </c>
      <c r="G4386" s="990" t="s">
        <v>1203</v>
      </c>
      <c r="H4386" s="2720">
        <v>0</v>
      </c>
      <c r="I4386" s="2720"/>
      <c r="J4386" s="2721"/>
      <c r="K4386" s="2722"/>
      <c r="L4386" s="2720">
        <v>0</v>
      </c>
      <c r="M4386" s="2720"/>
      <c r="N4386" s="2847"/>
      <c r="O4386" s="86"/>
      <c r="P4386" s="1817" t="e">
        <f>INDEX(#REF!,MATCH(F4386,#REF!,0),2)</f>
        <v>#REF!</v>
      </c>
    </row>
    <row r="4387" spans="1:16">
      <c r="A4387" s="992"/>
      <c r="B4387" s="992" t="s">
        <v>1248</v>
      </c>
      <c r="C4387" s="992" t="s">
        <v>505</v>
      </c>
      <c r="D4387" s="1620"/>
      <c r="E4387" s="2246" t="s">
        <v>1934</v>
      </c>
      <c r="F4387" s="1011">
        <v>2512</v>
      </c>
      <c r="G4387" s="996"/>
      <c r="H4387" s="2732"/>
      <c r="I4387" s="2732">
        <v>2000</v>
      </c>
      <c r="J4387" s="2733"/>
      <c r="K4387" s="2731"/>
      <c r="L4387" s="2732"/>
      <c r="M4387" s="2732"/>
      <c r="N4387" s="2847"/>
      <c r="O4387" s="86"/>
      <c r="P4387" s="1817" t="e">
        <f>INDEX(#REF!,MATCH(F4387,#REF!,0),2)</f>
        <v>#REF!</v>
      </c>
    </row>
    <row r="4388" spans="1:16" ht="12.6" customHeight="1">
      <c r="A4388" s="1882"/>
      <c r="B4388" s="992" t="s">
        <v>1248</v>
      </c>
      <c r="C4388" s="992" t="s">
        <v>505</v>
      </c>
      <c r="D4388" s="1620"/>
      <c r="E4388" s="2246" t="s">
        <v>1934</v>
      </c>
      <c r="F4388" s="1011">
        <v>2512</v>
      </c>
      <c r="G4388" s="1884"/>
      <c r="H4388" s="2732"/>
      <c r="I4388" s="2732">
        <v>-2000</v>
      </c>
      <c r="J4388" s="2733"/>
      <c r="K4388" s="2731"/>
      <c r="L4388" s="2732"/>
      <c r="M4388" s="2732"/>
      <c r="N4388" s="2847"/>
      <c r="O4388" s="86"/>
      <c r="P4388" s="1817" t="e">
        <f>INDEX(#REF!,MATCH(F4388,#REF!,0),2)</f>
        <v>#REF!</v>
      </c>
    </row>
    <row r="4389" spans="1:16" ht="12.6" customHeight="1">
      <c r="A4389" s="988"/>
      <c r="B4389" s="988" t="s">
        <v>1248</v>
      </c>
      <c r="C4389" s="988" t="s">
        <v>509</v>
      </c>
      <c r="D4389" s="1619">
        <v>901</v>
      </c>
      <c r="E4389" s="2281" t="s">
        <v>1934</v>
      </c>
      <c r="F4389" s="1010">
        <v>5120</v>
      </c>
      <c r="G4389" s="990" t="s">
        <v>899</v>
      </c>
      <c r="H4389" s="2720">
        <v>792</v>
      </c>
      <c r="I4389" s="2720"/>
      <c r="J4389" s="2721"/>
      <c r="K4389" s="2722"/>
      <c r="L4389" s="2720">
        <v>0</v>
      </c>
      <c r="M4389" s="2724"/>
      <c r="N4389" s="241" t="s">
        <v>5707</v>
      </c>
      <c r="O4389" s="86"/>
      <c r="P4389" s="1817" t="e">
        <f>INDEX(#REF!,MATCH(F4389,#REF!,0),2)</f>
        <v>#REF!</v>
      </c>
    </row>
    <row r="4390" spans="1:16" ht="12.6" customHeight="1">
      <c r="A4390" s="992"/>
      <c r="B4390" s="992" t="s">
        <v>1248</v>
      </c>
      <c r="C4390" s="992" t="s">
        <v>509</v>
      </c>
      <c r="D4390" s="1620"/>
      <c r="E4390" s="2246" t="s">
        <v>1934</v>
      </c>
      <c r="F4390" s="1011">
        <v>5120</v>
      </c>
      <c r="G4390" s="996" t="s">
        <v>1460</v>
      </c>
      <c r="H4390" s="2732"/>
      <c r="I4390" s="2732">
        <v>1150</v>
      </c>
      <c r="J4390" s="2733"/>
      <c r="K4390" s="2731"/>
      <c r="L4390" s="2734"/>
      <c r="M4390" s="4416">
        <v>0</v>
      </c>
      <c r="N4390" s="241" t="s">
        <v>5734</v>
      </c>
      <c r="O4390" s="86"/>
      <c r="P4390" s="1817" t="e">
        <f>INDEX(#REF!,MATCH(F4390,#REF!,0),2)</f>
        <v>#REF!</v>
      </c>
    </row>
    <row r="4391" spans="1:16" ht="12.6" customHeight="1">
      <c r="A4391" s="1882"/>
      <c r="B4391" s="992" t="s">
        <v>1248</v>
      </c>
      <c r="C4391" s="992" t="s">
        <v>509</v>
      </c>
      <c r="D4391" s="1620"/>
      <c r="E4391" s="2246" t="s">
        <v>1934</v>
      </c>
      <c r="F4391" s="1011">
        <v>5120</v>
      </c>
      <c r="G4391" s="1884" t="s">
        <v>3215</v>
      </c>
      <c r="H4391" s="2732"/>
      <c r="I4391" s="2732">
        <v>-208</v>
      </c>
      <c r="J4391" s="2733"/>
      <c r="K4391" s="2731"/>
      <c r="L4391" s="2734"/>
      <c r="M4391" s="2738"/>
      <c r="N4391" s="2847"/>
      <c r="O4391" s="86"/>
      <c r="P4391" s="1817" t="e">
        <f>INDEX(#REF!,MATCH(F4391,#REF!,0),2)</f>
        <v>#REF!</v>
      </c>
    </row>
    <row r="4392" spans="1:16" ht="12.6" customHeight="1">
      <c r="A4392" s="1882"/>
      <c r="B4392" s="992" t="s">
        <v>1248</v>
      </c>
      <c r="C4392" s="992" t="s">
        <v>509</v>
      </c>
      <c r="D4392" s="1620"/>
      <c r="E4392" s="2246" t="s">
        <v>1934</v>
      </c>
      <c r="F4392" s="1011">
        <v>5120</v>
      </c>
      <c r="G4392" s="1884" t="s">
        <v>3216</v>
      </c>
      <c r="H4392" s="2732"/>
      <c r="I4392" s="2732">
        <v>-150</v>
      </c>
      <c r="J4392" s="2733"/>
      <c r="K4392" s="2731"/>
      <c r="L4392" s="2734"/>
      <c r="M4392" s="2738"/>
      <c r="N4392" s="2847"/>
      <c r="O4392" s="86"/>
      <c r="P4392" s="1817" t="e">
        <f>INDEX(#REF!,MATCH(F4392,#REF!,0),2)</f>
        <v>#REF!</v>
      </c>
    </row>
    <row r="4393" spans="1:16" ht="12.6" customHeight="1">
      <c r="A4393" s="1009" t="s">
        <v>1275</v>
      </c>
      <c r="B4393" s="998" t="s">
        <v>1249</v>
      </c>
      <c r="C4393" s="998" t="s">
        <v>534</v>
      </c>
      <c r="D4393" s="1635">
        <v>901</v>
      </c>
      <c r="E4393" s="2282" t="s">
        <v>1934</v>
      </c>
      <c r="F4393" s="1010">
        <v>5218</v>
      </c>
      <c r="G4393" s="990" t="s">
        <v>2026</v>
      </c>
      <c r="H4393" s="2720">
        <v>0</v>
      </c>
      <c r="I4393" s="2720"/>
      <c r="J4393" s="2721"/>
      <c r="K4393" s="2722"/>
      <c r="L4393" s="2720">
        <v>156000</v>
      </c>
      <c r="M4393" s="2724"/>
      <c r="N4393" s="2847"/>
      <c r="O4393" s="86"/>
      <c r="P4393" s="1817" t="e">
        <f>INDEX(#REF!,MATCH(F4393,#REF!,0),2)</f>
        <v>#REF!</v>
      </c>
    </row>
    <row r="4394" spans="1:16" ht="12.6" customHeight="1">
      <c r="A4394" s="992"/>
      <c r="B4394" s="992" t="s">
        <v>1249</v>
      </c>
      <c r="C4394" s="992" t="s">
        <v>534</v>
      </c>
      <c r="D4394" s="1620"/>
      <c r="E4394" s="2246" t="s">
        <v>1934</v>
      </c>
      <c r="F4394" s="1011">
        <v>5218</v>
      </c>
      <c r="G4394" s="2590" t="s">
        <v>3630</v>
      </c>
      <c r="H4394" s="2732"/>
      <c r="I4394" s="2732">
        <v>0</v>
      </c>
      <c r="J4394" s="2733"/>
      <c r="K4394" s="2731"/>
      <c r="L4394" s="2734"/>
      <c r="M4394" s="2732">
        <v>76000</v>
      </c>
      <c r="N4394" s="2847" t="s">
        <v>3631</v>
      </c>
      <c r="O4394" s="86"/>
      <c r="P4394" s="1817" t="e">
        <f>INDEX(#REF!,MATCH(F4394,#REF!,0),2)</f>
        <v>#REF!</v>
      </c>
    </row>
    <row r="4395" spans="1:16" ht="23.45" customHeight="1">
      <c r="A4395" s="992"/>
      <c r="B4395" s="992" t="s">
        <v>1249</v>
      </c>
      <c r="C4395" s="992" t="s">
        <v>534</v>
      </c>
      <c r="D4395" s="1620"/>
      <c r="E4395" s="2246" t="s">
        <v>1934</v>
      </c>
      <c r="F4395" s="1011">
        <v>5218</v>
      </c>
      <c r="G4395" s="2590" t="s">
        <v>3632</v>
      </c>
      <c r="H4395" s="2732"/>
      <c r="I4395" s="2732"/>
      <c r="J4395" s="2733"/>
      <c r="K4395" s="2731"/>
      <c r="L4395" s="2734"/>
      <c r="M4395" s="2732">
        <v>80000</v>
      </c>
      <c r="N4395" s="2847" t="s">
        <v>3631</v>
      </c>
      <c r="O4395" s="86"/>
      <c r="P4395" s="1817" t="e">
        <f>INDEX(#REF!,MATCH(F4395,#REF!,0),2)</f>
        <v>#REF!</v>
      </c>
    </row>
    <row r="4396" spans="1:16" ht="12.6" customHeight="1">
      <c r="A4396" s="988"/>
      <c r="B4396" s="988" t="s">
        <v>1250</v>
      </c>
      <c r="C4396" s="988" t="s">
        <v>509</v>
      </c>
      <c r="D4396" s="1619">
        <v>901</v>
      </c>
      <c r="E4396" s="2281" t="s">
        <v>1934</v>
      </c>
      <c r="F4396" s="989">
        <v>5238</v>
      </c>
      <c r="G4396" s="990" t="s">
        <v>257</v>
      </c>
      <c r="H4396" s="2720">
        <v>6500</v>
      </c>
      <c r="I4396" s="2720"/>
      <c r="J4396" s="2721">
        <v>2910</v>
      </c>
      <c r="K4396" s="2722"/>
      <c r="L4396" s="2720">
        <v>3500</v>
      </c>
      <c r="M4396" s="2724"/>
      <c r="N4396" s="2847"/>
      <c r="O4396" s="86"/>
      <c r="P4396" s="1817" t="e">
        <f>INDEX(#REF!,MATCH(F4396,#REF!,0),2)</f>
        <v>#REF!</v>
      </c>
    </row>
    <row r="4397" spans="1:16" ht="12.6" customHeight="1">
      <c r="A4397" s="762"/>
      <c r="B4397" s="992" t="s">
        <v>1250</v>
      </c>
      <c r="C4397" s="992" t="s">
        <v>509</v>
      </c>
      <c r="D4397" s="1620"/>
      <c r="E4397" s="2246" t="s">
        <v>1934</v>
      </c>
      <c r="F4397" s="993">
        <v>5238</v>
      </c>
      <c r="G4397" s="2590" t="s">
        <v>3633</v>
      </c>
      <c r="H4397" s="2732"/>
      <c r="I4397" s="2732">
        <v>6000</v>
      </c>
      <c r="J4397" s="2733"/>
      <c r="K4397" s="2731"/>
      <c r="L4397" s="2734"/>
      <c r="M4397" s="2746">
        <v>3000</v>
      </c>
      <c r="N4397" s="2847" t="s">
        <v>3634</v>
      </c>
      <c r="O4397" s="86"/>
      <c r="P4397" s="1817" t="e">
        <f>INDEX(#REF!,MATCH(F4397,#REF!,0),2)</f>
        <v>#REF!</v>
      </c>
    </row>
    <row r="4398" spans="1:16" ht="12.6" customHeight="1">
      <c r="A4398" s="1882"/>
      <c r="B4398" s="992" t="s">
        <v>1250</v>
      </c>
      <c r="C4398" s="992" t="s">
        <v>509</v>
      </c>
      <c r="D4398" s="1620"/>
      <c r="E4398" s="2246" t="s">
        <v>1934</v>
      </c>
      <c r="F4398" s="993">
        <v>5238</v>
      </c>
      <c r="G4398" s="4178" t="s">
        <v>6137</v>
      </c>
      <c r="H4398" s="2732"/>
      <c r="I4398" s="2732">
        <v>500</v>
      </c>
      <c r="J4398" s="2733"/>
      <c r="K4398" s="2731"/>
      <c r="L4398" s="2734"/>
      <c r="M4398" s="4441">
        <v>500</v>
      </c>
      <c r="N4398" s="3756" t="s">
        <v>6136</v>
      </c>
      <c r="O4398" s="86"/>
      <c r="P4398" s="1817" t="e">
        <f>INDEX(#REF!,MATCH(F4398,#REF!,0),2)</f>
        <v>#REF!</v>
      </c>
    </row>
    <row r="4399" spans="1:16" ht="12.6" customHeight="1">
      <c r="A4399" s="988"/>
      <c r="B4399" s="988" t="s">
        <v>1249</v>
      </c>
      <c r="C4399" s="988" t="s">
        <v>509</v>
      </c>
      <c r="D4399" s="1619">
        <v>901</v>
      </c>
      <c r="E4399" s="2281" t="s">
        <v>1934</v>
      </c>
      <c r="F4399" s="989">
        <v>5238</v>
      </c>
      <c r="G4399" s="990" t="s">
        <v>257</v>
      </c>
      <c r="H4399" s="2720">
        <v>1000</v>
      </c>
      <c r="I4399" s="2720"/>
      <c r="J4399" s="2721"/>
      <c r="K4399" s="2722"/>
      <c r="L4399" s="2720">
        <v>600</v>
      </c>
      <c r="M4399" s="2720"/>
      <c r="N4399" s="2847"/>
      <c r="O4399" s="86"/>
      <c r="P4399" s="1817" t="e">
        <f>INDEX(#REF!,MATCH(F4399,#REF!,0),2)</f>
        <v>#REF!</v>
      </c>
    </row>
    <row r="4400" spans="1:16" ht="29.45" customHeight="1">
      <c r="A4400" s="992"/>
      <c r="B4400" s="992" t="s">
        <v>1249</v>
      </c>
      <c r="C4400" s="992" t="s">
        <v>509</v>
      </c>
      <c r="D4400" s="1620"/>
      <c r="E4400" s="2246" t="s">
        <v>1934</v>
      </c>
      <c r="F4400" s="993">
        <v>5238</v>
      </c>
      <c r="G4400" s="2590" t="s">
        <v>3635</v>
      </c>
      <c r="H4400" s="2732"/>
      <c r="I4400" s="2732">
        <v>1000</v>
      </c>
      <c r="J4400" s="2733"/>
      <c r="K4400" s="2731"/>
      <c r="L4400" s="2732"/>
      <c r="M4400" s="2746">
        <v>600</v>
      </c>
      <c r="N4400" s="2847"/>
      <c r="O4400" s="86"/>
      <c r="P4400" s="1817" t="e">
        <f>INDEX(#REF!,MATCH(F4400,#REF!,0),2)</f>
        <v>#REF!</v>
      </c>
    </row>
    <row r="4401" spans="1:16">
      <c r="A4401" s="988"/>
      <c r="B4401" s="988" t="s">
        <v>1250</v>
      </c>
      <c r="C4401" s="988" t="s">
        <v>509</v>
      </c>
      <c r="D4401" s="1619">
        <v>901</v>
      </c>
      <c r="E4401" s="2281" t="s">
        <v>1934</v>
      </c>
      <c r="F4401" s="1010">
        <v>5239</v>
      </c>
      <c r="G4401" s="990" t="s">
        <v>256</v>
      </c>
      <c r="H4401" s="2720">
        <v>3190</v>
      </c>
      <c r="I4401" s="2720"/>
      <c r="J4401" s="2721">
        <v>1190</v>
      </c>
      <c r="K4401" s="2722"/>
      <c r="L4401" s="2720">
        <v>2000</v>
      </c>
      <c r="M4401" s="2720"/>
      <c r="N4401" s="2847"/>
      <c r="O4401" s="86"/>
      <c r="P4401" s="1817" t="e">
        <f>INDEX(#REF!,MATCH(F4401,#REF!,0),2)</f>
        <v>#REF!</v>
      </c>
    </row>
    <row r="4402" spans="1:16">
      <c r="A4402" s="992"/>
      <c r="B4402" s="992" t="s">
        <v>1250</v>
      </c>
      <c r="C4402" s="992" t="s">
        <v>509</v>
      </c>
      <c r="D4402" s="1620"/>
      <c r="E4402" s="2246" t="s">
        <v>1934</v>
      </c>
      <c r="F4402" s="993">
        <v>5239</v>
      </c>
      <c r="G4402" s="996" t="s">
        <v>271</v>
      </c>
      <c r="H4402" s="2732"/>
      <c r="I4402" s="2732">
        <v>2000</v>
      </c>
      <c r="J4402" s="2733"/>
      <c r="K4402" s="2731"/>
      <c r="L4402" s="2732"/>
      <c r="M4402" s="2732">
        <v>2000</v>
      </c>
      <c r="N4402" s="2847"/>
      <c r="O4402" s="86"/>
      <c r="P4402" s="1817" t="e">
        <f>INDEX(#REF!,MATCH(F4402,#REF!,0),2)</f>
        <v>#REF!</v>
      </c>
    </row>
    <row r="4403" spans="1:16" ht="22.5">
      <c r="A4403" s="992"/>
      <c r="B4403" s="992" t="s">
        <v>1250</v>
      </c>
      <c r="C4403" s="992" t="s">
        <v>509</v>
      </c>
      <c r="D4403" s="1620"/>
      <c r="E4403" s="2246" t="s">
        <v>1934</v>
      </c>
      <c r="F4403" s="993">
        <v>5239</v>
      </c>
      <c r="G4403" s="1884" t="s">
        <v>3244</v>
      </c>
      <c r="H4403" s="2732"/>
      <c r="I4403" s="2732">
        <v>1190</v>
      </c>
      <c r="J4403" s="2733"/>
      <c r="K4403" s="2731"/>
      <c r="L4403" s="2734"/>
      <c r="M4403" s="2734"/>
      <c r="N4403" s="2847"/>
      <c r="O4403" s="86"/>
      <c r="P4403" s="1817" t="e">
        <f>INDEX(#REF!,MATCH(F4403,#REF!,0),2)</f>
        <v>#REF!</v>
      </c>
    </row>
    <row r="4404" spans="1:16">
      <c r="A4404" s="988"/>
      <c r="B4404" s="988" t="s">
        <v>2649</v>
      </c>
      <c r="C4404" s="988" t="s">
        <v>505</v>
      </c>
      <c r="D4404" s="1619">
        <v>901</v>
      </c>
      <c r="E4404" s="2281" t="s">
        <v>1934</v>
      </c>
      <c r="F4404" s="1010">
        <v>7230</v>
      </c>
      <c r="G4404" s="990" t="s">
        <v>1848</v>
      </c>
      <c r="H4404" s="2720">
        <v>162974</v>
      </c>
      <c r="I4404" s="2720"/>
      <c r="J4404" s="2721">
        <v>115709</v>
      </c>
      <c r="K4404" s="2722"/>
      <c r="L4404" s="2720">
        <v>154032</v>
      </c>
      <c r="M4404" s="2720"/>
      <c r="N4404" s="241" t="s">
        <v>5702</v>
      </c>
      <c r="O4404" s="86"/>
      <c r="P4404" s="1817" t="e">
        <f>INDEX(#REF!,MATCH(F4404,#REF!,0),2)</f>
        <v>#REF!</v>
      </c>
    </row>
    <row r="4405" spans="1:16">
      <c r="A4405" s="992"/>
      <c r="B4405" s="992" t="s">
        <v>2649</v>
      </c>
      <c r="C4405" s="992" t="s">
        <v>505</v>
      </c>
      <c r="D4405" s="1620"/>
      <c r="E4405" s="2246" t="s">
        <v>1934</v>
      </c>
      <c r="F4405" s="1011">
        <v>7230</v>
      </c>
      <c r="G4405" s="996" t="s">
        <v>1133</v>
      </c>
      <c r="H4405" s="2732"/>
      <c r="I4405" s="2732">
        <v>162974</v>
      </c>
      <c r="J4405" s="2733"/>
      <c r="K4405" s="2731"/>
      <c r="L4405" s="2732"/>
      <c r="M4405" s="2732">
        <v>154032</v>
      </c>
      <c r="N4405" s="2847"/>
      <c r="O4405" s="86"/>
      <c r="P4405" s="1817" t="e">
        <f>INDEX(#REF!,MATCH(F4405,#REF!,0),2)</f>
        <v>#REF!</v>
      </c>
    </row>
    <row r="4406" spans="1:16">
      <c r="A4406" s="988"/>
      <c r="B4406" s="988" t="s">
        <v>1249</v>
      </c>
      <c r="C4406" s="988" t="s">
        <v>505</v>
      </c>
      <c r="D4406" s="1619">
        <v>901</v>
      </c>
      <c r="E4406" s="2281" t="s">
        <v>1934</v>
      </c>
      <c r="F4406" s="1010">
        <v>7230</v>
      </c>
      <c r="G4406" s="990" t="s">
        <v>1848</v>
      </c>
      <c r="H4406" s="2720"/>
      <c r="I4406" s="2720"/>
      <c r="J4406" s="2721"/>
      <c r="K4406" s="2722"/>
      <c r="L4406" s="2720">
        <v>10900</v>
      </c>
      <c r="M4406" s="2720"/>
      <c r="N4406" s="241" t="s">
        <v>5702</v>
      </c>
      <c r="O4406" s="86"/>
      <c r="P4406" s="1817" t="e">
        <f>INDEX(#REF!,MATCH(F4406,#REF!,0),2)</f>
        <v>#REF!</v>
      </c>
    </row>
    <row r="4407" spans="1:16">
      <c r="A4407" s="992"/>
      <c r="B4407" s="992" t="s">
        <v>1249</v>
      </c>
      <c r="C4407" s="992" t="s">
        <v>505</v>
      </c>
      <c r="D4407" s="1620"/>
      <c r="E4407" s="2246" t="s">
        <v>1934</v>
      </c>
      <c r="F4407" s="1011">
        <v>7230</v>
      </c>
      <c r="G4407" s="996" t="s">
        <v>6016</v>
      </c>
      <c r="H4407" s="2732"/>
      <c r="I4407" s="2732"/>
      <c r="J4407" s="2733"/>
      <c r="K4407" s="2731"/>
      <c r="L4407" s="2732"/>
      <c r="M4407" s="2732">
        <v>5900</v>
      </c>
      <c r="N4407" s="2847"/>
      <c r="O4407" s="86"/>
      <c r="P4407" s="1817" t="e">
        <f>INDEX(#REF!,MATCH(F4407,#REF!,0),2)</f>
        <v>#REF!</v>
      </c>
    </row>
    <row r="4408" spans="1:16" ht="33.75">
      <c r="A4408" s="992"/>
      <c r="B4408" s="992" t="s">
        <v>1249</v>
      </c>
      <c r="C4408" s="992" t="s">
        <v>505</v>
      </c>
      <c r="D4408" s="1620"/>
      <c r="E4408" s="2246" t="s">
        <v>1934</v>
      </c>
      <c r="F4408" s="1011">
        <v>7230</v>
      </c>
      <c r="G4408" s="996" t="s">
        <v>6017</v>
      </c>
      <c r="H4408" s="2732"/>
      <c r="I4408" s="2732"/>
      <c r="J4408" s="2733"/>
      <c r="K4408" s="2731"/>
      <c r="L4408" s="2732"/>
      <c r="M4408" s="2732">
        <v>5000</v>
      </c>
      <c r="N4408" s="2847"/>
      <c r="O4408" s="86"/>
      <c r="P4408" s="1817" t="e">
        <f>INDEX(#REF!,MATCH(F4408,#REF!,0),2)</f>
        <v>#REF!</v>
      </c>
    </row>
    <row r="4409" spans="1:16">
      <c r="A4409" s="755"/>
      <c r="B4409" s="755" t="s">
        <v>663</v>
      </c>
      <c r="C4409" s="755" t="s">
        <v>652</v>
      </c>
      <c r="D4409" s="1600">
        <v>902</v>
      </c>
      <c r="E4409" s="2248" t="s">
        <v>2048</v>
      </c>
      <c r="F4409" s="756">
        <v>1119</v>
      </c>
      <c r="G4409" s="757" t="s">
        <v>396</v>
      </c>
      <c r="H4409" s="2720">
        <v>571049.28</v>
      </c>
      <c r="I4409" s="2720"/>
      <c r="J4409" s="2721">
        <v>427916</v>
      </c>
      <c r="K4409" s="2730"/>
      <c r="L4409" s="2720">
        <v>675257.01</v>
      </c>
      <c r="M4409" s="2720"/>
      <c r="N4409" s="3854">
        <f>L4409/H4409-1</f>
        <v>0.1824846535136162</v>
      </c>
      <c r="O4409" s="86"/>
      <c r="P4409" s="1817" t="e">
        <f>INDEX(#REF!,MATCH(F4409,#REF!,0),2)</f>
        <v>#REF!</v>
      </c>
    </row>
    <row r="4410" spans="1:16">
      <c r="A4410" s="762"/>
      <c r="B4410" s="762" t="s">
        <v>663</v>
      </c>
      <c r="C4410" s="762" t="s">
        <v>652</v>
      </c>
      <c r="D4410" s="1599"/>
      <c r="E4410" s="2245" t="s">
        <v>2048</v>
      </c>
      <c r="F4410" s="763">
        <v>1119</v>
      </c>
      <c r="G4410" s="972" t="s">
        <v>663</v>
      </c>
      <c r="H4410" s="2725"/>
      <c r="I4410" s="2725">
        <v>571049.28</v>
      </c>
      <c r="J4410" s="2726"/>
      <c r="K4410" s="2747"/>
      <c r="L4410" s="2725"/>
      <c r="M4410" s="2725">
        <v>675257.01</v>
      </c>
      <c r="N4410" s="2847"/>
      <c r="O4410" s="86"/>
      <c r="P4410" s="1817" t="e">
        <f>INDEX(#REF!,MATCH(F4410,#REF!,0),2)</f>
        <v>#REF!</v>
      </c>
    </row>
    <row r="4411" spans="1:16">
      <c r="A4411" s="762"/>
      <c r="B4411" s="762" t="s">
        <v>663</v>
      </c>
      <c r="C4411" s="762" t="s">
        <v>652</v>
      </c>
      <c r="D4411" s="1599"/>
      <c r="E4411" s="2245" t="s">
        <v>2048</v>
      </c>
      <c r="F4411" s="763">
        <v>1119</v>
      </c>
      <c r="G4411" s="805"/>
      <c r="H4411" s="2725"/>
      <c r="I4411" s="2725"/>
      <c r="J4411" s="2726"/>
      <c r="K4411" s="2747"/>
      <c r="L4411" s="2725"/>
      <c r="M4411" s="2725"/>
      <c r="N4411" s="2847"/>
      <c r="O4411" s="86"/>
      <c r="P4411" s="1817" t="e">
        <f>INDEX(#REF!,MATCH(F4411,#REF!,0),2)</f>
        <v>#REF!</v>
      </c>
    </row>
    <row r="4412" spans="1:16">
      <c r="A4412" s="755"/>
      <c r="B4412" s="755" t="s">
        <v>512</v>
      </c>
      <c r="C4412" s="755" t="s">
        <v>506</v>
      </c>
      <c r="D4412" s="1600">
        <v>902</v>
      </c>
      <c r="E4412" s="2247" t="s">
        <v>2051</v>
      </c>
      <c r="F4412" s="756">
        <v>1119</v>
      </c>
      <c r="G4412" s="757" t="s">
        <v>386</v>
      </c>
      <c r="H4412" s="2719">
        <v>41908.520000000004</v>
      </c>
      <c r="I4412" s="2720"/>
      <c r="J4412" s="2721"/>
      <c r="K4412" s="2730"/>
      <c r="L4412" s="2723">
        <v>107410.54999999999</v>
      </c>
      <c r="M4412" s="2724"/>
      <c r="N4412" s="2847"/>
      <c r="O4412" s="86"/>
      <c r="P4412" s="1817" t="e">
        <f>INDEX(#REF!,MATCH(F4412,#REF!,0),2)</f>
        <v>#REF!</v>
      </c>
    </row>
    <row r="4413" spans="1:16" ht="22.15" customHeight="1">
      <c r="A4413" s="762"/>
      <c r="B4413" s="762" t="s">
        <v>512</v>
      </c>
      <c r="C4413" s="762" t="s">
        <v>506</v>
      </c>
      <c r="D4413" s="1599"/>
      <c r="E4413" s="2245" t="s">
        <v>2051</v>
      </c>
      <c r="F4413" s="763">
        <v>1119</v>
      </c>
      <c r="G4413" s="972" t="s">
        <v>663</v>
      </c>
      <c r="H4413" s="2725"/>
      <c r="I4413" s="2725">
        <v>41368.520000000004</v>
      </c>
      <c r="J4413" s="2726"/>
      <c r="K4413" s="2747"/>
      <c r="L4413" s="2728"/>
      <c r="M4413" s="2728">
        <v>107410.54999999999</v>
      </c>
      <c r="N4413" s="2847"/>
      <c r="O4413" s="86"/>
      <c r="P4413" s="1817" t="e">
        <f>INDEX(#REF!,MATCH(F4413,#REF!,0),2)</f>
        <v>#REF!</v>
      </c>
    </row>
    <row r="4414" spans="1:16">
      <c r="A4414" s="762"/>
      <c r="B4414" s="762" t="s">
        <v>512</v>
      </c>
      <c r="C4414" s="762" t="s">
        <v>506</v>
      </c>
      <c r="D4414" s="1599"/>
      <c r="E4414" s="2245" t="s">
        <v>2051</v>
      </c>
      <c r="F4414" s="763">
        <v>1119</v>
      </c>
      <c r="G4414" s="972" t="s">
        <v>3063</v>
      </c>
      <c r="H4414" s="2725"/>
      <c r="I4414" s="2725">
        <v>540</v>
      </c>
      <c r="J4414" s="2726"/>
      <c r="K4414" s="2747"/>
      <c r="L4414" s="2728"/>
      <c r="M4414" s="2728"/>
      <c r="N4414" s="2847"/>
      <c r="O4414" s="86"/>
      <c r="P4414" s="1817" t="e">
        <f>INDEX(#REF!,MATCH(F4414,#REF!,0),2)</f>
        <v>#REF!</v>
      </c>
    </row>
    <row r="4415" spans="1:16">
      <c r="A4415" s="755"/>
      <c r="B4415" s="755" t="s">
        <v>663</v>
      </c>
      <c r="C4415" s="755" t="s">
        <v>652</v>
      </c>
      <c r="D4415" s="1600">
        <v>902</v>
      </c>
      <c r="E4415" s="2247" t="s">
        <v>2048</v>
      </c>
      <c r="F4415" s="756">
        <v>1141</v>
      </c>
      <c r="G4415" s="757" t="s">
        <v>896</v>
      </c>
      <c r="H4415" s="2720">
        <v>0</v>
      </c>
      <c r="I4415" s="2720"/>
      <c r="J4415" s="2720"/>
      <c r="K4415" s="2730"/>
      <c r="L4415" s="2720">
        <v>0</v>
      </c>
      <c r="M4415" s="2720"/>
      <c r="N4415" s="2847"/>
      <c r="O4415" s="86"/>
      <c r="P4415" s="1817" t="e">
        <f>INDEX(#REF!,MATCH(F4415,#REF!,0),2)</f>
        <v>#REF!</v>
      </c>
    </row>
    <row r="4416" spans="1:16">
      <c r="A4416" s="762"/>
      <c r="B4416" s="762" t="s">
        <v>663</v>
      </c>
      <c r="C4416" s="762" t="s">
        <v>652</v>
      </c>
      <c r="D4416" s="1599"/>
      <c r="E4416" s="2245" t="s">
        <v>2048</v>
      </c>
      <c r="F4416" s="763">
        <v>1141</v>
      </c>
      <c r="G4416" s="846"/>
      <c r="H4416" s="2725"/>
      <c r="I4416" s="2725"/>
      <c r="J4416" s="2725"/>
      <c r="K4416" s="2747"/>
      <c r="L4416" s="2725"/>
      <c r="M4416" s="2725"/>
      <c r="N4416" s="2847"/>
      <c r="O4416" s="86"/>
      <c r="P4416" s="1817" t="e">
        <f>INDEX(#REF!,MATCH(F4416,#REF!,0),2)</f>
        <v>#REF!</v>
      </c>
    </row>
    <row r="4417" spans="1:16" ht="22.5">
      <c r="A4417" s="755"/>
      <c r="B4417" s="755" t="s">
        <v>663</v>
      </c>
      <c r="C4417" s="755" t="s">
        <v>652</v>
      </c>
      <c r="D4417" s="1600">
        <v>902</v>
      </c>
      <c r="E4417" s="2247" t="s">
        <v>2048</v>
      </c>
      <c r="F4417" s="756">
        <v>1142</v>
      </c>
      <c r="G4417" s="757" t="s">
        <v>225</v>
      </c>
      <c r="H4417" s="2720">
        <v>0</v>
      </c>
      <c r="I4417" s="2720"/>
      <c r="J4417" s="2720"/>
      <c r="K4417" s="2730"/>
      <c r="L4417" s="2720">
        <v>0</v>
      </c>
      <c r="M4417" s="2720"/>
      <c r="N4417" s="2847"/>
      <c r="O4417" s="86"/>
      <c r="P4417" s="1817" t="e">
        <f>INDEX(#REF!,MATCH(F4417,#REF!,0),2)</f>
        <v>#REF!</v>
      </c>
    </row>
    <row r="4418" spans="1:16">
      <c r="A4418" s="762"/>
      <c r="B4418" s="762" t="s">
        <v>663</v>
      </c>
      <c r="C4418" s="762" t="s">
        <v>652</v>
      </c>
      <c r="D4418" s="1599"/>
      <c r="E4418" s="2245" t="s">
        <v>2048</v>
      </c>
      <c r="F4418" s="763">
        <v>1142</v>
      </c>
      <c r="G4418" s="846"/>
      <c r="H4418" s="2725"/>
      <c r="I4418" s="2725"/>
      <c r="J4418" s="2725"/>
      <c r="K4418" s="2747"/>
      <c r="L4418" s="2725"/>
      <c r="M4418" s="2725"/>
      <c r="N4418" s="2847"/>
      <c r="O4418" s="86"/>
      <c r="P4418" s="1817" t="e">
        <f>INDEX(#REF!,MATCH(F4418,#REF!,0),2)</f>
        <v>#REF!</v>
      </c>
    </row>
    <row r="4419" spans="1:16" ht="22.5">
      <c r="A4419" s="755"/>
      <c r="B4419" s="755" t="s">
        <v>663</v>
      </c>
      <c r="C4419" s="755" t="s">
        <v>652</v>
      </c>
      <c r="D4419" s="1600">
        <v>902</v>
      </c>
      <c r="E4419" s="2247" t="s">
        <v>2048</v>
      </c>
      <c r="F4419" s="756">
        <v>1146</v>
      </c>
      <c r="G4419" s="757" t="s">
        <v>889</v>
      </c>
      <c r="H4419" s="2720">
        <v>28000</v>
      </c>
      <c r="I4419" s="2720"/>
      <c r="J4419" s="2721"/>
      <c r="K4419" s="2747"/>
      <c r="L4419" s="2720">
        <v>28000</v>
      </c>
      <c r="M4419" s="2720"/>
      <c r="N4419" s="3854">
        <f>L4419/H4419-1</f>
        <v>0</v>
      </c>
      <c r="O4419" s="86"/>
      <c r="P4419" s="1817" t="e">
        <f>INDEX(#REF!,MATCH(F4419,#REF!,0),2)</f>
        <v>#REF!</v>
      </c>
    </row>
    <row r="4420" spans="1:16" ht="22.5">
      <c r="A4420" s="762"/>
      <c r="B4420" s="762" t="s">
        <v>663</v>
      </c>
      <c r="C4420" s="762" t="s">
        <v>652</v>
      </c>
      <c r="D4420" s="1599"/>
      <c r="E4420" s="2245" t="s">
        <v>2048</v>
      </c>
      <c r="F4420" s="763">
        <v>1146</v>
      </c>
      <c r="G4420" s="1348" t="s">
        <v>1827</v>
      </c>
      <c r="H4420" s="2725"/>
      <c r="I4420" s="2725">
        <v>28000</v>
      </c>
      <c r="J4420" s="2726"/>
      <c r="K4420" s="2747"/>
      <c r="L4420" s="2725"/>
      <c r="M4420" s="2725">
        <v>28000</v>
      </c>
      <c r="N4420" s="2847"/>
      <c r="O4420" s="86"/>
      <c r="P4420" s="1817" t="e">
        <f>INDEX(#REF!,MATCH(F4420,#REF!,0),2)</f>
        <v>#REF!</v>
      </c>
    </row>
    <row r="4421" spans="1:16" ht="22.5">
      <c r="A4421" s="755"/>
      <c r="B4421" s="755" t="s">
        <v>512</v>
      </c>
      <c r="C4421" s="755" t="s">
        <v>506</v>
      </c>
      <c r="D4421" s="1600">
        <v>902</v>
      </c>
      <c r="E4421" s="2247" t="s">
        <v>2051</v>
      </c>
      <c r="F4421" s="756">
        <v>1146</v>
      </c>
      <c r="G4421" s="757" t="s">
        <v>889</v>
      </c>
      <c r="H4421" s="2719">
        <v>500</v>
      </c>
      <c r="I4421" s="2720"/>
      <c r="J4421" s="2721"/>
      <c r="K4421" s="2747"/>
      <c r="L4421" s="2719">
        <v>500</v>
      </c>
      <c r="M4421" s="2720"/>
      <c r="N4421" s="2847"/>
      <c r="O4421" s="86"/>
      <c r="P4421" s="1817" t="e">
        <f>INDEX(#REF!,MATCH(F4421,#REF!,0),2)</f>
        <v>#REF!</v>
      </c>
    </row>
    <row r="4422" spans="1:16">
      <c r="A4422" s="762"/>
      <c r="B4422" s="762" t="s">
        <v>512</v>
      </c>
      <c r="C4422" s="762" t="s">
        <v>506</v>
      </c>
      <c r="D4422" s="1599"/>
      <c r="E4422" s="2245" t="s">
        <v>2051</v>
      </c>
      <c r="F4422" s="763">
        <v>1146</v>
      </c>
      <c r="G4422" s="786"/>
      <c r="H4422" s="2725"/>
      <c r="I4422" s="2725">
        <v>500</v>
      </c>
      <c r="J4422" s="2726"/>
      <c r="K4422" s="2747"/>
      <c r="L4422" s="2725"/>
      <c r="M4422" s="2725">
        <v>500</v>
      </c>
      <c r="N4422" s="2847"/>
      <c r="O4422" s="86"/>
      <c r="P4422" s="1817" t="e">
        <f>INDEX(#REF!,MATCH(F4422,#REF!,0),2)</f>
        <v>#REF!</v>
      </c>
    </row>
    <row r="4423" spans="1:16">
      <c r="A4423" s="755"/>
      <c r="B4423" s="755" t="s">
        <v>512</v>
      </c>
      <c r="C4423" s="755" t="s">
        <v>506</v>
      </c>
      <c r="D4423" s="1600">
        <v>902</v>
      </c>
      <c r="E4423" s="2247" t="s">
        <v>2051</v>
      </c>
      <c r="F4423" s="756">
        <v>1147</v>
      </c>
      <c r="G4423" s="757" t="s">
        <v>892</v>
      </c>
      <c r="H4423" s="2719">
        <v>15251</v>
      </c>
      <c r="I4423" s="2720"/>
      <c r="J4423" s="2721"/>
      <c r="K4423" s="2747"/>
      <c r="L4423" s="2719">
        <v>15251</v>
      </c>
      <c r="M4423" s="2720"/>
      <c r="N4423" s="2847"/>
      <c r="O4423" s="86"/>
      <c r="P4423" s="1817" t="e">
        <f>INDEX(#REF!,MATCH(F4423,#REF!,0),2)</f>
        <v>#REF!</v>
      </c>
    </row>
    <row r="4424" spans="1:16">
      <c r="A4424" s="762"/>
      <c r="B4424" s="762" t="s">
        <v>512</v>
      </c>
      <c r="C4424" s="762" t="s">
        <v>506</v>
      </c>
      <c r="D4424" s="1599"/>
      <c r="E4424" s="2245" t="s">
        <v>2051</v>
      </c>
      <c r="F4424" s="763">
        <v>1147</v>
      </c>
      <c r="G4424" s="786"/>
      <c r="H4424" s="2725"/>
      <c r="I4424" s="2725">
        <v>15251</v>
      </c>
      <c r="J4424" s="2726"/>
      <c r="K4424" s="2747"/>
      <c r="L4424" s="2725"/>
      <c r="M4424" s="2725">
        <v>15251</v>
      </c>
      <c r="N4424" s="2847"/>
      <c r="O4424" s="86"/>
      <c r="P4424" s="1817" t="e">
        <f>INDEX(#REF!,MATCH(F4424,#REF!,0),2)</f>
        <v>#REF!</v>
      </c>
    </row>
    <row r="4425" spans="1:16">
      <c r="A4425" s="755"/>
      <c r="B4425" s="755" t="s">
        <v>663</v>
      </c>
      <c r="C4425" s="755" t="s">
        <v>652</v>
      </c>
      <c r="D4425" s="1600">
        <v>902</v>
      </c>
      <c r="E4425" s="2247" t="s">
        <v>2048</v>
      </c>
      <c r="F4425" s="756">
        <v>1147</v>
      </c>
      <c r="G4425" s="757" t="s">
        <v>568</v>
      </c>
      <c r="H4425" s="2720">
        <v>85968.897599999997</v>
      </c>
      <c r="I4425" s="2720"/>
      <c r="J4425" s="2721">
        <v>84286.78</v>
      </c>
      <c r="K4425" s="2747"/>
      <c r="L4425" s="2720">
        <v>118330.3616</v>
      </c>
      <c r="M4425" s="2720"/>
      <c r="N4425" s="3854">
        <f>L4425/H4425-1</f>
        <v>0.37643223192849229</v>
      </c>
      <c r="O4425" s="86"/>
      <c r="P4425" s="1817" t="e">
        <f>INDEX(#REF!,MATCH(F4425,#REF!,0),2)</f>
        <v>#REF!</v>
      </c>
    </row>
    <row r="4426" spans="1:16">
      <c r="A4426" s="992" t="s">
        <v>1401</v>
      </c>
      <c r="B4426" s="992" t="s">
        <v>663</v>
      </c>
      <c r="C4426" s="992" t="s">
        <v>652</v>
      </c>
      <c r="D4426" s="1620"/>
      <c r="E4426" s="2246" t="s">
        <v>2048</v>
      </c>
      <c r="F4426" s="1011">
        <v>1147</v>
      </c>
      <c r="G4426" s="972" t="s">
        <v>663</v>
      </c>
      <c r="H4426" s="2725"/>
      <c r="I4426" s="2725">
        <v>24347.4</v>
      </c>
      <c r="J4426" s="2726"/>
      <c r="K4426" s="2747"/>
      <c r="L4426" s="2725"/>
      <c r="M4426" s="2725">
        <v>40606.87999999999</v>
      </c>
      <c r="N4426" s="2847"/>
      <c r="O4426" s="86"/>
      <c r="P4426" s="1817" t="e">
        <f>INDEX(#REF!,MATCH(F4426,#REF!,0),2)</f>
        <v>#REF!</v>
      </c>
    </row>
    <row r="4427" spans="1:16">
      <c r="A4427" s="1268"/>
      <c r="B4427" s="992" t="s">
        <v>663</v>
      </c>
      <c r="C4427" s="992" t="s">
        <v>652</v>
      </c>
      <c r="D4427" s="1620"/>
      <c r="E4427" s="2246" t="s">
        <v>2048</v>
      </c>
      <c r="F4427" s="1011">
        <v>1147</v>
      </c>
      <c r="G4427" s="1348" t="s">
        <v>2647</v>
      </c>
      <c r="H4427" s="2725"/>
      <c r="I4427" s="2725">
        <v>61621.497599999995</v>
      </c>
      <c r="J4427" s="2726"/>
      <c r="K4427" s="2747"/>
      <c r="L4427" s="2725"/>
      <c r="M4427" s="2725">
        <v>77723.481600000014</v>
      </c>
      <c r="N4427" s="2847"/>
      <c r="O4427" s="86"/>
      <c r="P4427" s="1817" t="e">
        <f>INDEX(#REF!,MATCH(F4427,#REF!,0),2)</f>
        <v>#REF!</v>
      </c>
    </row>
    <row r="4428" spans="1:16">
      <c r="A4428" s="988"/>
      <c r="B4428" s="988" t="s">
        <v>512</v>
      </c>
      <c r="C4428" s="988" t="s">
        <v>506</v>
      </c>
      <c r="D4428" s="1619">
        <v>902</v>
      </c>
      <c r="E4428" s="2281" t="s">
        <v>2051</v>
      </c>
      <c r="F4428" s="1010">
        <v>1148</v>
      </c>
      <c r="G4428" s="990" t="s">
        <v>227</v>
      </c>
      <c r="H4428" s="2719">
        <v>0</v>
      </c>
      <c r="I4428" s="2720"/>
      <c r="J4428" s="2721"/>
      <c r="K4428" s="2747"/>
      <c r="L4428" s="2719">
        <v>0</v>
      </c>
      <c r="M4428" s="2720"/>
      <c r="N4428" s="2847"/>
      <c r="O4428" s="86"/>
      <c r="P4428" s="1817" t="e">
        <f>INDEX(#REF!,MATCH(F4428,#REF!,0),2)</f>
        <v>#REF!</v>
      </c>
    </row>
    <row r="4429" spans="1:16">
      <c r="A4429" s="762"/>
      <c r="B4429" s="762" t="s">
        <v>512</v>
      </c>
      <c r="C4429" s="762" t="s">
        <v>506</v>
      </c>
      <c r="D4429" s="1599"/>
      <c r="E4429" s="2245" t="s">
        <v>2051</v>
      </c>
      <c r="F4429" s="763">
        <v>1148</v>
      </c>
      <c r="G4429" s="772"/>
      <c r="H4429" s="2725"/>
      <c r="I4429" s="2725"/>
      <c r="J4429" s="2729"/>
      <c r="K4429" s="2747"/>
      <c r="L4429" s="2725"/>
      <c r="M4429" s="2725"/>
      <c r="N4429" s="2847"/>
      <c r="O4429" s="86"/>
      <c r="P4429" s="1817" t="e">
        <f>INDEX(#REF!,MATCH(F4429,#REF!,0),2)</f>
        <v>#REF!</v>
      </c>
    </row>
    <row r="4430" spans="1:16">
      <c r="A4430" s="755"/>
      <c r="B4430" s="755" t="s">
        <v>663</v>
      </c>
      <c r="C4430" s="755" t="s">
        <v>652</v>
      </c>
      <c r="D4430" s="1600">
        <v>902</v>
      </c>
      <c r="E4430" s="2247" t="s">
        <v>2048</v>
      </c>
      <c r="F4430" s="756">
        <v>1148</v>
      </c>
      <c r="G4430" s="757" t="s">
        <v>227</v>
      </c>
      <c r="H4430" s="2720">
        <v>2000</v>
      </c>
      <c r="I4430" s="2720"/>
      <c r="J4430" s="2721">
        <v>320</v>
      </c>
      <c r="K4430" s="2747"/>
      <c r="L4430" s="2720">
        <v>2000</v>
      </c>
      <c r="M4430" s="2720"/>
      <c r="N4430" s="3854">
        <f>L4430/H4430-1</f>
        <v>0</v>
      </c>
      <c r="O4430" s="86"/>
      <c r="P4430" s="1817" t="e">
        <f>INDEX(#REF!,MATCH(F4430,#REF!,0),2)</f>
        <v>#REF!</v>
      </c>
    </row>
    <row r="4431" spans="1:16" ht="22.5">
      <c r="A4431" s="762"/>
      <c r="B4431" s="762" t="s">
        <v>663</v>
      </c>
      <c r="C4431" s="762" t="s">
        <v>652</v>
      </c>
      <c r="D4431" s="1599"/>
      <c r="E4431" s="2245" t="s">
        <v>2048</v>
      </c>
      <c r="F4431" s="763">
        <v>1148</v>
      </c>
      <c r="G4431" s="1348" t="s">
        <v>1828</v>
      </c>
      <c r="H4431" s="2725"/>
      <c r="I4431" s="2725">
        <v>2000</v>
      </c>
      <c r="J4431" s="2729"/>
      <c r="K4431" s="2747"/>
      <c r="L4431" s="2725"/>
      <c r="M4431" s="2725">
        <v>2000</v>
      </c>
      <c r="N4431" s="2847"/>
      <c r="O4431" s="86"/>
      <c r="P4431" s="1817" t="e">
        <f>INDEX(#REF!,MATCH(F4431,#REF!,0),2)</f>
        <v>#REF!</v>
      </c>
    </row>
    <row r="4432" spans="1:16" ht="45">
      <c r="A4432" s="755"/>
      <c r="B4432" s="755" t="s">
        <v>1248</v>
      </c>
      <c r="C4432" s="755" t="s">
        <v>507</v>
      </c>
      <c r="D4432" s="1600">
        <v>902</v>
      </c>
      <c r="E4432" s="2247" t="s">
        <v>2048</v>
      </c>
      <c r="F4432" s="756">
        <v>1150</v>
      </c>
      <c r="G4432" s="757" t="s">
        <v>1181</v>
      </c>
      <c r="H4432" s="2720">
        <v>500</v>
      </c>
      <c r="I4432" s="2720"/>
      <c r="J4432" s="2721"/>
      <c r="K4432" s="2747"/>
      <c r="L4432" s="2720">
        <v>600</v>
      </c>
      <c r="M4432" s="2720"/>
      <c r="N4432" s="2847"/>
      <c r="O4432" s="86"/>
      <c r="P4432" s="1817" t="e">
        <f>INDEX(#REF!,MATCH(F4432,#REF!,0),2)</f>
        <v>#REF!</v>
      </c>
    </row>
    <row r="4433" spans="1:16" ht="67.5">
      <c r="A4433" s="762"/>
      <c r="B4433" s="762" t="s">
        <v>1248</v>
      </c>
      <c r="C4433" s="762" t="s">
        <v>507</v>
      </c>
      <c r="D4433" s="1599"/>
      <c r="E4433" s="2245" t="s">
        <v>2048</v>
      </c>
      <c r="F4433" s="763">
        <v>1150</v>
      </c>
      <c r="G4433" s="772" t="s">
        <v>1529</v>
      </c>
      <c r="H4433" s="2725"/>
      <c r="I4433" s="2725">
        <v>500</v>
      </c>
      <c r="J4433" s="2729"/>
      <c r="K4433" s="2747"/>
      <c r="L4433" s="2725"/>
      <c r="M4433" s="2750">
        <v>600</v>
      </c>
      <c r="N4433" s="2847"/>
      <c r="O4433" s="86"/>
      <c r="P4433" s="1817" t="e">
        <f>INDEX(#REF!,MATCH(F4433,#REF!,0),2)</f>
        <v>#REF!</v>
      </c>
    </row>
    <row r="4434" spans="1:16">
      <c r="A4434" s="755"/>
      <c r="B4434" s="755" t="s">
        <v>663</v>
      </c>
      <c r="C4434" s="755" t="s">
        <v>652</v>
      </c>
      <c r="D4434" s="1600">
        <v>902</v>
      </c>
      <c r="E4434" s="2247" t="s">
        <v>2048</v>
      </c>
      <c r="F4434" s="756">
        <v>1210</v>
      </c>
      <c r="G4434" s="757" t="s">
        <v>228</v>
      </c>
      <c r="H4434" s="2720">
        <v>165504.60569216701</v>
      </c>
      <c r="I4434" s="2720"/>
      <c r="J4434" s="2721">
        <v>117707.51</v>
      </c>
      <c r="K4434" s="2730"/>
      <c r="L4434" s="2720">
        <v>199017.66180517207</v>
      </c>
      <c r="M4434" s="2720"/>
      <c r="N4434" s="3854">
        <f>L4434/H4434-1</f>
        <v>0.20249017223930443</v>
      </c>
      <c r="O4434" s="86"/>
      <c r="P4434" s="1817" t="e">
        <f>INDEX(#REF!,MATCH(F4434,#REF!,0),2)</f>
        <v>#REF!</v>
      </c>
    </row>
    <row r="4435" spans="1:16">
      <c r="A4435" s="762"/>
      <c r="B4435" s="762" t="s">
        <v>663</v>
      </c>
      <c r="C4435" s="762" t="s">
        <v>652</v>
      </c>
      <c r="D4435" s="1599"/>
      <c r="E4435" s="2245" t="s">
        <v>2048</v>
      </c>
      <c r="F4435" s="763">
        <v>1210</v>
      </c>
      <c r="G4435" s="786"/>
      <c r="H4435" s="2725"/>
      <c r="I4435" s="2725">
        <v>165504.60569216701</v>
      </c>
      <c r="J4435" s="2726"/>
      <c r="K4435" s="2747"/>
      <c r="L4435" s="2725"/>
      <c r="M4435" s="2725">
        <v>199017.66180517207</v>
      </c>
      <c r="N4435" s="2847"/>
      <c r="O4435" s="86"/>
      <c r="P4435" s="1817" t="e">
        <f>INDEX(#REF!,MATCH(F4435,#REF!,0),2)</f>
        <v>#REF!</v>
      </c>
    </row>
    <row r="4436" spans="1:16">
      <c r="A4436" s="992"/>
      <c r="B4436" s="992" t="s">
        <v>663</v>
      </c>
      <c r="C4436" s="992" t="s">
        <v>652</v>
      </c>
      <c r="D4436" s="1620"/>
      <c r="E4436" s="2246" t="s">
        <v>2048</v>
      </c>
      <c r="F4436" s="1011">
        <v>1210</v>
      </c>
      <c r="G4436" s="1364" t="s">
        <v>1866</v>
      </c>
      <c r="H4436" s="2725"/>
      <c r="I4436" s="2725"/>
      <c r="J4436" s="2726"/>
      <c r="K4436" s="2747"/>
      <c r="L4436" s="2725"/>
      <c r="M4436" s="2725"/>
      <c r="N4436" s="2847"/>
      <c r="O4436" s="86"/>
      <c r="P4436" s="1817" t="e">
        <f>INDEX(#REF!,MATCH(F4436,#REF!,0),2)</f>
        <v>#REF!</v>
      </c>
    </row>
    <row r="4437" spans="1:16">
      <c r="A4437" s="1370"/>
      <c r="B4437" s="992" t="s">
        <v>663</v>
      </c>
      <c r="C4437" s="992" t="s">
        <v>652</v>
      </c>
      <c r="D4437" s="1620"/>
      <c r="E4437" s="2246" t="s">
        <v>2048</v>
      </c>
      <c r="F4437" s="1011">
        <v>1210</v>
      </c>
      <c r="G4437" s="1449" t="s">
        <v>1180</v>
      </c>
      <c r="H4437" s="2725"/>
      <c r="I4437" s="2725"/>
      <c r="J4437" s="2726"/>
      <c r="K4437" s="2747"/>
      <c r="L4437" s="2725"/>
      <c r="M4437" s="2725"/>
      <c r="N4437" s="2847"/>
      <c r="O4437" s="86"/>
      <c r="P4437" s="1817" t="e">
        <f>INDEX(#REF!,MATCH(F4437,#REF!,0),2)</f>
        <v>#REF!</v>
      </c>
    </row>
    <row r="4438" spans="1:16">
      <c r="A4438" s="988"/>
      <c r="B4438" s="988" t="s">
        <v>512</v>
      </c>
      <c r="C4438" s="988" t="s">
        <v>506</v>
      </c>
      <c r="D4438" s="1619">
        <v>902</v>
      </c>
      <c r="E4438" s="2281" t="s">
        <v>2051</v>
      </c>
      <c r="F4438" s="1010">
        <v>1210</v>
      </c>
      <c r="G4438" s="990" t="s">
        <v>336</v>
      </c>
      <c r="H4438" s="2730">
        <v>12461.494768</v>
      </c>
      <c r="I4438" s="2720"/>
      <c r="J4438" s="2721"/>
      <c r="K4438" s="2730"/>
      <c r="L4438" s="2723">
        <v>28040.809644999998</v>
      </c>
      <c r="M4438" s="2724"/>
      <c r="N4438" s="2847"/>
      <c r="O4438" s="86"/>
      <c r="P4438" s="1817" t="e">
        <f>INDEX(#REF!,MATCH(F4438,#REF!,0),2)</f>
        <v>#REF!</v>
      </c>
    </row>
    <row r="4439" spans="1:16">
      <c r="A4439" s="992"/>
      <c r="B4439" s="992" t="s">
        <v>512</v>
      </c>
      <c r="C4439" s="992" t="s">
        <v>506</v>
      </c>
      <c r="D4439" s="1620"/>
      <c r="E4439" s="2246" t="s">
        <v>2051</v>
      </c>
      <c r="F4439" s="1011">
        <v>1210</v>
      </c>
      <c r="G4439" s="994"/>
      <c r="H4439" s="2725"/>
      <c r="I4439" s="2725">
        <v>12461.494768</v>
      </c>
      <c r="J4439" s="2726"/>
      <c r="K4439" s="2730"/>
      <c r="L4439" s="2728"/>
      <c r="M4439" s="2728">
        <v>28040.809644999998</v>
      </c>
      <c r="N4439" s="2847"/>
      <c r="O4439" s="86"/>
      <c r="P4439" s="1817" t="e">
        <f>INDEX(#REF!,MATCH(F4439,#REF!,0),2)</f>
        <v>#REF!</v>
      </c>
    </row>
    <row r="4440" spans="1:16" ht="22.5">
      <c r="A4440" s="1465"/>
      <c r="B4440" s="992" t="s">
        <v>512</v>
      </c>
      <c r="C4440" s="992" t="s">
        <v>506</v>
      </c>
      <c r="D4440" s="1620"/>
      <c r="E4440" s="2246" t="s">
        <v>2051</v>
      </c>
      <c r="F4440" s="1011">
        <v>1210</v>
      </c>
      <c r="G4440" s="1466" t="s">
        <v>2052</v>
      </c>
      <c r="H4440" s="2725"/>
      <c r="I4440" s="2725"/>
      <c r="J4440" s="2726"/>
      <c r="K4440" s="2730"/>
      <c r="L4440" s="2728"/>
      <c r="M4440" s="2728"/>
      <c r="N4440" s="2847"/>
      <c r="O4440" s="86"/>
      <c r="P4440" s="1817" t="e">
        <f>INDEX(#REF!,MATCH(F4440,#REF!,0),2)</f>
        <v>#REF!</v>
      </c>
    </row>
    <row r="4441" spans="1:16">
      <c r="A4441" s="992"/>
      <c r="B4441" s="992" t="s">
        <v>512</v>
      </c>
      <c r="C4441" s="992" t="s">
        <v>506</v>
      </c>
      <c r="D4441" s="1620"/>
      <c r="E4441" s="2246" t="s">
        <v>2051</v>
      </c>
      <c r="F4441" s="1011">
        <v>1210</v>
      </c>
      <c r="G4441" s="994"/>
      <c r="H4441" s="2725"/>
      <c r="I4441" s="2725"/>
      <c r="J4441" s="2726"/>
      <c r="K4441" s="2730"/>
      <c r="L4441" s="2728"/>
      <c r="M4441" s="2728"/>
      <c r="N4441" s="2847"/>
      <c r="O4441" s="86"/>
      <c r="P4441" s="1817" t="e">
        <f>INDEX(#REF!,MATCH(F4441,#REF!,0),2)</f>
        <v>#REF!</v>
      </c>
    </row>
    <row r="4442" spans="1:16">
      <c r="A4442" s="988"/>
      <c r="B4442" s="988" t="s">
        <v>663</v>
      </c>
      <c r="C4442" s="988" t="s">
        <v>652</v>
      </c>
      <c r="D4442" s="1619">
        <v>902</v>
      </c>
      <c r="E4442" s="2281" t="s">
        <v>2048</v>
      </c>
      <c r="F4442" s="1010">
        <v>1221</v>
      </c>
      <c r="G4442" s="990" t="s">
        <v>229</v>
      </c>
      <c r="H4442" s="2720">
        <v>28439.258233673001</v>
      </c>
      <c r="I4442" s="2720"/>
      <c r="J4442" s="2721">
        <v>28459.82</v>
      </c>
      <c r="K4442" s="2730"/>
      <c r="L4442" s="2720">
        <v>37190.420651268003</v>
      </c>
      <c r="M4442" s="2720"/>
      <c r="N4442" s="3854">
        <f>L4442/H4442-1</f>
        <v>0.30771415856526607</v>
      </c>
      <c r="O4442" s="86"/>
      <c r="P4442" s="1817" t="e">
        <f>INDEX(#REF!,MATCH(F4442,#REF!,0),2)</f>
        <v>#REF!</v>
      </c>
    </row>
    <row r="4443" spans="1:16">
      <c r="A4443" s="992"/>
      <c r="B4443" s="992" t="s">
        <v>663</v>
      </c>
      <c r="C4443" s="992" t="s">
        <v>652</v>
      </c>
      <c r="D4443" s="1620"/>
      <c r="E4443" s="2246" t="s">
        <v>2048</v>
      </c>
      <c r="F4443" s="1011">
        <v>1221</v>
      </c>
      <c r="G4443" s="994" t="s">
        <v>2651</v>
      </c>
      <c r="H4443" s="2725"/>
      <c r="I4443" s="2725">
        <v>28439.258233673001</v>
      </c>
      <c r="J4443" s="2726"/>
      <c r="K4443" s="2747"/>
      <c r="L4443" s="2725"/>
      <c r="M4443" s="2725">
        <v>37190.420651268003</v>
      </c>
      <c r="N4443" s="2847"/>
      <c r="O4443" s="86"/>
      <c r="P4443" s="1817" t="e">
        <f>INDEX(#REF!,MATCH(F4443,#REF!,0),2)</f>
        <v>#REF!</v>
      </c>
    </row>
    <row r="4444" spans="1:16">
      <c r="A4444" s="992"/>
      <c r="B4444" s="992" t="s">
        <v>663</v>
      </c>
      <c r="C4444" s="992" t="s">
        <v>652</v>
      </c>
      <c r="D4444" s="1620"/>
      <c r="E4444" s="2246" t="s">
        <v>2048</v>
      </c>
      <c r="F4444" s="1011">
        <v>1221</v>
      </c>
      <c r="G4444" s="994"/>
      <c r="H4444" s="2725"/>
      <c r="I4444" s="2725"/>
      <c r="J4444" s="2726"/>
      <c r="K4444" s="2747"/>
      <c r="L4444" s="2728"/>
      <c r="M4444" s="2728"/>
      <c r="N4444" s="2847"/>
      <c r="O4444" s="86"/>
      <c r="P4444" s="1817" t="e">
        <f>INDEX(#REF!,MATCH(F4444,#REF!,0),2)</f>
        <v>#REF!</v>
      </c>
    </row>
    <row r="4445" spans="1:16">
      <c r="A4445" s="988"/>
      <c r="B4445" s="988" t="s">
        <v>512</v>
      </c>
      <c r="C4445" s="988" t="s">
        <v>506</v>
      </c>
      <c r="D4445" s="1619">
        <v>902</v>
      </c>
      <c r="E4445" s="2281" t="s">
        <v>2051</v>
      </c>
      <c r="F4445" s="1010">
        <v>1221</v>
      </c>
      <c r="G4445" s="990" t="s">
        <v>229</v>
      </c>
      <c r="H4445" s="2730">
        <v>1013</v>
      </c>
      <c r="I4445" s="2720"/>
      <c r="J4445" s="2721"/>
      <c r="K4445" s="2730"/>
      <c r="L4445" s="2730">
        <v>1013</v>
      </c>
      <c r="M4445" s="2720"/>
      <c r="N4445" s="2847"/>
      <c r="O4445" s="86"/>
      <c r="P4445" s="1817" t="e">
        <f>INDEX(#REF!,MATCH(F4445,#REF!,0),2)</f>
        <v>#REF!</v>
      </c>
    </row>
    <row r="4446" spans="1:16">
      <c r="A4446" s="992"/>
      <c r="B4446" s="992" t="s">
        <v>512</v>
      </c>
      <c r="C4446" s="992" t="s">
        <v>506</v>
      </c>
      <c r="D4446" s="1620"/>
      <c r="E4446" s="2246" t="s">
        <v>2051</v>
      </c>
      <c r="F4446" s="1011">
        <v>1221</v>
      </c>
      <c r="G4446" s="972" t="s">
        <v>663</v>
      </c>
      <c r="H4446" s="2725"/>
      <c r="I4446" s="2725">
        <v>1013</v>
      </c>
      <c r="J4446" s="2726"/>
      <c r="K4446" s="2730"/>
      <c r="L4446" s="2725"/>
      <c r="M4446" s="2725">
        <v>1013</v>
      </c>
      <c r="N4446" s="2847"/>
      <c r="O4446" s="86"/>
      <c r="P4446" s="1817" t="e">
        <f>INDEX(#REF!,MATCH(F4446,#REF!,0),2)</f>
        <v>#REF!</v>
      </c>
    </row>
    <row r="4447" spans="1:16">
      <c r="A4447" s="992"/>
      <c r="B4447" s="992" t="s">
        <v>512</v>
      </c>
      <c r="C4447" s="992" t="s">
        <v>506</v>
      </c>
      <c r="D4447" s="1620"/>
      <c r="E4447" s="2246" t="s">
        <v>2051</v>
      </c>
      <c r="F4447" s="1011">
        <v>1221</v>
      </c>
      <c r="G4447" s="994" t="s">
        <v>1177</v>
      </c>
      <c r="H4447" s="2725"/>
      <c r="I4447" s="2725"/>
      <c r="J4447" s="2726"/>
      <c r="K4447" s="2730"/>
      <c r="L4447" s="2728"/>
      <c r="M4447" s="2728"/>
      <c r="N4447" s="2847"/>
      <c r="O4447" s="86"/>
      <c r="P4447" s="1817" t="e">
        <f>INDEX(#REF!,MATCH(F4447,#REF!,0),2)</f>
        <v>#REF!</v>
      </c>
    </row>
    <row r="4448" spans="1:16">
      <c r="A4448" s="988"/>
      <c r="B4448" s="755" t="s">
        <v>663</v>
      </c>
      <c r="C4448" s="988" t="s">
        <v>507</v>
      </c>
      <c r="D4448" s="1619">
        <v>902</v>
      </c>
      <c r="E4448" s="2281" t="s">
        <v>2048</v>
      </c>
      <c r="F4448" s="1010">
        <v>1223</v>
      </c>
      <c r="G4448" s="990" t="s">
        <v>1270</v>
      </c>
      <c r="H4448" s="2720">
        <v>6100</v>
      </c>
      <c r="I4448" s="2720"/>
      <c r="J4448" s="2721">
        <v>1015</v>
      </c>
      <c r="K4448" s="2730"/>
      <c r="L4448" s="2720">
        <v>4650</v>
      </c>
      <c r="M4448" s="2720"/>
      <c r="N4448" s="3854">
        <f>L4448/H4448-1</f>
        <v>-0.23770491803278693</v>
      </c>
      <c r="O4448" s="86"/>
      <c r="P4448" s="1817" t="e">
        <f>INDEX(#REF!,MATCH(F4448,#REF!,0),2)</f>
        <v>#REF!</v>
      </c>
    </row>
    <row r="4449" spans="1:16" ht="22.5">
      <c r="A4449" s="992" t="s">
        <v>1401</v>
      </c>
      <c r="B4449" s="992" t="s">
        <v>663</v>
      </c>
      <c r="C4449" s="992" t="s">
        <v>507</v>
      </c>
      <c r="D4449" s="1620"/>
      <c r="E4449" s="2246" t="s">
        <v>2048</v>
      </c>
      <c r="F4449" s="1011">
        <v>1223</v>
      </c>
      <c r="G4449" s="2751" t="s">
        <v>3646</v>
      </c>
      <c r="H4449" s="2725"/>
      <c r="I4449" s="2725">
        <v>6200</v>
      </c>
      <c r="J4449" s="2726"/>
      <c r="K4449" s="2730"/>
      <c r="L4449" s="2725"/>
      <c r="M4449" s="2725">
        <v>4650</v>
      </c>
      <c r="N4449" s="2847"/>
      <c r="O4449" s="86"/>
      <c r="P4449" s="1817" t="e">
        <f>INDEX(#REF!,MATCH(F4449,#REF!,0),2)</f>
        <v>#REF!</v>
      </c>
    </row>
    <row r="4450" spans="1:16">
      <c r="A4450" s="988"/>
      <c r="B4450" s="988" t="s">
        <v>1248</v>
      </c>
      <c r="C4450" s="988" t="s">
        <v>652</v>
      </c>
      <c r="D4450" s="1619">
        <v>902</v>
      </c>
      <c r="E4450" s="2281" t="s">
        <v>2048</v>
      </c>
      <c r="F4450" s="1010">
        <v>1228</v>
      </c>
      <c r="G4450" s="990" t="s">
        <v>942</v>
      </c>
      <c r="H4450" s="2720">
        <v>1752</v>
      </c>
      <c r="I4450" s="2720"/>
      <c r="J4450" s="2721">
        <v>1688</v>
      </c>
      <c r="K4450" s="2730"/>
      <c r="L4450" s="2720">
        <v>2020</v>
      </c>
      <c r="M4450" s="2720"/>
      <c r="N4450" s="2847"/>
      <c r="O4450" s="86"/>
      <c r="P4450" s="1817" t="e">
        <f>INDEX(#REF!,MATCH(F4450,#REF!,0),2)</f>
        <v>#REF!</v>
      </c>
    </row>
    <row r="4451" spans="1:16" ht="45">
      <c r="A4451" s="992"/>
      <c r="B4451" s="992" t="s">
        <v>1248</v>
      </c>
      <c r="C4451" s="992" t="s">
        <v>652</v>
      </c>
      <c r="D4451" s="1620"/>
      <c r="E4451" s="2246" t="s">
        <v>2048</v>
      </c>
      <c r="F4451" s="1011">
        <v>1228</v>
      </c>
      <c r="G4451" s="2752" t="s">
        <v>3647</v>
      </c>
      <c r="H4451" s="2732"/>
      <c r="I4451" s="2732">
        <v>902</v>
      </c>
      <c r="J4451" s="2733"/>
      <c r="K4451" s="2736"/>
      <c r="L4451" s="2732"/>
      <c r="M4451" s="2732">
        <v>2020</v>
      </c>
      <c r="N4451" s="2847"/>
      <c r="O4451" s="86"/>
      <c r="P4451" s="1817" t="e">
        <f>INDEX(#REF!,MATCH(F4451,#REF!,0),2)</f>
        <v>#REF!</v>
      </c>
    </row>
    <row r="4452" spans="1:16" ht="52.9" customHeight="1">
      <c r="A4452" s="992"/>
      <c r="B4452" s="992" t="s">
        <v>1248</v>
      </c>
      <c r="C4452" s="992" t="s">
        <v>652</v>
      </c>
      <c r="D4452" s="1620"/>
      <c r="E4452" s="2246" t="s">
        <v>2048</v>
      </c>
      <c r="F4452" s="1011">
        <v>1228</v>
      </c>
      <c r="G4452" s="1562" t="s">
        <v>3648</v>
      </c>
      <c r="H4452" s="2732"/>
      <c r="I4452" s="2732">
        <v>750</v>
      </c>
      <c r="J4452" s="2733"/>
      <c r="K4452" s="2736"/>
      <c r="L4452" s="2734"/>
      <c r="M4452" s="2734"/>
      <c r="N4452" s="2847"/>
      <c r="O4452" s="86"/>
      <c r="P4452" s="1817" t="e">
        <f>INDEX(#REF!,MATCH(F4452,#REF!,0),2)</f>
        <v>#REF!</v>
      </c>
    </row>
    <row r="4453" spans="1:16" ht="14.45" customHeight="1">
      <c r="A4453" s="988"/>
      <c r="B4453" s="988" t="s">
        <v>1248</v>
      </c>
      <c r="C4453" s="988" t="s">
        <v>507</v>
      </c>
      <c r="D4453" s="1619">
        <v>902</v>
      </c>
      <c r="E4453" s="2281" t="s">
        <v>2048</v>
      </c>
      <c r="F4453" s="1010">
        <v>2111</v>
      </c>
      <c r="G4453" s="990" t="s">
        <v>369</v>
      </c>
      <c r="H4453" s="2720">
        <v>0</v>
      </c>
      <c r="I4453" s="2720"/>
      <c r="J4453" s="2721"/>
      <c r="K4453" s="2730"/>
      <c r="L4453" s="2720">
        <v>0</v>
      </c>
      <c r="M4453" s="2720"/>
      <c r="N4453" s="2847"/>
      <c r="O4453" s="86"/>
      <c r="P4453" s="1817" t="e">
        <f>INDEX(#REF!,MATCH(F4453,#REF!,0),2)</f>
        <v>#REF!</v>
      </c>
    </row>
    <row r="4454" spans="1:16">
      <c r="A4454" s="992"/>
      <c r="B4454" s="992" t="s">
        <v>1248</v>
      </c>
      <c r="C4454" s="992" t="s">
        <v>507</v>
      </c>
      <c r="D4454" s="1620"/>
      <c r="E4454" s="2246" t="s">
        <v>2048</v>
      </c>
      <c r="F4454" s="1011">
        <v>2111</v>
      </c>
      <c r="G4454" s="996"/>
      <c r="H4454" s="2732"/>
      <c r="I4454" s="2732"/>
      <c r="J4454" s="2733"/>
      <c r="K4454" s="2736"/>
      <c r="L4454" s="2732"/>
      <c r="M4454" s="2732"/>
      <c r="N4454" s="2847"/>
      <c r="O4454" s="86"/>
      <c r="P4454" s="1817" t="e">
        <f>INDEX(#REF!,MATCH(F4454,#REF!,0),2)</f>
        <v>#REF!</v>
      </c>
    </row>
    <row r="4455" spans="1:16">
      <c r="A4455" s="988"/>
      <c r="B4455" s="775" t="s">
        <v>1249</v>
      </c>
      <c r="C4455" s="988" t="s">
        <v>507</v>
      </c>
      <c r="D4455" s="1619">
        <v>902</v>
      </c>
      <c r="E4455" s="2281" t="s">
        <v>2048</v>
      </c>
      <c r="F4455" s="1010">
        <v>2112</v>
      </c>
      <c r="G4455" s="990" t="s">
        <v>371</v>
      </c>
      <c r="H4455" s="2720">
        <v>0</v>
      </c>
      <c r="I4455" s="2720"/>
      <c r="J4455" s="2721"/>
      <c r="K4455" s="2730"/>
      <c r="L4455" s="2720">
        <v>0</v>
      </c>
      <c r="M4455" s="2720"/>
      <c r="N4455" s="2847"/>
      <c r="O4455" s="86"/>
      <c r="P4455" s="1817" t="e">
        <f>INDEX(#REF!,MATCH(F4455,#REF!,0),2)</f>
        <v>#REF!</v>
      </c>
    </row>
    <row r="4456" spans="1:16">
      <c r="A4456" s="992" t="s">
        <v>1402</v>
      </c>
      <c r="B4456" s="489" t="s">
        <v>1249</v>
      </c>
      <c r="C4456" s="992" t="s">
        <v>507</v>
      </c>
      <c r="D4456" s="1620"/>
      <c r="E4456" s="2246" t="s">
        <v>2048</v>
      </c>
      <c r="F4456" s="1011">
        <v>2112</v>
      </c>
      <c r="G4456" s="996"/>
      <c r="H4456" s="2732"/>
      <c r="I4456" s="2732">
        <v>0</v>
      </c>
      <c r="J4456" s="2733"/>
      <c r="K4456" s="2736"/>
      <c r="L4456" s="2732"/>
      <c r="M4456" s="2732">
        <v>0</v>
      </c>
      <c r="N4456" s="2847"/>
      <c r="O4456" s="86"/>
      <c r="P4456" s="1817" t="e">
        <f>INDEX(#REF!,MATCH(F4456,#REF!,0),2)</f>
        <v>#REF!</v>
      </c>
    </row>
    <row r="4457" spans="1:16" ht="51" customHeight="1">
      <c r="A4457" s="988"/>
      <c r="B4457" s="988" t="s">
        <v>1248</v>
      </c>
      <c r="C4457" s="988" t="s">
        <v>505</v>
      </c>
      <c r="D4457" s="1619">
        <v>902</v>
      </c>
      <c r="E4457" s="2281" t="s">
        <v>2048</v>
      </c>
      <c r="F4457" s="1010">
        <v>2210</v>
      </c>
      <c r="G4457" s="990" t="s">
        <v>879</v>
      </c>
      <c r="H4457" s="2720">
        <v>4503</v>
      </c>
      <c r="I4457" s="2720"/>
      <c r="J4457" s="2721">
        <v>4773</v>
      </c>
      <c r="K4457" s="2730"/>
      <c r="L4457" s="2720">
        <v>3985</v>
      </c>
      <c r="M4457" s="2724"/>
      <c r="N4457" s="241" t="s">
        <v>5708</v>
      </c>
      <c r="O4457" s="86"/>
      <c r="P4457" s="1817"/>
    </row>
    <row r="4458" spans="1:16" ht="51" customHeight="1">
      <c r="A4458" s="992"/>
      <c r="B4458" s="992" t="s">
        <v>1248</v>
      </c>
      <c r="C4458" s="992" t="s">
        <v>505</v>
      </c>
      <c r="D4458" s="1620"/>
      <c r="E4458" s="2246" t="s">
        <v>2048</v>
      </c>
      <c r="F4458" s="1011">
        <v>2210</v>
      </c>
      <c r="G4458" s="2752" t="s">
        <v>3649</v>
      </c>
      <c r="H4458" s="2732"/>
      <c r="I4458" s="2732">
        <v>2966.4</v>
      </c>
      <c r="J4458" s="2733"/>
      <c r="K4458" s="2736"/>
      <c r="L4458" s="2734"/>
      <c r="M4458" s="4417">
        <v>2448</v>
      </c>
      <c r="N4458" s="241" t="s">
        <v>6108</v>
      </c>
      <c r="O4458" s="86"/>
      <c r="P4458" s="1817" t="e">
        <f>INDEX(#REF!,MATCH(F4458,#REF!,0),2)</f>
        <v>#REF!</v>
      </c>
    </row>
    <row r="4459" spans="1:16" ht="51" customHeight="1">
      <c r="A4459" s="992"/>
      <c r="B4459" s="992" t="s">
        <v>1248</v>
      </c>
      <c r="C4459" s="992" t="s">
        <v>505</v>
      </c>
      <c r="D4459" s="1620"/>
      <c r="E4459" s="2246" t="s">
        <v>2048</v>
      </c>
      <c r="F4459" s="1011">
        <v>2210</v>
      </c>
      <c r="G4459" s="2754" t="s">
        <v>1277</v>
      </c>
      <c r="H4459" s="2732"/>
      <c r="I4459" s="2732">
        <v>25</v>
      </c>
      <c r="J4459" s="2733"/>
      <c r="K4459" s="2736"/>
      <c r="L4459" s="2734"/>
      <c r="M4459" s="2753">
        <v>25</v>
      </c>
      <c r="N4459" s="2847"/>
      <c r="O4459" s="86"/>
      <c r="P4459" s="1817" t="e">
        <f>INDEX(#REF!,MATCH(F4459,#REF!,0),2)</f>
        <v>#REF!</v>
      </c>
    </row>
    <row r="4460" spans="1:16" ht="89.25">
      <c r="A4460" s="992" t="s">
        <v>1403</v>
      </c>
      <c r="B4460" s="992" t="s">
        <v>1248</v>
      </c>
      <c r="C4460" s="992" t="s">
        <v>505</v>
      </c>
      <c r="D4460" s="1620"/>
      <c r="E4460" s="2246" t="s">
        <v>2048</v>
      </c>
      <c r="F4460" s="1011">
        <v>2210</v>
      </c>
      <c r="G4460" s="2752" t="s">
        <v>3650</v>
      </c>
      <c r="H4460" s="2732"/>
      <c r="I4460" s="2732">
        <v>1512</v>
      </c>
      <c r="J4460" s="2733"/>
      <c r="K4460" s="2736"/>
      <c r="L4460" s="2734"/>
      <c r="M4460" s="2753">
        <v>1512</v>
      </c>
      <c r="N4460" s="241"/>
      <c r="O4460" s="86"/>
      <c r="P4460" s="1817"/>
    </row>
    <row r="4461" spans="1:16">
      <c r="A4461" s="988"/>
      <c r="B4461" s="988" t="s">
        <v>1248</v>
      </c>
      <c r="C4461" s="988" t="s">
        <v>505</v>
      </c>
      <c r="D4461" s="1619">
        <v>902</v>
      </c>
      <c r="E4461" s="2281" t="s">
        <v>2048</v>
      </c>
      <c r="F4461" s="1010">
        <v>2222</v>
      </c>
      <c r="G4461" s="990" t="s">
        <v>272</v>
      </c>
      <c r="H4461" s="2720">
        <v>7075</v>
      </c>
      <c r="I4461" s="2720"/>
      <c r="J4461" s="2721">
        <v>1312</v>
      </c>
      <c r="K4461" s="2730"/>
      <c r="L4461" s="2720">
        <v>4140</v>
      </c>
      <c r="M4461" s="2720"/>
      <c r="N4461" s="4592"/>
      <c r="O4461" s="86"/>
      <c r="P4461" s="1817" t="e">
        <f>INDEX(#REF!,MATCH(F4461,#REF!,0),2)</f>
        <v>#REF!</v>
      </c>
    </row>
    <row r="4462" spans="1:16" ht="65.45" customHeight="1">
      <c r="A4462" s="992"/>
      <c r="B4462" s="992" t="s">
        <v>1248</v>
      </c>
      <c r="C4462" s="992" t="s">
        <v>505</v>
      </c>
      <c r="D4462" s="1620"/>
      <c r="E4462" s="2246" t="s">
        <v>2048</v>
      </c>
      <c r="F4462" s="1011">
        <v>2222</v>
      </c>
      <c r="G4462" s="2751" t="s">
        <v>3652</v>
      </c>
      <c r="H4462" s="2732"/>
      <c r="I4462" s="2732">
        <v>7075</v>
      </c>
      <c r="J4462" s="2733"/>
      <c r="K4462" s="2736"/>
      <c r="L4462" s="2732"/>
      <c r="M4462" s="2753">
        <v>7260</v>
      </c>
      <c r="N4462" s="2847"/>
      <c r="O4462" s="86"/>
      <c r="P4462" s="1817" t="e">
        <f>INDEX(#REF!,MATCH(F4462,#REF!,0),2)</f>
        <v>#REF!</v>
      </c>
    </row>
    <row r="4463" spans="1:16" ht="23.45" customHeight="1">
      <c r="A4463" s="3872"/>
      <c r="B4463" s="992" t="s">
        <v>1248</v>
      </c>
      <c r="C4463" s="992" t="s">
        <v>505</v>
      </c>
      <c r="D4463" s="1620"/>
      <c r="E4463" s="2246" t="s">
        <v>2048</v>
      </c>
      <c r="F4463" s="1011">
        <v>2222</v>
      </c>
      <c r="G4463" s="3892" t="s">
        <v>5709</v>
      </c>
      <c r="H4463" s="3865"/>
      <c r="I4463" s="3865"/>
      <c r="J4463" s="3866"/>
      <c r="K4463" s="3867"/>
      <c r="L4463" s="3865"/>
      <c r="M4463" s="4065">
        <v>-3120</v>
      </c>
      <c r="N4463" s="241" t="s">
        <v>5710</v>
      </c>
      <c r="O4463" s="86"/>
      <c r="P4463" s="1817" t="e">
        <f>INDEX(#REF!,MATCH(F4463,#REF!,0),2)</f>
        <v>#REF!</v>
      </c>
    </row>
    <row r="4464" spans="1:16">
      <c r="A4464" s="988"/>
      <c r="B4464" s="988" t="s">
        <v>1248</v>
      </c>
      <c r="C4464" s="988" t="s">
        <v>505</v>
      </c>
      <c r="D4464" s="1619">
        <v>902</v>
      </c>
      <c r="E4464" s="2281" t="s">
        <v>2048</v>
      </c>
      <c r="F4464" s="1010">
        <v>2223</v>
      </c>
      <c r="G4464" s="990" t="s">
        <v>273</v>
      </c>
      <c r="H4464" s="2720">
        <v>38550</v>
      </c>
      <c r="I4464" s="2720"/>
      <c r="J4464" s="2721">
        <v>13704.4</v>
      </c>
      <c r="K4464" s="2730"/>
      <c r="L4464" s="2720">
        <v>19000</v>
      </c>
      <c r="M4464" s="2724"/>
      <c r="N4464" s="2847"/>
      <c r="O4464" s="86"/>
      <c r="P4464" s="1817" t="e">
        <f>INDEX(#REF!,MATCH(F4464,#REF!,0),2)</f>
        <v>#REF!</v>
      </c>
    </row>
    <row r="4465" spans="1:16" ht="10.9" customHeight="1">
      <c r="A4465" s="992"/>
      <c r="B4465" s="992" t="s">
        <v>1248</v>
      </c>
      <c r="C4465" s="992" t="s">
        <v>505</v>
      </c>
      <c r="D4465" s="1620"/>
      <c r="E4465" s="2246" t="s">
        <v>2048</v>
      </c>
      <c r="F4465" s="1011">
        <v>2223</v>
      </c>
      <c r="G4465" s="2751" t="s">
        <v>2181</v>
      </c>
      <c r="H4465" s="2732"/>
      <c r="I4465" s="2732">
        <v>38550</v>
      </c>
      <c r="J4465" s="2733"/>
      <c r="K4465" s="2736"/>
      <c r="L4465" s="2734"/>
      <c r="M4465" s="2755">
        <v>22000</v>
      </c>
      <c r="N4465" s="2847"/>
      <c r="O4465" s="86"/>
      <c r="P4465" s="1817"/>
    </row>
    <row r="4466" spans="1:16" ht="22.5">
      <c r="A4466" s="3872"/>
      <c r="B4466" s="992" t="s">
        <v>1248</v>
      </c>
      <c r="C4466" s="992" t="s">
        <v>505</v>
      </c>
      <c r="D4466" s="1620"/>
      <c r="E4466" s="2246" t="s">
        <v>2048</v>
      </c>
      <c r="F4466" s="1011">
        <v>2223</v>
      </c>
      <c r="G4466" s="3892" t="s">
        <v>5709</v>
      </c>
      <c r="H4466" s="3865"/>
      <c r="I4466" s="3865"/>
      <c r="J4466" s="3866"/>
      <c r="K4466" s="3867"/>
      <c r="L4466" s="3874"/>
      <c r="M4466" s="4066">
        <v>-3000</v>
      </c>
      <c r="N4466" s="2396" t="s">
        <v>5711</v>
      </c>
      <c r="O4466" s="86"/>
      <c r="P4466" s="1817" t="e">
        <f>INDEX(#REF!,MATCH(F4466,#REF!,0),2)</f>
        <v>#REF!</v>
      </c>
    </row>
    <row r="4467" spans="1:16" ht="25.15" customHeight="1">
      <c r="A4467" s="988"/>
      <c r="B4467" s="988" t="s">
        <v>1248</v>
      </c>
      <c r="C4467" s="988" t="s">
        <v>505</v>
      </c>
      <c r="D4467" s="1619">
        <v>902</v>
      </c>
      <c r="E4467" s="2281" t="s">
        <v>2048</v>
      </c>
      <c r="F4467" s="1010">
        <v>2224</v>
      </c>
      <c r="G4467" s="990" t="s">
        <v>274</v>
      </c>
      <c r="H4467" s="2720">
        <v>0</v>
      </c>
      <c r="I4467" s="2720"/>
      <c r="J4467" s="2721"/>
      <c r="K4467" s="2730"/>
      <c r="L4467" s="2724">
        <v>0</v>
      </c>
      <c r="M4467" s="2724"/>
      <c r="N4467" s="2847"/>
      <c r="O4467" s="86"/>
      <c r="P4467" s="1817" t="e">
        <f>INDEX(#REF!,MATCH(F4467,#REF!,0),2)</f>
        <v>#REF!</v>
      </c>
    </row>
    <row r="4468" spans="1:16">
      <c r="A4468" s="1000"/>
      <c r="B4468" s="992" t="s">
        <v>1248</v>
      </c>
      <c r="C4468" s="992" t="s">
        <v>505</v>
      </c>
      <c r="D4468" s="1620"/>
      <c r="E4468" s="2246" t="s">
        <v>2048</v>
      </c>
      <c r="F4468" s="1011">
        <v>2224</v>
      </c>
      <c r="G4468" s="996"/>
      <c r="H4468" s="2732"/>
      <c r="I4468" s="2732"/>
      <c r="J4468" s="2733"/>
      <c r="K4468" s="2736"/>
      <c r="L4468" s="2734"/>
      <c r="M4468" s="2734"/>
      <c r="N4468" s="2847"/>
      <c r="O4468" s="86"/>
      <c r="P4468" s="1817" t="e">
        <f>INDEX(#REF!,MATCH(F4468,#REF!,0),2)</f>
        <v>#REF!</v>
      </c>
    </row>
    <row r="4469" spans="1:16">
      <c r="A4469" s="988"/>
      <c r="B4469" s="988" t="s">
        <v>1248</v>
      </c>
      <c r="C4469" s="988" t="s">
        <v>507</v>
      </c>
      <c r="D4469" s="1619">
        <v>902</v>
      </c>
      <c r="E4469" s="2281" t="s">
        <v>2048</v>
      </c>
      <c r="F4469" s="1010">
        <v>2233</v>
      </c>
      <c r="G4469" s="990" t="s">
        <v>397</v>
      </c>
      <c r="H4469" s="2720">
        <v>1399</v>
      </c>
      <c r="I4469" s="2720"/>
      <c r="J4469" s="2721">
        <v>25</v>
      </c>
      <c r="K4469" s="2730"/>
      <c r="L4469" s="2720">
        <v>1940</v>
      </c>
      <c r="M4469" s="2724"/>
      <c r="N4469" s="2847"/>
      <c r="O4469" s="86"/>
      <c r="P4469" s="1817" t="e">
        <f>INDEX(#REF!,MATCH(F4469,#REF!,0),2)</f>
        <v>#REF!</v>
      </c>
    </row>
    <row r="4470" spans="1:16" ht="101.25">
      <c r="A4470" s="992" t="s">
        <v>1404</v>
      </c>
      <c r="B4470" s="992" t="s">
        <v>1248</v>
      </c>
      <c r="C4470" s="992" t="s">
        <v>507</v>
      </c>
      <c r="D4470" s="1620"/>
      <c r="E4470" s="2246" t="s">
        <v>2048</v>
      </c>
      <c r="F4470" s="1011">
        <v>2233</v>
      </c>
      <c r="G4470" s="2752" t="s">
        <v>3653</v>
      </c>
      <c r="H4470" s="2732"/>
      <c r="I4470" s="2732">
        <v>1440</v>
      </c>
      <c r="J4470" s="2733"/>
      <c r="K4470" s="2736"/>
      <c r="L4470" s="2734"/>
      <c r="M4470" s="4417">
        <v>1300</v>
      </c>
      <c r="N4470" s="241" t="s">
        <v>5156</v>
      </c>
      <c r="O4470" s="86"/>
      <c r="P4470" s="1817" t="e">
        <f>INDEX(#REF!,MATCH(F4470,#REF!,0),2)</f>
        <v>#REF!</v>
      </c>
    </row>
    <row r="4471" spans="1:16" ht="33.75">
      <c r="A4471" s="992" t="s">
        <v>1404</v>
      </c>
      <c r="B4471" s="992" t="s">
        <v>1248</v>
      </c>
      <c r="C4471" s="992" t="s">
        <v>507</v>
      </c>
      <c r="D4471" s="1620"/>
      <c r="E4471" s="2246" t="s">
        <v>2048</v>
      </c>
      <c r="F4471" s="1011">
        <v>2233</v>
      </c>
      <c r="G4471" s="2752" t="s">
        <v>3654</v>
      </c>
      <c r="H4471" s="2732"/>
      <c r="I4471" s="2732"/>
      <c r="J4471" s="2733"/>
      <c r="K4471" s="2736"/>
      <c r="L4471" s="2734"/>
      <c r="M4471" s="2753">
        <v>640</v>
      </c>
      <c r="N4471" s="2847"/>
      <c r="O4471" s="86"/>
      <c r="P4471" s="1817" t="e">
        <f>INDEX(#REF!,MATCH(F4471,#REF!,0),2)</f>
        <v>#REF!</v>
      </c>
    </row>
    <row r="4472" spans="1:16" ht="22.5">
      <c r="A4472" s="1012"/>
      <c r="B4472" s="988" t="s">
        <v>1248</v>
      </c>
      <c r="C4472" s="988" t="s">
        <v>507</v>
      </c>
      <c r="D4472" s="1619">
        <v>902</v>
      </c>
      <c r="E4472" s="2281" t="s">
        <v>2048</v>
      </c>
      <c r="F4472" s="1010">
        <v>2234</v>
      </c>
      <c r="G4472" s="990" t="s">
        <v>398</v>
      </c>
      <c r="H4472" s="2720">
        <v>73</v>
      </c>
      <c r="I4472" s="2720"/>
      <c r="J4472" s="2721">
        <v>111</v>
      </c>
      <c r="K4472" s="2730"/>
      <c r="L4472" s="2720">
        <v>1275</v>
      </c>
      <c r="M4472" s="2724"/>
      <c r="N4472" s="241"/>
      <c r="O4472" s="86"/>
      <c r="P4472" s="1817" t="e">
        <f>INDEX(#REF!,MATCH(F4472,#REF!,0),2)</f>
        <v>#REF!</v>
      </c>
    </row>
    <row r="4473" spans="1:16" ht="65.45" customHeight="1">
      <c r="A4473" s="1002" t="s">
        <v>1405</v>
      </c>
      <c r="B4473" s="1003" t="s">
        <v>1248</v>
      </c>
      <c r="C4473" s="1003" t="s">
        <v>507</v>
      </c>
      <c r="D4473" s="1621"/>
      <c r="E4473" s="2246" t="s">
        <v>2048</v>
      </c>
      <c r="F4473" s="1011">
        <v>2234</v>
      </c>
      <c r="G4473" s="1564" t="s">
        <v>6229</v>
      </c>
      <c r="H4473" s="2732"/>
      <c r="I4473" s="2732">
        <v>32</v>
      </c>
      <c r="J4473" s="2733"/>
      <c r="K4473" s="2736"/>
      <c r="L4473" s="2734"/>
      <c r="M4473" s="2753">
        <v>1275</v>
      </c>
      <c r="N4473" s="2847"/>
      <c r="O4473" s="86"/>
      <c r="P4473" s="1817" t="e">
        <f>INDEX(#REF!,MATCH(F4473,#REF!,0),2)</f>
        <v>#REF!</v>
      </c>
    </row>
    <row r="4474" spans="1:16">
      <c r="A4474" s="1012"/>
      <c r="B4474" s="988" t="s">
        <v>1248</v>
      </c>
      <c r="C4474" s="988" t="s">
        <v>507</v>
      </c>
      <c r="D4474" s="1619">
        <v>902</v>
      </c>
      <c r="E4474" s="2281" t="s">
        <v>2048</v>
      </c>
      <c r="F4474" s="1010">
        <v>2235</v>
      </c>
      <c r="G4474" s="990" t="s">
        <v>2431</v>
      </c>
      <c r="H4474" s="2720">
        <v>2040</v>
      </c>
      <c r="I4474" s="2720"/>
      <c r="J4474" s="2721"/>
      <c r="K4474" s="2730"/>
      <c r="L4474" s="2720">
        <v>2550</v>
      </c>
      <c r="M4474" s="2724"/>
      <c r="N4474" s="2847" t="s">
        <v>3657</v>
      </c>
      <c r="O4474" s="86"/>
      <c r="P4474" s="1817" t="e">
        <f>INDEX(#REF!,MATCH(F4474,#REF!,0),2)</f>
        <v>#REF!</v>
      </c>
    </row>
    <row r="4475" spans="1:16" ht="22.5">
      <c r="A4475" s="1002" t="s">
        <v>1400</v>
      </c>
      <c r="B4475" s="1003" t="s">
        <v>1248</v>
      </c>
      <c r="C4475" s="1003" t="s">
        <v>507</v>
      </c>
      <c r="D4475" s="1621"/>
      <c r="E4475" s="2246" t="s">
        <v>2048</v>
      </c>
      <c r="F4475" s="1011">
        <v>2235</v>
      </c>
      <c r="G4475" s="2751" t="s">
        <v>3656</v>
      </c>
      <c r="H4475" s="2732"/>
      <c r="I4475" s="2732">
        <v>2040</v>
      </c>
      <c r="J4475" s="2733"/>
      <c r="K4475" s="2736"/>
      <c r="L4475" s="2734"/>
      <c r="M4475" s="2732">
        <v>2550</v>
      </c>
      <c r="N4475" s="2847"/>
      <c r="O4475" s="86"/>
      <c r="P4475" s="1817" t="e">
        <f>INDEX(#REF!,MATCH(F4475,#REF!,0),2)</f>
        <v>#REF!</v>
      </c>
    </row>
    <row r="4476" spans="1:16" ht="34.15" customHeight="1">
      <c r="A4476" s="1012"/>
      <c r="B4476" s="988" t="s">
        <v>1248</v>
      </c>
      <c r="C4476" s="988" t="s">
        <v>505</v>
      </c>
      <c r="D4476" s="1619">
        <v>902</v>
      </c>
      <c r="E4476" s="2281" t="s">
        <v>2048</v>
      </c>
      <c r="F4476" s="1010">
        <v>2239</v>
      </c>
      <c r="G4476" s="990" t="s">
        <v>1202</v>
      </c>
      <c r="H4476" s="2720">
        <v>9434.6</v>
      </c>
      <c r="I4476" s="2720"/>
      <c r="J4476" s="2721">
        <v>9624</v>
      </c>
      <c r="K4476" s="2730"/>
      <c r="L4476" s="2720">
        <v>9466.6</v>
      </c>
      <c r="M4476" s="2724"/>
      <c r="N4476" s="2847"/>
      <c r="O4476" s="86"/>
      <c r="P4476" s="1817" t="e">
        <f>INDEX(#REF!,MATCH(F4476,#REF!,0),2)</f>
        <v>#REF!</v>
      </c>
    </row>
    <row r="4477" spans="1:16" ht="33">
      <c r="A4477" s="1002" t="s">
        <v>1400</v>
      </c>
      <c r="B4477" s="1003" t="s">
        <v>1248</v>
      </c>
      <c r="C4477" s="1003" t="s">
        <v>505</v>
      </c>
      <c r="D4477" s="1621"/>
      <c r="E4477" s="2246" t="s">
        <v>2048</v>
      </c>
      <c r="F4477" s="1011">
        <v>2239</v>
      </c>
      <c r="G4477" s="2751" t="s">
        <v>5713</v>
      </c>
      <c r="H4477" s="2732"/>
      <c r="I4477" s="2732">
        <v>390</v>
      </c>
      <c r="J4477" s="2733"/>
      <c r="K4477" s="2736"/>
      <c r="L4477" s="2734"/>
      <c r="M4477" s="2732">
        <v>750</v>
      </c>
      <c r="N4477" s="241" t="s">
        <v>5715</v>
      </c>
      <c r="O4477" s="86"/>
      <c r="P4477" s="1817" t="e">
        <f>INDEX(#REF!,MATCH(F4477,#REF!,0),2)</f>
        <v>#REF!</v>
      </c>
    </row>
    <row r="4478" spans="1:16" ht="56.25">
      <c r="A4478" s="1002" t="s">
        <v>1400</v>
      </c>
      <c r="B4478" s="1003" t="s">
        <v>1248</v>
      </c>
      <c r="C4478" s="1003" t="s">
        <v>505</v>
      </c>
      <c r="D4478" s="1621"/>
      <c r="E4478" s="2246" t="s">
        <v>2048</v>
      </c>
      <c r="F4478" s="1011">
        <v>2239</v>
      </c>
      <c r="G4478" s="2751" t="s">
        <v>3655</v>
      </c>
      <c r="H4478" s="2732"/>
      <c r="I4478" s="2732">
        <v>1176</v>
      </c>
      <c r="J4478" s="2733"/>
      <c r="K4478" s="2736"/>
      <c r="L4478" s="2734"/>
      <c r="M4478" s="2732">
        <v>875</v>
      </c>
      <c r="N4478" s="2847"/>
      <c r="O4478" s="86"/>
      <c r="P4478" s="1817" t="e">
        <f>INDEX(#REF!,MATCH(F4478,#REF!,0),2)</f>
        <v>#REF!</v>
      </c>
    </row>
    <row r="4479" spans="1:16">
      <c r="A4479" s="1565"/>
      <c r="B4479" s="1003" t="s">
        <v>1248</v>
      </c>
      <c r="C4479" s="1003" t="s">
        <v>507</v>
      </c>
      <c r="D4479" s="1621"/>
      <c r="E4479" s="2246" t="s">
        <v>2048</v>
      </c>
      <c r="F4479" s="1011">
        <v>2239</v>
      </c>
      <c r="G4479" s="1567" t="s">
        <v>2388</v>
      </c>
      <c r="H4479" s="2732"/>
      <c r="I4479" s="2732">
        <v>900</v>
      </c>
      <c r="J4479" s="2733"/>
      <c r="K4479" s="2736"/>
      <c r="L4479" s="2734"/>
      <c r="M4479" s="2734"/>
      <c r="N4479" s="2847"/>
      <c r="O4479" s="86"/>
      <c r="P4479" s="1817" t="e">
        <f>INDEX(#REF!,MATCH(F4479,#REF!,0),2)</f>
        <v>#REF!</v>
      </c>
    </row>
    <row r="4480" spans="1:16" ht="44.25">
      <c r="A4480" s="1002"/>
      <c r="B4480" s="1003" t="s">
        <v>1248</v>
      </c>
      <c r="C4480" s="1003" t="s">
        <v>507</v>
      </c>
      <c r="D4480" s="1621"/>
      <c r="E4480" s="2246" t="s">
        <v>2048</v>
      </c>
      <c r="F4480" s="1011">
        <v>2239</v>
      </c>
      <c r="G4480" s="2751" t="s">
        <v>3658</v>
      </c>
      <c r="H4480" s="2732"/>
      <c r="I4480" s="2732">
        <v>3480</v>
      </c>
      <c r="J4480" s="2733">
        <v>3036</v>
      </c>
      <c r="K4480" s="2736"/>
      <c r="L4480" s="2734"/>
      <c r="M4480" s="2732">
        <v>3960</v>
      </c>
      <c r="N4480" s="2847"/>
      <c r="O4480" s="86"/>
      <c r="P4480" s="1817" t="e">
        <f>INDEX(#REF!,MATCH(F4480,#REF!,0),2)</f>
        <v>#REF!</v>
      </c>
    </row>
    <row r="4481" spans="1:23" ht="78.75">
      <c r="A4481" s="1565"/>
      <c r="B4481" s="1003" t="s">
        <v>1248</v>
      </c>
      <c r="C4481" s="1003" t="s">
        <v>507</v>
      </c>
      <c r="D4481" s="1621"/>
      <c r="E4481" s="2246" t="s">
        <v>2048</v>
      </c>
      <c r="F4481" s="1011">
        <v>2239</v>
      </c>
      <c r="G4481" s="2751" t="s">
        <v>2182</v>
      </c>
      <c r="H4481" s="2732"/>
      <c r="I4481" s="2732">
        <v>1623.6000000000001</v>
      </c>
      <c r="J4481" s="2733">
        <v>1369</v>
      </c>
      <c r="K4481" s="2736"/>
      <c r="L4481" s="2734"/>
      <c r="M4481" s="2732">
        <v>1623.6000000000001</v>
      </c>
      <c r="N4481" s="2846" t="s">
        <v>3659</v>
      </c>
      <c r="O4481" s="86"/>
      <c r="P4481" s="1817" t="e">
        <f>INDEX(#REF!,MATCH(F4481,#REF!,0),2)</f>
        <v>#REF!</v>
      </c>
    </row>
    <row r="4482" spans="1:23" ht="43.9" customHeight="1">
      <c r="A4482" s="1002" t="s">
        <v>1400</v>
      </c>
      <c r="B4482" s="1003" t="s">
        <v>1248</v>
      </c>
      <c r="C4482" s="1003" t="s">
        <v>507</v>
      </c>
      <c r="D4482" s="1621"/>
      <c r="E4482" s="2246" t="s">
        <v>2048</v>
      </c>
      <c r="F4482" s="1011">
        <v>2239</v>
      </c>
      <c r="G4482" s="2751" t="s">
        <v>3660</v>
      </c>
      <c r="H4482" s="2732"/>
      <c r="I4482" s="2732">
        <v>145</v>
      </c>
      <c r="J4482" s="2733"/>
      <c r="K4482" s="2736"/>
      <c r="L4482" s="2734"/>
      <c r="M4482" s="2732">
        <v>128</v>
      </c>
      <c r="N4482" s="2847"/>
      <c r="O4482" s="86"/>
      <c r="P4482" s="1817" t="e">
        <f>INDEX(#REF!,MATCH(F4482,#REF!,0),2)</f>
        <v>#REF!</v>
      </c>
    </row>
    <row r="4483" spans="1:23" ht="78.75">
      <c r="A4483" s="992" t="s">
        <v>1399</v>
      </c>
      <c r="B4483" s="992" t="s">
        <v>1248</v>
      </c>
      <c r="C4483" s="992" t="s">
        <v>505</v>
      </c>
      <c r="D4483" s="1620"/>
      <c r="E4483" s="2246" t="s">
        <v>2048</v>
      </c>
      <c r="F4483" s="1011">
        <v>2239</v>
      </c>
      <c r="G4483" s="2751" t="s">
        <v>3661</v>
      </c>
      <c r="H4483" s="2732"/>
      <c r="I4483" s="2732">
        <v>1440</v>
      </c>
      <c r="J4483" s="2733">
        <v>1826</v>
      </c>
      <c r="K4483" s="2736"/>
      <c r="L4483" s="2734"/>
      <c r="M4483" s="2732">
        <v>1920</v>
      </c>
      <c r="N4483" s="2847"/>
      <c r="O4483" s="86"/>
      <c r="P4483" s="1817" t="e">
        <f>INDEX(#REF!,MATCH(F4483,#REF!,0),2)</f>
        <v>#REF!</v>
      </c>
    </row>
    <row r="4484" spans="1:23" ht="33.75">
      <c r="A4484" s="992" t="s">
        <v>1399</v>
      </c>
      <c r="B4484" s="992" t="s">
        <v>1248</v>
      </c>
      <c r="C4484" s="992" t="s">
        <v>505</v>
      </c>
      <c r="D4484" s="1620"/>
      <c r="E4484" s="2246" t="s">
        <v>2048</v>
      </c>
      <c r="F4484" s="1011">
        <v>2239</v>
      </c>
      <c r="G4484" s="2751" t="s">
        <v>3662</v>
      </c>
      <c r="H4484" s="2732"/>
      <c r="I4484" s="2732">
        <v>280</v>
      </c>
      <c r="J4484" s="2733"/>
      <c r="K4484" s="2736"/>
      <c r="L4484" s="2734"/>
      <c r="M4484" s="2732">
        <v>210</v>
      </c>
      <c r="N4484" s="2847"/>
      <c r="O4484" s="86"/>
      <c r="P4484" s="1817" t="e">
        <f>INDEX(#REF!,MATCH(F4484,#REF!,0),2)</f>
        <v>#REF!</v>
      </c>
    </row>
    <row r="4485" spans="1:23">
      <c r="A4485" s="988"/>
      <c r="B4485" s="988" t="s">
        <v>1248</v>
      </c>
      <c r="C4485" s="988" t="s">
        <v>505</v>
      </c>
      <c r="D4485" s="1619">
        <v>902</v>
      </c>
      <c r="E4485" s="2281" t="s">
        <v>2048</v>
      </c>
      <c r="F4485" s="1010">
        <v>2241</v>
      </c>
      <c r="G4485" s="990" t="s">
        <v>276</v>
      </c>
      <c r="H4485" s="2720">
        <v>600</v>
      </c>
      <c r="I4485" s="2720"/>
      <c r="J4485" s="2721">
        <v>491</v>
      </c>
      <c r="K4485" s="2730"/>
      <c r="L4485" s="2720">
        <v>600</v>
      </c>
      <c r="M4485" s="2720"/>
      <c r="N4485" s="2847"/>
      <c r="O4485" s="86"/>
      <c r="P4485" s="1817" t="e">
        <f>INDEX(#REF!,MATCH(F4485,#REF!,0),2)</f>
        <v>#REF!</v>
      </c>
      <c r="V4485" s="81"/>
      <c r="W4485"/>
    </row>
    <row r="4486" spans="1:23">
      <c r="A4486" s="1003"/>
      <c r="B4486" s="1003" t="s">
        <v>1248</v>
      </c>
      <c r="C4486" s="1003" t="s">
        <v>505</v>
      </c>
      <c r="D4486" s="1621"/>
      <c r="E4486" s="2246" t="s">
        <v>2048</v>
      </c>
      <c r="F4486" s="1011">
        <v>2241</v>
      </c>
      <c r="G4486" s="1001" t="s">
        <v>1278</v>
      </c>
      <c r="H4486" s="2732"/>
      <c r="I4486" s="2732">
        <v>600</v>
      </c>
      <c r="J4486" s="2737"/>
      <c r="K4486" s="2749"/>
      <c r="L4486" s="2732"/>
      <c r="M4486" s="2732">
        <v>600</v>
      </c>
      <c r="N4486" s="2847"/>
      <c r="O4486" s="86"/>
      <c r="P4486" s="1817" t="e">
        <f>INDEX(#REF!,MATCH(F4486,#REF!,0),2)</f>
        <v>#REF!</v>
      </c>
    </row>
    <row r="4487" spans="1:23" ht="79.900000000000006" customHeight="1">
      <c r="A4487" s="988"/>
      <c r="B4487" s="988" t="s">
        <v>1248</v>
      </c>
      <c r="C4487" s="988" t="s">
        <v>505</v>
      </c>
      <c r="D4487" s="1619">
        <v>902</v>
      </c>
      <c r="E4487" s="2281" t="s">
        <v>2048</v>
      </c>
      <c r="F4487" s="1010">
        <v>2243</v>
      </c>
      <c r="G4487" s="990" t="s">
        <v>329</v>
      </c>
      <c r="H4487" s="2720">
        <v>150</v>
      </c>
      <c r="I4487" s="2720"/>
      <c r="J4487" s="2721"/>
      <c r="K4487" s="2730"/>
      <c r="L4487" s="2720">
        <v>0</v>
      </c>
      <c r="M4487" s="2724"/>
      <c r="N4487" s="2847"/>
      <c r="O4487" s="86"/>
      <c r="P4487" s="1817" t="e">
        <f>INDEX(#REF!,MATCH(F4487,#REF!,0),2)</f>
        <v>#REF!</v>
      </c>
    </row>
    <row r="4488" spans="1:23" ht="61.9" customHeight="1">
      <c r="A4488" s="1003"/>
      <c r="B4488" s="1003" t="s">
        <v>1248</v>
      </c>
      <c r="C4488" s="1003" t="s">
        <v>505</v>
      </c>
      <c r="D4488" s="1620"/>
      <c r="E4488" s="2246" t="s">
        <v>2048</v>
      </c>
      <c r="F4488" s="1011">
        <v>2243</v>
      </c>
      <c r="G4488" s="1561" t="s">
        <v>3663</v>
      </c>
      <c r="H4488" s="2732"/>
      <c r="I4488" s="2732">
        <v>150</v>
      </c>
      <c r="J4488" s="2733"/>
      <c r="K4488" s="2736"/>
      <c r="L4488" s="2734"/>
      <c r="M4488" s="2734"/>
      <c r="N4488" s="2847"/>
      <c r="O4488" s="86"/>
      <c r="P4488" s="1817" t="e">
        <f>INDEX(#REF!,MATCH(F4488,#REF!,0),2)</f>
        <v>#REF!</v>
      </c>
    </row>
    <row r="4489" spans="1:23">
      <c r="A4489" s="988"/>
      <c r="B4489" s="988" t="s">
        <v>1248</v>
      </c>
      <c r="C4489" s="988" t="s">
        <v>505</v>
      </c>
      <c r="D4489" s="1619">
        <v>902</v>
      </c>
      <c r="E4489" s="2281" t="s">
        <v>2048</v>
      </c>
      <c r="F4489" s="1010">
        <v>2247</v>
      </c>
      <c r="G4489" s="990" t="s">
        <v>309</v>
      </c>
      <c r="H4489" s="2720">
        <v>7118</v>
      </c>
      <c r="I4489" s="2720"/>
      <c r="J4489" s="2721">
        <v>792</v>
      </c>
      <c r="K4489" s="2730"/>
      <c r="L4489" s="2720">
        <v>10200</v>
      </c>
      <c r="M4489" s="2724"/>
      <c r="N4489" s="2847"/>
      <c r="O4489" s="86"/>
      <c r="P4489" s="1817" t="e">
        <f>INDEX(#REF!,MATCH(F4489,#REF!,0),2)</f>
        <v>#REF!</v>
      </c>
    </row>
    <row r="4490" spans="1:23" ht="45">
      <c r="A4490" s="1003"/>
      <c r="B4490" s="1003" t="s">
        <v>1248</v>
      </c>
      <c r="C4490" s="1003" t="s">
        <v>505</v>
      </c>
      <c r="D4490" s="1621"/>
      <c r="E4490" s="2246" t="s">
        <v>2048</v>
      </c>
      <c r="F4490" s="1011">
        <v>2247</v>
      </c>
      <c r="G4490" s="2751" t="s">
        <v>3664</v>
      </c>
      <c r="H4490" s="2732"/>
      <c r="I4490" s="2732">
        <v>250</v>
      </c>
      <c r="J4490" s="2733"/>
      <c r="K4490" s="2736"/>
      <c r="L4490" s="2734"/>
      <c r="M4490" s="2732">
        <v>0</v>
      </c>
      <c r="N4490" s="2847"/>
      <c r="O4490" s="86"/>
      <c r="P4490" s="1817" t="e">
        <f>INDEX(#REF!,MATCH(F4490,#REF!,0),2)</f>
        <v>#REF!</v>
      </c>
    </row>
    <row r="4491" spans="1:23">
      <c r="A4491" s="1889"/>
      <c r="B4491" s="1003" t="s">
        <v>1248</v>
      </c>
      <c r="C4491" s="1003" t="s">
        <v>505</v>
      </c>
      <c r="D4491" s="1621"/>
      <c r="E4491" s="2246" t="s">
        <v>2048</v>
      </c>
      <c r="F4491" s="1011">
        <v>2247</v>
      </c>
      <c r="G4491" s="2756" t="s">
        <v>3665</v>
      </c>
      <c r="H4491" s="2732"/>
      <c r="I4491" s="2732">
        <v>6900</v>
      </c>
      <c r="J4491" s="2733"/>
      <c r="K4491" s="2736"/>
      <c r="L4491" s="2734"/>
      <c r="M4491" s="2732">
        <v>10200</v>
      </c>
      <c r="N4491" s="2847"/>
      <c r="O4491" s="86"/>
      <c r="P4491" s="1817" t="e">
        <f>INDEX(#REF!,MATCH(F4491,#REF!,0),2)</f>
        <v>#REF!</v>
      </c>
    </row>
    <row r="4492" spans="1:23">
      <c r="A4492" s="1889"/>
      <c r="B4492" s="1003" t="s">
        <v>1248</v>
      </c>
      <c r="C4492" s="1003" t="s">
        <v>505</v>
      </c>
      <c r="D4492" s="1621"/>
      <c r="E4492" s="2246" t="s">
        <v>2048</v>
      </c>
      <c r="F4492" s="1011">
        <v>2247</v>
      </c>
      <c r="G4492" s="1890" t="s">
        <v>3218</v>
      </c>
      <c r="H4492" s="2732"/>
      <c r="I4492" s="2732">
        <v>-32</v>
      </c>
      <c r="J4492" s="2733"/>
      <c r="K4492" s="2736"/>
      <c r="L4492" s="2734"/>
      <c r="M4492" s="2734"/>
      <c r="N4492" s="2847"/>
      <c r="O4492" s="86"/>
      <c r="P4492" s="1817" t="e">
        <f>INDEX(#REF!,MATCH(F4492,#REF!,0),2)</f>
        <v>#REF!</v>
      </c>
    </row>
    <row r="4493" spans="1:23">
      <c r="A4493" s="988"/>
      <c r="B4493" s="988" t="s">
        <v>1248</v>
      </c>
      <c r="C4493" s="988" t="s">
        <v>505</v>
      </c>
      <c r="D4493" s="1619"/>
      <c r="E4493" s="2281" t="s">
        <v>2048</v>
      </c>
      <c r="F4493" s="1010">
        <v>2250</v>
      </c>
      <c r="G4493" s="990" t="s">
        <v>1254</v>
      </c>
      <c r="H4493" s="2720">
        <v>1640.3999999999999</v>
      </c>
      <c r="I4493" s="2720"/>
      <c r="J4493" s="2721">
        <v>75</v>
      </c>
      <c r="K4493" s="2730"/>
      <c r="L4493" s="2720">
        <v>1678.048</v>
      </c>
      <c r="M4493" s="2720"/>
      <c r="N4493" s="2847"/>
      <c r="O4493" s="86"/>
      <c r="P4493" s="1817" t="e">
        <f>INDEX(#REF!,MATCH(F4493,#REF!,0),2)</f>
        <v>#REF!</v>
      </c>
    </row>
    <row r="4494" spans="1:23">
      <c r="A4494" s="1889"/>
      <c r="B4494" s="1889" t="s">
        <v>1248</v>
      </c>
      <c r="C4494" s="1889" t="s">
        <v>505</v>
      </c>
      <c r="D4494" s="2360"/>
      <c r="E4494" s="2229" t="s">
        <v>2048</v>
      </c>
      <c r="F4494" s="1936">
        <v>2250</v>
      </c>
      <c r="G4494" s="1890" t="s">
        <v>3666</v>
      </c>
      <c r="H4494" s="2732"/>
      <c r="I4494" s="2732">
        <v>75</v>
      </c>
      <c r="J4494" s="2733"/>
      <c r="K4494" s="2736"/>
      <c r="L4494" s="2732"/>
      <c r="M4494" s="2732">
        <v>0</v>
      </c>
      <c r="N4494" s="2847"/>
      <c r="O4494" s="86"/>
      <c r="P4494" s="1817" t="e">
        <f>INDEX(#REF!,MATCH(F4494,#REF!,0),2)</f>
        <v>#REF!</v>
      </c>
    </row>
    <row r="4495" spans="1:23" ht="78.75">
      <c r="A4495" s="992" t="s">
        <v>1403</v>
      </c>
      <c r="B4495" s="992" t="s">
        <v>1248</v>
      </c>
      <c r="C4495" s="992" t="s">
        <v>505</v>
      </c>
      <c r="D4495" s="1620"/>
      <c r="E4495" s="2246" t="s">
        <v>2048</v>
      </c>
      <c r="F4495" s="1011">
        <v>2250</v>
      </c>
      <c r="G4495" s="2752" t="s">
        <v>3651</v>
      </c>
      <c r="H4495" s="2732"/>
      <c r="I4495" s="2732">
        <v>1283.3999999999999</v>
      </c>
      <c r="J4495" s="2733"/>
      <c r="K4495" s="2736"/>
      <c r="L4495" s="2734"/>
      <c r="M4495" s="2753">
        <v>1338.048</v>
      </c>
      <c r="N4495" s="2847"/>
      <c r="O4495" s="86"/>
      <c r="P4495" s="1817" t="e">
        <f>INDEX(#REF!,MATCH(F4495,#REF!,0),2)</f>
        <v>#REF!</v>
      </c>
    </row>
    <row r="4496" spans="1:23" ht="34.9" customHeight="1">
      <c r="A4496" s="762" t="s">
        <v>1403</v>
      </c>
      <c r="B4496" s="762" t="s">
        <v>1248</v>
      </c>
      <c r="C4496" s="992" t="s">
        <v>505</v>
      </c>
      <c r="D4496" s="1620"/>
      <c r="E4496" s="2246" t="s">
        <v>2048</v>
      </c>
      <c r="F4496" s="1011">
        <v>2250</v>
      </c>
      <c r="G4496" s="2752" t="s">
        <v>2180</v>
      </c>
      <c r="H4496" s="2732"/>
      <c r="I4496" s="2732">
        <v>282</v>
      </c>
      <c r="J4496" s="2733"/>
      <c r="K4496" s="2736"/>
      <c r="L4496" s="2734"/>
      <c r="M4496" s="2753">
        <v>340</v>
      </c>
      <c r="N4496" s="3768" t="s">
        <v>5714</v>
      </c>
      <c r="O4496" s="86"/>
      <c r="P4496" s="1817" t="e">
        <f>INDEX(#REF!,MATCH(F4496,#REF!,0),2)</f>
        <v>#REF!</v>
      </c>
    </row>
    <row r="4497" spans="1:16" ht="34.9" customHeight="1">
      <c r="A4497" s="988"/>
      <c r="B4497" s="988" t="s">
        <v>1248</v>
      </c>
      <c r="C4497" s="988" t="s">
        <v>505</v>
      </c>
      <c r="D4497" s="1619">
        <v>902</v>
      </c>
      <c r="E4497" s="2281" t="s">
        <v>2048</v>
      </c>
      <c r="F4497" s="1010">
        <v>2264</v>
      </c>
      <c r="G4497" s="990" t="s">
        <v>240</v>
      </c>
      <c r="H4497" s="2720">
        <v>363</v>
      </c>
      <c r="I4497" s="2720"/>
      <c r="J4497" s="2721">
        <v>361</v>
      </c>
      <c r="K4497" s="2730"/>
      <c r="L4497" s="2720">
        <v>363</v>
      </c>
      <c r="M4497" s="2720"/>
      <c r="N4497" s="2847"/>
      <c r="O4497" s="86"/>
      <c r="P4497" s="1817" t="e">
        <f>INDEX(#REF!,MATCH(F4497,#REF!,0),2)</f>
        <v>#REF!</v>
      </c>
    </row>
    <row r="4498" spans="1:16" ht="34.9" customHeight="1">
      <c r="A4498" s="992"/>
      <c r="B4498" s="992" t="s">
        <v>1248</v>
      </c>
      <c r="C4498" s="992" t="s">
        <v>505</v>
      </c>
      <c r="D4498" s="1620"/>
      <c r="E4498" s="2246" t="s">
        <v>2048</v>
      </c>
      <c r="F4498" s="1011">
        <v>2264</v>
      </c>
      <c r="G4498" s="2751" t="s">
        <v>2183</v>
      </c>
      <c r="H4498" s="2732"/>
      <c r="I4498" s="2732">
        <v>363</v>
      </c>
      <c r="J4498" s="2733"/>
      <c r="K4498" s="2736"/>
      <c r="L4498" s="2732"/>
      <c r="M4498" s="2732">
        <v>363</v>
      </c>
      <c r="N4498" s="2847"/>
      <c r="O4498" s="86"/>
      <c r="P4498" s="1817" t="e">
        <f>INDEX(#REF!,MATCH(F4498,#REF!,0),2)</f>
        <v>#REF!</v>
      </c>
    </row>
    <row r="4499" spans="1:16" ht="34.9" customHeight="1">
      <c r="A4499" s="988"/>
      <c r="B4499" s="988" t="s">
        <v>1248</v>
      </c>
      <c r="C4499" s="988" t="s">
        <v>507</v>
      </c>
      <c r="D4499" s="1619">
        <v>902</v>
      </c>
      <c r="E4499" s="2281" t="s">
        <v>2048</v>
      </c>
      <c r="F4499" s="1010">
        <v>2311</v>
      </c>
      <c r="G4499" s="990" t="s">
        <v>245</v>
      </c>
      <c r="H4499" s="2720">
        <v>892.5</v>
      </c>
      <c r="I4499" s="2720"/>
      <c r="J4499" s="2721">
        <v>555</v>
      </c>
      <c r="K4499" s="2730"/>
      <c r="L4499" s="2720">
        <v>892.5</v>
      </c>
      <c r="M4499" s="2724"/>
      <c r="N4499" s="2847"/>
      <c r="O4499" s="86"/>
      <c r="P4499" s="1817"/>
    </row>
    <row r="4500" spans="1:16" ht="34.9" customHeight="1">
      <c r="A4500" s="992"/>
      <c r="B4500" s="992" t="s">
        <v>1248</v>
      </c>
      <c r="C4500" s="992" t="s">
        <v>507</v>
      </c>
      <c r="D4500" s="1620"/>
      <c r="E4500" s="2246" t="s">
        <v>2048</v>
      </c>
      <c r="F4500" s="1011">
        <v>2311</v>
      </c>
      <c r="G4500" s="2590" t="s">
        <v>2184</v>
      </c>
      <c r="H4500" s="2732"/>
      <c r="I4500" s="2732">
        <v>600</v>
      </c>
      <c r="J4500" s="2733"/>
      <c r="K4500" s="2736"/>
      <c r="L4500" s="2734"/>
      <c r="M4500" s="2732">
        <v>600</v>
      </c>
      <c r="N4500" s="2847"/>
      <c r="O4500" s="86"/>
      <c r="P4500" s="1817"/>
    </row>
    <row r="4501" spans="1:16" ht="34.9" customHeight="1">
      <c r="A4501" s="992"/>
      <c r="B4501" s="992" t="s">
        <v>1248</v>
      </c>
      <c r="C4501" s="992" t="s">
        <v>507</v>
      </c>
      <c r="D4501" s="1620"/>
      <c r="E4501" s="2246" t="s">
        <v>2048</v>
      </c>
      <c r="F4501" s="1011">
        <v>2311</v>
      </c>
      <c r="G4501" s="2743" t="s">
        <v>3667</v>
      </c>
      <c r="H4501" s="2732"/>
      <c r="I4501" s="2732">
        <v>192.5</v>
      </c>
      <c r="J4501" s="2733"/>
      <c r="K4501" s="2736"/>
      <c r="L4501" s="2734"/>
      <c r="M4501" s="2732">
        <v>192.5</v>
      </c>
      <c r="N4501" s="2847"/>
      <c r="O4501" s="86"/>
      <c r="P4501" s="1817"/>
    </row>
    <row r="4502" spans="1:16" ht="34.9" customHeight="1">
      <c r="A4502" s="992"/>
      <c r="B4502" s="992" t="s">
        <v>1248</v>
      </c>
      <c r="C4502" s="992" t="s">
        <v>507</v>
      </c>
      <c r="D4502" s="1620"/>
      <c r="E4502" s="2246" t="s">
        <v>2048</v>
      </c>
      <c r="F4502" s="1011">
        <v>2311</v>
      </c>
      <c r="G4502" s="1001" t="s">
        <v>2185</v>
      </c>
      <c r="H4502" s="2732"/>
      <c r="I4502" s="2732">
        <v>100</v>
      </c>
      <c r="J4502" s="2733"/>
      <c r="K4502" s="2736"/>
      <c r="L4502" s="2734"/>
      <c r="M4502" s="2732">
        <v>100</v>
      </c>
      <c r="N4502" s="2847"/>
      <c r="O4502" s="86"/>
      <c r="P4502" s="1817"/>
    </row>
    <row r="4503" spans="1:16" ht="34.9" customHeight="1">
      <c r="A4503" s="988"/>
      <c r="B4503" s="988" t="s">
        <v>1248</v>
      </c>
      <c r="C4503" s="988" t="s">
        <v>507</v>
      </c>
      <c r="D4503" s="1619">
        <v>902</v>
      </c>
      <c r="E4503" s="2281" t="s">
        <v>2048</v>
      </c>
      <c r="F4503" s="1010">
        <v>2312</v>
      </c>
      <c r="G4503" s="990" t="s">
        <v>249</v>
      </c>
      <c r="H4503" s="2720">
        <v>4616</v>
      </c>
      <c r="I4503" s="2720"/>
      <c r="J4503" s="2721">
        <v>3848</v>
      </c>
      <c r="K4503" s="2730"/>
      <c r="L4503" s="2720">
        <v>4183</v>
      </c>
      <c r="M4503" s="2724"/>
      <c r="N4503" s="2847"/>
      <c r="O4503" s="86"/>
      <c r="P4503" s="1817"/>
    </row>
    <row r="4504" spans="1:16" ht="34.9" customHeight="1">
      <c r="A4504" s="992" t="s">
        <v>1407</v>
      </c>
      <c r="B4504" s="992" t="s">
        <v>1248</v>
      </c>
      <c r="C4504" s="992" t="s">
        <v>507</v>
      </c>
      <c r="D4504" s="1620"/>
      <c r="E4504" s="2246" t="s">
        <v>2048</v>
      </c>
      <c r="F4504" s="1011">
        <v>2312</v>
      </c>
      <c r="G4504" s="2751" t="s">
        <v>3668</v>
      </c>
      <c r="H4504" s="2732"/>
      <c r="I4504" s="2732">
        <v>450</v>
      </c>
      <c r="J4504" s="2733"/>
      <c r="K4504" s="2736"/>
      <c r="L4504" s="2734"/>
      <c r="M4504" s="2732">
        <v>185</v>
      </c>
      <c r="N4504" s="2847"/>
      <c r="O4504" s="86"/>
      <c r="P4504" s="1817"/>
    </row>
    <row r="4505" spans="1:16" ht="43.9" customHeight="1">
      <c r="A4505" s="992" t="s">
        <v>1407</v>
      </c>
      <c r="B4505" s="992" t="s">
        <v>1248</v>
      </c>
      <c r="C4505" s="992" t="s">
        <v>507</v>
      </c>
      <c r="D4505" s="1620"/>
      <c r="E4505" s="2246" t="s">
        <v>2048</v>
      </c>
      <c r="F4505" s="1011">
        <v>2312</v>
      </c>
      <c r="G4505" s="2751" t="s">
        <v>3669</v>
      </c>
      <c r="H4505" s="2732"/>
      <c r="I4505" s="2732"/>
      <c r="J4505" s="2733"/>
      <c r="K4505" s="2736"/>
      <c r="L4505" s="2734"/>
      <c r="M4505" s="2732">
        <v>220</v>
      </c>
      <c r="N4505" s="2847"/>
      <c r="O4505" s="86"/>
      <c r="P4505" s="1817"/>
    </row>
    <row r="4506" spans="1:16" ht="32.450000000000003" customHeight="1">
      <c r="A4506" s="992" t="s">
        <v>1407</v>
      </c>
      <c r="B4506" s="992" t="s">
        <v>1248</v>
      </c>
      <c r="C4506" s="992" t="s">
        <v>507</v>
      </c>
      <c r="D4506" s="1620"/>
      <c r="E4506" s="2246" t="s">
        <v>2048</v>
      </c>
      <c r="F4506" s="1011">
        <v>2312</v>
      </c>
      <c r="G4506" s="2751" t="s">
        <v>3670</v>
      </c>
      <c r="H4506" s="2732"/>
      <c r="I4506" s="2732"/>
      <c r="J4506" s="2733"/>
      <c r="K4506" s="2736"/>
      <c r="L4506" s="2734"/>
      <c r="M4506" s="2732">
        <v>280</v>
      </c>
      <c r="N4506" s="2847"/>
      <c r="O4506" s="86"/>
      <c r="P4506" s="1817"/>
    </row>
    <row r="4507" spans="1:16" ht="40.15" customHeight="1">
      <c r="A4507" s="992" t="s">
        <v>1407</v>
      </c>
      <c r="B4507" s="992" t="s">
        <v>1248</v>
      </c>
      <c r="C4507" s="992" t="s">
        <v>507</v>
      </c>
      <c r="D4507" s="1620"/>
      <c r="E4507" s="2246" t="s">
        <v>2048</v>
      </c>
      <c r="F4507" s="1011">
        <v>2312</v>
      </c>
      <c r="G4507" s="2751" t="s">
        <v>3671</v>
      </c>
      <c r="H4507" s="2732"/>
      <c r="I4507" s="2732"/>
      <c r="J4507" s="2733"/>
      <c r="K4507" s="2736"/>
      <c r="L4507" s="2734"/>
      <c r="M4507" s="2732">
        <v>420</v>
      </c>
      <c r="N4507" s="2847"/>
      <c r="O4507" s="86"/>
      <c r="P4507" s="1817" t="e">
        <f>INDEX(#REF!,MATCH(F4507,#REF!,0),2)</f>
        <v>#REF!</v>
      </c>
    </row>
    <row r="4508" spans="1:16" ht="33.75">
      <c r="A4508" s="992" t="s">
        <v>1407</v>
      </c>
      <c r="B4508" s="992" t="s">
        <v>1248</v>
      </c>
      <c r="C4508" s="992" t="s">
        <v>507</v>
      </c>
      <c r="D4508" s="1620"/>
      <c r="E4508" s="2246" t="s">
        <v>2048</v>
      </c>
      <c r="F4508" s="1011">
        <v>2312</v>
      </c>
      <c r="G4508" s="2751" t="s">
        <v>3672</v>
      </c>
      <c r="H4508" s="2732"/>
      <c r="I4508" s="2732"/>
      <c r="J4508" s="2733"/>
      <c r="K4508" s="2736"/>
      <c r="L4508" s="2734"/>
      <c r="M4508" s="2732">
        <v>1780</v>
      </c>
      <c r="N4508" s="241" t="s">
        <v>5715</v>
      </c>
      <c r="O4508" s="86"/>
      <c r="P4508" s="1817" t="e">
        <f>INDEX(#REF!,MATCH(F4508,#REF!,0),2)</f>
        <v>#REF!</v>
      </c>
    </row>
    <row r="4509" spans="1:16" ht="22.5">
      <c r="A4509" s="992" t="s">
        <v>1407</v>
      </c>
      <c r="B4509" s="992" t="s">
        <v>1248</v>
      </c>
      <c r="C4509" s="992" t="s">
        <v>507</v>
      </c>
      <c r="D4509" s="1620"/>
      <c r="E4509" s="2246" t="s">
        <v>2048</v>
      </c>
      <c r="F4509" s="1011">
        <v>2312</v>
      </c>
      <c r="G4509" s="2751" t="s">
        <v>3673</v>
      </c>
      <c r="H4509" s="2732"/>
      <c r="I4509" s="2732"/>
      <c r="J4509" s="2733"/>
      <c r="K4509" s="2736"/>
      <c r="L4509" s="2734"/>
      <c r="M4509" s="2732">
        <v>460</v>
      </c>
      <c r="N4509" s="2847"/>
      <c r="O4509" s="86"/>
      <c r="P4509" s="1817" t="e">
        <f>INDEX(#REF!,MATCH(F4509,#REF!,0),2)</f>
        <v>#REF!</v>
      </c>
    </row>
    <row r="4510" spans="1:16" ht="55.15" customHeight="1">
      <c r="A4510" s="992" t="s">
        <v>1407</v>
      </c>
      <c r="B4510" s="992" t="s">
        <v>1248</v>
      </c>
      <c r="C4510" s="992" t="s">
        <v>507</v>
      </c>
      <c r="D4510" s="1620"/>
      <c r="E4510" s="2246" t="s">
        <v>2048</v>
      </c>
      <c r="F4510" s="1011">
        <v>2312</v>
      </c>
      <c r="G4510" s="2751" t="s">
        <v>3674</v>
      </c>
      <c r="H4510" s="2732"/>
      <c r="I4510" s="2732">
        <v>444</v>
      </c>
      <c r="J4510" s="2733"/>
      <c r="K4510" s="2736"/>
      <c r="L4510" s="2734"/>
      <c r="M4510" s="2732">
        <v>468</v>
      </c>
      <c r="N4510" s="2847"/>
      <c r="O4510" s="86"/>
      <c r="P4510" s="1817" t="e">
        <f>INDEX(#REF!,MATCH(F4510,#REF!,0),2)</f>
        <v>#REF!</v>
      </c>
    </row>
    <row r="4511" spans="1:16" ht="55.15" customHeight="1">
      <c r="A4511" s="992" t="s">
        <v>1417</v>
      </c>
      <c r="B4511" s="992" t="s">
        <v>1248</v>
      </c>
      <c r="C4511" s="992" t="s">
        <v>507</v>
      </c>
      <c r="D4511" s="1620"/>
      <c r="E4511" s="2246" t="s">
        <v>2048</v>
      </c>
      <c r="F4511" s="1011">
        <v>2312</v>
      </c>
      <c r="G4511" s="2751" t="s">
        <v>3704</v>
      </c>
      <c r="H4511" s="2732"/>
      <c r="I4511" s="2732"/>
      <c r="J4511" s="2733"/>
      <c r="K4511" s="2736"/>
      <c r="L4511" s="2732"/>
      <c r="M4511" s="2746">
        <v>370</v>
      </c>
      <c r="N4511" s="2847" t="s">
        <v>3707</v>
      </c>
      <c r="O4511" s="86"/>
      <c r="P4511" s="1817" t="e">
        <f>INDEX(#REF!,MATCH(F4511,#REF!,0),2)</f>
        <v>#REF!</v>
      </c>
    </row>
    <row r="4512" spans="1:16" ht="55.15" customHeight="1">
      <c r="A4512" s="992" t="s">
        <v>1407</v>
      </c>
      <c r="B4512" s="992" t="s">
        <v>1248</v>
      </c>
      <c r="C4512" s="992" t="s">
        <v>507</v>
      </c>
      <c r="D4512" s="1620"/>
      <c r="E4512" s="2246" t="s">
        <v>2048</v>
      </c>
      <c r="F4512" s="1011">
        <v>2312</v>
      </c>
      <c r="G4512" s="1561" t="s">
        <v>2186</v>
      </c>
      <c r="H4512" s="2732"/>
      <c r="I4512" s="2732">
        <v>525</v>
      </c>
      <c r="J4512" s="2733"/>
      <c r="K4512" s="2736"/>
      <c r="L4512" s="2734"/>
      <c r="M4512" s="2734"/>
      <c r="N4512" s="2847"/>
      <c r="O4512" s="86"/>
      <c r="P4512" s="1817" t="e">
        <f>INDEX(#REF!,MATCH(F4512,#REF!,0),2)</f>
        <v>#REF!</v>
      </c>
    </row>
    <row r="4513" spans="1:16" ht="66.75">
      <c r="A4513" s="992" t="s">
        <v>1408</v>
      </c>
      <c r="B4513" s="992" t="s">
        <v>1248</v>
      </c>
      <c r="C4513" s="992" t="s">
        <v>507</v>
      </c>
      <c r="D4513" s="1620"/>
      <c r="E4513" s="2246" t="s">
        <v>2048</v>
      </c>
      <c r="F4513" s="1011">
        <v>2312</v>
      </c>
      <c r="G4513" s="1561" t="s">
        <v>2187</v>
      </c>
      <c r="H4513" s="2732"/>
      <c r="I4513" s="2732">
        <v>360</v>
      </c>
      <c r="J4513" s="2733"/>
      <c r="K4513" s="2736"/>
      <c r="L4513" s="2734"/>
      <c r="M4513" s="2734"/>
      <c r="N4513" s="2847"/>
      <c r="O4513" s="86"/>
      <c r="P4513" s="1817"/>
    </row>
    <row r="4514" spans="1:16" ht="33.75">
      <c r="A4514" s="1563" t="s">
        <v>1408</v>
      </c>
      <c r="B4514" s="992" t="s">
        <v>1248</v>
      </c>
      <c r="C4514" s="992" t="s">
        <v>507</v>
      </c>
      <c r="D4514" s="1620"/>
      <c r="E4514" s="2246" t="s">
        <v>2048</v>
      </c>
      <c r="F4514" s="1011">
        <v>2312</v>
      </c>
      <c r="G4514" s="1561" t="s">
        <v>2188</v>
      </c>
      <c r="H4514" s="2732"/>
      <c r="I4514" s="2732">
        <v>357</v>
      </c>
      <c r="J4514" s="2733"/>
      <c r="K4514" s="2736"/>
      <c r="L4514" s="2734"/>
      <c r="M4514" s="2734"/>
      <c r="N4514" s="2847"/>
      <c r="O4514" s="86"/>
      <c r="P4514" s="1817"/>
    </row>
    <row r="4515" spans="1:16" ht="45">
      <c r="A4515" s="992" t="s">
        <v>1409</v>
      </c>
      <c r="B4515" s="992" t="s">
        <v>1248</v>
      </c>
      <c r="C4515" s="992" t="s">
        <v>507</v>
      </c>
      <c r="D4515" s="1620"/>
      <c r="E4515" s="2246" t="s">
        <v>2048</v>
      </c>
      <c r="F4515" s="1011">
        <v>2312</v>
      </c>
      <c r="G4515" s="1561" t="s">
        <v>2189</v>
      </c>
      <c r="H4515" s="2732"/>
      <c r="I4515" s="2732">
        <v>480</v>
      </c>
      <c r="J4515" s="2733"/>
      <c r="K4515" s="2736"/>
      <c r="L4515" s="2734"/>
      <c r="M4515" s="2734"/>
      <c r="N4515" s="2847"/>
      <c r="O4515" s="86"/>
      <c r="P4515" s="1817" t="e">
        <f>INDEX(#REF!,MATCH(F4515,#REF!,0),2)</f>
        <v>#REF!</v>
      </c>
    </row>
    <row r="4516" spans="1:16" ht="22.5">
      <c r="A4516" s="992" t="s">
        <v>1418</v>
      </c>
      <c r="B4516" s="992" t="s">
        <v>1248</v>
      </c>
      <c r="C4516" s="992" t="s">
        <v>507</v>
      </c>
      <c r="D4516" s="1620"/>
      <c r="E4516" s="2246" t="s">
        <v>2048</v>
      </c>
      <c r="F4516" s="1011">
        <v>2312</v>
      </c>
      <c r="G4516" s="1911" t="s">
        <v>3180</v>
      </c>
      <c r="H4516" s="2732"/>
      <c r="I4516" s="2732">
        <v>2000</v>
      </c>
      <c r="J4516" s="2733"/>
      <c r="K4516" s="2736"/>
      <c r="L4516" s="2734"/>
      <c r="M4516" s="2734"/>
      <c r="N4516" s="2847"/>
      <c r="O4516" s="86"/>
      <c r="P4516" s="1817" t="e">
        <f>INDEX(#REF!,MATCH(F4516,#REF!,0),2)</f>
        <v>#REF!</v>
      </c>
    </row>
    <row r="4517" spans="1:16">
      <c r="A4517" s="988"/>
      <c r="B4517" s="775" t="s">
        <v>1250</v>
      </c>
      <c r="C4517" s="988" t="s">
        <v>570</v>
      </c>
      <c r="D4517" s="1619">
        <v>902</v>
      </c>
      <c r="E4517" s="2281" t="s">
        <v>2048</v>
      </c>
      <c r="F4517" s="1010">
        <v>2312</v>
      </c>
      <c r="G4517" s="990" t="s">
        <v>249</v>
      </c>
      <c r="H4517" s="2720">
        <v>0</v>
      </c>
      <c r="I4517" s="2720"/>
      <c r="J4517" s="2721"/>
      <c r="K4517" s="2730"/>
      <c r="L4517" s="2720">
        <v>2720</v>
      </c>
      <c r="M4517" s="2720"/>
      <c r="N4517" s="2847"/>
      <c r="O4517" s="86"/>
      <c r="P4517" s="1817"/>
    </row>
    <row r="4518" spans="1:16" ht="56.25">
      <c r="A4518" s="992" t="s">
        <v>1410</v>
      </c>
      <c r="B4518" s="489" t="s">
        <v>1250</v>
      </c>
      <c r="C4518" s="992" t="s">
        <v>570</v>
      </c>
      <c r="D4518" s="1620"/>
      <c r="E4518" s="2246" t="s">
        <v>2048</v>
      </c>
      <c r="F4518" s="1011">
        <v>2312</v>
      </c>
      <c r="G4518" s="2757" t="s">
        <v>3675</v>
      </c>
      <c r="H4518" s="2732"/>
      <c r="I4518" s="2732">
        <v>0</v>
      </c>
      <c r="J4518" s="2733"/>
      <c r="K4518" s="2736"/>
      <c r="L4518" s="2732"/>
      <c r="M4518" s="2753">
        <v>0</v>
      </c>
      <c r="N4518" s="2847" t="s">
        <v>3676</v>
      </c>
      <c r="O4518" s="86"/>
      <c r="P4518" s="1817"/>
    </row>
    <row r="4519" spans="1:16" ht="45">
      <c r="A4519" s="992" t="s">
        <v>1410</v>
      </c>
      <c r="B4519" s="489" t="s">
        <v>1250</v>
      </c>
      <c r="C4519" s="992" t="s">
        <v>570</v>
      </c>
      <c r="D4519" s="1620"/>
      <c r="E4519" s="2246" t="s">
        <v>2048</v>
      </c>
      <c r="F4519" s="1011">
        <v>2312</v>
      </c>
      <c r="G4519" s="2751" t="s">
        <v>3705</v>
      </c>
      <c r="H4519" s="2732"/>
      <c r="I4519" s="2732">
        <v>0</v>
      </c>
      <c r="J4519" s="2733"/>
      <c r="K4519" s="2736"/>
      <c r="L4519" s="2734"/>
      <c r="M4519" s="2753">
        <v>410</v>
      </c>
      <c r="N4519" s="2847" t="s">
        <v>3708</v>
      </c>
      <c r="O4519" s="86"/>
      <c r="P4519" s="1817"/>
    </row>
    <row r="4520" spans="1:16" ht="45">
      <c r="A4520" s="992" t="s">
        <v>1410</v>
      </c>
      <c r="B4520" s="489" t="s">
        <v>1250</v>
      </c>
      <c r="C4520" s="992" t="s">
        <v>570</v>
      </c>
      <c r="D4520" s="1620"/>
      <c r="E4520" s="2246" t="s">
        <v>2048</v>
      </c>
      <c r="F4520" s="1011">
        <v>2312</v>
      </c>
      <c r="G4520" s="2751" t="s">
        <v>3706</v>
      </c>
      <c r="H4520" s="2732"/>
      <c r="I4520" s="2732"/>
      <c r="J4520" s="2733"/>
      <c r="K4520" s="2736"/>
      <c r="L4520" s="2734"/>
      <c r="M4520" s="2753">
        <v>2310</v>
      </c>
      <c r="N4520" s="2847" t="s">
        <v>3708</v>
      </c>
      <c r="O4520" s="86"/>
      <c r="P4520" s="1817"/>
    </row>
    <row r="4521" spans="1:16" ht="22.5">
      <c r="A4521" s="988"/>
      <c r="B4521" s="988" t="s">
        <v>1248</v>
      </c>
      <c r="C4521" s="988" t="s">
        <v>505</v>
      </c>
      <c r="D4521" s="1619">
        <v>902</v>
      </c>
      <c r="E4521" s="2281" t="s">
        <v>2048</v>
      </c>
      <c r="F4521" s="1010">
        <v>2314</v>
      </c>
      <c r="G4521" s="990" t="s">
        <v>2436</v>
      </c>
      <c r="H4521" s="2720">
        <v>1590</v>
      </c>
      <c r="I4521" s="2720"/>
      <c r="J4521" s="2721"/>
      <c r="K4521" s="2730"/>
      <c r="L4521" s="2720">
        <v>2060</v>
      </c>
      <c r="M4521" s="2720"/>
      <c r="N4521" s="2847" t="s">
        <v>3709</v>
      </c>
      <c r="O4521" s="86"/>
      <c r="P4521" s="1817"/>
    </row>
    <row r="4522" spans="1:16" ht="33.75">
      <c r="A4522" s="992"/>
      <c r="B4522" s="992" t="s">
        <v>1248</v>
      </c>
      <c r="C4522" s="992" t="s">
        <v>505</v>
      </c>
      <c r="D4522" s="1620"/>
      <c r="E4522" s="2246" t="s">
        <v>2048</v>
      </c>
      <c r="F4522" s="1011">
        <v>2314</v>
      </c>
      <c r="G4522" s="2743" t="s">
        <v>1413</v>
      </c>
      <c r="H4522" s="2732"/>
      <c r="I4522" s="2732">
        <v>240</v>
      </c>
      <c r="J4522" s="2733"/>
      <c r="K4522" s="2736"/>
      <c r="L4522" s="2734"/>
      <c r="M4522" s="2732">
        <v>300</v>
      </c>
      <c r="N4522" s="2847"/>
      <c r="O4522" s="86"/>
      <c r="P4522" s="1817"/>
    </row>
    <row r="4523" spans="1:16" ht="33.75">
      <c r="A4523" s="2587"/>
      <c r="B4523" s="992" t="s">
        <v>1248</v>
      </c>
      <c r="C4523" s="992" t="s">
        <v>505</v>
      </c>
      <c r="D4523" s="1620"/>
      <c r="E4523" s="2246" t="s">
        <v>2048</v>
      </c>
      <c r="F4523" s="1011">
        <v>2314</v>
      </c>
      <c r="G4523" s="2590" t="s">
        <v>1414</v>
      </c>
      <c r="H4523" s="2732"/>
      <c r="I4523" s="2732">
        <v>250</v>
      </c>
      <c r="J4523" s="2733"/>
      <c r="K4523" s="2736"/>
      <c r="L4523" s="2734"/>
      <c r="M4523" s="2732">
        <v>250</v>
      </c>
      <c r="N4523" s="2847"/>
      <c r="O4523" s="86"/>
      <c r="P4523" s="1817" t="e">
        <f>INDEX(#REF!,MATCH(F4523,#REF!,0),2)</f>
        <v>#REF!</v>
      </c>
    </row>
    <row r="4524" spans="1:16" ht="21" customHeight="1">
      <c r="A4524" s="2587"/>
      <c r="B4524" s="992" t="s">
        <v>1248</v>
      </c>
      <c r="C4524" s="992" t="s">
        <v>505</v>
      </c>
      <c r="D4524" s="1620"/>
      <c r="E4524" s="2246" t="s">
        <v>2048</v>
      </c>
      <c r="F4524" s="1011">
        <v>2314</v>
      </c>
      <c r="G4524" s="2751" t="s">
        <v>3695</v>
      </c>
      <c r="H4524" s="2732"/>
      <c r="I4524" s="2732">
        <v>200</v>
      </c>
      <c r="J4524" s="2733"/>
      <c r="K4524" s="2736"/>
      <c r="L4524" s="2734"/>
      <c r="M4524" s="2732">
        <v>200</v>
      </c>
      <c r="N4524" s="2847"/>
      <c r="O4524" s="86"/>
      <c r="P4524" s="1817" t="e">
        <f>INDEX(#REF!,MATCH(F4524,#REF!,0),2)</f>
        <v>#REF!</v>
      </c>
    </row>
    <row r="4525" spans="1:16" ht="33.75">
      <c r="A4525" s="2587"/>
      <c r="B4525" s="992" t="s">
        <v>1248</v>
      </c>
      <c r="C4525" s="992" t="s">
        <v>505</v>
      </c>
      <c r="D4525" s="1620"/>
      <c r="E4525" s="2246" t="s">
        <v>2048</v>
      </c>
      <c r="F4525" s="1011">
        <v>2314</v>
      </c>
      <c r="G4525" s="2752" t="s">
        <v>3696</v>
      </c>
      <c r="H4525" s="2732"/>
      <c r="I4525" s="2732">
        <v>100</v>
      </c>
      <c r="J4525" s="2733"/>
      <c r="K4525" s="2736"/>
      <c r="L4525" s="2734"/>
      <c r="M4525" s="2732">
        <v>490</v>
      </c>
      <c r="N4525" s="2847"/>
      <c r="O4525" s="86"/>
      <c r="P4525" s="1817" t="e">
        <f>INDEX(#REF!,MATCH(F4525,#REF!,0),2)</f>
        <v>#REF!</v>
      </c>
    </row>
    <row r="4526" spans="1:16" ht="57.6" customHeight="1">
      <c r="A4526" s="2587"/>
      <c r="B4526" s="992" t="s">
        <v>1248</v>
      </c>
      <c r="C4526" s="992" t="s">
        <v>505</v>
      </c>
      <c r="D4526" s="1620"/>
      <c r="E4526" s="2246" t="s">
        <v>2048</v>
      </c>
      <c r="F4526" s="1011">
        <v>2314</v>
      </c>
      <c r="G4526" s="2752" t="s">
        <v>3697</v>
      </c>
      <c r="H4526" s="2732"/>
      <c r="I4526" s="2732">
        <v>400</v>
      </c>
      <c r="J4526" s="2733"/>
      <c r="K4526" s="2736"/>
      <c r="L4526" s="2734"/>
      <c r="M4526" s="2732">
        <v>420</v>
      </c>
      <c r="N4526" s="2847"/>
      <c r="O4526" s="86"/>
      <c r="P4526" s="1817" t="e">
        <f>INDEX(#REF!,MATCH(F4526,#REF!,0),2)</f>
        <v>#REF!</v>
      </c>
    </row>
    <row r="4527" spans="1:16" ht="42.6" customHeight="1">
      <c r="A4527" s="2587"/>
      <c r="B4527" s="992" t="s">
        <v>1248</v>
      </c>
      <c r="C4527" s="992" t="s">
        <v>505</v>
      </c>
      <c r="D4527" s="1620"/>
      <c r="E4527" s="2246" t="s">
        <v>2048</v>
      </c>
      <c r="F4527" s="1011">
        <v>2314</v>
      </c>
      <c r="G4527" s="2760" t="s">
        <v>2197</v>
      </c>
      <c r="H4527" s="2732"/>
      <c r="I4527" s="2732">
        <v>200</v>
      </c>
      <c r="J4527" s="2733"/>
      <c r="K4527" s="2736"/>
      <c r="L4527" s="2734"/>
      <c r="M4527" s="2732">
        <v>200</v>
      </c>
      <c r="N4527" s="2847"/>
      <c r="O4527" s="86"/>
      <c r="P4527" s="1817" t="e">
        <f>INDEX(#REF!,MATCH(F4527,#REF!,0),2)</f>
        <v>#REF!</v>
      </c>
    </row>
    <row r="4528" spans="1:16" ht="28.9" customHeight="1">
      <c r="A4528" s="2587"/>
      <c r="B4528" s="992" t="s">
        <v>1248</v>
      </c>
      <c r="C4528" s="992" t="s">
        <v>505</v>
      </c>
      <c r="D4528" s="1620"/>
      <c r="E4528" s="2246" t="s">
        <v>2048</v>
      </c>
      <c r="F4528" s="1011">
        <v>2314</v>
      </c>
      <c r="G4528" s="2760" t="s">
        <v>3700</v>
      </c>
      <c r="H4528" s="2732"/>
      <c r="I4528" s="2732">
        <v>200</v>
      </c>
      <c r="J4528" s="2733"/>
      <c r="K4528" s="2736"/>
      <c r="L4528" s="2734"/>
      <c r="M4528" s="2732">
        <v>200</v>
      </c>
      <c r="N4528" s="2847"/>
      <c r="O4528" s="86"/>
      <c r="P4528" s="1817" t="e">
        <f>INDEX(#REF!,MATCH(F4528,#REF!,0),2)</f>
        <v>#REF!</v>
      </c>
    </row>
    <row r="4529" spans="1:16" ht="39.6" customHeight="1">
      <c r="A4529" s="988"/>
      <c r="B4529" s="988" t="s">
        <v>1248</v>
      </c>
      <c r="C4529" s="988" t="s">
        <v>505</v>
      </c>
      <c r="D4529" s="1619">
        <v>902</v>
      </c>
      <c r="E4529" s="2281" t="s">
        <v>2048</v>
      </c>
      <c r="F4529" s="1010">
        <v>2322</v>
      </c>
      <c r="G4529" s="990" t="s">
        <v>390</v>
      </c>
      <c r="H4529" s="2720">
        <v>1260</v>
      </c>
      <c r="I4529" s="2720"/>
      <c r="J4529" s="2721">
        <v>748</v>
      </c>
      <c r="K4529" s="2730"/>
      <c r="L4529" s="2720">
        <v>1260</v>
      </c>
      <c r="M4529" s="2720"/>
      <c r="N4529" s="2847"/>
      <c r="O4529" s="86"/>
      <c r="P4529" s="1817" t="e">
        <f>INDEX(#REF!,MATCH(F4529,#REF!,0),2)</f>
        <v>#REF!</v>
      </c>
    </row>
    <row r="4530" spans="1:16" ht="39.6" customHeight="1">
      <c r="A4530" s="992"/>
      <c r="B4530" s="992" t="s">
        <v>1248</v>
      </c>
      <c r="C4530" s="992" t="s">
        <v>505</v>
      </c>
      <c r="D4530" s="1620"/>
      <c r="E4530" s="2246" t="s">
        <v>2048</v>
      </c>
      <c r="F4530" s="1011">
        <v>2322</v>
      </c>
      <c r="G4530" s="2751" t="s">
        <v>2192</v>
      </c>
      <c r="H4530" s="2732"/>
      <c r="I4530" s="2732">
        <v>1260</v>
      </c>
      <c r="J4530" s="2733"/>
      <c r="K4530" s="2736"/>
      <c r="L4530" s="2732"/>
      <c r="M4530" s="2753">
        <v>1260</v>
      </c>
      <c r="N4530" s="2847"/>
      <c r="O4530" s="86"/>
      <c r="P4530" s="1817" t="e">
        <f>INDEX(#REF!,MATCH(F4530,#REF!,0),2)</f>
        <v>#REF!</v>
      </c>
    </row>
    <row r="4531" spans="1:16" ht="12" customHeight="1">
      <c r="A4531" s="988"/>
      <c r="B4531" s="988" t="s">
        <v>1248</v>
      </c>
      <c r="C4531" s="988" t="s">
        <v>507</v>
      </c>
      <c r="D4531" s="1619">
        <v>902</v>
      </c>
      <c r="E4531" s="2281" t="s">
        <v>2048</v>
      </c>
      <c r="F4531" s="1010">
        <v>2341</v>
      </c>
      <c r="G4531" s="990" t="s">
        <v>364</v>
      </c>
      <c r="H4531" s="2720">
        <v>210</v>
      </c>
      <c r="I4531" s="2720"/>
      <c r="J4531" s="2721">
        <v>210</v>
      </c>
      <c r="K4531" s="2730"/>
      <c r="L4531" s="2720">
        <v>240</v>
      </c>
      <c r="M4531" s="2720"/>
      <c r="N4531" s="2847"/>
      <c r="O4531" s="86"/>
      <c r="P4531" s="1817" t="e">
        <f>INDEX(#REF!,MATCH(F4531,#REF!,0),2)</f>
        <v>#REF!</v>
      </c>
    </row>
    <row r="4532" spans="1:16" ht="14.45" customHeight="1">
      <c r="A4532" s="992"/>
      <c r="B4532" s="992" t="s">
        <v>1248</v>
      </c>
      <c r="C4532" s="992" t="s">
        <v>507</v>
      </c>
      <c r="D4532" s="1620"/>
      <c r="E4532" s="2246" t="s">
        <v>2048</v>
      </c>
      <c r="F4532" s="1011">
        <v>2341</v>
      </c>
      <c r="G4532" s="320" t="s">
        <v>3677</v>
      </c>
      <c r="H4532" s="2732"/>
      <c r="I4532" s="2732">
        <v>210</v>
      </c>
      <c r="J4532" s="2733"/>
      <c r="K4532" s="2736"/>
      <c r="L4532" s="2732"/>
      <c r="M4532" s="2732">
        <v>240</v>
      </c>
      <c r="N4532" s="2847"/>
      <c r="O4532" s="86"/>
      <c r="P4532" s="1817"/>
    </row>
    <row r="4533" spans="1:16">
      <c r="A4533" s="988"/>
      <c r="B4533" s="988" t="s">
        <v>1248</v>
      </c>
      <c r="C4533" s="988" t="s">
        <v>505</v>
      </c>
      <c r="D4533" s="1619">
        <v>902</v>
      </c>
      <c r="E4533" s="2281" t="s">
        <v>2048</v>
      </c>
      <c r="F4533" s="1010">
        <v>2350</v>
      </c>
      <c r="G4533" s="990" t="s">
        <v>1273</v>
      </c>
      <c r="H4533" s="2720">
        <v>4300.752125</v>
      </c>
      <c r="I4533" s="2720"/>
      <c r="J4533" s="2721">
        <v>4259.8100000000004</v>
      </c>
      <c r="K4533" s="2730"/>
      <c r="L4533" s="2720">
        <v>4558</v>
      </c>
      <c r="M4533" s="2724"/>
      <c r="N4533" s="2847"/>
      <c r="O4533" s="86"/>
      <c r="P4533" s="1817" t="e">
        <f>INDEX(#REF!,MATCH(F4533,#REF!,0),2)</f>
        <v>#REF!</v>
      </c>
    </row>
    <row r="4534" spans="1:16" ht="34.9" customHeight="1">
      <c r="A4534" s="992"/>
      <c r="B4534" s="992" t="s">
        <v>1248</v>
      </c>
      <c r="C4534" s="992" t="s">
        <v>505</v>
      </c>
      <c r="D4534" s="1620"/>
      <c r="E4534" s="2246" t="s">
        <v>2048</v>
      </c>
      <c r="F4534" s="1011">
        <v>2350</v>
      </c>
      <c r="G4534" s="2751" t="s">
        <v>3678</v>
      </c>
      <c r="H4534" s="2732"/>
      <c r="I4534" s="2732">
        <v>990</v>
      </c>
      <c r="J4534" s="2733"/>
      <c r="K4534" s="2736"/>
      <c r="L4534" s="2734"/>
      <c r="M4534" s="2732">
        <v>2200</v>
      </c>
      <c r="N4534" s="2847"/>
      <c r="O4534" s="86"/>
      <c r="P4534" s="1817" t="e">
        <f>INDEX(#REF!,MATCH(F4534,#REF!,0),2)</f>
        <v>#REF!</v>
      </c>
    </row>
    <row r="4535" spans="1:16" ht="34.9" customHeight="1">
      <c r="A4535" s="992"/>
      <c r="B4535" s="992" t="s">
        <v>1248</v>
      </c>
      <c r="C4535" s="992" t="s">
        <v>505</v>
      </c>
      <c r="D4535" s="1620"/>
      <c r="E4535" s="2246" t="s">
        <v>2048</v>
      </c>
      <c r="F4535" s="1011">
        <v>2350</v>
      </c>
      <c r="G4535" s="2752" t="s">
        <v>3679</v>
      </c>
      <c r="H4535" s="2732"/>
      <c r="I4535" s="2732">
        <v>800</v>
      </c>
      <c r="J4535" s="2733"/>
      <c r="K4535" s="2736"/>
      <c r="L4535" s="2734"/>
      <c r="M4535" s="2732">
        <v>528</v>
      </c>
      <c r="N4535" s="2847"/>
      <c r="O4535" s="86"/>
      <c r="P4535" s="1817" t="e">
        <f>INDEX(#REF!,MATCH(F4535,#REF!,0),2)</f>
        <v>#REF!</v>
      </c>
    </row>
    <row r="4536" spans="1:16" ht="22.5">
      <c r="A4536" s="992"/>
      <c r="B4536" s="992" t="s">
        <v>1248</v>
      </c>
      <c r="C4536" s="992" t="s">
        <v>505</v>
      </c>
      <c r="D4536" s="1620"/>
      <c r="E4536" s="2246" t="s">
        <v>2048</v>
      </c>
      <c r="F4536" s="1011">
        <v>2350</v>
      </c>
      <c r="G4536" s="2743" t="s">
        <v>3680</v>
      </c>
      <c r="H4536" s="2732"/>
      <c r="I4536" s="2732">
        <v>250</v>
      </c>
      <c r="J4536" s="2733"/>
      <c r="K4536" s="2736"/>
      <c r="L4536" s="2734"/>
      <c r="M4536" s="2732">
        <v>300</v>
      </c>
      <c r="N4536" s="2847"/>
      <c r="O4536" s="86"/>
      <c r="P4536" s="1817" t="e">
        <f>INDEX(#REF!,MATCH(F4536,#REF!,0),2)</f>
        <v>#REF!</v>
      </c>
    </row>
    <row r="4537" spans="1:16" ht="133.9" customHeight="1">
      <c r="A4537" s="992" t="s">
        <v>1407</v>
      </c>
      <c r="B4537" s="992" t="s">
        <v>1248</v>
      </c>
      <c r="C4537" s="992" t="s">
        <v>507</v>
      </c>
      <c r="D4537" s="1620"/>
      <c r="E4537" s="2246" t="s">
        <v>2048</v>
      </c>
      <c r="F4537" s="1011">
        <v>2350</v>
      </c>
      <c r="G4537" s="2751" t="s">
        <v>3681</v>
      </c>
      <c r="H4537" s="2732"/>
      <c r="I4537" s="2732">
        <v>1100</v>
      </c>
      <c r="J4537" s="2733"/>
      <c r="K4537" s="2736"/>
      <c r="L4537" s="2734"/>
      <c r="M4537" s="2732">
        <v>990</v>
      </c>
      <c r="N4537" s="2847"/>
      <c r="O4537" s="86"/>
      <c r="P4537" s="1817" t="e">
        <f>INDEX(#REF!,MATCH(F4537,#REF!,0),2)</f>
        <v>#REF!</v>
      </c>
    </row>
    <row r="4538" spans="1:16" ht="33.75">
      <c r="A4538" s="992" t="s">
        <v>1407</v>
      </c>
      <c r="B4538" s="992" t="s">
        <v>1248</v>
      </c>
      <c r="C4538" s="992" t="s">
        <v>507</v>
      </c>
      <c r="D4538" s="1620"/>
      <c r="E4538" s="2246" t="s">
        <v>2048</v>
      </c>
      <c r="F4538" s="1011">
        <v>2350</v>
      </c>
      <c r="G4538" s="2751" t="s">
        <v>3682</v>
      </c>
      <c r="H4538" s="2732"/>
      <c r="I4538" s="2732"/>
      <c r="J4538" s="2733"/>
      <c r="K4538" s="2736"/>
      <c r="L4538" s="2734"/>
      <c r="M4538" s="2732">
        <v>440</v>
      </c>
      <c r="N4538" s="2847"/>
      <c r="O4538" s="86"/>
      <c r="P4538" s="1817" t="e">
        <f>INDEX(#REF!,MATCH(F4538,#REF!,0),2)</f>
        <v>#REF!</v>
      </c>
    </row>
    <row r="4539" spans="1:16" ht="99.6" customHeight="1">
      <c r="A4539" s="1882"/>
      <c r="B4539" s="992" t="s">
        <v>1248</v>
      </c>
      <c r="C4539" s="992" t="s">
        <v>507</v>
      </c>
      <c r="D4539" s="1620"/>
      <c r="E4539" s="2246" t="s">
        <v>2048</v>
      </c>
      <c r="F4539" s="1011">
        <v>2350</v>
      </c>
      <c r="G4539" s="1890" t="s">
        <v>2945</v>
      </c>
      <c r="H4539" s="2732"/>
      <c r="I4539" s="2732">
        <v>1100.752125</v>
      </c>
      <c r="J4539" s="2733"/>
      <c r="K4539" s="2736"/>
      <c r="L4539" s="2734"/>
      <c r="M4539" s="2734"/>
      <c r="N4539" s="2847"/>
      <c r="O4539" s="86"/>
      <c r="P4539" s="1817" t="e">
        <f>INDEX(#REF!,MATCH(F4539,#REF!,0),2)</f>
        <v>#REF!</v>
      </c>
    </row>
    <row r="4540" spans="1:16" ht="96.6" customHeight="1">
      <c r="A4540" s="992"/>
      <c r="B4540" s="992" t="s">
        <v>1248</v>
      </c>
      <c r="C4540" s="992" t="s">
        <v>505</v>
      </c>
      <c r="D4540" s="1620"/>
      <c r="E4540" s="2246" t="s">
        <v>2048</v>
      </c>
      <c r="F4540" s="1011">
        <v>2350</v>
      </c>
      <c r="G4540" s="2743" t="s">
        <v>3683</v>
      </c>
      <c r="H4540" s="2732"/>
      <c r="I4540" s="2732">
        <v>60</v>
      </c>
      <c r="J4540" s="2733"/>
      <c r="K4540" s="2736"/>
      <c r="L4540" s="2734"/>
      <c r="M4540" s="2732">
        <v>100</v>
      </c>
      <c r="N4540" s="2847"/>
      <c r="O4540" s="86"/>
      <c r="P4540" s="1817" t="e">
        <f>INDEX(#REF!,MATCH(F4540,#REF!,0),2)</f>
        <v>#REF!</v>
      </c>
    </row>
    <row r="4541" spans="1:16" ht="34.15" customHeight="1">
      <c r="A4541" s="988"/>
      <c r="B4541" s="988" t="s">
        <v>1248</v>
      </c>
      <c r="C4541" s="988" t="s">
        <v>505</v>
      </c>
      <c r="D4541" s="1619"/>
      <c r="E4541" s="2281" t="s">
        <v>2048</v>
      </c>
      <c r="F4541" s="1010">
        <v>2361</v>
      </c>
      <c r="G4541" s="1817" t="s">
        <v>3759</v>
      </c>
      <c r="H4541" s="2720"/>
      <c r="I4541" s="2720"/>
      <c r="J4541" s="2721"/>
      <c r="K4541" s="2730"/>
      <c r="L4541" s="2720">
        <v>1082</v>
      </c>
      <c r="M4541" s="2724"/>
      <c r="N4541" s="2847"/>
      <c r="O4541" s="86"/>
      <c r="P4541" s="1817" t="e">
        <f>INDEX(#REF!,MATCH(F4541,#REF!,0),2)</f>
        <v>#REF!</v>
      </c>
    </row>
    <row r="4542" spans="1:16" ht="33" customHeight="1">
      <c r="A4542" s="992" t="s">
        <v>1407</v>
      </c>
      <c r="B4542" s="992" t="s">
        <v>1248</v>
      </c>
      <c r="C4542" s="992" t="s">
        <v>507</v>
      </c>
      <c r="D4542" s="1620"/>
      <c r="E4542" s="2246" t="s">
        <v>2048</v>
      </c>
      <c r="F4542" s="1011">
        <v>2361</v>
      </c>
      <c r="G4542" s="2751" t="s">
        <v>2190</v>
      </c>
      <c r="H4542" s="2732"/>
      <c r="I4542" s="2732"/>
      <c r="J4542" s="2733"/>
      <c r="K4542" s="2736"/>
      <c r="L4542" s="2734"/>
      <c r="M4542" s="2732">
        <v>504</v>
      </c>
      <c r="N4542" s="2847"/>
      <c r="O4542" s="86"/>
      <c r="P4542" s="1817" t="e">
        <f>INDEX(#REF!,MATCH(F4542,#REF!,0),2)</f>
        <v>#REF!</v>
      </c>
    </row>
    <row r="4543" spans="1:16" ht="35.450000000000003" customHeight="1">
      <c r="A4543" s="992" t="s">
        <v>1407</v>
      </c>
      <c r="B4543" s="992" t="s">
        <v>1248</v>
      </c>
      <c r="C4543" s="992" t="s">
        <v>507</v>
      </c>
      <c r="D4543" s="1620"/>
      <c r="E4543" s="2246" t="s">
        <v>2048</v>
      </c>
      <c r="F4543" s="1011">
        <v>2361</v>
      </c>
      <c r="G4543" s="2751" t="s">
        <v>2191</v>
      </c>
      <c r="H4543" s="2732"/>
      <c r="I4543" s="2732"/>
      <c r="J4543" s="2733"/>
      <c r="K4543" s="2736"/>
      <c r="L4543" s="2734"/>
      <c r="M4543" s="2732">
        <v>578</v>
      </c>
      <c r="N4543" s="2847"/>
      <c r="O4543" s="86"/>
      <c r="P4543" s="1817" t="e">
        <f>INDEX(#REF!,MATCH(F4543,#REF!,0),2)</f>
        <v>#REF!</v>
      </c>
    </row>
    <row r="4544" spans="1:16">
      <c r="A4544" s="988"/>
      <c r="B4544" s="988" t="s">
        <v>1248</v>
      </c>
      <c r="C4544" s="988" t="s">
        <v>507</v>
      </c>
      <c r="D4544" s="1619">
        <v>902</v>
      </c>
      <c r="E4544" s="2281" t="s">
        <v>2048</v>
      </c>
      <c r="F4544" s="1010">
        <v>2370</v>
      </c>
      <c r="G4544" s="990" t="s">
        <v>365</v>
      </c>
      <c r="H4544" s="2720">
        <v>11528.599999999999</v>
      </c>
      <c r="I4544" s="2720"/>
      <c r="J4544" s="2721">
        <v>10135</v>
      </c>
      <c r="K4544" s="2730"/>
      <c r="L4544" s="2720">
        <v>13117.5</v>
      </c>
      <c r="M4544" s="2724"/>
      <c r="N4544" s="241" t="s">
        <v>6185</v>
      </c>
      <c r="O4544" s="86"/>
      <c r="P4544" s="1817" t="e">
        <f>INDEX(#REF!,MATCH(F4544,#REF!,0),2)</f>
        <v>#REF!</v>
      </c>
    </row>
    <row r="4545" spans="1:16" ht="13.9" customHeight="1">
      <c r="A4545" s="992"/>
      <c r="B4545" s="992" t="s">
        <v>1248</v>
      </c>
      <c r="C4545" s="992" t="s">
        <v>507</v>
      </c>
      <c r="D4545" s="1620"/>
      <c r="E4545" s="2246" t="s">
        <v>2048</v>
      </c>
      <c r="F4545" s="1011">
        <v>2370</v>
      </c>
      <c r="G4545" s="2751" t="s">
        <v>3684</v>
      </c>
      <c r="H4545" s="2732"/>
      <c r="I4545" s="2732">
        <v>4326.2999999999993</v>
      </c>
      <c r="J4545" s="2733"/>
      <c r="K4545" s="2736"/>
      <c r="L4545" s="2734"/>
      <c r="M4545" s="4417">
        <v>5693</v>
      </c>
      <c r="N4545" s="4068" t="s">
        <v>5716</v>
      </c>
      <c r="O4545" s="86"/>
      <c r="P4545" s="1817" t="e">
        <f>INDEX(#REF!,MATCH(F4545,#REF!,0),2)</f>
        <v>#REF!</v>
      </c>
    </row>
    <row r="4546" spans="1:16" ht="27.6" customHeight="1">
      <c r="A4546" s="992"/>
      <c r="B4546" s="992" t="s">
        <v>1248</v>
      </c>
      <c r="C4546" s="992" t="s">
        <v>507</v>
      </c>
      <c r="D4546" s="1620"/>
      <c r="E4546" s="2246" t="s">
        <v>2048</v>
      </c>
      <c r="F4546" s="1011">
        <v>2370</v>
      </c>
      <c r="G4546" s="2751" t="s">
        <v>3685</v>
      </c>
      <c r="H4546" s="2732"/>
      <c r="I4546" s="2732">
        <v>420</v>
      </c>
      <c r="J4546" s="2733"/>
      <c r="K4546" s="2736"/>
      <c r="L4546" s="2734"/>
      <c r="M4546" s="2732">
        <v>630</v>
      </c>
      <c r="N4546" s="2847" t="s">
        <v>3686</v>
      </c>
      <c r="O4546" s="86"/>
      <c r="P4546" s="1817" t="e">
        <f>INDEX(#REF!,MATCH(F4546,#REF!,0),2)</f>
        <v>#REF!</v>
      </c>
    </row>
    <row r="4547" spans="1:16" ht="27.6" customHeight="1">
      <c r="A4547" s="992"/>
      <c r="B4547" s="992" t="s">
        <v>1248</v>
      </c>
      <c r="C4547" s="992" t="s">
        <v>507</v>
      </c>
      <c r="D4547" s="1620"/>
      <c r="E4547" s="2246" t="s">
        <v>2048</v>
      </c>
      <c r="F4547" s="1011">
        <v>2370</v>
      </c>
      <c r="G4547" s="2751" t="s">
        <v>3687</v>
      </c>
      <c r="H4547" s="2732"/>
      <c r="I4547" s="2732">
        <v>2640</v>
      </c>
      <c r="J4547" s="2733"/>
      <c r="K4547" s="2736"/>
      <c r="L4547" s="2734"/>
      <c r="M4547" s="2732">
        <v>3300</v>
      </c>
      <c r="N4547" s="2847" t="s">
        <v>3686</v>
      </c>
      <c r="O4547" s="86"/>
      <c r="P4547" s="1817" t="e">
        <f>INDEX(#REF!,MATCH(F4547,#REF!,0),2)</f>
        <v>#REF!</v>
      </c>
    </row>
    <row r="4548" spans="1:16" ht="122.45" customHeight="1">
      <c r="A4548" s="992"/>
      <c r="B4548" s="992" t="s">
        <v>1248</v>
      </c>
      <c r="C4548" s="992" t="s">
        <v>507</v>
      </c>
      <c r="D4548" s="1620"/>
      <c r="E4548" s="2246" t="s">
        <v>2048</v>
      </c>
      <c r="F4548" s="1011">
        <v>2370</v>
      </c>
      <c r="G4548" s="2751" t="s">
        <v>3688</v>
      </c>
      <c r="H4548" s="2732"/>
      <c r="I4548" s="2732">
        <v>560</v>
      </c>
      <c r="J4548" s="2733"/>
      <c r="K4548" s="2736"/>
      <c r="L4548" s="2734"/>
      <c r="M4548" s="2732">
        <v>1400</v>
      </c>
      <c r="N4548" s="2847" t="s">
        <v>3686</v>
      </c>
      <c r="O4548" s="86"/>
      <c r="P4548" s="1817"/>
    </row>
    <row r="4549" spans="1:16" ht="33.75">
      <c r="A4549" s="992" t="s">
        <v>1411</v>
      </c>
      <c r="B4549" s="992" t="s">
        <v>1248</v>
      </c>
      <c r="C4549" s="992" t="s">
        <v>507</v>
      </c>
      <c r="D4549" s="1620"/>
      <c r="E4549" s="2246" t="s">
        <v>2048</v>
      </c>
      <c r="F4549" s="1011">
        <v>2370</v>
      </c>
      <c r="G4549" s="2752" t="s">
        <v>2193</v>
      </c>
      <c r="H4549" s="2732"/>
      <c r="I4549" s="2732">
        <v>150</v>
      </c>
      <c r="J4549" s="2733"/>
      <c r="K4549" s="2736"/>
      <c r="L4549" s="2734"/>
      <c r="M4549" s="2732">
        <v>150</v>
      </c>
      <c r="N4549" s="2847"/>
      <c r="O4549" s="86"/>
      <c r="P4549" s="1817"/>
    </row>
    <row r="4550" spans="1:16" ht="33.75">
      <c r="A4550" s="992" t="s">
        <v>1412</v>
      </c>
      <c r="B4550" s="992" t="s">
        <v>1248</v>
      </c>
      <c r="C4550" s="992" t="s">
        <v>507</v>
      </c>
      <c r="D4550" s="1620"/>
      <c r="E4550" s="2246" t="s">
        <v>2048</v>
      </c>
      <c r="F4550" s="1011">
        <v>2370</v>
      </c>
      <c r="G4550" s="2752" t="s">
        <v>3689</v>
      </c>
      <c r="H4550" s="2732"/>
      <c r="I4550" s="2732">
        <v>162.80000000000001</v>
      </c>
      <c r="J4550" s="2733"/>
      <c r="K4550" s="2736"/>
      <c r="L4550" s="2734"/>
      <c r="M4550" s="2732">
        <v>165</v>
      </c>
      <c r="N4550" s="2847"/>
      <c r="O4550" s="86"/>
      <c r="P4550" s="1817" t="e">
        <f>INDEX(#REF!,MATCH(F4550,#REF!,0),2)</f>
        <v>#REF!</v>
      </c>
    </row>
    <row r="4551" spans="1:16" ht="35.450000000000003" customHeight="1">
      <c r="A4551" s="992" t="s">
        <v>1412</v>
      </c>
      <c r="B4551" s="992" t="s">
        <v>1248</v>
      </c>
      <c r="C4551" s="992" t="s">
        <v>507</v>
      </c>
      <c r="D4551" s="1620"/>
      <c r="E4551" s="2246" t="s">
        <v>2048</v>
      </c>
      <c r="F4551" s="1011">
        <v>2370</v>
      </c>
      <c r="G4551" s="2752" t="s">
        <v>2194</v>
      </c>
      <c r="H4551" s="2732"/>
      <c r="I4551" s="2732">
        <v>489.5</v>
      </c>
      <c r="J4551" s="2733"/>
      <c r="K4551" s="2736"/>
      <c r="L4551" s="2734"/>
      <c r="M4551" s="2732">
        <v>489.5</v>
      </c>
      <c r="N4551" s="2847" t="s">
        <v>3686</v>
      </c>
      <c r="O4551" s="86"/>
      <c r="P4551" s="1817" t="e">
        <f>INDEX(#REF!,MATCH(F4551,#REF!,0),2)</f>
        <v>#REF!</v>
      </c>
    </row>
    <row r="4552" spans="1:16" ht="45">
      <c r="A4552" s="992" t="s">
        <v>1407</v>
      </c>
      <c r="B4552" s="992" t="s">
        <v>1248</v>
      </c>
      <c r="C4552" s="992" t="s">
        <v>507</v>
      </c>
      <c r="D4552" s="1620"/>
      <c r="E4552" s="2246" t="s">
        <v>2048</v>
      </c>
      <c r="F4552" s="1011">
        <v>2370</v>
      </c>
      <c r="G4552" s="1561" t="s">
        <v>2195</v>
      </c>
      <c r="H4552" s="2732"/>
      <c r="I4552" s="2732">
        <v>250</v>
      </c>
      <c r="J4552" s="2733"/>
      <c r="K4552" s="2736"/>
      <c r="L4552" s="2734"/>
      <c r="M4552" s="2734"/>
      <c r="N4552" s="2847"/>
      <c r="O4552" s="86"/>
      <c r="P4552" s="1817" t="e">
        <f>INDEX(#REF!,MATCH(F4552,#REF!,0),2)</f>
        <v>#REF!</v>
      </c>
    </row>
    <row r="4553" spans="1:16" ht="22.5">
      <c r="A4553" s="992" t="s">
        <v>1409</v>
      </c>
      <c r="B4553" s="992" t="s">
        <v>1248</v>
      </c>
      <c r="C4553" s="992" t="s">
        <v>507</v>
      </c>
      <c r="D4553" s="1620"/>
      <c r="E4553" s="2246" t="s">
        <v>2048</v>
      </c>
      <c r="F4553" s="1011">
        <v>2370</v>
      </c>
      <c r="G4553" s="2758" t="s">
        <v>3690</v>
      </c>
      <c r="H4553" s="2732"/>
      <c r="I4553" s="2732">
        <v>2530</v>
      </c>
      <c r="J4553" s="2733"/>
      <c r="K4553" s="2736"/>
      <c r="L4553" s="2734"/>
      <c r="M4553" s="2732">
        <v>800</v>
      </c>
      <c r="N4553" s="2847" t="s">
        <v>3686</v>
      </c>
      <c r="O4553" s="86"/>
      <c r="P4553" s="1817" t="e">
        <f>INDEX(#REF!,MATCH(F4553,#REF!,0),2)</f>
        <v>#REF!</v>
      </c>
    </row>
    <row r="4554" spans="1:16" ht="33.75">
      <c r="A4554" s="2587"/>
      <c r="B4554" s="992" t="s">
        <v>1248</v>
      </c>
      <c r="C4554" s="992" t="s">
        <v>507</v>
      </c>
      <c r="D4554" s="1620"/>
      <c r="E4554" s="2246" t="s">
        <v>2048</v>
      </c>
      <c r="F4554" s="1011">
        <v>2370</v>
      </c>
      <c r="G4554" s="2751" t="s">
        <v>3701</v>
      </c>
      <c r="H4554" s="2732"/>
      <c r="I4554" s="2732"/>
      <c r="J4554" s="2733"/>
      <c r="K4554" s="2736"/>
      <c r="L4554" s="2734"/>
      <c r="M4554" s="2746">
        <v>420</v>
      </c>
      <c r="N4554" s="2847" t="s">
        <v>3703</v>
      </c>
      <c r="O4554" s="86"/>
      <c r="P4554" s="1817" t="e">
        <f>INDEX(#REF!,MATCH(F4554,#REF!,0),2)</f>
        <v>#REF!</v>
      </c>
    </row>
    <row r="4555" spans="1:16" ht="22.5">
      <c r="A4555" s="2587"/>
      <c r="B4555" s="992" t="s">
        <v>1248</v>
      </c>
      <c r="C4555" s="992" t="s">
        <v>507</v>
      </c>
      <c r="D4555" s="1620"/>
      <c r="E4555" s="2246" t="s">
        <v>2048</v>
      </c>
      <c r="F4555" s="1011">
        <v>2370</v>
      </c>
      <c r="G4555" s="2751" t="s">
        <v>3702</v>
      </c>
      <c r="H4555" s="2732"/>
      <c r="I4555" s="2732"/>
      <c r="J4555" s="2733"/>
      <c r="K4555" s="2736"/>
      <c r="L4555" s="2734"/>
      <c r="M4555" s="2746">
        <v>70</v>
      </c>
      <c r="N4555" s="2847" t="s">
        <v>3703</v>
      </c>
      <c r="O4555" s="86"/>
      <c r="P4555" s="1817" t="e">
        <f>INDEX(#REF!,MATCH(F4555,#REF!,0),2)</f>
        <v>#REF!</v>
      </c>
    </row>
    <row r="4556" spans="1:16">
      <c r="A4556" s="988"/>
      <c r="B4556" s="988" t="s">
        <v>512</v>
      </c>
      <c r="C4556" s="988" t="s">
        <v>506</v>
      </c>
      <c r="D4556" s="1619">
        <v>902</v>
      </c>
      <c r="E4556" s="2281" t="s">
        <v>2051</v>
      </c>
      <c r="F4556" s="1010">
        <v>2370</v>
      </c>
      <c r="G4556" s="990" t="s">
        <v>382</v>
      </c>
      <c r="H4556" s="2730">
        <v>1159</v>
      </c>
      <c r="I4556" s="2720"/>
      <c r="J4556" s="2721"/>
      <c r="K4556" s="2736"/>
      <c r="L4556" s="2730">
        <v>1867</v>
      </c>
      <c r="M4556" s="2724"/>
      <c r="N4556" s="2847"/>
      <c r="O4556" s="86"/>
      <c r="P4556" s="1817" t="e">
        <f>INDEX(#REF!,MATCH(F4556,#REF!,0),2)</f>
        <v>#REF!</v>
      </c>
    </row>
    <row r="4557" spans="1:16">
      <c r="A4557" s="992"/>
      <c r="B4557" s="992" t="s">
        <v>512</v>
      </c>
      <c r="C4557" s="992" t="s">
        <v>506</v>
      </c>
      <c r="D4557" s="1620"/>
      <c r="E4557" s="2246" t="s">
        <v>2051</v>
      </c>
      <c r="F4557" s="1011">
        <v>2370</v>
      </c>
      <c r="G4557" s="2759" t="s">
        <v>3691</v>
      </c>
      <c r="H4557" s="2732"/>
      <c r="I4557" s="2732">
        <v>1159</v>
      </c>
      <c r="J4557" s="2733"/>
      <c r="K4557" s="2736"/>
      <c r="L4557" s="2734"/>
      <c r="M4557" s="2732">
        <v>1867</v>
      </c>
      <c r="N4557" s="2847" t="s">
        <v>3692</v>
      </c>
      <c r="O4557" s="86"/>
      <c r="P4557" s="1817" t="e">
        <f>INDEX(#REF!,MATCH(F4557,#REF!,0),2)</f>
        <v>#REF!</v>
      </c>
    </row>
    <row r="4558" spans="1:16">
      <c r="A4558" s="988"/>
      <c r="B4558" s="988" t="s">
        <v>1248</v>
      </c>
      <c r="C4558" s="988" t="s">
        <v>505</v>
      </c>
      <c r="D4558" s="1619">
        <v>902</v>
      </c>
      <c r="E4558" s="2281" t="s">
        <v>2048</v>
      </c>
      <c r="F4558" s="1010">
        <v>2390</v>
      </c>
      <c r="G4558" s="990" t="s">
        <v>253</v>
      </c>
      <c r="H4558" s="2720">
        <v>1980</v>
      </c>
      <c r="I4558" s="2720"/>
      <c r="J4558" s="2721"/>
      <c r="K4558" s="2730"/>
      <c r="L4558" s="2720">
        <v>1945</v>
      </c>
      <c r="M4558" s="2724"/>
      <c r="N4558" s="2847"/>
      <c r="O4558" s="86"/>
      <c r="P4558" s="1817" t="e">
        <f>INDEX(#REF!,MATCH(F4558,#REF!,0),2)</f>
        <v>#REF!</v>
      </c>
    </row>
    <row r="4559" spans="1:16" ht="33.75">
      <c r="A4559" s="992" t="s">
        <v>1411</v>
      </c>
      <c r="B4559" s="992" t="s">
        <v>1248</v>
      </c>
      <c r="C4559" s="992" t="s">
        <v>505</v>
      </c>
      <c r="D4559" s="1620"/>
      <c r="E4559" s="2246" t="s">
        <v>2048</v>
      </c>
      <c r="F4559" s="1011">
        <v>2390</v>
      </c>
      <c r="G4559" s="2752" t="s">
        <v>3693</v>
      </c>
      <c r="H4559" s="2732"/>
      <c r="I4559" s="2732">
        <v>150</v>
      </c>
      <c r="J4559" s="2733"/>
      <c r="K4559" s="2736"/>
      <c r="L4559" s="2734"/>
      <c r="M4559" s="2732">
        <v>210</v>
      </c>
      <c r="N4559" s="2847"/>
      <c r="O4559" s="86"/>
      <c r="P4559" s="1817" t="e">
        <f>INDEX(#REF!,MATCH(F4559,#REF!,0),2)</f>
        <v>#REF!</v>
      </c>
    </row>
    <row r="4560" spans="1:16" ht="33.75">
      <c r="A4560" s="992" t="s">
        <v>1407</v>
      </c>
      <c r="B4560" s="992" t="s">
        <v>1248</v>
      </c>
      <c r="C4560" s="992" t="s">
        <v>505</v>
      </c>
      <c r="D4560" s="1620"/>
      <c r="E4560" s="2246" t="s">
        <v>2048</v>
      </c>
      <c r="F4560" s="1011">
        <v>2390</v>
      </c>
      <c r="G4560" s="2743" t="s">
        <v>3694</v>
      </c>
      <c r="H4560" s="2732"/>
      <c r="I4560" s="2732"/>
      <c r="J4560" s="2733"/>
      <c r="K4560" s="2736"/>
      <c r="L4560" s="2734"/>
      <c r="M4560" s="2732">
        <v>240</v>
      </c>
      <c r="N4560" s="2847"/>
      <c r="O4560" s="86"/>
      <c r="P4560" s="1817" t="e">
        <f>INDEX(#REF!,MATCH(F4560,#REF!,0),2)</f>
        <v>#REF!</v>
      </c>
    </row>
    <row r="4561" spans="1:16" ht="56.25">
      <c r="A4561" s="992" t="s">
        <v>1415</v>
      </c>
      <c r="B4561" s="992" t="s">
        <v>1248</v>
      </c>
      <c r="C4561" s="992" t="s">
        <v>505</v>
      </c>
      <c r="D4561" s="1620"/>
      <c r="E4561" s="2246" t="s">
        <v>2048</v>
      </c>
      <c r="F4561" s="1011">
        <v>2390</v>
      </c>
      <c r="G4561" s="2752" t="s">
        <v>2196</v>
      </c>
      <c r="H4561" s="2732"/>
      <c r="I4561" s="2732">
        <v>440</v>
      </c>
      <c r="J4561" s="2733"/>
      <c r="K4561" s="2736"/>
      <c r="L4561" s="2734"/>
      <c r="M4561" s="2732">
        <v>440</v>
      </c>
      <c r="N4561" s="2847"/>
      <c r="O4561" s="86"/>
      <c r="P4561" s="1817" t="e">
        <f>INDEX(#REF!,MATCH(F4561,#REF!,0),2)</f>
        <v>#REF!</v>
      </c>
    </row>
    <row r="4562" spans="1:16" ht="22.15" customHeight="1">
      <c r="A4562" s="992"/>
      <c r="B4562" s="992" t="s">
        <v>1248</v>
      </c>
      <c r="C4562" s="992" t="s">
        <v>505</v>
      </c>
      <c r="D4562" s="1620"/>
      <c r="E4562" s="2246" t="s">
        <v>2048</v>
      </c>
      <c r="F4562" s="1011">
        <v>2390</v>
      </c>
      <c r="G4562" s="2752" t="s">
        <v>3698</v>
      </c>
      <c r="H4562" s="2732"/>
      <c r="I4562" s="2732">
        <v>50</v>
      </c>
      <c r="J4562" s="2733"/>
      <c r="K4562" s="2736"/>
      <c r="L4562" s="2734"/>
      <c r="M4562" s="2732">
        <v>135</v>
      </c>
      <c r="N4562" s="2847"/>
      <c r="O4562" s="86"/>
      <c r="P4562" s="1817" t="e">
        <f>INDEX(#REF!,MATCH(F4562,#REF!,0),2)</f>
        <v>#REF!</v>
      </c>
    </row>
    <row r="4563" spans="1:16" ht="44.25">
      <c r="A4563" s="992" t="s">
        <v>1407</v>
      </c>
      <c r="B4563" s="992" t="s">
        <v>1248</v>
      </c>
      <c r="C4563" s="992" t="s">
        <v>505</v>
      </c>
      <c r="D4563" s="1620"/>
      <c r="E4563" s="2246" t="s">
        <v>2048</v>
      </c>
      <c r="F4563" s="1011">
        <v>2390</v>
      </c>
      <c r="G4563" s="1562" t="s">
        <v>2198</v>
      </c>
      <c r="H4563" s="2732"/>
      <c r="I4563" s="2732">
        <v>360</v>
      </c>
      <c r="J4563" s="2733"/>
      <c r="K4563" s="2736"/>
      <c r="L4563" s="2734"/>
      <c r="M4563" s="2734"/>
      <c r="N4563" s="2847"/>
      <c r="O4563" s="86"/>
      <c r="P4563" s="1817" t="e">
        <f>INDEX(#REF!,MATCH(F4563,#REF!,0),2)</f>
        <v>#REF!</v>
      </c>
    </row>
    <row r="4564" spans="1:16" ht="33.75">
      <c r="A4564" s="992" t="s">
        <v>1416</v>
      </c>
      <c r="B4564" s="992" t="s">
        <v>1248</v>
      </c>
      <c r="C4564" s="992" t="s">
        <v>505</v>
      </c>
      <c r="D4564" s="1620"/>
      <c r="E4564" s="2246" t="s">
        <v>2048</v>
      </c>
      <c r="F4564" s="1011">
        <v>2390</v>
      </c>
      <c r="G4564" s="2752" t="s">
        <v>3699</v>
      </c>
      <c r="H4564" s="2732"/>
      <c r="I4564" s="2732">
        <v>980</v>
      </c>
      <c r="J4564" s="2733"/>
      <c r="K4564" s="2736"/>
      <c r="L4564" s="2734"/>
      <c r="M4564" s="2732">
        <v>920</v>
      </c>
      <c r="N4564" s="2847"/>
      <c r="O4564" s="86"/>
      <c r="P4564" s="1817" t="e">
        <f>INDEX(#REF!,MATCH(F4564,#REF!,0),2)</f>
        <v>#REF!</v>
      </c>
    </row>
    <row r="4565" spans="1:16" ht="22.5">
      <c r="A4565" s="988"/>
      <c r="B4565" s="988" t="s">
        <v>1250</v>
      </c>
      <c r="C4565" s="988" t="s">
        <v>509</v>
      </c>
      <c r="D4565" s="1619">
        <v>902</v>
      </c>
      <c r="E4565" s="2281" t="s">
        <v>2048</v>
      </c>
      <c r="F4565" s="1010">
        <v>5120</v>
      </c>
      <c r="G4565" s="990" t="s">
        <v>899</v>
      </c>
      <c r="H4565" s="2720">
        <v>330</v>
      </c>
      <c r="I4565" s="2720"/>
      <c r="J4565" s="2721"/>
      <c r="K4565" s="2730"/>
      <c r="L4565" s="2720">
        <v>0</v>
      </c>
      <c r="M4565" s="2724"/>
      <c r="N4565" s="2847"/>
      <c r="O4565" s="86"/>
      <c r="P4565" s="1817" t="e">
        <f>INDEX(#REF!,MATCH(F4565,#REF!,0),2)</f>
        <v>#REF!</v>
      </c>
    </row>
    <row r="4566" spans="1:16" ht="22.5">
      <c r="A4566" s="992" t="s">
        <v>1399</v>
      </c>
      <c r="B4566" s="992" t="s">
        <v>1250</v>
      </c>
      <c r="C4566" s="992" t="s">
        <v>509</v>
      </c>
      <c r="D4566" s="1620"/>
      <c r="E4566" s="2246" t="s">
        <v>2048</v>
      </c>
      <c r="F4566" s="1011">
        <v>5120</v>
      </c>
      <c r="G4566" s="1561" t="s">
        <v>2200</v>
      </c>
      <c r="H4566" s="2732"/>
      <c r="I4566" s="2732">
        <v>200</v>
      </c>
      <c r="J4566" s="2733"/>
      <c r="K4566" s="2736"/>
      <c r="L4566" s="2734"/>
      <c r="M4566" s="2738"/>
      <c r="N4566" s="2847"/>
      <c r="O4566" s="86"/>
      <c r="P4566" s="1817" t="e">
        <f>INDEX(#REF!,MATCH(F4566,#REF!,0),2)</f>
        <v>#REF!</v>
      </c>
    </row>
    <row r="4567" spans="1:16" ht="33.75">
      <c r="A4567" s="992" t="s">
        <v>1399</v>
      </c>
      <c r="B4567" s="992" t="s">
        <v>1250</v>
      </c>
      <c r="C4567" s="992" t="s">
        <v>509</v>
      </c>
      <c r="D4567" s="1620"/>
      <c r="E4567" s="2246" t="s">
        <v>2048</v>
      </c>
      <c r="F4567" s="1011">
        <v>5120</v>
      </c>
      <c r="G4567" s="1561" t="s">
        <v>2199</v>
      </c>
      <c r="H4567" s="2732"/>
      <c r="I4567" s="2732">
        <v>205</v>
      </c>
      <c r="J4567" s="2733"/>
      <c r="K4567" s="2736"/>
      <c r="L4567" s="2734"/>
      <c r="M4567" s="2738"/>
      <c r="N4567" s="2847"/>
      <c r="O4567" s="86"/>
      <c r="P4567" s="1817" t="e">
        <f>INDEX(#REF!,MATCH(F4567,#REF!,0),2)</f>
        <v>#REF!</v>
      </c>
    </row>
    <row r="4568" spans="1:16" ht="22.9" customHeight="1">
      <c r="A4568" s="992" t="s">
        <v>1399</v>
      </c>
      <c r="B4568" s="992" t="s">
        <v>1250</v>
      </c>
      <c r="C4568" s="992" t="s">
        <v>509</v>
      </c>
      <c r="D4568" s="1620"/>
      <c r="E4568" s="2246" t="s">
        <v>2048</v>
      </c>
      <c r="F4568" s="1011">
        <v>5120</v>
      </c>
      <c r="G4568" s="996" t="s">
        <v>3219</v>
      </c>
      <c r="H4568" s="2732"/>
      <c r="I4568" s="2732">
        <v>-75</v>
      </c>
      <c r="J4568" s="2733"/>
      <c r="K4568" s="2736"/>
      <c r="L4568" s="2734"/>
      <c r="M4568" s="2738"/>
      <c r="N4568" s="2847"/>
      <c r="O4568" s="86"/>
      <c r="P4568" s="1817" t="e">
        <f>INDEX(#REF!,MATCH(F4568,#REF!,0),2)</f>
        <v>#REF!</v>
      </c>
    </row>
    <row r="4569" spans="1:16" s="81" customFormat="1">
      <c r="A4569" s="988"/>
      <c r="B4569" s="988" t="s">
        <v>1250</v>
      </c>
      <c r="C4569" s="988" t="s">
        <v>509</v>
      </c>
      <c r="D4569" s="1619">
        <v>902</v>
      </c>
      <c r="E4569" s="2281" t="s">
        <v>2048</v>
      </c>
      <c r="F4569" s="1010">
        <v>5238</v>
      </c>
      <c r="G4569" s="990" t="s">
        <v>257</v>
      </c>
      <c r="H4569" s="2720">
        <v>1300</v>
      </c>
      <c r="I4569" s="2720"/>
      <c r="J4569" s="2721"/>
      <c r="K4569" s="2730"/>
      <c r="L4569" s="2720">
        <v>0</v>
      </c>
      <c r="M4569" s="2720"/>
      <c r="N4569" s="2847"/>
      <c r="O4569" s="86"/>
      <c r="P4569" s="1817" t="e">
        <f>INDEX(#REF!,MATCH(F4569,#REF!,0),2)</f>
        <v>#REF!</v>
      </c>
    </row>
    <row r="4570" spans="1:16" s="81" customFormat="1" ht="33.75">
      <c r="A4570" s="992" t="s">
        <v>1417</v>
      </c>
      <c r="B4570" s="992" t="s">
        <v>1250</v>
      </c>
      <c r="C4570" s="992" t="s">
        <v>509</v>
      </c>
      <c r="D4570" s="1620"/>
      <c r="E4570" s="2246" t="s">
        <v>2048</v>
      </c>
      <c r="F4570" s="1011">
        <v>5238</v>
      </c>
      <c r="G4570" s="1561" t="s">
        <v>2201</v>
      </c>
      <c r="H4570" s="2732"/>
      <c r="I4570" s="2732">
        <v>1300</v>
      </c>
      <c r="J4570" s="2733"/>
      <c r="K4570" s="2736"/>
      <c r="L4570" s="2734"/>
      <c r="M4570" s="2738"/>
      <c r="N4570" s="2847"/>
      <c r="O4570" s="86"/>
      <c r="P4570" s="1817" t="e">
        <f>INDEX(#REF!,MATCH(F4570,#REF!,0),2)</f>
        <v>#REF!</v>
      </c>
    </row>
    <row r="4571" spans="1:16" s="81" customFormat="1" ht="16.899999999999999" customHeight="1">
      <c r="A4571" s="988"/>
      <c r="B4571" s="988" t="s">
        <v>1249</v>
      </c>
      <c r="C4571" s="988" t="s">
        <v>534</v>
      </c>
      <c r="D4571" s="1619">
        <v>902</v>
      </c>
      <c r="E4571" s="2281" t="s">
        <v>2048</v>
      </c>
      <c r="F4571" s="1010">
        <v>5239</v>
      </c>
      <c r="G4571" s="990" t="s">
        <v>256</v>
      </c>
      <c r="H4571" s="2720">
        <v>13500</v>
      </c>
      <c r="I4571" s="2720"/>
      <c r="J4571" s="2721"/>
      <c r="K4571" s="2730"/>
      <c r="L4571" s="2720">
        <v>0</v>
      </c>
      <c r="M4571" s="2724"/>
      <c r="N4571" s="2847"/>
      <c r="O4571" s="86"/>
      <c r="P4571" s="1817" t="e">
        <f>INDEX(#REF!,MATCH(F4571,#REF!,0),2)</f>
        <v>#REF!</v>
      </c>
    </row>
    <row r="4572" spans="1:16" ht="33.75">
      <c r="A4572" s="1563" t="s">
        <v>1407</v>
      </c>
      <c r="B4572" s="1563" t="s">
        <v>1249</v>
      </c>
      <c r="C4572" s="1563" t="s">
        <v>534</v>
      </c>
      <c r="D4572" s="1636"/>
      <c r="E4572" s="2246" t="s">
        <v>2048</v>
      </c>
      <c r="F4572" s="1568">
        <v>5239</v>
      </c>
      <c r="G4572" s="1561" t="s">
        <v>2389</v>
      </c>
      <c r="H4572" s="2732"/>
      <c r="I4572" s="2732">
        <v>13500</v>
      </c>
      <c r="J4572" s="2733"/>
      <c r="K4572" s="2736"/>
      <c r="L4572" s="2734"/>
      <c r="M4572" s="2748"/>
      <c r="N4572" s="2847"/>
      <c r="O4572" s="1817"/>
      <c r="P4572" s="1817" t="e">
        <f>INDEX(#REF!,MATCH(F4572,#REF!,0),2)</f>
        <v>#REF!</v>
      </c>
    </row>
    <row r="4573" spans="1:16">
      <c r="A4573" s="988"/>
      <c r="B4573" s="988" t="s">
        <v>2649</v>
      </c>
      <c r="C4573" s="988" t="s">
        <v>505</v>
      </c>
      <c r="D4573" s="1619">
        <v>902</v>
      </c>
      <c r="E4573" s="2281" t="s">
        <v>2048</v>
      </c>
      <c r="F4573" s="1010">
        <v>7230</v>
      </c>
      <c r="G4573" s="990" t="s">
        <v>1848</v>
      </c>
      <c r="H4573" s="2720">
        <v>158747</v>
      </c>
      <c r="I4573" s="2720"/>
      <c r="J4573" s="2721">
        <v>97851</v>
      </c>
      <c r="K4573" s="2730"/>
      <c r="L4573" s="2720">
        <v>144835</v>
      </c>
      <c r="M4573" s="2720"/>
      <c r="N4573" s="2847"/>
      <c r="O4573" s="86"/>
      <c r="P4573" s="1817" t="e">
        <f>INDEX(#REF!,MATCH(F4573,#REF!,0),2)</f>
        <v>#REF!</v>
      </c>
    </row>
    <row r="4574" spans="1:16">
      <c r="A4574" s="992"/>
      <c r="B4574" s="992" t="s">
        <v>2649</v>
      </c>
      <c r="C4574" s="992" t="s">
        <v>505</v>
      </c>
      <c r="D4574" s="1620"/>
      <c r="E4574" s="2246" t="s">
        <v>2048</v>
      </c>
      <c r="F4574" s="1011">
        <v>7230</v>
      </c>
      <c r="G4574" s="996" t="s">
        <v>1133</v>
      </c>
      <c r="H4574" s="2732"/>
      <c r="I4574" s="2732">
        <v>158747</v>
      </c>
      <c r="J4574" s="2733"/>
      <c r="K4574" s="2736"/>
      <c r="L4574" s="2732"/>
      <c r="M4574" s="2732">
        <v>144835</v>
      </c>
      <c r="N4574" s="241" t="s">
        <v>5702</v>
      </c>
      <c r="O4574" s="86"/>
      <c r="P4574" s="1817" t="e">
        <f>INDEX(#REF!,MATCH(F4574,#REF!,0),2)</f>
        <v>#REF!</v>
      </c>
    </row>
    <row r="4575" spans="1:16">
      <c r="A4575" s="988"/>
      <c r="B4575" s="988" t="s">
        <v>1249</v>
      </c>
      <c r="C4575" s="988" t="s">
        <v>505</v>
      </c>
      <c r="D4575" s="1619">
        <v>902</v>
      </c>
      <c r="E4575" s="2281" t="s">
        <v>2048</v>
      </c>
      <c r="F4575" s="1010">
        <v>7230</v>
      </c>
      <c r="G4575" s="990" t="s">
        <v>1848</v>
      </c>
      <c r="H4575" s="2720"/>
      <c r="I4575" s="2720"/>
      <c r="J4575" s="2721"/>
      <c r="K4575" s="2730"/>
      <c r="L4575" s="2720">
        <v>3600</v>
      </c>
      <c r="M4575" s="2720"/>
      <c r="N4575" s="2847"/>
      <c r="O4575" s="86"/>
      <c r="P4575" s="1817" t="e">
        <f>INDEX(#REF!,MATCH(F4575,#REF!,0),2)</f>
        <v>#REF!</v>
      </c>
    </row>
    <row r="4576" spans="1:16">
      <c r="A4576" s="992"/>
      <c r="B4576" s="992" t="s">
        <v>1249</v>
      </c>
      <c r="C4576" s="992" t="s">
        <v>505</v>
      </c>
      <c r="D4576" s="1620"/>
      <c r="E4576" s="2246" t="s">
        <v>2048</v>
      </c>
      <c r="F4576" s="1011">
        <v>7230</v>
      </c>
      <c r="G4576" s="996" t="s">
        <v>6016</v>
      </c>
      <c r="H4576" s="2732"/>
      <c r="I4576" s="2732"/>
      <c r="J4576" s="2733"/>
      <c r="K4576" s="2736"/>
      <c r="L4576" s="2732"/>
      <c r="M4576" s="2732">
        <v>3600</v>
      </c>
      <c r="N4576" s="2847"/>
      <c r="O4576" s="86"/>
      <c r="P4576" s="1817" t="e">
        <f>INDEX(#REF!,MATCH(F4576,#REF!,0),2)</f>
        <v>#REF!</v>
      </c>
    </row>
    <row r="4577" spans="1:16" ht="33.75">
      <c r="A4577" s="755"/>
      <c r="B4577" s="755" t="s">
        <v>566</v>
      </c>
      <c r="C4577" s="755" t="s">
        <v>508</v>
      </c>
      <c r="D4577" s="1600">
        <v>9822</v>
      </c>
      <c r="E4577" s="2248" t="s">
        <v>1940</v>
      </c>
      <c r="F4577" s="756">
        <v>2239</v>
      </c>
      <c r="G4577" s="757" t="s">
        <v>237</v>
      </c>
      <c r="H4577" s="631">
        <v>3668</v>
      </c>
      <c r="I4577" s="631"/>
      <c r="J4577" s="632"/>
      <c r="K4577" s="981"/>
      <c r="L4577" s="631">
        <v>3668</v>
      </c>
      <c r="M4577" s="631"/>
      <c r="N4577" s="2847"/>
      <c r="O4577" s="86"/>
      <c r="P4577" s="1817" t="e">
        <f>INDEX(#REF!,MATCH(F4577,#REF!,0),2)</f>
        <v>#REF!</v>
      </c>
    </row>
    <row r="4578" spans="1:16" ht="78.75">
      <c r="A4578" s="982"/>
      <c r="B4578" s="982" t="s">
        <v>566</v>
      </c>
      <c r="C4578" s="762" t="s">
        <v>508</v>
      </c>
      <c r="D4578" s="1599"/>
      <c r="E4578" s="2245" t="s">
        <v>1940</v>
      </c>
      <c r="F4578" s="763">
        <v>2239</v>
      </c>
      <c r="G4578" s="772" t="s">
        <v>1287</v>
      </c>
      <c r="H4578" s="331"/>
      <c r="I4578" s="331">
        <v>6454</v>
      </c>
      <c r="J4578" s="293"/>
      <c r="K4578" s="984"/>
      <c r="L4578" s="331"/>
      <c r="M4578" s="331">
        <v>6454</v>
      </c>
      <c r="N4578" s="2847"/>
      <c r="O4578" s="86"/>
      <c r="P4578" s="1817" t="e">
        <f>INDEX(#REF!,MATCH(F4578,#REF!,0),2)</f>
        <v>#REF!</v>
      </c>
    </row>
    <row r="4579" spans="1:16" ht="78.75">
      <c r="A4579" s="982"/>
      <c r="B4579" s="982" t="s">
        <v>566</v>
      </c>
      <c r="C4579" s="762" t="s">
        <v>508</v>
      </c>
      <c r="D4579" s="1599"/>
      <c r="E4579" s="2245" t="s">
        <v>1940</v>
      </c>
      <c r="F4579" s="763">
        <v>2239</v>
      </c>
      <c r="G4579" s="772" t="s">
        <v>3133</v>
      </c>
      <c r="H4579" s="331"/>
      <c r="I4579" s="331">
        <v>-2786</v>
      </c>
      <c r="J4579" s="293"/>
      <c r="K4579" s="984"/>
      <c r="L4579" s="331"/>
      <c r="M4579" s="331">
        <v>-2786</v>
      </c>
      <c r="N4579" s="2847"/>
      <c r="O4579" s="86"/>
      <c r="P4579" s="1817" t="e">
        <f>INDEX(#REF!,MATCH(F4579,#REF!,0),2)</f>
        <v>#REF!</v>
      </c>
    </row>
    <row r="4580" spans="1:16" ht="22.5">
      <c r="A4580" s="755"/>
      <c r="B4580" s="755" t="s">
        <v>663</v>
      </c>
      <c r="C4580" s="1091" t="s">
        <v>659</v>
      </c>
      <c r="D4580" s="1637" t="s">
        <v>1282</v>
      </c>
      <c r="E4580" s="2290" t="s">
        <v>1914</v>
      </c>
      <c r="F4580" s="1090">
        <v>1119</v>
      </c>
      <c r="G4580" s="3540" t="s">
        <v>430</v>
      </c>
      <c r="H4580" s="3557">
        <v>247139.75999999998</v>
      </c>
      <c r="I4580" s="3607"/>
      <c r="J4580" s="3558">
        <v>208549</v>
      </c>
      <c r="K4580" s="2816"/>
      <c r="L4580" s="3559">
        <v>204372</v>
      </c>
      <c r="M4580" s="3560"/>
      <c r="N4580" s="2847"/>
      <c r="O4580" s="86"/>
      <c r="P4580" s="1817" t="e">
        <f>INDEX(#REF!,MATCH(F4580,#REF!,0),2)</f>
        <v>#REF!</v>
      </c>
    </row>
    <row r="4581" spans="1:16">
      <c r="A4581" s="778"/>
      <c r="B4581" s="778" t="s">
        <v>663</v>
      </c>
      <c r="C4581" s="810" t="s">
        <v>659</v>
      </c>
      <c r="D4581" s="1638"/>
      <c r="E4581" s="2291" t="s">
        <v>1914</v>
      </c>
      <c r="F4581" s="1092">
        <v>1119</v>
      </c>
      <c r="G4581" s="3541" t="s">
        <v>663</v>
      </c>
      <c r="H4581" s="3561"/>
      <c r="I4581" s="3608">
        <v>247139.75999999998</v>
      </c>
      <c r="J4581" s="3562"/>
      <c r="K4581" s="2816"/>
      <c r="L4581" s="3563"/>
      <c r="M4581" s="3564">
        <v>204372</v>
      </c>
      <c r="N4581" s="2847"/>
      <c r="O4581" s="86"/>
      <c r="P4581" s="1817" t="e">
        <f>INDEX(#REF!,MATCH(F4581,#REF!,0),2)</f>
        <v>#REF!</v>
      </c>
    </row>
    <row r="4582" spans="1:16">
      <c r="A4582" s="1410"/>
      <c r="B4582" s="778" t="s">
        <v>663</v>
      </c>
      <c r="C4582" s="810" t="s">
        <v>659</v>
      </c>
      <c r="D4582" s="1638"/>
      <c r="E4582" s="2291" t="s">
        <v>1914</v>
      </c>
      <c r="F4582" s="1092">
        <v>1119</v>
      </c>
      <c r="G4582" s="3541" t="s">
        <v>1177</v>
      </c>
      <c r="H4582" s="3561"/>
      <c r="I4582" s="3608"/>
      <c r="J4582" s="3562"/>
      <c r="K4582" s="2816"/>
      <c r="L4582" s="3563"/>
      <c r="M4582" s="3564"/>
      <c r="N4582" s="2847"/>
      <c r="O4582" s="86"/>
      <c r="P4582" s="1817" t="e">
        <f>INDEX(#REF!,MATCH(F4582,#REF!,0),2)</f>
        <v>#REF!</v>
      </c>
    </row>
    <row r="4583" spans="1:16">
      <c r="A4583" s="755"/>
      <c r="B4583" s="755" t="s">
        <v>512</v>
      </c>
      <c r="C4583" s="1091" t="s">
        <v>506</v>
      </c>
      <c r="D4583" s="1637" t="s">
        <v>1283</v>
      </c>
      <c r="E4583" s="2292" t="s">
        <v>1915</v>
      </c>
      <c r="F4583" s="1090">
        <v>1119</v>
      </c>
      <c r="G4583" s="3540" t="s">
        <v>431</v>
      </c>
      <c r="H4583" s="3565">
        <v>658280.99926207622</v>
      </c>
      <c r="I4583" s="3607"/>
      <c r="J4583" s="3539"/>
      <c r="K4583" s="3566"/>
      <c r="L4583" s="3567">
        <v>658280.99926207622</v>
      </c>
      <c r="M4583" s="3567"/>
      <c r="N4583" s="2847"/>
      <c r="O4583" s="86"/>
      <c r="P4583" s="1817" t="e">
        <f>INDEX(#REF!,MATCH(F4583,#REF!,0),2)</f>
        <v>#REF!</v>
      </c>
    </row>
    <row r="4584" spans="1:16">
      <c r="A4584" s="778"/>
      <c r="B4584" s="778" t="s">
        <v>512</v>
      </c>
      <c r="C4584" s="810" t="s">
        <v>506</v>
      </c>
      <c r="D4584" s="1638"/>
      <c r="E4584" s="2291" t="s">
        <v>1915</v>
      </c>
      <c r="F4584" s="1092">
        <v>1119</v>
      </c>
      <c r="G4584" s="3542" t="s">
        <v>3062</v>
      </c>
      <c r="H4584" s="3561"/>
      <c r="I4584" s="3608">
        <v>12595.999262076219</v>
      </c>
      <c r="J4584" s="3539"/>
      <c r="K4584" s="3566"/>
      <c r="L4584" s="3563"/>
      <c r="M4584" s="3564">
        <v>12595.999262076219</v>
      </c>
      <c r="N4584" s="2847"/>
      <c r="O4584" s="86"/>
      <c r="P4584" s="1817" t="e">
        <f>INDEX(#REF!,MATCH(F4584,#REF!,0),2)</f>
        <v>#REF!</v>
      </c>
    </row>
    <row r="4585" spans="1:16">
      <c r="A4585" s="778"/>
      <c r="B4585" s="778" t="s">
        <v>512</v>
      </c>
      <c r="C4585" s="810" t="s">
        <v>506</v>
      </c>
      <c r="D4585" s="1638"/>
      <c r="E4585" s="2291" t="s">
        <v>1915</v>
      </c>
      <c r="F4585" s="1092">
        <v>1119</v>
      </c>
      <c r="G4585" s="3541" t="s">
        <v>1563</v>
      </c>
      <c r="H4585" s="3561"/>
      <c r="I4585" s="3608">
        <v>645685</v>
      </c>
      <c r="J4585" s="3539"/>
      <c r="K4585" s="3566"/>
      <c r="L4585" s="3563"/>
      <c r="M4585" s="3564">
        <v>645685</v>
      </c>
      <c r="N4585" s="2847"/>
      <c r="O4585" s="86"/>
      <c r="P4585" s="1817" t="e">
        <f>INDEX(#REF!,MATCH(F4585,#REF!,0),2)</f>
        <v>#REF!</v>
      </c>
    </row>
    <row r="4586" spans="1:16">
      <c r="A4586" s="755"/>
      <c r="B4586" s="755" t="s">
        <v>512</v>
      </c>
      <c r="C4586" s="1091" t="s">
        <v>506</v>
      </c>
      <c r="D4586" s="1637" t="s">
        <v>1283</v>
      </c>
      <c r="E4586" s="2292" t="s">
        <v>1915</v>
      </c>
      <c r="F4586" s="1090">
        <v>1119</v>
      </c>
      <c r="G4586" s="3540" t="s">
        <v>3056</v>
      </c>
      <c r="H4586" s="3568">
        <v>45473.004703454972</v>
      </c>
      <c r="I4586" s="3607"/>
      <c r="J4586" s="3539"/>
      <c r="K4586" s="3566"/>
      <c r="L4586" s="3569">
        <v>45473.004703454972</v>
      </c>
      <c r="M4586" s="3560"/>
      <c r="N4586" s="2847"/>
      <c r="O4586" s="86"/>
      <c r="P4586" s="1817" t="e">
        <f>INDEX(#REF!,MATCH(F4586,#REF!,0),2)</f>
        <v>#REF!</v>
      </c>
    </row>
    <row r="4587" spans="1:16">
      <c r="A4587" s="778"/>
      <c r="B4587" s="778" t="s">
        <v>512</v>
      </c>
      <c r="C4587" s="810" t="s">
        <v>506</v>
      </c>
      <c r="D4587" s="1638"/>
      <c r="E4587" s="2291" t="s">
        <v>1915</v>
      </c>
      <c r="F4587" s="1092">
        <v>1119</v>
      </c>
      <c r="G4587" s="3542" t="s">
        <v>1562</v>
      </c>
      <c r="H4587" s="3561"/>
      <c r="I4587" s="3608"/>
      <c r="J4587" s="3570"/>
      <c r="K4587" s="3566"/>
      <c r="L4587" s="3563"/>
      <c r="M4587" s="3564"/>
      <c r="N4587" s="2847"/>
      <c r="O4587" s="86"/>
      <c r="P4587" s="1817" t="e">
        <f>INDEX(#REF!,MATCH(F4587,#REF!,0),2)</f>
        <v>#REF!</v>
      </c>
    </row>
    <row r="4588" spans="1:16">
      <c r="A4588" s="778"/>
      <c r="B4588" s="778" t="s">
        <v>512</v>
      </c>
      <c r="C4588" s="810" t="s">
        <v>506</v>
      </c>
      <c r="D4588" s="1638"/>
      <c r="E4588" s="2291" t="s">
        <v>1915</v>
      </c>
      <c r="F4588" s="1092">
        <v>1119</v>
      </c>
      <c r="G4588" s="3541" t="s">
        <v>1564</v>
      </c>
      <c r="H4588" s="3561"/>
      <c r="I4588" s="3608">
        <v>45473.004703454972</v>
      </c>
      <c r="J4588" s="3570"/>
      <c r="K4588" s="3566"/>
      <c r="L4588" s="3563"/>
      <c r="M4588" s="3564">
        <v>45473.004703454972</v>
      </c>
      <c r="N4588" s="2847"/>
      <c r="O4588" s="86"/>
      <c r="P4588" s="1817" t="e">
        <f>INDEX(#REF!,MATCH(F4588,#REF!,0),2)</f>
        <v>#REF!</v>
      </c>
    </row>
    <row r="4589" spans="1:16" ht="22.5">
      <c r="A4589" s="755"/>
      <c r="B4589" s="755" t="s">
        <v>663</v>
      </c>
      <c r="C4589" s="1091" t="s">
        <v>659</v>
      </c>
      <c r="D4589" s="1639" t="s">
        <v>1282</v>
      </c>
      <c r="E4589" s="2292" t="s">
        <v>1914</v>
      </c>
      <c r="F4589" s="1090">
        <v>1142</v>
      </c>
      <c r="G4589" s="3540" t="s">
        <v>225</v>
      </c>
      <c r="H4589" s="3557">
        <v>2000</v>
      </c>
      <c r="I4589" s="3607"/>
      <c r="J4589" s="3558">
        <v>832</v>
      </c>
      <c r="K4589" s="2816"/>
      <c r="L4589" s="3559">
        <v>0</v>
      </c>
      <c r="M4589" s="3560"/>
      <c r="N4589" s="2847"/>
      <c r="O4589" s="86"/>
      <c r="P4589" s="1817" t="e">
        <f>INDEX(#REF!,MATCH(F4589,#REF!,0),2)</f>
        <v>#REF!</v>
      </c>
    </row>
    <row r="4590" spans="1:16">
      <c r="A4590" s="778"/>
      <c r="B4590" s="778" t="s">
        <v>663</v>
      </c>
      <c r="C4590" s="810" t="s">
        <v>659</v>
      </c>
      <c r="D4590" s="1638"/>
      <c r="E4590" s="2291" t="s">
        <v>1914</v>
      </c>
      <c r="F4590" s="1092">
        <v>1142</v>
      </c>
      <c r="G4590" s="3541"/>
      <c r="H4590" s="3561"/>
      <c r="I4590" s="3608"/>
      <c r="J4590" s="3570"/>
      <c r="K4590" s="2816"/>
      <c r="L4590" s="3563"/>
      <c r="M4590" s="3564"/>
      <c r="N4590" s="2847"/>
      <c r="O4590" s="86"/>
      <c r="P4590" s="1817" t="e">
        <f>INDEX(#REF!,MATCH(F4590,#REF!,0),2)</f>
        <v>#REF!</v>
      </c>
    </row>
    <row r="4591" spans="1:16">
      <c r="A4591" s="755"/>
      <c r="B4591" s="755" t="s">
        <v>663</v>
      </c>
      <c r="C4591" s="1091" t="s">
        <v>659</v>
      </c>
      <c r="D4591" s="1639" t="s">
        <v>1282</v>
      </c>
      <c r="E4591" s="2292" t="s">
        <v>1914</v>
      </c>
      <c r="F4591" s="1090">
        <v>1146</v>
      </c>
      <c r="G4591" s="3540" t="s">
        <v>891</v>
      </c>
      <c r="H4591" s="3557">
        <v>0</v>
      </c>
      <c r="I4591" s="3607"/>
      <c r="J4591" s="3558"/>
      <c r="K4591" s="2816"/>
      <c r="L4591" s="3559">
        <v>0</v>
      </c>
      <c r="M4591" s="3560"/>
      <c r="N4591" s="2847"/>
      <c r="O4591" s="86"/>
      <c r="P4591" s="1817" t="e">
        <f>INDEX(#REF!,MATCH(F4591,#REF!,0),2)</f>
        <v>#REF!</v>
      </c>
    </row>
    <row r="4592" spans="1:16">
      <c r="A4592" s="778"/>
      <c r="B4592" s="778" t="s">
        <v>663</v>
      </c>
      <c r="C4592" s="810" t="s">
        <v>659</v>
      </c>
      <c r="D4592" s="1638"/>
      <c r="E4592" s="2291" t="s">
        <v>1914</v>
      </c>
      <c r="F4592" s="1092">
        <v>1146</v>
      </c>
      <c r="G4592" s="3541"/>
      <c r="H4592" s="3561"/>
      <c r="I4592" s="3608"/>
      <c r="J4592" s="3570"/>
      <c r="K4592" s="2816"/>
      <c r="L4592" s="3563"/>
      <c r="M4592" s="3564"/>
      <c r="N4592" s="2847"/>
      <c r="O4592" s="86"/>
      <c r="P4592" s="1817" t="e">
        <f>INDEX(#REF!,MATCH(F4592,#REF!,0),2)</f>
        <v>#REF!</v>
      </c>
    </row>
    <row r="4593" spans="1:16">
      <c r="A4593" s="755"/>
      <c r="B4593" s="755" t="s">
        <v>512</v>
      </c>
      <c r="C4593" s="1091" t="s">
        <v>506</v>
      </c>
      <c r="D4593" s="1637" t="s">
        <v>1283</v>
      </c>
      <c r="E4593" s="2292" t="s">
        <v>1915</v>
      </c>
      <c r="F4593" s="1090">
        <v>1146</v>
      </c>
      <c r="G4593" s="3540" t="s">
        <v>891</v>
      </c>
      <c r="H4593" s="3565">
        <v>3000</v>
      </c>
      <c r="I4593" s="3607"/>
      <c r="J4593" s="3558"/>
      <c r="K4593" s="2816"/>
      <c r="L4593" s="3567">
        <v>3000</v>
      </c>
      <c r="M4593" s="3560"/>
      <c r="N4593" s="2847"/>
      <c r="O4593" s="86"/>
      <c r="P4593" s="1817" t="e">
        <f>INDEX(#REF!,MATCH(F4593,#REF!,0),2)</f>
        <v>#REF!</v>
      </c>
    </row>
    <row r="4594" spans="1:16">
      <c r="A4594" s="778"/>
      <c r="B4594" s="778" t="s">
        <v>512</v>
      </c>
      <c r="C4594" s="810" t="s">
        <v>506</v>
      </c>
      <c r="D4594" s="1638"/>
      <c r="E4594" s="2291" t="s">
        <v>1915</v>
      </c>
      <c r="F4594" s="1092">
        <v>1146</v>
      </c>
      <c r="G4594" s="3541" t="s">
        <v>512</v>
      </c>
      <c r="H4594" s="3561"/>
      <c r="I4594" s="3608">
        <v>3000</v>
      </c>
      <c r="J4594" s="3570"/>
      <c r="K4594" s="2816"/>
      <c r="L4594" s="3563"/>
      <c r="M4594" s="3564">
        <v>3000</v>
      </c>
      <c r="N4594" s="2847"/>
      <c r="O4594" s="86"/>
      <c r="P4594" s="1817" t="e">
        <f>INDEX(#REF!,MATCH(F4594,#REF!,0),2)</f>
        <v>#REF!</v>
      </c>
    </row>
    <row r="4595" spans="1:16">
      <c r="A4595" s="755"/>
      <c r="B4595" s="755" t="s">
        <v>512</v>
      </c>
      <c r="C4595" s="1091" t="s">
        <v>506</v>
      </c>
      <c r="D4595" s="1637" t="s">
        <v>1283</v>
      </c>
      <c r="E4595" s="2292" t="s">
        <v>1915</v>
      </c>
      <c r="F4595" s="1090">
        <v>1147</v>
      </c>
      <c r="G4595" s="3540" t="s">
        <v>568</v>
      </c>
      <c r="H4595" s="3565">
        <v>31933</v>
      </c>
      <c r="I4595" s="3607"/>
      <c r="J4595" s="3558"/>
      <c r="K4595" s="2816"/>
      <c r="L4595" s="3567">
        <v>31933</v>
      </c>
      <c r="M4595" s="3560"/>
      <c r="N4595" s="2847"/>
      <c r="O4595" s="86"/>
      <c r="P4595" s="1817" t="e">
        <f>INDEX(#REF!,MATCH(F4595,#REF!,0),2)</f>
        <v>#REF!</v>
      </c>
    </row>
    <row r="4596" spans="1:16">
      <c r="A4596" s="778"/>
      <c r="B4596" s="778" t="s">
        <v>512</v>
      </c>
      <c r="C4596" s="810" t="s">
        <v>506</v>
      </c>
      <c r="D4596" s="1638"/>
      <c r="E4596" s="2291" t="s">
        <v>1915</v>
      </c>
      <c r="F4596" s="1092">
        <v>1147</v>
      </c>
      <c r="G4596" s="3541"/>
      <c r="H4596" s="3561"/>
      <c r="I4596" s="3608">
        <v>31933</v>
      </c>
      <c r="J4596" s="3570"/>
      <c r="K4596" s="2816"/>
      <c r="L4596" s="3563"/>
      <c r="M4596" s="3564">
        <v>31933</v>
      </c>
      <c r="N4596" s="2847"/>
      <c r="O4596" s="86"/>
      <c r="P4596" s="1817" t="e">
        <f>INDEX(#REF!,MATCH(F4596,#REF!,0),2)</f>
        <v>#REF!</v>
      </c>
    </row>
    <row r="4597" spans="1:16">
      <c r="A4597" s="755"/>
      <c r="B4597" s="755" t="s">
        <v>663</v>
      </c>
      <c r="C4597" s="1091" t="s">
        <v>659</v>
      </c>
      <c r="D4597" s="1639" t="s">
        <v>1282</v>
      </c>
      <c r="E4597" s="2292" t="s">
        <v>1914</v>
      </c>
      <c r="F4597" s="1090">
        <v>1147</v>
      </c>
      <c r="G4597" s="3540" t="s">
        <v>568</v>
      </c>
      <c r="H4597" s="3557">
        <v>18595</v>
      </c>
      <c r="I4597" s="3607"/>
      <c r="J4597" s="3558">
        <v>5404</v>
      </c>
      <c r="K4597" s="2816"/>
      <c r="L4597" s="3559">
        <v>17031</v>
      </c>
      <c r="M4597" s="3560"/>
      <c r="N4597" s="2847"/>
      <c r="O4597" s="86"/>
      <c r="P4597" s="1817" t="e">
        <f>INDEX(#REF!,MATCH(F4597,#REF!,0),2)</f>
        <v>#REF!</v>
      </c>
    </row>
    <row r="4598" spans="1:16">
      <c r="A4598" s="778"/>
      <c r="B4598" s="778" t="s">
        <v>663</v>
      </c>
      <c r="C4598" s="810" t="s">
        <v>659</v>
      </c>
      <c r="D4598" s="1638"/>
      <c r="E4598" s="2291" t="s">
        <v>1914</v>
      </c>
      <c r="F4598" s="1092">
        <v>1147</v>
      </c>
      <c r="G4598" s="3541"/>
      <c r="H4598" s="3561"/>
      <c r="I4598" s="3608">
        <v>20594.98</v>
      </c>
      <c r="J4598" s="3562"/>
      <c r="K4598" s="2816"/>
      <c r="L4598" s="3563"/>
      <c r="M4598" s="3564">
        <v>17031</v>
      </c>
      <c r="N4598" s="2847"/>
      <c r="O4598" s="86"/>
      <c r="P4598" s="1817" t="e">
        <f>INDEX(#REF!,MATCH(F4598,#REF!,0),2)</f>
        <v>#REF!</v>
      </c>
    </row>
    <row r="4599" spans="1:16">
      <c r="A4599" s="755"/>
      <c r="B4599" s="755" t="s">
        <v>663</v>
      </c>
      <c r="C4599" s="1091" t="s">
        <v>659</v>
      </c>
      <c r="D4599" s="1637" t="s">
        <v>1282</v>
      </c>
      <c r="E4599" s="2292" t="s">
        <v>1914</v>
      </c>
      <c r="F4599" s="1090">
        <v>1148</v>
      </c>
      <c r="G4599" s="3540" t="s">
        <v>569</v>
      </c>
      <c r="H4599" s="3571">
        <v>0</v>
      </c>
      <c r="I4599" s="3607"/>
      <c r="J4599" s="3558"/>
      <c r="K4599" s="2816"/>
      <c r="L4599" s="3559">
        <v>0</v>
      </c>
      <c r="M4599" s="3560"/>
      <c r="N4599" s="2847"/>
      <c r="O4599" s="86"/>
      <c r="P4599" s="1817" t="e">
        <f>INDEX(#REF!,MATCH(F4599,#REF!,0),2)</f>
        <v>#REF!</v>
      </c>
    </row>
    <row r="4600" spans="1:16">
      <c r="A4600" s="762"/>
      <c r="B4600" s="762" t="s">
        <v>663</v>
      </c>
      <c r="C4600" s="810" t="s">
        <v>659</v>
      </c>
      <c r="D4600" s="1638"/>
      <c r="E4600" s="2291" t="s">
        <v>1914</v>
      </c>
      <c r="F4600" s="1092">
        <v>1148</v>
      </c>
      <c r="G4600" s="3541"/>
      <c r="H4600" s="3572"/>
      <c r="I4600" s="3572"/>
      <c r="J4600" s="3570"/>
      <c r="K4600" s="2816"/>
      <c r="L4600" s="3563"/>
      <c r="M4600" s="3563"/>
      <c r="N4600" s="2847"/>
      <c r="O4600" s="86"/>
      <c r="P4600" s="1817" t="e">
        <f>INDEX(#REF!,MATCH(F4600,#REF!,0),2)</f>
        <v>#REF!</v>
      </c>
    </row>
    <row r="4601" spans="1:16">
      <c r="A4601" s="755"/>
      <c r="B4601" s="755" t="s">
        <v>512</v>
      </c>
      <c r="C4601" s="1091" t="s">
        <v>506</v>
      </c>
      <c r="D4601" s="1637" t="s">
        <v>1283</v>
      </c>
      <c r="E4601" s="2292" t="s">
        <v>1915</v>
      </c>
      <c r="F4601" s="1090">
        <v>1148</v>
      </c>
      <c r="G4601" s="3540" t="s">
        <v>569</v>
      </c>
      <c r="H4601" s="3565">
        <v>10700</v>
      </c>
      <c r="I4601" s="3607"/>
      <c r="J4601" s="3558"/>
      <c r="K4601" s="2816"/>
      <c r="L4601" s="3567">
        <v>10700</v>
      </c>
      <c r="M4601" s="3560"/>
      <c r="N4601" s="2847"/>
      <c r="O4601" s="86"/>
      <c r="P4601" s="1817" t="e">
        <f>INDEX(#REF!,MATCH(F4601,#REF!,0),2)</f>
        <v>#REF!</v>
      </c>
    </row>
    <row r="4602" spans="1:16">
      <c r="A4602" s="762"/>
      <c r="B4602" s="762" t="s">
        <v>512</v>
      </c>
      <c r="C4602" s="810" t="s">
        <v>506</v>
      </c>
      <c r="D4602" s="1638"/>
      <c r="E4602" s="2291" t="s">
        <v>1915</v>
      </c>
      <c r="F4602" s="1092">
        <v>1148</v>
      </c>
      <c r="G4602" s="3541"/>
      <c r="H4602" s="3572"/>
      <c r="I4602" s="3572">
        <v>10700</v>
      </c>
      <c r="J4602" s="3570"/>
      <c r="K4602" s="2816"/>
      <c r="L4602" s="3563"/>
      <c r="M4602" s="3563">
        <v>10700</v>
      </c>
      <c r="N4602" s="2847"/>
      <c r="O4602" s="86"/>
      <c r="P4602" s="1817" t="e">
        <f>INDEX(#REF!,MATCH(F4602,#REF!,0),2)</f>
        <v>#REF!</v>
      </c>
    </row>
    <row r="4603" spans="1:16" ht="22.5">
      <c r="A4603" s="755"/>
      <c r="B4603" s="755" t="s">
        <v>566</v>
      </c>
      <c r="C4603" s="1091" t="s">
        <v>508</v>
      </c>
      <c r="D4603" s="1637" t="s">
        <v>1282</v>
      </c>
      <c r="E4603" s="2292" t="s">
        <v>1914</v>
      </c>
      <c r="F4603" s="1090">
        <v>1150</v>
      </c>
      <c r="G4603" s="3540" t="s">
        <v>625</v>
      </c>
      <c r="H4603" s="3557">
        <v>0</v>
      </c>
      <c r="I4603" s="3609"/>
      <c r="J4603" s="3558"/>
      <c r="K4603" s="2816"/>
      <c r="L4603" s="3559">
        <v>0</v>
      </c>
      <c r="M4603" s="3559"/>
      <c r="N4603" s="2847"/>
      <c r="O4603" s="86"/>
      <c r="P4603" s="1817" t="e">
        <f>INDEX(#REF!,MATCH(F4603,#REF!,0),2)</f>
        <v>#REF!</v>
      </c>
    </row>
    <row r="4604" spans="1:16" ht="22.5">
      <c r="A4604" s="762"/>
      <c r="B4604" s="762" t="s">
        <v>566</v>
      </c>
      <c r="C4604" s="810" t="s">
        <v>508</v>
      </c>
      <c r="D4604" s="1638"/>
      <c r="E4604" s="2291" t="s">
        <v>1914</v>
      </c>
      <c r="F4604" s="1092">
        <v>1150</v>
      </c>
      <c r="G4604" s="3543" t="s">
        <v>1843</v>
      </c>
      <c r="H4604" s="3572"/>
      <c r="I4604" s="3593"/>
      <c r="J4604" s="3570"/>
      <c r="K4604" s="2821"/>
      <c r="L4604" s="3563"/>
      <c r="M4604" s="3563"/>
      <c r="N4604" s="2847"/>
      <c r="O4604" s="86"/>
      <c r="P4604" s="1817" t="e">
        <f>INDEX(#REF!,MATCH(F4604,#REF!,0),2)</f>
        <v>#REF!</v>
      </c>
    </row>
    <row r="4605" spans="1:16" ht="22.5">
      <c r="A4605" s="755"/>
      <c r="B4605" s="755" t="s">
        <v>1248</v>
      </c>
      <c r="C4605" s="1091" t="s">
        <v>505</v>
      </c>
      <c r="D4605" s="1639" t="s">
        <v>1282</v>
      </c>
      <c r="E4605" s="2292" t="s">
        <v>1914</v>
      </c>
      <c r="F4605" s="1090">
        <v>1150</v>
      </c>
      <c r="G4605" s="3540" t="s">
        <v>625</v>
      </c>
      <c r="H4605" s="3557">
        <v>1000</v>
      </c>
      <c r="I4605" s="3609"/>
      <c r="J4605" s="3558">
        <v>633</v>
      </c>
      <c r="K4605" s="2816"/>
      <c r="L4605" s="3559">
        <v>1000</v>
      </c>
      <c r="M4605" s="3559"/>
      <c r="N4605" s="2847"/>
      <c r="O4605" s="86"/>
      <c r="P4605" s="1817" t="e">
        <f>INDEX(#REF!,MATCH(F4605,#REF!,0),2)</f>
        <v>#REF!</v>
      </c>
    </row>
    <row r="4606" spans="1:16">
      <c r="A4606" s="762"/>
      <c r="B4606" s="762" t="s">
        <v>1248</v>
      </c>
      <c r="C4606" s="810" t="s">
        <v>505</v>
      </c>
      <c r="D4606" s="1638"/>
      <c r="E4606" s="2291" t="s">
        <v>1914</v>
      </c>
      <c r="F4606" s="1092">
        <v>1150</v>
      </c>
      <c r="G4606" s="3543"/>
      <c r="H4606" s="3572"/>
      <c r="I4606" s="3593">
        <v>1000</v>
      </c>
      <c r="J4606" s="3570"/>
      <c r="K4606" s="2821"/>
      <c r="L4606" s="3563"/>
      <c r="M4606" s="3563">
        <v>1000</v>
      </c>
      <c r="N4606" s="2847"/>
      <c r="O4606" s="86"/>
      <c r="P4606" s="1817" t="e">
        <f>INDEX(#REF!,MATCH(F4606,#REF!,0),2)</f>
        <v>#REF!</v>
      </c>
    </row>
    <row r="4607" spans="1:16">
      <c r="A4607" s="755"/>
      <c r="B4607" s="755" t="s">
        <v>663</v>
      </c>
      <c r="C4607" s="1091" t="s">
        <v>659</v>
      </c>
      <c r="D4607" s="1639" t="s">
        <v>1282</v>
      </c>
      <c r="E4607" s="2292" t="s">
        <v>1914</v>
      </c>
      <c r="F4607" s="1090">
        <v>1210</v>
      </c>
      <c r="G4607" s="3544" t="s">
        <v>432</v>
      </c>
      <c r="H4607" s="3573">
        <v>64931.925026429999</v>
      </c>
      <c r="I4607" s="3607"/>
      <c r="J4607" s="3558">
        <v>46832</v>
      </c>
      <c r="K4607" s="2816"/>
      <c r="L4607" s="3559">
        <v>53695.396408499997</v>
      </c>
      <c r="M4607" s="3560"/>
      <c r="N4607" s="2847"/>
      <c r="O4607" s="86"/>
      <c r="P4607" s="1817" t="e">
        <f>INDEX(#REF!,MATCH(F4607,#REF!,0),2)</f>
        <v>#REF!</v>
      </c>
    </row>
    <row r="4608" spans="1:16">
      <c r="A4608" s="778"/>
      <c r="B4608" s="778" t="s">
        <v>663</v>
      </c>
      <c r="C4608" s="810" t="s">
        <v>659</v>
      </c>
      <c r="D4608" s="1638"/>
      <c r="E4608" s="2291" t="s">
        <v>1914</v>
      </c>
      <c r="F4608" s="1092">
        <v>1210</v>
      </c>
      <c r="G4608" s="3541"/>
      <c r="H4608" s="3561"/>
      <c r="I4608" s="3608">
        <v>64931.925026429999</v>
      </c>
      <c r="J4608" s="3562"/>
      <c r="K4608" s="2816"/>
      <c r="L4608" s="3563"/>
      <c r="M4608" s="3564">
        <v>53695.396408499997</v>
      </c>
      <c r="N4608" s="2847"/>
      <c r="O4608" s="86"/>
      <c r="P4608" s="1817" t="e">
        <f>INDEX(#REF!,MATCH(F4608,#REF!,0),2)</f>
        <v>#REF!</v>
      </c>
    </row>
    <row r="4609" spans="1:23">
      <c r="A4609" s="755"/>
      <c r="B4609" s="755" t="s">
        <v>512</v>
      </c>
      <c r="C4609" s="1091" t="s">
        <v>506</v>
      </c>
      <c r="D4609" s="1637" t="s">
        <v>1283</v>
      </c>
      <c r="E4609" s="2292" t="s">
        <v>1915</v>
      </c>
      <c r="F4609" s="1090">
        <v>1210</v>
      </c>
      <c r="G4609" s="3544" t="s">
        <v>336</v>
      </c>
      <c r="H4609" s="3565">
        <v>164742.80073792377</v>
      </c>
      <c r="I4609" s="3607"/>
      <c r="J4609" s="3600"/>
      <c r="K4609" s="3566"/>
      <c r="L4609" s="3567">
        <v>164742.80073792377</v>
      </c>
      <c r="M4609" s="3560"/>
      <c r="N4609" s="2847"/>
      <c r="O4609" s="86"/>
      <c r="P4609" s="1817" t="e">
        <f>INDEX(#REF!,MATCH(F4609,#REF!,0),2)</f>
        <v>#REF!</v>
      </c>
    </row>
    <row r="4610" spans="1:23">
      <c r="A4610" s="762"/>
      <c r="B4610" s="762" t="s">
        <v>512</v>
      </c>
      <c r="C4610" s="810" t="s">
        <v>506</v>
      </c>
      <c r="D4610" s="1638"/>
      <c r="E4610" s="2291" t="s">
        <v>1915</v>
      </c>
      <c r="F4610" s="1092">
        <v>1210</v>
      </c>
      <c r="G4610" s="3542" t="s">
        <v>1562</v>
      </c>
      <c r="H4610" s="3574"/>
      <c r="I4610" s="3593">
        <v>2971.0007379237813</v>
      </c>
      <c r="J4610" s="3600"/>
      <c r="K4610" s="3566"/>
      <c r="L4610" s="3563"/>
      <c r="M4610" s="3564">
        <v>2971.0007379237813</v>
      </c>
      <c r="N4610" s="2847"/>
      <c r="O4610" s="86"/>
      <c r="P4610" s="1817" t="e">
        <f>INDEX(#REF!,MATCH(F4610,#REF!,0),2)</f>
        <v>#REF!</v>
      </c>
    </row>
    <row r="4611" spans="1:23">
      <c r="A4611" s="778"/>
      <c r="B4611" s="778" t="s">
        <v>512</v>
      </c>
      <c r="C4611" s="810" t="s">
        <v>506</v>
      </c>
      <c r="D4611" s="1638"/>
      <c r="E4611" s="2291" t="s">
        <v>1915</v>
      </c>
      <c r="F4611" s="1092">
        <v>1210</v>
      </c>
      <c r="G4611" s="3541" t="s">
        <v>1563</v>
      </c>
      <c r="H4611" s="3561"/>
      <c r="I4611" s="3608">
        <v>161771.79999999999</v>
      </c>
      <c r="J4611" s="3600"/>
      <c r="K4611" s="3566"/>
      <c r="L4611" s="3563"/>
      <c r="M4611" s="3564">
        <v>161771.79999999999</v>
      </c>
      <c r="N4611" s="2847"/>
      <c r="O4611" s="86"/>
      <c r="P4611" s="1817" t="e">
        <f>INDEX(#REF!,MATCH(F4611,#REF!,0),2)</f>
        <v>#REF!</v>
      </c>
    </row>
    <row r="4612" spans="1:23">
      <c r="A4612" s="755"/>
      <c r="B4612" s="755" t="s">
        <v>512</v>
      </c>
      <c r="C4612" s="1091" t="s">
        <v>506</v>
      </c>
      <c r="D4612" s="1637" t="s">
        <v>1283</v>
      </c>
      <c r="E4612" s="2292" t="s">
        <v>1915</v>
      </c>
      <c r="F4612" s="1090">
        <v>1210</v>
      </c>
      <c r="G4612" s="3544" t="s">
        <v>433</v>
      </c>
      <c r="H4612" s="3568">
        <v>8937.1952965450291</v>
      </c>
      <c r="I4612" s="3607"/>
      <c r="J4612" s="3600"/>
      <c r="K4612" s="3566"/>
      <c r="L4612" s="3569">
        <v>8937.1952965450291</v>
      </c>
      <c r="M4612" s="3560"/>
      <c r="N4612" s="2847"/>
      <c r="O4612" s="86"/>
      <c r="P4612" s="1817" t="e">
        <f>INDEX(#REF!,MATCH(F4612,#REF!,0),2)</f>
        <v>#REF!</v>
      </c>
    </row>
    <row r="4613" spans="1:23">
      <c r="A4613" s="762"/>
      <c r="B4613" s="762" t="s">
        <v>512</v>
      </c>
      <c r="C4613" s="810" t="s">
        <v>506</v>
      </c>
      <c r="D4613" s="1638"/>
      <c r="E4613" s="2291" t="s">
        <v>1915</v>
      </c>
      <c r="F4613" s="1092">
        <v>1210</v>
      </c>
      <c r="G4613" s="3542" t="s">
        <v>1562</v>
      </c>
      <c r="H4613" s="3574"/>
      <c r="I4613" s="3593"/>
      <c r="J4613" s="3570"/>
      <c r="K4613" s="3566"/>
      <c r="L4613" s="3563"/>
      <c r="M4613" s="3564"/>
      <c r="N4613" s="2847"/>
      <c r="O4613" s="86"/>
      <c r="P4613" s="1817" t="e">
        <f>INDEX(#REF!,MATCH(F4613,#REF!,0),2)</f>
        <v>#REF!</v>
      </c>
    </row>
    <row r="4614" spans="1:23">
      <c r="A4614" s="762"/>
      <c r="B4614" s="762" t="s">
        <v>512</v>
      </c>
      <c r="C4614" s="810" t="s">
        <v>506</v>
      </c>
      <c r="D4614" s="1638"/>
      <c r="E4614" s="2291" t="s">
        <v>1915</v>
      </c>
      <c r="F4614" s="1092">
        <v>1210</v>
      </c>
      <c r="G4614" s="3541" t="s">
        <v>1564</v>
      </c>
      <c r="H4614" s="3574"/>
      <c r="I4614" s="3593"/>
      <c r="J4614" s="3570"/>
      <c r="K4614" s="3566"/>
      <c r="L4614" s="3563"/>
      <c r="M4614" s="3563"/>
      <c r="N4614" s="2847"/>
      <c r="O4614" s="86"/>
      <c r="P4614" s="1817" t="e">
        <f>INDEX(#REF!,MATCH(F4614,#REF!,0),2)</f>
        <v>#REF!</v>
      </c>
    </row>
    <row r="4615" spans="1:23" ht="45">
      <c r="A4615" s="762"/>
      <c r="B4615" s="762" t="s">
        <v>512</v>
      </c>
      <c r="C4615" s="810" t="s">
        <v>506</v>
      </c>
      <c r="D4615" s="1638"/>
      <c r="E4615" s="2291" t="s">
        <v>1915</v>
      </c>
      <c r="F4615" s="1092">
        <v>1210</v>
      </c>
      <c r="G4615" s="3541" t="s">
        <v>2056</v>
      </c>
      <c r="H4615" s="3574"/>
      <c r="I4615" s="3593">
        <v>8937.1952965450291</v>
      </c>
      <c r="J4615" s="3570"/>
      <c r="K4615" s="3566"/>
      <c r="L4615" s="3563"/>
      <c r="M4615" s="3563">
        <v>8937.1952965450291</v>
      </c>
      <c r="N4615" s="2847"/>
      <c r="O4615" s="86"/>
      <c r="P4615" s="1817" t="e">
        <f>INDEX(#REF!,MATCH(F4615,#REF!,0),2)</f>
        <v>#REF!</v>
      </c>
    </row>
    <row r="4616" spans="1:23" ht="45">
      <c r="A4616" s="755"/>
      <c r="B4616" s="755" t="s">
        <v>663</v>
      </c>
      <c r="C4616" s="1091" t="s">
        <v>659</v>
      </c>
      <c r="D4616" s="1639" t="s">
        <v>1282</v>
      </c>
      <c r="E4616" s="2292" t="s">
        <v>1914</v>
      </c>
      <c r="F4616" s="1090">
        <v>1221</v>
      </c>
      <c r="G4616" s="3544" t="s">
        <v>434</v>
      </c>
      <c r="H4616" s="3575">
        <v>9653</v>
      </c>
      <c r="I4616" s="3607"/>
      <c r="J4616" s="3558">
        <v>5404</v>
      </c>
      <c r="K4616" s="2816"/>
      <c r="L4616" s="3559">
        <v>8057.8777415000004</v>
      </c>
      <c r="M4616" s="3560"/>
      <c r="N4616" s="2847"/>
      <c r="O4616" s="86"/>
      <c r="P4616" s="1817" t="e">
        <f>INDEX(#REF!,MATCH(F4616,#REF!,0),2)</f>
        <v>#REF!</v>
      </c>
    </row>
    <row r="4617" spans="1:23">
      <c r="A4617" s="778"/>
      <c r="B4617" s="778" t="s">
        <v>663</v>
      </c>
      <c r="C4617" s="810" t="s">
        <v>659</v>
      </c>
      <c r="D4617" s="1638"/>
      <c r="E4617" s="2291" t="s">
        <v>1914</v>
      </c>
      <c r="F4617" s="1092">
        <v>1221</v>
      </c>
      <c r="G4617" s="3541" t="s">
        <v>663</v>
      </c>
      <c r="H4617" s="3561"/>
      <c r="I4617" s="3608">
        <v>9953.36803057</v>
      </c>
      <c r="J4617" s="3562"/>
      <c r="K4617" s="2816"/>
      <c r="L4617" s="3563"/>
      <c r="M4617" s="3564">
        <v>8057.8777415000004</v>
      </c>
      <c r="N4617" s="2847"/>
      <c r="O4617" s="86"/>
      <c r="P4617" s="1817" t="e">
        <f>INDEX(#REF!,MATCH(F4617,#REF!,0),2)</f>
        <v>#REF!</v>
      </c>
    </row>
    <row r="4618" spans="1:23">
      <c r="A4618" s="1410"/>
      <c r="B4618" s="778" t="s">
        <v>663</v>
      </c>
      <c r="C4618" s="810" t="s">
        <v>659</v>
      </c>
      <c r="D4618" s="1638"/>
      <c r="E4618" s="2291" t="s">
        <v>1914</v>
      </c>
      <c r="F4618" s="1092">
        <v>1221</v>
      </c>
      <c r="G4618" s="3545" t="s">
        <v>1177</v>
      </c>
      <c r="H4618" s="3561"/>
      <c r="I4618" s="3608"/>
      <c r="J4618" s="3562"/>
      <c r="K4618" s="2816"/>
      <c r="L4618" s="3563"/>
      <c r="M4618" s="3564"/>
      <c r="N4618" s="2847"/>
      <c r="O4618" s="86"/>
      <c r="P4618" s="1817" t="e">
        <f>INDEX(#REF!,MATCH(F4618,#REF!,0),2)</f>
        <v>#REF!</v>
      </c>
    </row>
    <row r="4619" spans="1:23" ht="45">
      <c r="A4619" s="755"/>
      <c r="B4619" s="755" t="s">
        <v>512</v>
      </c>
      <c r="C4619" s="1091" t="s">
        <v>506</v>
      </c>
      <c r="D4619" s="1637" t="s">
        <v>1283</v>
      </c>
      <c r="E4619" s="2292" t="s">
        <v>1915</v>
      </c>
      <c r="F4619" s="1090">
        <v>1221</v>
      </c>
      <c r="G4619" s="3544" t="s">
        <v>616</v>
      </c>
      <c r="H4619" s="3565">
        <v>1310.1999999999998</v>
      </c>
      <c r="I4619" s="3607"/>
      <c r="J4619" s="3600"/>
      <c r="K4619" s="2816"/>
      <c r="L4619" s="3567">
        <v>1310.1999999999998</v>
      </c>
      <c r="M4619" s="3560"/>
      <c r="N4619" s="2847"/>
      <c r="O4619" s="86"/>
      <c r="P4619" s="1817" t="e">
        <f>INDEX(#REF!,MATCH(F4619,#REF!,0),2)</f>
        <v>#REF!</v>
      </c>
    </row>
    <row r="4620" spans="1:23">
      <c r="A4620" s="762"/>
      <c r="B4620" s="762" t="s">
        <v>512</v>
      </c>
      <c r="C4620" s="810" t="s">
        <v>506</v>
      </c>
      <c r="D4620" s="1638"/>
      <c r="E4620" s="2291" t="s">
        <v>1915</v>
      </c>
      <c r="F4620" s="1092">
        <v>1221</v>
      </c>
      <c r="G4620" s="3541" t="s">
        <v>1565</v>
      </c>
      <c r="H4620" s="3570"/>
      <c r="I4620" s="3570">
        <v>1310.1999999999998</v>
      </c>
      <c r="J4620" s="3600"/>
      <c r="K4620" s="2816"/>
      <c r="L4620" s="3563"/>
      <c r="M4620" s="3563">
        <v>1310.1999999999998</v>
      </c>
      <c r="N4620" s="2847"/>
      <c r="O4620" s="86"/>
      <c r="P4620" s="1817" t="e">
        <f>INDEX(#REF!,MATCH(F4620,#REF!,0),2)</f>
        <v>#REF!</v>
      </c>
    </row>
    <row r="4621" spans="1:23" ht="45">
      <c r="A4621" s="755"/>
      <c r="B4621" s="755" t="s">
        <v>512</v>
      </c>
      <c r="C4621" s="1091" t="s">
        <v>506</v>
      </c>
      <c r="D4621" s="1637" t="s">
        <v>1283</v>
      </c>
      <c r="E4621" s="2292" t="s">
        <v>1915</v>
      </c>
      <c r="F4621" s="1090">
        <v>1221</v>
      </c>
      <c r="G4621" s="3544" t="s">
        <v>616</v>
      </c>
      <c r="H4621" s="3568">
        <v>1789.8000000000002</v>
      </c>
      <c r="I4621" s="3607"/>
      <c r="J4621" s="3600"/>
      <c r="K4621" s="2816"/>
      <c r="L4621" s="3569">
        <v>1789.8000000000002</v>
      </c>
      <c r="M4621" s="3560"/>
      <c r="N4621" s="2847"/>
      <c r="O4621" s="86"/>
      <c r="P4621" s="1817" t="e">
        <f>INDEX(#REF!,MATCH(F4621,#REF!,0),2)</f>
        <v>#REF!</v>
      </c>
    </row>
    <row r="4622" spans="1:23" s="1805" customFormat="1" ht="15">
      <c r="A4622" s="762"/>
      <c r="B4622" s="762" t="s">
        <v>512</v>
      </c>
      <c r="C4622" s="810" t="s">
        <v>506</v>
      </c>
      <c r="D4622" s="1638"/>
      <c r="E4622" s="2291" t="s">
        <v>1915</v>
      </c>
      <c r="F4622" s="1092">
        <v>1221</v>
      </c>
      <c r="G4622" s="3541" t="s">
        <v>1564</v>
      </c>
      <c r="H4622" s="3570"/>
      <c r="I4622" s="3570">
        <v>1789.8000000000002</v>
      </c>
      <c r="J4622" s="3570"/>
      <c r="K4622" s="2816"/>
      <c r="L4622" s="3563"/>
      <c r="M4622" s="3563">
        <v>1789.8000000000002</v>
      </c>
      <c r="N4622" s="2847"/>
      <c r="O4622" s="86"/>
      <c r="P4622" s="1817"/>
      <c r="W4622" s="1815"/>
    </row>
    <row r="4623" spans="1:23" s="1805" customFormat="1" ht="15">
      <c r="A4623" s="755"/>
      <c r="B4623" s="755" t="s">
        <v>663</v>
      </c>
      <c r="C4623" s="1091" t="s">
        <v>659</v>
      </c>
      <c r="D4623" s="1637" t="s">
        <v>1282</v>
      </c>
      <c r="E4623" s="2292" t="s">
        <v>1914</v>
      </c>
      <c r="F4623" s="1090">
        <v>1223</v>
      </c>
      <c r="G4623" s="3546" t="s">
        <v>1576</v>
      </c>
      <c r="H4623" s="3571"/>
      <c r="I4623" s="3610"/>
      <c r="J4623" s="3558"/>
      <c r="K4623" s="2816"/>
      <c r="L4623" s="3559"/>
      <c r="M4623" s="3559"/>
      <c r="N4623" s="2847"/>
      <c r="O4623" s="86"/>
      <c r="P4623" s="1817" t="e">
        <f>INDEX(#REF!,MATCH(F4623,#REF!,0),2)</f>
        <v>#REF!</v>
      </c>
      <c r="W4623" s="1815"/>
    </row>
    <row r="4624" spans="1:23" s="1805" customFormat="1" ht="23.25" customHeight="1">
      <c r="A4624" s="762"/>
      <c r="B4624" s="762" t="s">
        <v>663</v>
      </c>
      <c r="C4624" s="810" t="s">
        <v>659</v>
      </c>
      <c r="D4624" s="1638"/>
      <c r="E4624" s="2291" t="s">
        <v>1914</v>
      </c>
      <c r="F4624" s="1092">
        <v>1223</v>
      </c>
      <c r="G4624" s="3545"/>
      <c r="H4624" s="3561"/>
      <c r="I4624" s="3572"/>
      <c r="J4624" s="3570"/>
      <c r="K4624" s="2821"/>
      <c r="L4624" s="3563"/>
      <c r="M4624" s="3563"/>
      <c r="N4624" s="2847"/>
      <c r="O4624" s="86"/>
      <c r="P4624" s="1817" t="e">
        <f>INDEX(#REF!,MATCH(F4624,#REF!,0),2)</f>
        <v>#REF!</v>
      </c>
      <c r="W4624" s="1815"/>
    </row>
    <row r="4625" spans="1:23" s="1805" customFormat="1" ht="15">
      <c r="A4625" s="755"/>
      <c r="B4625" s="755" t="s">
        <v>512</v>
      </c>
      <c r="C4625" s="1091" t="s">
        <v>506</v>
      </c>
      <c r="D4625" s="1637" t="s">
        <v>1283</v>
      </c>
      <c r="E4625" s="2292" t="s">
        <v>1915</v>
      </c>
      <c r="F4625" s="1090">
        <v>1228</v>
      </c>
      <c r="G4625" s="3546" t="s">
        <v>409</v>
      </c>
      <c r="H4625" s="3565">
        <v>0</v>
      </c>
      <c r="I4625" s="3610"/>
      <c r="J4625" s="3558"/>
      <c r="K4625" s="2816"/>
      <c r="L4625" s="3567">
        <v>0</v>
      </c>
      <c r="M4625" s="3559"/>
      <c r="N4625" s="2847"/>
      <c r="O4625" s="86"/>
      <c r="P4625" s="1817" t="e">
        <f>INDEX(#REF!,MATCH(F4625,#REF!,0),2)</f>
        <v>#REF!</v>
      </c>
      <c r="W4625" s="1815"/>
    </row>
    <row r="4626" spans="1:23" s="1805" customFormat="1" ht="23.25" customHeight="1">
      <c r="A4626" s="762"/>
      <c r="B4626" s="762" t="s">
        <v>512</v>
      </c>
      <c r="C4626" s="810" t="s">
        <v>506</v>
      </c>
      <c r="D4626" s="1638"/>
      <c r="E4626" s="2291" t="s">
        <v>1915</v>
      </c>
      <c r="F4626" s="1092">
        <v>1228</v>
      </c>
      <c r="G4626" s="3545" t="s">
        <v>1565</v>
      </c>
      <c r="H4626" s="3561"/>
      <c r="I4626" s="3572"/>
      <c r="J4626" s="3570"/>
      <c r="K4626" s="2821"/>
      <c r="L4626" s="3563"/>
      <c r="M4626" s="3563"/>
      <c r="N4626" s="2847"/>
      <c r="O4626" s="86"/>
      <c r="P4626" s="1817" t="e">
        <f>INDEX(#REF!,MATCH(F4626,#REF!,0),2)</f>
        <v>#REF!</v>
      </c>
      <c r="W4626" s="1815"/>
    </row>
    <row r="4627" spans="1:23" s="1805" customFormat="1" ht="15">
      <c r="A4627" s="755"/>
      <c r="B4627" s="755" t="s">
        <v>1248</v>
      </c>
      <c r="C4627" s="1091" t="s">
        <v>659</v>
      </c>
      <c r="D4627" s="1639" t="s">
        <v>1282</v>
      </c>
      <c r="E4627" s="2292" t="s">
        <v>1914</v>
      </c>
      <c r="F4627" s="1090">
        <v>1228</v>
      </c>
      <c r="G4627" s="3546" t="s">
        <v>409</v>
      </c>
      <c r="H4627" s="3557">
        <v>1300</v>
      </c>
      <c r="I4627" s="3610"/>
      <c r="J4627" s="3558">
        <v>1300</v>
      </c>
      <c r="K4627" s="2816"/>
      <c r="L4627" s="3557">
        <v>1000</v>
      </c>
      <c r="M4627" s="3557"/>
      <c r="N4627" s="2847"/>
      <c r="O4627" s="86"/>
      <c r="P4627" s="1817" t="e">
        <f>INDEX(#REF!,MATCH(F4627,#REF!,0),2)</f>
        <v>#REF!</v>
      </c>
      <c r="W4627" s="1815"/>
    </row>
    <row r="4628" spans="1:23">
      <c r="A4628" s="762"/>
      <c r="B4628" s="762" t="s">
        <v>1248</v>
      </c>
      <c r="C4628" s="810" t="s">
        <v>659</v>
      </c>
      <c r="D4628" s="1638"/>
      <c r="E4628" s="2291" t="s">
        <v>1914</v>
      </c>
      <c r="F4628" s="1092">
        <v>1228</v>
      </c>
      <c r="G4628" s="3004" t="s">
        <v>4849</v>
      </c>
      <c r="H4628" s="3561"/>
      <c r="I4628" s="3572"/>
      <c r="J4628" s="3570"/>
      <c r="K4628" s="2821"/>
      <c r="L4628" s="3561"/>
      <c r="M4628" s="4287">
        <v>0</v>
      </c>
      <c r="N4628" s="241" t="s">
        <v>6007</v>
      </c>
      <c r="O4628" s="86"/>
      <c r="P4628" s="1817" t="e">
        <f>INDEX(#REF!,MATCH(F4628,#REF!,0),2)</f>
        <v>#REF!</v>
      </c>
    </row>
    <row r="4629" spans="1:23">
      <c r="A4629" s="762"/>
      <c r="B4629" s="762" t="s">
        <v>1248</v>
      </c>
      <c r="C4629" s="810" t="s">
        <v>659</v>
      </c>
      <c r="D4629" s="1638"/>
      <c r="E4629" s="2291" t="s">
        <v>1914</v>
      </c>
      <c r="F4629" s="1092">
        <v>1228</v>
      </c>
      <c r="G4629" s="3004" t="s">
        <v>4850</v>
      </c>
      <c r="H4629" s="3561"/>
      <c r="I4629" s="3572">
        <v>1000</v>
      </c>
      <c r="J4629" s="3570"/>
      <c r="K4629" s="2821"/>
      <c r="L4629" s="3561"/>
      <c r="M4629" s="3561">
        <v>1000</v>
      </c>
      <c r="N4629" s="2847"/>
      <c r="O4629" s="86"/>
      <c r="P4629" s="1817" t="e">
        <f>INDEX(#REF!,MATCH(F4629,#REF!,0),2)</f>
        <v>#REF!</v>
      </c>
    </row>
    <row r="4630" spans="1:23">
      <c r="A4630" s="803"/>
      <c r="B4630" s="775" t="s">
        <v>1249</v>
      </c>
      <c r="C4630" s="1091" t="s">
        <v>507</v>
      </c>
      <c r="D4630" s="1639" t="s">
        <v>1282</v>
      </c>
      <c r="E4630" s="2292" t="s">
        <v>1914</v>
      </c>
      <c r="F4630" s="1090">
        <v>2111</v>
      </c>
      <c r="G4630" s="3546" t="s">
        <v>2599</v>
      </c>
      <c r="H4630" s="3557">
        <v>0</v>
      </c>
      <c r="I4630" s="3611"/>
      <c r="J4630" s="3558"/>
      <c r="K4630" s="3577"/>
      <c r="L4630" s="3557">
        <v>0</v>
      </c>
      <c r="M4630" s="3576"/>
      <c r="N4630" s="2847"/>
      <c r="O4630" s="86"/>
      <c r="P4630" s="1817" t="e">
        <f>INDEX(#REF!,MATCH(F4630,#REF!,0),2)</f>
        <v>#REF!</v>
      </c>
    </row>
    <row r="4631" spans="1:23">
      <c r="A4631" s="771"/>
      <c r="B4631" s="489" t="s">
        <v>1249</v>
      </c>
      <c r="C4631" s="810" t="s">
        <v>507</v>
      </c>
      <c r="D4631" s="1638"/>
      <c r="E4631" s="2291" t="s">
        <v>1914</v>
      </c>
      <c r="F4631" s="1092">
        <v>2111</v>
      </c>
      <c r="G4631" s="3547" t="s">
        <v>411</v>
      </c>
      <c r="H4631" s="3561"/>
      <c r="I4631" s="3561">
        <v>0</v>
      </c>
      <c r="J4631" s="3570"/>
      <c r="K4631" s="2821"/>
      <c r="L4631" s="3561"/>
      <c r="M4631" s="3561">
        <v>0</v>
      </c>
      <c r="N4631" s="2847"/>
      <c r="O4631" s="86"/>
      <c r="P4631" s="1817" t="e">
        <f>INDEX(#REF!,MATCH(F4631,#REF!,0),2)</f>
        <v>#REF!</v>
      </c>
    </row>
    <row r="4632" spans="1:23" s="1805" customFormat="1" ht="15">
      <c r="A4632" s="803"/>
      <c r="B4632" s="775" t="s">
        <v>1249</v>
      </c>
      <c r="C4632" s="1091" t="s">
        <v>507</v>
      </c>
      <c r="D4632" s="1639" t="s">
        <v>1282</v>
      </c>
      <c r="E4632" s="2292" t="s">
        <v>1914</v>
      </c>
      <c r="F4632" s="1090">
        <v>2121</v>
      </c>
      <c r="G4632" s="3546" t="s">
        <v>1918</v>
      </c>
      <c r="H4632" s="3557">
        <v>0</v>
      </c>
      <c r="I4632" s="3611"/>
      <c r="J4632" s="3558"/>
      <c r="K4632" s="3577"/>
      <c r="L4632" s="3557">
        <v>0</v>
      </c>
      <c r="M4632" s="3576"/>
      <c r="N4632" s="2847"/>
      <c r="O4632" s="86"/>
      <c r="P4632" s="1817" t="e">
        <f>INDEX(#REF!,MATCH(F4632,#REF!,0),2)</f>
        <v>#REF!</v>
      </c>
      <c r="W4632" s="1815"/>
    </row>
    <row r="4633" spans="1:23" s="1805" customFormat="1" ht="18" customHeight="1">
      <c r="A4633" s="771"/>
      <c r="B4633" s="489" t="s">
        <v>1249</v>
      </c>
      <c r="C4633" s="810" t="s">
        <v>507</v>
      </c>
      <c r="D4633" s="1638"/>
      <c r="E4633" s="2291" t="s">
        <v>1914</v>
      </c>
      <c r="F4633" s="1092">
        <v>2121</v>
      </c>
      <c r="G4633" s="3547" t="s">
        <v>2600</v>
      </c>
      <c r="H4633" s="3561"/>
      <c r="I4633" s="3561">
        <v>0</v>
      </c>
      <c r="J4633" s="3570"/>
      <c r="K4633" s="2821"/>
      <c r="L4633" s="3561"/>
      <c r="M4633" s="3561">
        <v>0</v>
      </c>
      <c r="N4633" s="2847"/>
      <c r="O4633" s="86"/>
      <c r="P4633" s="1817" t="e">
        <f>INDEX(#REF!,MATCH(F4633,#REF!,0),2)</f>
        <v>#REF!</v>
      </c>
      <c r="W4633" s="1815"/>
    </row>
    <row r="4634" spans="1:23" s="1805" customFormat="1" ht="15">
      <c r="A4634" s="803"/>
      <c r="B4634" s="775" t="s">
        <v>1249</v>
      </c>
      <c r="C4634" s="1091" t="s">
        <v>507</v>
      </c>
      <c r="D4634" s="1639" t="s">
        <v>1282</v>
      </c>
      <c r="E4634" s="2292" t="s">
        <v>1914</v>
      </c>
      <c r="F4634" s="1090">
        <v>2122</v>
      </c>
      <c r="G4634" s="3546" t="s">
        <v>1919</v>
      </c>
      <c r="H4634" s="3557">
        <v>0</v>
      </c>
      <c r="I4634" s="3611"/>
      <c r="J4634" s="3558"/>
      <c r="K4634" s="3577"/>
      <c r="L4634" s="3557">
        <v>0</v>
      </c>
      <c r="M4634" s="3576"/>
      <c r="N4634" s="2847"/>
      <c r="O4634" s="86"/>
      <c r="P4634" s="1817" t="e">
        <f>INDEX(#REF!,MATCH(F4634,#REF!,0),2)</f>
        <v>#REF!</v>
      </c>
      <c r="W4634" s="1815"/>
    </row>
    <row r="4635" spans="1:23" s="1805" customFormat="1" ht="15">
      <c r="A4635" s="771"/>
      <c r="B4635" s="489" t="s">
        <v>1249</v>
      </c>
      <c r="C4635" s="810" t="s">
        <v>507</v>
      </c>
      <c r="D4635" s="1638"/>
      <c r="E4635" s="2291" t="s">
        <v>1914</v>
      </c>
      <c r="F4635" s="1092">
        <v>2122</v>
      </c>
      <c r="G4635" s="3547" t="s">
        <v>2598</v>
      </c>
      <c r="H4635" s="3561"/>
      <c r="I4635" s="3561">
        <v>0</v>
      </c>
      <c r="J4635" s="3570"/>
      <c r="K4635" s="2821"/>
      <c r="L4635" s="3561"/>
      <c r="M4635" s="3561">
        <v>0</v>
      </c>
      <c r="N4635" s="2847"/>
      <c r="O4635" s="86"/>
      <c r="P4635" s="1817" t="e">
        <f>INDEX(#REF!,MATCH(F4635,#REF!,0),2)</f>
        <v>#REF!</v>
      </c>
      <c r="W4635" s="1815"/>
    </row>
    <row r="4636" spans="1:23" s="1805" customFormat="1" ht="15">
      <c r="A4636" s="755"/>
      <c r="B4636" s="755" t="s">
        <v>1248</v>
      </c>
      <c r="C4636" s="1091" t="s">
        <v>505</v>
      </c>
      <c r="D4636" s="1639" t="s">
        <v>1282</v>
      </c>
      <c r="E4636" s="2292" t="s">
        <v>1914</v>
      </c>
      <c r="F4636" s="1090">
        <v>2210</v>
      </c>
      <c r="G4636" s="3540" t="s">
        <v>1206</v>
      </c>
      <c r="H4636" s="3557">
        <v>5144</v>
      </c>
      <c r="I4636" s="3612"/>
      <c r="J4636" s="3558">
        <v>3555</v>
      </c>
      <c r="K4636" s="2816"/>
      <c r="L4636" s="3557">
        <v>3180</v>
      </c>
      <c r="M4636" s="3560"/>
      <c r="N4636" s="2847"/>
      <c r="O4636" s="86"/>
      <c r="P4636" s="1817" t="e">
        <f>INDEX(#REF!,MATCH(F4636,#REF!,0),2)</f>
        <v>#REF!</v>
      </c>
      <c r="W4636" s="1815"/>
    </row>
    <row r="4637" spans="1:23" s="1805" customFormat="1" ht="22.5">
      <c r="A4637" s="762"/>
      <c r="B4637" s="762" t="s">
        <v>1248</v>
      </c>
      <c r="C4637" s="1277" t="s">
        <v>505</v>
      </c>
      <c r="D4637" s="1638"/>
      <c r="E4637" s="2291" t="s">
        <v>1914</v>
      </c>
      <c r="F4637" s="1092">
        <v>2210</v>
      </c>
      <c r="G4637" s="3601" t="s">
        <v>4851</v>
      </c>
      <c r="H4637" s="3578"/>
      <c r="I4637" s="3561">
        <v>180</v>
      </c>
      <c r="J4637" s="3570"/>
      <c r="K4637" s="2821"/>
      <c r="L4637" s="3578"/>
      <c r="M4637" s="3579">
        <v>240</v>
      </c>
      <c r="N4637" s="2847"/>
      <c r="O4637" s="86"/>
      <c r="P4637" s="1817" t="e">
        <f>INDEX(#REF!,MATCH(F4637,#REF!,0),2)</f>
        <v>#REF!</v>
      </c>
      <c r="W4637" s="1815"/>
    </row>
    <row r="4638" spans="1:23" s="1805" customFormat="1" ht="22.5">
      <c r="A4638" s="762"/>
      <c r="B4638" s="762" t="s">
        <v>1248</v>
      </c>
      <c r="C4638" s="1277" t="s">
        <v>505</v>
      </c>
      <c r="D4638" s="1638"/>
      <c r="E4638" s="2291" t="s">
        <v>1914</v>
      </c>
      <c r="F4638" s="1092">
        <v>2210</v>
      </c>
      <c r="G4638" s="3004" t="s">
        <v>4852</v>
      </c>
      <c r="H4638" s="3578"/>
      <c r="I4638" s="3561">
        <v>1980</v>
      </c>
      <c r="J4638" s="3570"/>
      <c r="K4638" s="2821"/>
      <c r="L4638" s="3578"/>
      <c r="M4638" s="3579">
        <v>1980</v>
      </c>
      <c r="N4638" s="2847"/>
      <c r="O4638" s="86"/>
      <c r="P4638" s="1817" t="e">
        <f>INDEX(#REF!,MATCH(F4638,#REF!,0),2)</f>
        <v>#REF!</v>
      </c>
      <c r="W4638" s="1815"/>
    </row>
    <row r="4639" spans="1:23" s="1805" customFormat="1" ht="33.75">
      <c r="A4639" s="762"/>
      <c r="B4639" s="762" t="s">
        <v>1248</v>
      </c>
      <c r="C4639" s="1277" t="s">
        <v>505</v>
      </c>
      <c r="D4639" s="1638"/>
      <c r="E4639" s="2291" t="s">
        <v>1914</v>
      </c>
      <c r="F4639" s="1092">
        <v>2210</v>
      </c>
      <c r="G4639" s="3004" t="s">
        <v>4853</v>
      </c>
      <c r="H4639" s="3578"/>
      <c r="I4639" s="3561">
        <v>960</v>
      </c>
      <c r="J4639" s="3570"/>
      <c r="K4639" s="2821"/>
      <c r="L4639" s="3578"/>
      <c r="M4639" s="3579">
        <v>960</v>
      </c>
      <c r="N4639" s="2847"/>
      <c r="O4639" s="86"/>
      <c r="P4639" s="1817" t="e">
        <f>INDEX(#REF!,MATCH(F4639,#REF!,0),2)</f>
        <v>#REF!</v>
      </c>
      <c r="W4639" s="1815"/>
    </row>
    <row r="4640" spans="1:23" s="1805" customFormat="1" ht="15">
      <c r="A4640" s="1096"/>
      <c r="B4640" s="755" t="s">
        <v>1248</v>
      </c>
      <c r="C4640" s="1091" t="s">
        <v>505</v>
      </c>
      <c r="D4640" s="1639" t="s">
        <v>1282</v>
      </c>
      <c r="E4640" s="2292" t="s">
        <v>1914</v>
      </c>
      <c r="F4640" s="1095">
        <v>2221</v>
      </c>
      <c r="G4640" s="3549" t="s">
        <v>1567</v>
      </c>
      <c r="H4640" s="3580">
        <v>45114.6</v>
      </c>
      <c r="I4640" s="3613"/>
      <c r="J4640" s="3558">
        <v>32635</v>
      </c>
      <c r="K4640" s="3581"/>
      <c r="L4640" s="3557">
        <v>45900</v>
      </c>
      <c r="M4640" s="3559"/>
      <c r="N4640" s="2847"/>
      <c r="O4640" s="86"/>
      <c r="P4640" s="1817" t="e">
        <f>INDEX(#REF!,MATCH(F4640,#REF!,0),2)</f>
        <v>#REF!</v>
      </c>
      <c r="W4640" s="1815"/>
    </row>
    <row r="4641" spans="1:23" s="1805" customFormat="1" ht="15">
      <c r="A4641" s="1094"/>
      <c r="B4641" s="762" t="s">
        <v>1248</v>
      </c>
      <c r="C4641" s="810" t="s">
        <v>505</v>
      </c>
      <c r="D4641" s="1638"/>
      <c r="E4641" s="2291" t="s">
        <v>1914</v>
      </c>
      <c r="F4641" s="1097">
        <v>2221</v>
      </c>
      <c r="G4641" s="3550" t="s">
        <v>2601</v>
      </c>
      <c r="H4641" s="3582"/>
      <c r="I4641" s="3582">
        <v>42159.6</v>
      </c>
      <c r="J4641" s="3570"/>
      <c r="K4641" s="3583"/>
      <c r="L4641" s="3563"/>
      <c r="M4641" s="3561">
        <v>44100</v>
      </c>
      <c r="N4641" s="2847"/>
      <c r="O4641" s="86"/>
      <c r="P4641" s="1817" t="e">
        <f>INDEX(#REF!,MATCH(F4641,#REF!,0),2)</f>
        <v>#REF!</v>
      </c>
      <c r="W4641" s="1815"/>
    </row>
    <row r="4642" spans="1:23" s="1805" customFormat="1" ht="15">
      <c r="A4642" s="1094"/>
      <c r="B4642" s="762" t="s">
        <v>1248</v>
      </c>
      <c r="C4642" s="810" t="s">
        <v>505</v>
      </c>
      <c r="D4642" s="1638"/>
      <c r="E4642" s="2291" t="s">
        <v>1914</v>
      </c>
      <c r="F4642" s="1097">
        <v>2221</v>
      </c>
      <c r="G4642" s="3550" t="s">
        <v>2602</v>
      </c>
      <c r="H4642" s="3582"/>
      <c r="I4642" s="3582">
        <v>2955</v>
      </c>
      <c r="J4642" s="3570"/>
      <c r="K4642" s="3583"/>
      <c r="L4642" s="3563"/>
      <c r="M4642" s="3561">
        <v>1800</v>
      </c>
      <c r="N4642" s="2847"/>
      <c r="O4642" s="86"/>
      <c r="P4642" s="1817" t="e">
        <f>INDEX(#REF!,MATCH(F4642,#REF!,0),2)</f>
        <v>#REF!</v>
      </c>
      <c r="W4642" s="1815"/>
    </row>
    <row r="4643" spans="1:23" ht="27" customHeight="1">
      <c r="A4643" s="1096"/>
      <c r="B4643" s="755" t="s">
        <v>1248</v>
      </c>
      <c r="C4643" s="1091" t="s">
        <v>505</v>
      </c>
      <c r="D4643" s="1639" t="s">
        <v>1282</v>
      </c>
      <c r="E4643" s="2292" t="s">
        <v>1914</v>
      </c>
      <c r="F4643" s="1095">
        <v>2222</v>
      </c>
      <c r="G4643" s="3551" t="s">
        <v>1566</v>
      </c>
      <c r="H4643" s="3580">
        <v>5221.5</v>
      </c>
      <c r="I4643" s="3613"/>
      <c r="J4643" s="3558">
        <v>3357</v>
      </c>
      <c r="K4643" s="3581"/>
      <c r="L4643" s="3557">
        <v>6500</v>
      </c>
      <c r="M4643" s="3557"/>
      <c r="N4643" s="2847"/>
      <c r="O4643" s="86"/>
      <c r="P4643" s="1817" t="e">
        <f>INDEX(#REF!,MATCH(F4643,#REF!,0),2)</f>
        <v>#REF!</v>
      </c>
    </row>
    <row r="4644" spans="1:23">
      <c r="A4644" s="1094"/>
      <c r="B4644" s="762" t="s">
        <v>1248</v>
      </c>
      <c r="C4644" s="810" t="s">
        <v>505</v>
      </c>
      <c r="D4644" s="1638"/>
      <c r="E4644" s="2291" t="s">
        <v>1914</v>
      </c>
      <c r="F4644" s="1093">
        <v>2222</v>
      </c>
      <c r="G4644" s="3550" t="s">
        <v>2601</v>
      </c>
      <c r="H4644" s="3582"/>
      <c r="I4644" s="3582">
        <v>4630.5</v>
      </c>
      <c r="J4644" s="3570"/>
      <c r="K4644" s="3583"/>
      <c r="L4644" s="3561"/>
      <c r="M4644" s="3561">
        <v>5900</v>
      </c>
      <c r="N4644" s="2847"/>
      <c r="O4644" s="86"/>
      <c r="P4644" s="1817" t="e">
        <f>INDEX(#REF!,MATCH(F4644,#REF!,0),2)</f>
        <v>#REF!</v>
      </c>
    </row>
    <row r="4645" spans="1:23">
      <c r="A4645" s="1094"/>
      <c r="B4645" s="762" t="s">
        <v>1248</v>
      </c>
      <c r="C4645" s="810" t="s">
        <v>505</v>
      </c>
      <c r="D4645" s="1638"/>
      <c r="E4645" s="2291" t="s">
        <v>1914</v>
      </c>
      <c r="F4645" s="1093">
        <v>2222</v>
      </c>
      <c r="G4645" s="3550" t="s">
        <v>2602</v>
      </c>
      <c r="H4645" s="3582"/>
      <c r="I4645" s="3582">
        <v>591</v>
      </c>
      <c r="J4645" s="3570"/>
      <c r="K4645" s="3583"/>
      <c r="L4645" s="3561"/>
      <c r="M4645" s="3561">
        <v>600</v>
      </c>
      <c r="N4645" s="2847"/>
      <c r="O4645" s="86"/>
      <c r="P4645" s="1817" t="e">
        <f>INDEX(#REF!,MATCH(F4645,#REF!,0),2)</f>
        <v>#REF!</v>
      </c>
    </row>
    <row r="4646" spans="1:23">
      <c r="A4646" s="1096"/>
      <c r="B4646" s="755" t="s">
        <v>1248</v>
      </c>
      <c r="C4646" s="1091" t="s">
        <v>505</v>
      </c>
      <c r="D4646" s="1639" t="s">
        <v>1282</v>
      </c>
      <c r="E4646" s="2292" t="s">
        <v>1914</v>
      </c>
      <c r="F4646" s="1095">
        <v>2223</v>
      </c>
      <c r="G4646" s="3552" t="s">
        <v>273</v>
      </c>
      <c r="H4646" s="3580">
        <v>72938</v>
      </c>
      <c r="I4646" s="3614"/>
      <c r="J4646" s="3558">
        <v>41745</v>
      </c>
      <c r="K4646" s="3581"/>
      <c r="L4646" s="3559">
        <v>55000</v>
      </c>
      <c r="M4646" s="3576"/>
      <c r="N4646" s="241"/>
      <c r="O4646" s="86"/>
      <c r="P4646" s="1817" t="e">
        <f>INDEX(#REF!,MATCH(F4646,#REF!,0),2)</f>
        <v>#REF!</v>
      </c>
    </row>
    <row r="4647" spans="1:23" ht="19.149999999999999" customHeight="1">
      <c r="A4647" s="1094"/>
      <c r="B4647" s="762" t="s">
        <v>1248</v>
      </c>
      <c r="C4647" s="1278" t="s">
        <v>505</v>
      </c>
      <c r="D4647" s="1638"/>
      <c r="E4647" s="2291" t="s">
        <v>1914</v>
      </c>
      <c r="F4647" s="1093">
        <v>2223</v>
      </c>
      <c r="G4647" s="3550" t="s">
        <v>2601</v>
      </c>
      <c r="H4647" s="3584"/>
      <c r="I4647" s="3582">
        <v>74970</v>
      </c>
      <c r="J4647" s="3570"/>
      <c r="K4647" s="3583"/>
      <c r="L4647" s="3586"/>
      <c r="M4647" s="4287">
        <v>49000</v>
      </c>
      <c r="N4647" s="241" t="s">
        <v>5156</v>
      </c>
      <c r="O4647" s="86"/>
      <c r="P4647" s="1817" t="e">
        <f>INDEX(#REF!,MATCH(F4647,#REF!,0),2)</f>
        <v>#REF!</v>
      </c>
    </row>
    <row r="4648" spans="1:23" ht="19.149999999999999" customHeight="1">
      <c r="A4648" s="1094"/>
      <c r="B4648" s="762" t="s">
        <v>1248</v>
      </c>
      <c r="C4648" s="1278" t="s">
        <v>505</v>
      </c>
      <c r="D4648" s="1638"/>
      <c r="E4648" s="2291" t="s">
        <v>1914</v>
      </c>
      <c r="F4648" s="1093">
        <v>2223</v>
      </c>
      <c r="G4648" s="3550" t="s">
        <v>2602</v>
      </c>
      <c r="H4648" s="3584"/>
      <c r="I4648" s="3582">
        <v>4432.5</v>
      </c>
      <c r="J4648" s="3570"/>
      <c r="K4648" s="3583"/>
      <c r="L4648" s="3586"/>
      <c r="M4648" s="3561">
        <v>6000</v>
      </c>
      <c r="N4648" s="2847"/>
      <c r="O4648" s="86"/>
      <c r="P4648" s="1817" t="e">
        <f>INDEX(#REF!,MATCH(F4648,#REF!,0),2)</f>
        <v>#REF!</v>
      </c>
    </row>
    <row r="4649" spans="1:23" ht="33.75">
      <c r="A4649" s="1096"/>
      <c r="B4649" s="755" t="s">
        <v>1248</v>
      </c>
      <c r="C4649" s="1091" t="s">
        <v>505</v>
      </c>
      <c r="D4649" s="1639" t="s">
        <v>1282</v>
      </c>
      <c r="E4649" s="2292" t="s">
        <v>1914</v>
      </c>
      <c r="F4649" s="1095">
        <v>2224</v>
      </c>
      <c r="G4649" s="3552" t="s">
        <v>274</v>
      </c>
      <c r="H4649" s="3580">
        <v>0</v>
      </c>
      <c r="I4649" s="3614"/>
      <c r="J4649" s="3558"/>
      <c r="K4649" s="3581"/>
      <c r="L4649" s="3559">
        <v>0</v>
      </c>
      <c r="M4649" s="3560"/>
      <c r="N4649" s="2847"/>
      <c r="O4649" s="86"/>
      <c r="P4649" s="1817" t="e">
        <f>INDEX(#REF!,MATCH(F4649,#REF!,0),2)</f>
        <v>#REF!</v>
      </c>
    </row>
    <row r="4650" spans="1:23" ht="19.149999999999999" customHeight="1">
      <c r="A4650" s="1094"/>
      <c r="B4650" s="762" t="s">
        <v>1248</v>
      </c>
      <c r="C4650" s="810" t="s">
        <v>505</v>
      </c>
      <c r="D4650" s="1638"/>
      <c r="E4650" s="2291" t="s">
        <v>1914</v>
      </c>
      <c r="F4650" s="1093">
        <v>2224</v>
      </c>
      <c r="G4650" s="3550" t="s">
        <v>2604</v>
      </c>
      <c r="H4650" s="3584"/>
      <c r="I4650" s="3582"/>
      <c r="J4650" s="3570"/>
      <c r="K4650" s="3583"/>
      <c r="L4650" s="3578"/>
      <c r="M4650" s="3563"/>
      <c r="N4650" s="2847" t="s">
        <v>2603</v>
      </c>
      <c r="O4650" s="86"/>
      <c r="P4650" s="1817" t="e">
        <f>INDEX(#REF!,MATCH(F4650,#REF!,0),2)</f>
        <v>#REF!</v>
      </c>
    </row>
    <row r="4651" spans="1:23" ht="22.5">
      <c r="A4651" s="755"/>
      <c r="B4651" s="755" t="s">
        <v>1248</v>
      </c>
      <c r="C4651" s="1091" t="s">
        <v>507</v>
      </c>
      <c r="D4651" s="1639" t="s">
        <v>1282</v>
      </c>
      <c r="E4651" s="2292" t="s">
        <v>1914</v>
      </c>
      <c r="F4651" s="1090">
        <v>2231</v>
      </c>
      <c r="G4651" s="3540" t="s">
        <v>1212</v>
      </c>
      <c r="H4651" s="3557">
        <v>2000</v>
      </c>
      <c r="I4651" s="3612"/>
      <c r="J4651" s="3558">
        <v>1135</v>
      </c>
      <c r="K4651" s="2816"/>
      <c r="L4651" s="3557">
        <v>2000</v>
      </c>
      <c r="M4651" s="3576"/>
      <c r="N4651" s="2847"/>
      <c r="O4651" s="86"/>
      <c r="P4651" s="1817" t="e">
        <f>INDEX(#REF!,MATCH(F4651,#REF!,0),2)</f>
        <v>#REF!</v>
      </c>
    </row>
    <row r="4652" spans="1:23" ht="19.149999999999999" customHeight="1">
      <c r="A4652" s="762"/>
      <c r="B4652" s="762" t="s">
        <v>1248</v>
      </c>
      <c r="C4652" s="810" t="s">
        <v>507</v>
      </c>
      <c r="D4652" s="1638"/>
      <c r="E4652" s="2291" t="s">
        <v>1914</v>
      </c>
      <c r="F4652" s="1092">
        <v>2231</v>
      </c>
      <c r="G4652" s="3004" t="s">
        <v>4854</v>
      </c>
      <c r="H4652" s="3578"/>
      <c r="I4652" s="3561">
        <v>1000</v>
      </c>
      <c r="J4652" s="3570"/>
      <c r="K4652" s="2821"/>
      <c r="L4652" s="3586"/>
      <c r="M4652" s="3561">
        <v>1000</v>
      </c>
      <c r="N4652" s="2847"/>
      <c r="O4652" s="86"/>
      <c r="P4652" s="1817" t="e">
        <f>INDEX(#REF!,MATCH(F4652,#REF!,0),2)</f>
        <v>#REF!</v>
      </c>
    </row>
    <row r="4653" spans="1:23" ht="33.75">
      <c r="A4653" s="762"/>
      <c r="B4653" s="762" t="s">
        <v>1248</v>
      </c>
      <c r="C4653" s="810" t="s">
        <v>507</v>
      </c>
      <c r="D4653" s="1638"/>
      <c r="E4653" s="2291" t="s">
        <v>1914</v>
      </c>
      <c r="F4653" s="1092">
        <v>2231</v>
      </c>
      <c r="G4653" s="3004" t="s">
        <v>1568</v>
      </c>
      <c r="H4653" s="3578"/>
      <c r="I4653" s="3561">
        <v>2000</v>
      </c>
      <c r="J4653" s="3570"/>
      <c r="K4653" s="2821"/>
      <c r="L4653" s="3586"/>
      <c r="M4653" s="3561">
        <v>1000</v>
      </c>
      <c r="N4653" s="2847"/>
      <c r="O4653" s="86"/>
      <c r="P4653" s="1817" t="e">
        <f>INDEX(#REF!,MATCH(F4653,#REF!,0),2)</f>
        <v>#REF!</v>
      </c>
    </row>
    <row r="4654" spans="1:23">
      <c r="A4654" s="755"/>
      <c r="B4654" s="755" t="s">
        <v>1248</v>
      </c>
      <c r="C4654" s="1091" t="s">
        <v>507</v>
      </c>
      <c r="D4654" s="1639" t="s">
        <v>1282</v>
      </c>
      <c r="E4654" s="2292" t="s">
        <v>1914</v>
      </c>
      <c r="F4654" s="1090">
        <v>2233</v>
      </c>
      <c r="G4654" s="3540" t="s">
        <v>263</v>
      </c>
      <c r="H4654" s="3557">
        <v>25816</v>
      </c>
      <c r="I4654" s="3612"/>
      <c r="J4654" s="3558">
        <v>15538</v>
      </c>
      <c r="K4654" s="2816"/>
      <c r="L4654" s="3557">
        <v>30450</v>
      </c>
      <c r="M4654" s="3560"/>
      <c r="N4654" s="3506">
        <f>L4654-H4654</f>
        <v>4634</v>
      </c>
      <c r="O4654" s="86"/>
      <c r="P4654" s="1817"/>
    </row>
    <row r="4655" spans="1:23" ht="23.45" customHeight="1">
      <c r="A4655" s="1563"/>
      <c r="B4655" s="762" t="s">
        <v>1248</v>
      </c>
      <c r="C4655" s="810" t="s">
        <v>507</v>
      </c>
      <c r="D4655" s="1638"/>
      <c r="E4655" s="2291" t="s">
        <v>1914</v>
      </c>
      <c r="F4655" s="1092">
        <v>2233</v>
      </c>
      <c r="G4655" s="2516" t="s">
        <v>4856</v>
      </c>
      <c r="H4655" s="3578"/>
      <c r="I4655" s="3572">
        <v>9009</v>
      </c>
      <c r="J4655" s="3570"/>
      <c r="K4655" s="2821"/>
      <c r="L4655" s="3578"/>
      <c r="M4655" s="3561">
        <v>9250</v>
      </c>
      <c r="N4655" s="2847"/>
      <c r="O4655" s="86"/>
      <c r="P4655" s="1817" t="e">
        <f>INDEX(#REF!,MATCH(F4655,#REF!,0),2)</f>
        <v>#REF!</v>
      </c>
    </row>
    <row r="4656" spans="1:23" ht="24.6" customHeight="1">
      <c r="A4656" s="1563"/>
      <c r="B4656" s="762" t="s">
        <v>1248</v>
      </c>
      <c r="C4656" s="810" t="s">
        <v>507</v>
      </c>
      <c r="D4656" s="1638"/>
      <c r="E4656" s="2291" t="s">
        <v>1914</v>
      </c>
      <c r="F4656" s="1092">
        <v>2233</v>
      </c>
      <c r="G4656" s="2516" t="s">
        <v>4857</v>
      </c>
      <c r="H4656" s="3578"/>
      <c r="I4656" s="3572">
        <v>7207.2</v>
      </c>
      <c r="J4656" s="3570"/>
      <c r="K4656" s="2821"/>
      <c r="L4656" s="3578"/>
      <c r="M4656" s="3561">
        <v>7600</v>
      </c>
      <c r="N4656" s="2847"/>
      <c r="O4656" s="86"/>
      <c r="P4656" s="1817" t="e">
        <f>INDEX(#REF!,MATCH(F4656,#REF!,0),2)</f>
        <v>#REF!</v>
      </c>
    </row>
    <row r="4657" spans="1:16" ht="22.5">
      <c r="A4657" s="762"/>
      <c r="B4657" s="762" t="s">
        <v>1248</v>
      </c>
      <c r="C4657" s="810" t="s">
        <v>507</v>
      </c>
      <c r="D4657" s="1638"/>
      <c r="E4657" s="2291" t="s">
        <v>1914</v>
      </c>
      <c r="F4657" s="1092">
        <v>2233</v>
      </c>
      <c r="G4657" s="2516" t="s">
        <v>4858</v>
      </c>
      <c r="H4657" s="3578"/>
      <c r="I4657" s="3572">
        <v>500</v>
      </c>
      <c r="J4657" s="3570"/>
      <c r="K4657" s="2821"/>
      <c r="L4657" s="3578"/>
      <c r="M4657" s="3561">
        <v>500</v>
      </c>
      <c r="N4657" s="2847"/>
      <c r="O4657" s="86"/>
      <c r="P4657" s="1817" t="e">
        <f>INDEX(#REF!,MATCH(F4657,#REF!,0),2)</f>
        <v>#REF!</v>
      </c>
    </row>
    <row r="4658" spans="1:16" ht="33.75">
      <c r="A4658" s="762"/>
      <c r="B4658" s="762" t="s">
        <v>1248</v>
      </c>
      <c r="C4658" s="810" t="s">
        <v>507</v>
      </c>
      <c r="D4658" s="1638"/>
      <c r="E4658" s="2291" t="s">
        <v>1914</v>
      </c>
      <c r="F4658" s="1092">
        <v>2233</v>
      </c>
      <c r="G4658" s="2516" t="s">
        <v>4859</v>
      </c>
      <c r="H4658" s="3578"/>
      <c r="I4658" s="3572">
        <v>600</v>
      </c>
      <c r="J4658" s="3570"/>
      <c r="K4658" s="2821"/>
      <c r="L4658" s="3578"/>
      <c r="M4658" s="3561">
        <v>600</v>
      </c>
      <c r="N4658" s="2847"/>
      <c r="O4658" s="86"/>
      <c r="P4658" s="1817" t="e">
        <f>INDEX(#REF!,MATCH(F4658,#REF!,0),2)</f>
        <v>#REF!</v>
      </c>
    </row>
    <row r="4659" spans="1:16" ht="33.75">
      <c r="A4659" s="762"/>
      <c r="B4659" s="762" t="s">
        <v>1248</v>
      </c>
      <c r="C4659" s="810" t="s">
        <v>507</v>
      </c>
      <c r="D4659" s="1638"/>
      <c r="E4659" s="2291" t="s">
        <v>1914</v>
      </c>
      <c r="F4659" s="1092">
        <v>2233</v>
      </c>
      <c r="G4659" s="4595" t="s">
        <v>6230</v>
      </c>
      <c r="H4659" s="3578"/>
      <c r="I4659" s="3561">
        <v>5000</v>
      </c>
      <c r="J4659" s="3570"/>
      <c r="K4659" s="2821"/>
      <c r="L4659" s="3578"/>
      <c r="M4659" s="3561">
        <v>7000</v>
      </c>
      <c r="N4659" s="2847"/>
      <c r="O4659" s="86"/>
      <c r="P4659" s="1817"/>
    </row>
    <row r="4660" spans="1:16" ht="22.5">
      <c r="A4660" s="2790"/>
      <c r="B4660" s="762" t="s">
        <v>1248</v>
      </c>
      <c r="C4660" s="810" t="s">
        <v>507</v>
      </c>
      <c r="D4660" s="1638"/>
      <c r="E4660" s="2291" t="s">
        <v>1914</v>
      </c>
      <c r="F4660" s="1092">
        <v>2233</v>
      </c>
      <c r="G4660" s="4595" t="s">
        <v>4855</v>
      </c>
      <c r="H4660" s="3578"/>
      <c r="I4660" s="3572"/>
      <c r="J4660" s="3570"/>
      <c r="K4660" s="2821"/>
      <c r="L4660" s="3578"/>
      <c r="M4660" s="3561">
        <v>5500</v>
      </c>
      <c r="N4660" s="2847"/>
      <c r="O4660" s="86"/>
      <c r="P4660" s="1817"/>
    </row>
    <row r="4661" spans="1:16" ht="22.5">
      <c r="A4661" s="755"/>
      <c r="B4661" s="755" t="s">
        <v>1248</v>
      </c>
      <c r="C4661" s="1091" t="s">
        <v>507</v>
      </c>
      <c r="D4661" s="1639" t="s">
        <v>1282</v>
      </c>
      <c r="E4661" s="2292" t="s">
        <v>1914</v>
      </c>
      <c r="F4661" s="1090">
        <v>2234</v>
      </c>
      <c r="G4661" s="3540" t="s">
        <v>1569</v>
      </c>
      <c r="H4661" s="3557">
        <v>500</v>
      </c>
      <c r="I4661" s="3615"/>
      <c r="J4661" s="3558">
        <v>311</v>
      </c>
      <c r="K4661" s="2816"/>
      <c r="L4661" s="3557">
        <v>1625</v>
      </c>
      <c r="M4661" s="3557"/>
      <c r="N4661" s="2847"/>
      <c r="O4661" s="86"/>
      <c r="P4661" s="1817" t="e">
        <f>INDEX(#REF!,MATCH(F4661,#REF!,0),2)</f>
        <v>#REF!</v>
      </c>
    </row>
    <row r="4662" spans="1:16" ht="22.5">
      <c r="A4662" s="762"/>
      <c r="B4662" s="762" t="s">
        <v>1248</v>
      </c>
      <c r="C4662" s="810" t="s">
        <v>507</v>
      </c>
      <c r="D4662" s="1638"/>
      <c r="E4662" s="2291" t="s">
        <v>1914</v>
      </c>
      <c r="F4662" s="1092">
        <v>2234</v>
      </c>
      <c r="G4662" s="2516" t="s">
        <v>2605</v>
      </c>
      <c r="H4662" s="3585"/>
      <c r="I4662" s="3561">
        <v>500</v>
      </c>
      <c r="J4662" s="3570"/>
      <c r="K4662" s="2821"/>
      <c r="L4662" s="3585"/>
      <c r="M4662" s="3561">
        <v>1625</v>
      </c>
      <c r="N4662" s="2847"/>
      <c r="O4662" s="86"/>
      <c r="P4662" s="1817" t="e">
        <f>INDEX(#REF!,MATCH(F4662,#REF!,0),2)</f>
        <v>#REF!</v>
      </c>
    </row>
    <row r="4663" spans="1:16">
      <c r="A4663" s="755"/>
      <c r="B4663" s="755" t="s">
        <v>1248</v>
      </c>
      <c r="C4663" s="1091" t="s">
        <v>507</v>
      </c>
      <c r="D4663" s="1639" t="s">
        <v>1282</v>
      </c>
      <c r="E4663" s="2292" t="s">
        <v>1914</v>
      </c>
      <c r="F4663" s="1090">
        <v>2235</v>
      </c>
      <c r="G4663" s="3540" t="s">
        <v>1570</v>
      </c>
      <c r="H4663" s="3557">
        <v>1750</v>
      </c>
      <c r="I4663" s="3615"/>
      <c r="J4663" s="3558">
        <v>350</v>
      </c>
      <c r="K4663" s="2816"/>
      <c r="L4663" s="3557">
        <v>2800</v>
      </c>
      <c r="M4663" s="3557"/>
      <c r="N4663" s="2847"/>
      <c r="O4663" s="86"/>
      <c r="P4663" s="1817" t="e">
        <f>INDEX(#REF!,MATCH(F4663,#REF!,0),2)</f>
        <v>#REF!</v>
      </c>
    </row>
    <row r="4664" spans="1:16" ht="22.5">
      <c r="A4664" s="762"/>
      <c r="B4664" s="762" t="s">
        <v>1248</v>
      </c>
      <c r="C4664" s="810" t="s">
        <v>507</v>
      </c>
      <c r="D4664" s="1638"/>
      <c r="E4664" s="2291" t="s">
        <v>1914</v>
      </c>
      <c r="F4664" s="1092">
        <v>2235</v>
      </c>
      <c r="G4664" s="3004" t="s">
        <v>4860</v>
      </c>
      <c r="H4664" s="3585"/>
      <c r="I4664" s="3561">
        <v>1750</v>
      </c>
      <c r="J4664" s="3570"/>
      <c r="K4664" s="2821"/>
      <c r="L4664" s="3585"/>
      <c r="M4664" s="3561">
        <v>1500</v>
      </c>
      <c r="N4664" s="2847"/>
      <c r="O4664" s="86"/>
      <c r="P4664" s="1817" t="e">
        <f>INDEX(#REF!,MATCH(F4664,#REF!,0),2)</f>
        <v>#REF!</v>
      </c>
    </row>
    <row r="4665" spans="1:16" ht="22.5">
      <c r="A4665" s="2790"/>
      <c r="B4665" s="762" t="s">
        <v>1248</v>
      </c>
      <c r="C4665" s="810" t="s">
        <v>507</v>
      </c>
      <c r="D4665" s="1638"/>
      <c r="E4665" s="2291" t="s">
        <v>1914</v>
      </c>
      <c r="F4665" s="1092">
        <v>2235</v>
      </c>
      <c r="G4665" s="3004" t="s">
        <v>2610</v>
      </c>
      <c r="H4665" s="3585"/>
      <c r="I4665" s="3561">
        <v>1000</v>
      </c>
      <c r="J4665" s="3570"/>
      <c r="K4665" s="2821"/>
      <c r="L4665" s="3585"/>
      <c r="M4665" s="3561">
        <v>750</v>
      </c>
      <c r="N4665" s="2847" t="s">
        <v>4862</v>
      </c>
      <c r="O4665" s="86"/>
      <c r="P4665" s="1817" t="e">
        <f>INDEX(#REF!,MATCH(F4665,#REF!,0),2)</f>
        <v>#REF!</v>
      </c>
    </row>
    <row r="4666" spans="1:16" ht="22.5">
      <c r="A4666" s="2790"/>
      <c r="B4666" s="762" t="s">
        <v>1248</v>
      </c>
      <c r="C4666" s="810" t="s">
        <v>507</v>
      </c>
      <c r="D4666" s="1638"/>
      <c r="E4666" s="2291" t="s">
        <v>1914</v>
      </c>
      <c r="F4666" s="1092">
        <v>2235</v>
      </c>
      <c r="G4666" s="3004" t="s">
        <v>4861</v>
      </c>
      <c r="H4666" s="3585"/>
      <c r="I4666" s="3561">
        <v>500</v>
      </c>
      <c r="J4666" s="3570"/>
      <c r="K4666" s="2821"/>
      <c r="L4666" s="3585"/>
      <c r="M4666" s="3561">
        <v>550</v>
      </c>
      <c r="N4666" s="2847" t="s">
        <v>4862</v>
      </c>
      <c r="O4666" s="86"/>
      <c r="P4666" s="1817" t="e">
        <f>INDEX(#REF!,MATCH(F4666,#REF!,0),2)</f>
        <v>#REF!</v>
      </c>
    </row>
    <row r="4667" spans="1:16">
      <c r="A4667" s="755"/>
      <c r="B4667" s="755" t="s">
        <v>1248</v>
      </c>
      <c r="C4667" s="1091" t="s">
        <v>507</v>
      </c>
      <c r="D4667" s="1639" t="s">
        <v>1282</v>
      </c>
      <c r="E4667" s="2292" t="s">
        <v>1914</v>
      </c>
      <c r="F4667" s="1090">
        <v>2239</v>
      </c>
      <c r="G4667" s="3540" t="s">
        <v>262</v>
      </c>
      <c r="H4667" s="3557">
        <v>4120</v>
      </c>
      <c r="I4667" s="3607"/>
      <c r="J4667" s="3558">
        <v>323</v>
      </c>
      <c r="K4667" s="2816"/>
      <c r="L4667" s="3557">
        <v>3740.4</v>
      </c>
      <c r="M4667" s="3560"/>
      <c r="N4667" s="2847"/>
      <c r="O4667" s="86"/>
      <c r="P4667" s="1817" t="e">
        <f>INDEX(#REF!,MATCH(F4667,#REF!,0),2)</f>
        <v>#REF!</v>
      </c>
    </row>
    <row r="4668" spans="1:16">
      <c r="A4668" s="1563"/>
      <c r="B4668" s="762" t="s">
        <v>1248</v>
      </c>
      <c r="C4668" s="810" t="s">
        <v>507</v>
      </c>
      <c r="D4668" s="1638"/>
      <c r="E4668" s="2291" t="s">
        <v>1914</v>
      </c>
      <c r="F4668" s="1092">
        <v>2239</v>
      </c>
      <c r="G4668" s="2516" t="s">
        <v>473</v>
      </c>
      <c r="H4668" s="3578"/>
      <c r="I4668" s="3572">
        <v>1500</v>
      </c>
      <c r="J4668" s="3570"/>
      <c r="K4668" s="2821"/>
      <c r="L4668" s="3578"/>
      <c r="M4668" s="4287">
        <v>300</v>
      </c>
      <c r="N4668" s="241" t="s">
        <v>6009</v>
      </c>
      <c r="O4668" s="86"/>
      <c r="P4668" s="1817" t="e">
        <f>INDEX(#REF!,MATCH(F4668,#REF!,0),2)</f>
        <v>#REF!</v>
      </c>
    </row>
    <row r="4669" spans="1:16" ht="34.9" customHeight="1">
      <c r="A4669" s="1563"/>
      <c r="B4669" s="762" t="s">
        <v>1248</v>
      </c>
      <c r="C4669" s="810" t="s">
        <v>507</v>
      </c>
      <c r="D4669" s="1638"/>
      <c r="E4669" s="2291" t="s">
        <v>1914</v>
      </c>
      <c r="F4669" s="1092">
        <v>2239</v>
      </c>
      <c r="G4669" s="2516" t="s">
        <v>525</v>
      </c>
      <c r="H4669" s="3578"/>
      <c r="I4669" s="3572">
        <v>150</v>
      </c>
      <c r="J4669" s="3570"/>
      <c r="K4669" s="2821"/>
      <c r="L4669" s="3578"/>
      <c r="M4669" s="3561">
        <v>150</v>
      </c>
      <c r="N4669" s="2847"/>
      <c r="O4669" s="86"/>
      <c r="P4669" s="1817" t="e">
        <f>INDEX(#REF!,MATCH(F4669,#REF!,0),2)</f>
        <v>#REF!</v>
      </c>
    </row>
    <row r="4670" spans="1:16" ht="33.75">
      <c r="A4670" s="1563"/>
      <c r="B4670" s="762" t="s">
        <v>1248</v>
      </c>
      <c r="C4670" s="810" t="s">
        <v>507</v>
      </c>
      <c r="D4670" s="1638"/>
      <c r="E4670" s="2291" t="s">
        <v>1914</v>
      </c>
      <c r="F4670" s="1092">
        <v>2239</v>
      </c>
      <c r="G4670" s="2516" t="s">
        <v>2606</v>
      </c>
      <c r="H4670" s="3578"/>
      <c r="I4670" s="3572">
        <v>250</v>
      </c>
      <c r="J4670" s="3570"/>
      <c r="K4670" s="2821"/>
      <c r="L4670" s="3578"/>
      <c r="M4670" s="3561">
        <v>250</v>
      </c>
      <c r="N4670" s="2847"/>
      <c r="O4670" s="86"/>
      <c r="P4670" s="1817" t="e">
        <f>INDEX(#REF!,MATCH(F4670,#REF!,0),2)</f>
        <v>#REF!</v>
      </c>
    </row>
    <row r="4671" spans="1:16" ht="22.5">
      <c r="A4671" s="1563"/>
      <c r="B4671" s="762" t="s">
        <v>1248</v>
      </c>
      <c r="C4671" s="810" t="s">
        <v>507</v>
      </c>
      <c r="D4671" s="1638"/>
      <c r="E4671" s="2291" t="s">
        <v>1914</v>
      </c>
      <c r="F4671" s="1092">
        <v>2239</v>
      </c>
      <c r="G4671" s="2516" t="s">
        <v>2607</v>
      </c>
      <c r="H4671" s="3578"/>
      <c r="I4671" s="3572">
        <v>250</v>
      </c>
      <c r="J4671" s="3570"/>
      <c r="K4671" s="2821"/>
      <c r="L4671" s="3578"/>
      <c r="M4671" s="3561">
        <v>250</v>
      </c>
      <c r="N4671" s="2847"/>
      <c r="O4671" s="86"/>
      <c r="P4671" s="1817"/>
    </row>
    <row r="4672" spans="1:16" ht="21.6" customHeight="1">
      <c r="A4672" s="1563"/>
      <c r="B4672" s="762" t="s">
        <v>1248</v>
      </c>
      <c r="C4672" s="810" t="s">
        <v>507</v>
      </c>
      <c r="D4672" s="1638"/>
      <c r="E4672" s="2291" t="s">
        <v>1914</v>
      </c>
      <c r="F4672" s="1092">
        <v>2239</v>
      </c>
      <c r="G4672" s="2516" t="s">
        <v>2608</v>
      </c>
      <c r="H4672" s="3578"/>
      <c r="I4672" s="3572">
        <v>400</v>
      </c>
      <c r="J4672" s="3570"/>
      <c r="K4672" s="2821"/>
      <c r="L4672" s="3578"/>
      <c r="M4672" s="3561">
        <v>400</v>
      </c>
      <c r="N4672" s="2847"/>
      <c r="O4672" s="86"/>
      <c r="P4672" s="1817" t="e">
        <f>INDEX(#REF!,MATCH(F4672,#REF!,0),2)</f>
        <v>#REF!</v>
      </c>
    </row>
    <row r="4673" spans="1:33" ht="22.5">
      <c r="A4673" s="1563"/>
      <c r="B4673" s="762" t="s">
        <v>1248</v>
      </c>
      <c r="C4673" s="810" t="s">
        <v>507</v>
      </c>
      <c r="D4673" s="1638"/>
      <c r="E4673" s="2291" t="s">
        <v>1914</v>
      </c>
      <c r="F4673" s="1092">
        <v>2239</v>
      </c>
      <c r="G4673" s="2516" t="s">
        <v>2609</v>
      </c>
      <c r="H4673" s="3578"/>
      <c r="I4673" s="3572">
        <v>200</v>
      </c>
      <c r="J4673" s="3570"/>
      <c r="K4673" s="2821"/>
      <c r="L4673" s="3578"/>
      <c r="M4673" s="3561">
        <v>500</v>
      </c>
      <c r="N4673" s="2847"/>
      <c r="O4673" s="86"/>
      <c r="P4673" s="1817" t="e">
        <f>INDEX(#REF!,MATCH(F4673,#REF!,0),2)</f>
        <v>#REF!</v>
      </c>
    </row>
    <row r="4674" spans="1:33" ht="45">
      <c r="A4674" s="1563"/>
      <c r="B4674" s="762" t="s">
        <v>1248</v>
      </c>
      <c r="C4674" s="810" t="s">
        <v>507</v>
      </c>
      <c r="D4674" s="1638"/>
      <c r="E4674" s="2291" t="s">
        <v>1914</v>
      </c>
      <c r="F4674" s="1092">
        <v>2239</v>
      </c>
      <c r="G4674" s="3004" t="s">
        <v>4863</v>
      </c>
      <c r="H4674" s="3586"/>
      <c r="I4674" s="3572">
        <v>750</v>
      </c>
      <c r="J4674" s="3570"/>
      <c r="K4674" s="2821"/>
      <c r="L4674" s="3578"/>
      <c r="M4674" s="4287">
        <v>0</v>
      </c>
      <c r="N4674" s="241" t="s">
        <v>6008</v>
      </c>
      <c r="O4674" s="86"/>
      <c r="P4674" s="1817" t="e">
        <f>INDEX(#REF!,MATCH(F4674,#REF!,0),2)</f>
        <v>#REF!</v>
      </c>
    </row>
    <row r="4675" spans="1:33">
      <c r="A4675" s="1563"/>
      <c r="B4675" s="762" t="s">
        <v>1248</v>
      </c>
      <c r="C4675" s="810" t="s">
        <v>507</v>
      </c>
      <c r="D4675" s="1638"/>
      <c r="E4675" s="2291" t="s">
        <v>1914</v>
      </c>
      <c r="F4675" s="1092">
        <v>2239</v>
      </c>
      <c r="G4675" s="2516" t="s">
        <v>2611</v>
      </c>
      <c r="H4675" s="3586"/>
      <c r="I4675" s="3572">
        <v>500</v>
      </c>
      <c r="J4675" s="3570"/>
      <c r="K4675" s="2821"/>
      <c r="L4675" s="3578"/>
      <c r="M4675" s="3561">
        <v>500</v>
      </c>
      <c r="N4675" s="2847"/>
      <c r="O4675" s="86"/>
      <c r="P4675" s="1817" t="e">
        <f>INDEX(#REF!,MATCH(F4675,#REF!,0),2)</f>
        <v>#REF!</v>
      </c>
    </row>
    <row r="4676" spans="1:33">
      <c r="A4676" s="1563"/>
      <c r="B4676" s="762" t="s">
        <v>1248</v>
      </c>
      <c r="C4676" s="810" t="s">
        <v>507</v>
      </c>
      <c r="D4676" s="1638"/>
      <c r="E4676" s="2291" t="s">
        <v>1914</v>
      </c>
      <c r="F4676" s="1092">
        <v>2239</v>
      </c>
      <c r="G4676" s="2516" t="s">
        <v>2612</v>
      </c>
      <c r="H4676" s="3586"/>
      <c r="I4676" s="3572">
        <v>500</v>
      </c>
      <c r="J4676" s="3570"/>
      <c r="K4676" s="2821"/>
      <c r="L4676" s="3578"/>
      <c r="M4676" s="3561">
        <v>500</v>
      </c>
      <c r="N4676" s="2847"/>
      <c r="O4676" s="86"/>
      <c r="P4676" s="1817" t="e">
        <f>INDEX(#REF!,MATCH(F4676,#REF!,0),2)</f>
        <v>#REF!</v>
      </c>
    </row>
    <row r="4677" spans="1:33" ht="22.5">
      <c r="A4677" s="2790"/>
      <c r="B4677" s="762" t="s">
        <v>1248</v>
      </c>
      <c r="C4677" s="810" t="s">
        <v>507</v>
      </c>
      <c r="D4677" s="1638"/>
      <c r="E4677" s="2291" t="s">
        <v>1914</v>
      </c>
      <c r="F4677" s="1092">
        <v>2239</v>
      </c>
      <c r="G4677" s="2774" t="s">
        <v>4932</v>
      </c>
      <c r="H4677" s="3586"/>
      <c r="I4677" s="3572"/>
      <c r="J4677" s="3570"/>
      <c r="K4677" s="2821"/>
      <c r="L4677" s="3578"/>
      <c r="M4677" s="3561">
        <v>890.4</v>
      </c>
      <c r="N4677" s="241" t="s">
        <v>4933</v>
      </c>
      <c r="O4677" s="86"/>
      <c r="P4677" s="1817" t="e">
        <f>INDEX(#REF!,MATCH(F4677,#REF!,0),2)</f>
        <v>#REF!</v>
      </c>
    </row>
    <row r="4678" spans="1:33" ht="13.15" customHeight="1">
      <c r="A4678" s="755"/>
      <c r="B4678" s="755" t="s">
        <v>1248</v>
      </c>
      <c r="C4678" s="1091" t="s">
        <v>505</v>
      </c>
      <c r="D4678" s="1639" t="s">
        <v>1282</v>
      </c>
      <c r="E4678" s="2292" t="s">
        <v>1914</v>
      </c>
      <c r="F4678" s="1090">
        <v>2241</v>
      </c>
      <c r="G4678" s="3546" t="s">
        <v>337</v>
      </c>
      <c r="H4678" s="3557">
        <v>1000</v>
      </c>
      <c r="I4678" s="3607"/>
      <c r="J4678" s="3558">
        <v>0</v>
      </c>
      <c r="K4678" s="2816"/>
      <c r="L4678" s="3557">
        <v>0</v>
      </c>
      <c r="M4678" s="3560"/>
      <c r="N4678" s="2847"/>
      <c r="O4678" s="86"/>
      <c r="P4678" s="1817" t="e">
        <f>INDEX(#REF!,MATCH(F4678,#REF!,0),2)</f>
        <v>#REF!</v>
      </c>
    </row>
    <row r="4679" spans="1:33">
      <c r="A4679" s="762"/>
      <c r="B4679" s="762" t="s">
        <v>1248</v>
      </c>
      <c r="C4679" s="810" t="s">
        <v>505</v>
      </c>
      <c r="D4679" s="1638"/>
      <c r="E4679" s="2291" t="s">
        <v>1914</v>
      </c>
      <c r="F4679" s="1092">
        <v>2241</v>
      </c>
      <c r="G4679" s="3553" t="s">
        <v>2613</v>
      </c>
      <c r="H4679" s="3578"/>
      <c r="I4679" s="3561">
        <v>1000</v>
      </c>
      <c r="J4679" s="3562"/>
      <c r="K4679" s="2821"/>
      <c r="L4679" s="3578"/>
      <c r="M4679" s="4287">
        <v>0</v>
      </c>
      <c r="N4679" s="241" t="s">
        <v>6008</v>
      </c>
      <c r="O4679" s="86"/>
      <c r="P4679" s="1817" t="e">
        <f>INDEX(#REF!,MATCH(F4679,#REF!,0),2)</f>
        <v>#REF!</v>
      </c>
    </row>
    <row r="4680" spans="1:33">
      <c r="A4680" s="755"/>
      <c r="B4680" s="755" t="s">
        <v>1248</v>
      </c>
      <c r="C4680" s="1091" t="s">
        <v>505</v>
      </c>
      <c r="D4680" s="1639" t="s">
        <v>1282</v>
      </c>
      <c r="E4680" s="2292" t="s">
        <v>1914</v>
      </c>
      <c r="F4680" s="1090">
        <v>2243</v>
      </c>
      <c r="G4680" s="3540" t="s">
        <v>436</v>
      </c>
      <c r="H4680" s="3557">
        <v>1000</v>
      </c>
      <c r="I4680" s="3607"/>
      <c r="J4680" s="3558">
        <v>186.85</v>
      </c>
      <c r="K4680" s="2816"/>
      <c r="L4680" s="3557">
        <v>500</v>
      </c>
      <c r="M4680" s="3576"/>
      <c r="N4680" s="241" t="s">
        <v>6010</v>
      </c>
      <c r="O4680" s="86"/>
      <c r="P4680" s="1817" t="e">
        <f>INDEX(#REF!,MATCH(F4680,#REF!,0),2)</f>
        <v>#REF!</v>
      </c>
    </row>
    <row r="4681" spans="1:33" ht="13.15" customHeight="1">
      <c r="A4681" s="762"/>
      <c r="B4681" s="762" t="s">
        <v>1248</v>
      </c>
      <c r="C4681" s="810" t="s">
        <v>505</v>
      </c>
      <c r="D4681" s="1638"/>
      <c r="E4681" s="2291" t="s">
        <v>1914</v>
      </c>
      <c r="F4681" s="1092">
        <v>2243</v>
      </c>
      <c r="G4681" s="3004" t="s">
        <v>437</v>
      </c>
      <c r="H4681" s="3578"/>
      <c r="I4681" s="3572">
        <v>200</v>
      </c>
      <c r="J4681" s="3570"/>
      <c r="K4681" s="2821"/>
      <c r="L4681" s="3586"/>
      <c r="M4681" s="4288">
        <v>100</v>
      </c>
      <c r="N4681" s="2847"/>
      <c r="O4681" s="86"/>
      <c r="P4681" s="1817" t="e">
        <f>INDEX(#REF!,MATCH(F4681,#REF!,0),2)</f>
        <v>#REF!</v>
      </c>
    </row>
    <row r="4682" spans="1:33" ht="29.45" customHeight="1">
      <c r="A4682" s="1563"/>
      <c r="B4682" s="762" t="s">
        <v>1248</v>
      </c>
      <c r="C4682" s="810" t="s">
        <v>505</v>
      </c>
      <c r="D4682" s="1638"/>
      <c r="E4682" s="2291" t="s">
        <v>1914</v>
      </c>
      <c r="F4682" s="1092">
        <v>2243</v>
      </c>
      <c r="G4682" s="3004" t="s">
        <v>2614</v>
      </c>
      <c r="H4682" s="3578"/>
      <c r="I4682" s="3572">
        <v>300</v>
      </c>
      <c r="J4682" s="3570"/>
      <c r="K4682" s="2821"/>
      <c r="L4682" s="3586"/>
      <c r="M4682" s="4288">
        <v>150</v>
      </c>
      <c r="N4682" s="2847"/>
      <c r="O4682" s="86"/>
      <c r="P4682" s="1817" t="e">
        <f>INDEX(#REF!,MATCH(F4682,#REF!,0),2)</f>
        <v>#REF!</v>
      </c>
      <c r="Q4682" s="43"/>
      <c r="R4682" s="43"/>
      <c r="S4682" s="43"/>
      <c r="T4682" s="43"/>
      <c r="U4682" s="43"/>
      <c r="V4682" s="43"/>
      <c r="W4682" s="43"/>
      <c r="X4682" s="43"/>
      <c r="Y4682" s="43"/>
      <c r="Z4682" s="43"/>
      <c r="AA4682" s="43"/>
      <c r="AB4682" s="43"/>
      <c r="AC4682" s="43"/>
      <c r="AD4682" s="43"/>
      <c r="AE4682" s="43"/>
      <c r="AF4682" s="43"/>
      <c r="AG4682" s="43"/>
    </row>
    <row r="4683" spans="1:33" ht="44.45" customHeight="1">
      <c r="A4683" s="1563"/>
      <c r="B4683" s="762" t="s">
        <v>1248</v>
      </c>
      <c r="C4683" s="810" t="s">
        <v>505</v>
      </c>
      <c r="D4683" s="1638"/>
      <c r="E4683" s="2291" t="s">
        <v>1914</v>
      </c>
      <c r="F4683" s="1092">
        <v>2243</v>
      </c>
      <c r="G4683" s="3004" t="s">
        <v>1045</v>
      </c>
      <c r="H4683" s="3578"/>
      <c r="I4683" s="3572">
        <v>200</v>
      </c>
      <c r="J4683" s="3570"/>
      <c r="K4683" s="2821"/>
      <c r="L4683" s="3586"/>
      <c r="M4683" s="4288">
        <v>100</v>
      </c>
      <c r="N4683" s="2847"/>
      <c r="O4683" s="86"/>
      <c r="P4683" s="1817" t="e">
        <f>INDEX(#REF!,MATCH(F4683,#REF!,0),2)</f>
        <v>#REF!</v>
      </c>
      <c r="Q4683" s="43"/>
      <c r="R4683" s="43"/>
      <c r="S4683" s="43"/>
      <c r="T4683" s="43"/>
      <c r="U4683" s="43"/>
      <c r="V4683" s="43"/>
      <c r="W4683" s="43"/>
      <c r="X4683" s="43"/>
      <c r="Y4683" s="43"/>
      <c r="Z4683" s="43"/>
      <c r="AA4683" s="43"/>
      <c r="AB4683" s="43"/>
      <c r="AC4683" s="43"/>
      <c r="AD4683" s="43"/>
      <c r="AE4683" s="43"/>
      <c r="AF4683" s="43"/>
      <c r="AG4683" s="43"/>
    </row>
    <row r="4684" spans="1:33" ht="22.5">
      <c r="A4684" s="762"/>
      <c r="B4684" s="762" t="s">
        <v>1248</v>
      </c>
      <c r="C4684" s="810" t="s">
        <v>505</v>
      </c>
      <c r="D4684" s="1638"/>
      <c r="E4684" s="2291" t="s">
        <v>1914</v>
      </c>
      <c r="F4684" s="1092">
        <v>2243</v>
      </c>
      <c r="G4684" s="3004" t="s">
        <v>1046</v>
      </c>
      <c r="H4684" s="3578"/>
      <c r="I4684" s="3572">
        <v>300</v>
      </c>
      <c r="J4684" s="3570"/>
      <c r="K4684" s="2821"/>
      <c r="L4684" s="3586"/>
      <c r="M4684" s="4288">
        <v>150</v>
      </c>
      <c r="N4684" s="2847"/>
      <c r="O4684" s="86"/>
      <c r="P4684" s="1817" t="e">
        <f>INDEX(#REF!,MATCH(F4684,#REF!,0),2)</f>
        <v>#REF!</v>
      </c>
    </row>
    <row r="4685" spans="1:33">
      <c r="A4685" s="755"/>
      <c r="B4685" s="755" t="s">
        <v>1248</v>
      </c>
      <c r="C4685" s="1091" t="s">
        <v>505</v>
      </c>
      <c r="D4685" s="1639" t="s">
        <v>1282</v>
      </c>
      <c r="E4685" s="2292" t="s">
        <v>1914</v>
      </c>
      <c r="F4685" s="1090">
        <v>2244</v>
      </c>
      <c r="G4685" s="3540" t="s">
        <v>280</v>
      </c>
      <c r="H4685" s="3557">
        <v>0</v>
      </c>
      <c r="I4685" s="3607"/>
      <c r="J4685" s="3558"/>
      <c r="K4685" s="2816"/>
      <c r="L4685" s="3557">
        <v>0</v>
      </c>
      <c r="M4685" s="3560"/>
      <c r="N4685" s="2847"/>
      <c r="O4685" s="86"/>
      <c r="P4685" s="1817" t="e">
        <f>INDEX(#REF!,MATCH(F4685,#REF!,0),2)</f>
        <v>#REF!</v>
      </c>
    </row>
    <row r="4686" spans="1:33">
      <c r="A4686" s="762"/>
      <c r="B4686" s="762" t="s">
        <v>1248</v>
      </c>
      <c r="C4686" s="810" t="s">
        <v>505</v>
      </c>
      <c r="D4686" s="1638"/>
      <c r="E4686" s="2291" t="s">
        <v>1914</v>
      </c>
      <c r="F4686" s="1092">
        <v>2244</v>
      </c>
      <c r="G4686" s="2516"/>
      <c r="H4686" s="3578"/>
      <c r="I4686" s="3572"/>
      <c r="J4686" s="3570"/>
      <c r="K4686" s="2821"/>
      <c r="L4686" s="3578"/>
      <c r="M4686" s="3563"/>
      <c r="N4686" s="2847" t="s">
        <v>2603</v>
      </c>
      <c r="O4686" s="86"/>
      <c r="P4686" s="1817" t="e">
        <f>INDEX(#REF!,MATCH(F4686,#REF!,0),2)</f>
        <v>#REF!</v>
      </c>
    </row>
    <row r="4687" spans="1:33">
      <c r="A4687" s="755"/>
      <c r="B4687" s="755" t="s">
        <v>1248</v>
      </c>
      <c r="C4687" s="1091" t="s">
        <v>505</v>
      </c>
      <c r="D4687" s="1639" t="s">
        <v>1282</v>
      </c>
      <c r="E4687" s="2292" t="s">
        <v>1914</v>
      </c>
      <c r="F4687" s="1090">
        <v>2247</v>
      </c>
      <c r="G4687" s="3554" t="s">
        <v>281</v>
      </c>
      <c r="H4687" s="3557">
        <v>12170</v>
      </c>
      <c r="I4687" s="3616"/>
      <c r="J4687" s="3558">
        <v>1584.78</v>
      </c>
      <c r="K4687" s="2816"/>
      <c r="L4687" s="3557">
        <v>12000</v>
      </c>
      <c r="M4687" s="3576"/>
      <c r="N4687" s="3506">
        <f>L4687-H4687</f>
        <v>-170</v>
      </c>
      <c r="O4687" s="86"/>
      <c r="P4687" s="1817" t="e">
        <f>INDEX(#REF!,MATCH(F4687,#REF!,0),2)</f>
        <v>#REF!</v>
      </c>
    </row>
    <row r="4688" spans="1:33" ht="22.5">
      <c r="A4688" s="762"/>
      <c r="B4688" s="762" t="s">
        <v>1248</v>
      </c>
      <c r="C4688" s="810" t="s">
        <v>505</v>
      </c>
      <c r="D4688" s="1638"/>
      <c r="E4688" s="2291" t="s">
        <v>1914</v>
      </c>
      <c r="F4688" s="1092">
        <v>2247</v>
      </c>
      <c r="G4688" s="2516" t="s">
        <v>2615</v>
      </c>
      <c r="H4688" s="3586"/>
      <c r="I4688" s="3572">
        <v>1000</v>
      </c>
      <c r="J4688" s="3570"/>
      <c r="K4688" s="2821"/>
      <c r="L4688" s="3586"/>
      <c r="M4688" s="3579">
        <v>0</v>
      </c>
      <c r="N4688" s="2847" t="s">
        <v>2603</v>
      </c>
      <c r="O4688" s="86"/>
      <c r="P4688" s="1817" t="e">
        <f>INDEX(#REF!,MATCH(F4688,#REF!,0),2)</f>
        <v>#REF!</v>
      </c>
    </row>
    <row r="4689" spans="1:16">
      <c r="A4689" s="1563"/>
      <c r="B4689" s="762" t="s">
        <v>1248</v>
      </c>
      <c r="C4689" s="810" t="s">
        <v>505</v>
      </c>
      <c r="D4689" s="1638"/>
      <c r="E4689" s="2291" t="s">
        <v>1914</v>
      </c>
      <c r="F4689" s="1092">
        <v>2247</v>
      </c>
      <c r="G4689" s="2516" t="s">
        <v>4864</v>
      </c>
      <c r="H4689" s="3561"/>
      <c r="I4689" s="3572">
        <v>9750</v>
      </c>
      <c r="J4689" s="3570"/>
      <c r="K4689" s="2821"/>
      <c r="L4689" s="3561"/>
      <c r="M4689" s="3561">
        <v>12000</v>
      </c>
      <c r="N4689" s="2847"/>
      <c r="O4689" s="86"/>
      <c r="P4689" s="1817" t="e">
        <f>INDEX(#REF!,MATCH(F4689,#REF!,0),2)</f>
        <v>#REF!</v>
      </c>
    </row>
    <row r="4690" spans="1:16" ht="33.75">
      <c r="A4690" s="1465"/>
      <c r="B4690" s="762" t="s">
        <v>1248</v>
      </c>
      <c r="C4690" s="810" t="s">
        <v>505</v>
      </c>
      <c r="D4690" s="1638"/>
      <c r="E4690" s="2291" t="s">
        <v>1914</v>
      </c>
      <c r="F4690" s="438">
        <v>2247</v>
      </c>
      <c r="G4690" s="2516" t="s">
        <v>4865</v>
      </c>
      <c r="H4690" s="3587"/>
      <c r="I4690" s="3588">
        <v>3840</v>
      </c>
      <c r="J4690" s="3589"/>
      <c r="K4690" s="3590"/>
      <c r="L4690" s="3587"/>
      <c r="M4690" s="4303">
        <v>0</v>
      </c>
      <c r="N4690" s="2396" t="s">
        <v>6032</v>
      </c>
      <c r="O4690" s="86"/>
      <c r="P4690" s="1817" t="e">
        <f>INDEX(#REF!,MATCH(F4690,#REF!,0),2)</f>
        <v>#REF!</v>
      </c>
    </row>
    <row r="4691" spans="1:16" ht="45">
      <c r="A4691" s="1882"/>
      <c r="B4691" s="762" t="s">
        <v>1248</v>
      </c>
      <c r="C4691" s="810" t="s">
        <v>505</v>
      </c>
      <c r="D4691" s="1638"/>
      <c r="E4691" s="2291" t="s">
        <v>1914</v>
      </c>
      <c r="F4691" s="438">
        <v>2247</v>
      </c>
      <c r="G4691" s="3555" t="s">
        <v>3131</v>
      </c>
      <c r="H4691" s="3587"/>
      <c r="I4691" s="3588">
        <v>-2420</v>
      </c>
      <c r="J4691" s="3589"/>
      <c r="K4691" s="3590"/>
      <c r="L4691" s="3587"/>
      <c r="M4691" s="3603"/>
      <c r="N4691" s="2847"/>
      <c r="O4691" s="86"/>
      <c r="P4691" s="1817"/>
    </row>
    <row r="4692" spans="1:16">
      <c r="A4692" s="755"/>
      <c r="B4692" s="755" t="s">
        <v>1248</v>
      </c>
      <c r="C4692" s="1091" t="s">
        <v>505</v>
      </c>
      <c r="D4692" s="1639" t="s">
        <v>1282</v>
      </c>
      <c r="E4692" s="2292" t="s">
        <v>1914</v>
      </c>
      <c r="F4692" s="1090">
        <v>2249</v>
      </c>
      <c r="G4692" s="3540" t="s">
        <v>283</v>
      </c>
      <c r="H4692" s="3557">
        <v>0</v>
      </c>
      <c r="I4692" s="3607"/>
      <c r="J4692" s="3558"/>
      <c r="K4692" s="2816"/>
      <c r="L4692" s="3557">
        <v>0</v>
      </c>
      <c r="M4692" s="3576"/>
      <c r="N4692" s="2847"/>
      <c r="O4692" s="86"/>
      <c r="P4692" s="1817"/>
    </row>
    <row r="4693" spans="1:16">
      <c r="A4693" s="762"/>
      <c r="B4693" s="762" t="s">
        <v>1248</v>
      </c>
      <c r="C4693" s="810" t="s">
        <v>505</v>
      </c>
      <c r="D4693" s="1638"/>
      <c r="E4693" s="2291" t="s">
        <v>1914</v>
      </c>
      <c r="F4693" s="1092">
        <v>2249</v>
      </c>
      <c r="G4693" s="2513"/>
      <c r="H4693" s="3578"/>
      <c r="I4693" s="3572"/>
      <c r="J4693" s="3570"/>
      <c r="K4693" s="2821"/>
      <c r="L4693" s="3586"/>
      <c r="M4693" s="3579"/>
      <c r="N4693" s="2847" t="s">
        <v>2603</v>
      </c>
      <c r="O4693" s="86"/>
      <c r="P4693" s="1817"/>
    </row>
    <row r="4694" spans="1:16">
      <c r="A4694" s="755"/>
      <c r="B4694" s="755" t="s">
        <v>1248</v>
      </c>
      <c r="C4694" s="1091" t="s">
        <v>505</v>
      </c>
      <c r="D4694" s="1639" t="s">
        <v>1282</v>
      </c>
      <c r="E4694" s="2292" t="s">
        <v>1914</v>
      </c>
      <c r="F4694" s="1090">
        <v>2250</v>
      </c>
      <c r="G4694" s="3540" t="s">
        <v>1199</v>
      </c>
      <c r="H4694" s="3557">
        <v>3514.36</v>
      </c>
      <c r="I4694" s="3607"/>
      <c r="J4694" s="3558">
        <v>192.74</v>
      </c>
      <c r="K4694" s="2816"/>
      <c r="L4694" s="3557">
        <v>6355</v>
      </c>
      <c r="M4694" s="3576"/>
      <c r="N4694" s="2847"/>
      <c r="O4694" s="86"/>
      <c r="P4694" s="1817"/>
    </row>
    <row r="4695" spans="1:16" ht="22.5">
      <c r="A4695" s="762"/>
      <c r="B4695" s="762" t="s">
        <v>1248</v>
      </c>
      <c r="C4695" s="810" t="s">
        <v>505</v>
      </c>
      <c r="D4695" s="3602"/>
      <c r="E4695" s="2291" t="s">
        <v>1914</v>
      </c>
      <c r="F4695" s="1092">
        <v>2250</v>
      </c>
      <c r="G4695" s="2513" t="s">
        <v>4866</v>
      </c>
      <c r="H4695" s="3578"/>
      <c r="I4695" s="3561">
        <v>624.36</v>
      </c>
      <c r="J4695" s="3570"/>
      <c r="K4695" s="2821"/>
      <c r="L4695" s="3586"/>
      <c r="M4695" s="3579">
        <v>600</v>
      </c>
      <c r="N4695" s="2847" t="s">
        <v>4872</v>
      </c>
      <c r="O4695" s="86"/>
      <c r="P4695" s="1817" t="e">
        <f>INDEX(#REF!,MATCH(F4695,#REF!,0),2)</f>
        <v>#REF!</v>
      </c>
    </row>
    <row r="4696" spans="1:16" ht="22.5">
      <c r="A4696" s="762"/>
      <c r="B4696" s="762" t="s">
        <v>1248</v>
      </c>
      <c r="C4696" s="810" t="s">
        <v>505</v>
      </c>
      <c r="D4696" s="3602"/>
      <c r="E4696" s="2291" t="s">
        <v>1914</v>
      </c>
      <c r="F4696" s="1092">
        <v>2250</v>
      </c>
      <c r="G4696" s="2513" t="s">
        <v>4867</v>
      </c>
      <c r="H4696" s="3578"/>
      <c r="I4696" s="3561">
        <v>120</v>
      </c>
      <c r="J4696" s="3570"/>
      <c r="K4696" s="2821"/>
      <c r="L4696" s="3586"/>
      <c r="M4696" s="3579">
        <v>120</v>
      </c>
      <c r="N4696" s="2847"/>
      <c r="O4696" s="86"/>
      <c r="P4696" s="1817" t="e">
        <f>INDEX(#REF!,MATCH(F4696,#REF!,0),2)</f>
        <v>#REF!</v>
      </c>
    </row>
    <row r="4697" spans="1:16" ht="51" customHeight="1">
      <c r="A4697" s="2790"/>
      <c r="B4697" s="762" t="s">
        <v>1248</v>
      </c>
      <c r="C4697" s="810" t="s">
        <v>505</v>
      </c>
      <c r="D4697" s="3602"/>
      <c r="E4697" s="2291" t="s">
        <v>1914</v>
      </c>
      <c r="F4697" s="1092">
        <v>2250</v>
      </c>
      <c r="G4697" s="3548" t="s">
        <v>4868</v>
      </c>
      <c r="H4697" s="3578"/>
      <c r="I4697" s="3561"/>
      <c r="J4697" s="3570"/>
      <c r="K4697" s="2821"/>
      <c r="L4697" s="3586"/>
      <c r="M4697" s="3579">
        <v>15</v>
      </c>
      <c r="N4697" s="2847"/>
      <c r="O4697" s="86"/>
      <c r="P4697" s="1817" t="e">
        <f>INDEX(#REF!,MATCH(F4697,#REF!,0),2)</f>
        <v>#REF!</v>
      </c>
    </row>
    <row r="4698" spans="1:16" ht="51" customHeight="1">
      <c r="A4698" s="2790"/>
      <c r="B4698" s="762" t="s">
        <v>1248</v>
      </c>
      <c r="C4698" s="810" t="s">
        <v>505</v>
      </c>
      <c r="D4698" s="3602"/>
      <c r="E4698" s="2291" t="s">
        <v>1914</v>
      </c>
      <c r="F4698" s="1092">
        <v>2250</v>
      </c>
      <c r="G4698" s="3548" t="s">
        <v>4869</v>
      </c>
      <c r="H4698" s="3578"/>
      <c r="I4698" s="3561">
        <v>120</v>
      </c>
      <c r="J4698" s="3570"/>
      <c r="K4698" s="2821"/>
      <c r="L4698" s="3586"/>
      <c r="M4698" s="3579">
        <v>120</v>
      </c>
      <c r="N4698" s="2847" t="s">
        <v>4862</v>
      </c>
      <c r="O4698" s="86"/>
      <c r="P4698" s="1817" t="e">
        <f>INDEX(#REF!,MATCH(F4698,#REF!,0),2)</f>
        <v>#REF!</v>
      </c>
    </row>
    <row r="4699" spans="1:16" ht="51" customHeight="1">
      <c r="A4699" s="2790"/>
      <c r="B4699" s="762" t="s">
        <v>1248</v>
      </c>
      <c r="C4699" s="810" t="s">
        <v>505</v>
      </c>
      <c r="D4699" s="3602"/>
      <c r="E4699" s="2291" t="s">
        <v>1914</v>
      </c>
      <c r="F4699" s="1092">
        <v>2250</v>
      </c>
      <c r="G4699" s="3548" t="s">
        <v>4870</v>
      </c>
      <c r="H4699" s="3578"/>
      <c r="I4699" s="3561"/>
      <c r="J4699" s="3570"/>
      <c r="K4699" s="2821"/>
      <c r="L4699" s="3586"/>
      <c r="M4699" s="3579">
        <v>100</v>
      </c>
      <c r="N4699" s="2847"/>
      <c r="O4699" s="86"/>
      <c r="P4699" s="1817" t="e">
        <f>INDEX(#REF!,MATCH(F4699,#REF!,0),2)</f>
        <v>#REF!</v>
      </c>
    </row>
    <row r="4700" spans="1:16" ht="21" customHeight="1">
      <c r="A4700" s="2790"/>
      <c r="B4700" s="762" t="s">
        <v>1248</v>
      </c>
      <c r="C4700" s="810" t="s">
        <v>505</v>
      </c>
      <c r="D4700" s="3602"/>
      <c r="E4700" s="2291" t="s">
        <v>1914</v>
      </c>
      <c r="F4700" s="1092">
        <v>2250</v>
      </c>
      <c r="G4700" s="3004" t="s">
        <v>4886</v>
      </c>
      <c r="H4700" s="3578"/>
      <c r="I4700" s="3561">
        <v>1250</v>
      </c>
      <c r="J4700" s="3570"/>
      <c r="K4700" s="2821"/>
      <c r="L4700" s="3586"/>
      <c r="M4700" s="4597">
        <v>4000</v>
      </c>
      <c r="N4700" s="2846" t="s">
        <v>6231</v>
      </c>
      <c r="O4700" s="86"/>
      <c r="P4700" s="1817" t="e">
        <f>INDEX(#REF!,MATCH(F4700,#REF!,0),2)</f>
        <v>#REF!</v>
      </c>
    </row>
    <row r="4701" spans="1:16" ht="45">
      <c r="A4701" s="762"/>
      <c r="B4701" s="762" t="s">
        <v>1248</v>
      </c>
      <c r="C4701" s="810" t="s">
        <v>505</v>
      </c>
      <c r="D4701" s="3602"/>
      <c r="E4701" s="2291" t="s">
        <v>1914</v>
      </c>
      <c r="F4701" s="1092">
        <v>2250</v>
      </c>
      <c r="G4701" s="3548" t="s">
        <v>4871</v>
      </c>
      <c r="H4701" s="3578"/>
      <c r="I4701" s="3572">
        <v>1400</v>
      </c>
      <c r="J4701" s="3570"/>
      <c r="K4701" s="2821"/>
      <c r="L4701" s="3586"/>
      <c r="M4701" s="3579">
        <v>1400</v>
      </c>
      <c r="N4701" s="3768" t="s">
        <v>5234</v>
      </c>
      <c r="O4701" s="86"/>
      <c r="P4701" s="1817" t="e">
        <f>INDEX(#REF!,MATCH(F4701,#REF!,0),2)</f>
        <v>#REF!</v>
      </c>
    </row>
    <row r="4702" spans="1:16">
      <c r="A4702" s="755"/>
      <c r="B4702" s="755" t="s">
        <v>1248</v>
      </c>
      <c r="C4702" s="1091" t="s">
        <v>505</v>
      </c>
      <c r="D4702" s="1639" t="s">
        <v>1282</v>
      </c>
      <c r="E4702" s="2292" t="s">
        <v>1914</v>
      </c>
      <c r="F4702" s="1090">
        <v>2264</v>
      </c>
      <c r="G4702" s="3540" t="s">
        <v>3045</v>
      </c>
      <c r="H4702" s="3557">
        <v>6000</v>
      </c>
      <c r="I4702" s="3607"/>
      <c r="J4702" s="3558">
        <v>7304</v>
      </c>
      <c r="K4702" s="2816"/>
      <c r="L4702" s="3557">
        <v>11500</v>
      </c>
      <c r="M4702" s="3576"/>
      <c r="N4702" s="2847"/>
      <c r="O4702" s="86"/>
      <c r="P4702" s="1817" t="e">
        <f>INDEX(#REF!,MATCH(F4702,#REF!,0),2)</f>
        <v>#REF!</v>
      </c>
    </row>
    <row r="4703" spans="1:16" ht="33.75">
      <c r="A4703" s="762"/>
      <c r="B4703" s="762" t="s">
        <v>1248</v>
      </c>
      <c r="C4703" s="810" t="s">
        <v>505</v>
      </c>
      <c r="D4703" s="1638"/>
      <c r="E4703" s="2291" t="s">
        <v>1914</v>
      </c>
      <c r="F4703" s="1092">
        <v>2264</v>
      </c>
      <c r="G4703" s="3601" t="s">
        <v>4873</v>
      </c>
      <c r="H4703" s="3578"/>
      <c r="I4703" s="3561">
        <v>6000</v>
      </c>
      <c r="J4703" s="3570"/>
      <c r="K4703" s="2821"/>
      <c r="L4703" s="3586"/>
      <c r="M4703" s="4596">
        <v>11500</v>
      </c>
      <c r="N4703" s="241"/>
      <c r="O4703" s="86"/>
      <c r="P4703" s="1817" t="e">
        <f>INDEX(#REF!,MATCH(F4703,#REF!,0),2)</f>
        <v>#REF!</v>
      </c>
    </row>
    <row r="4704" spans="1:16" ht="21" customHeight="1">
      <c r="A4704" s="755"/>
      <c r="B4704" s="755" t="s">
        <v>1248</v>
      </c>
      <c r="C4704" s="1091" t="s">
        <v>507</v>
      </c>
      <c r="D4704" s="1639" t="s">
        <v>1282</v>
      </c>
      <c r="E4704" s="2292" t="s">
        <v>1914</v>
      </c>
      <c r="F4704" s="1090">
        <v>2311</v>
      </c>
      <c r="G4704" s="3540" t="s">
        <v>245</v>
      </c>
      <c r="H4704" s="3573">
        <v>7500</v>
      </c>
      <c r="I4704" s="3617"/>
      <c r="J4704" s="3558">
        <v>5526.79</v>
      </c>
      <c r="K4704" s="2816"/>
      <c r="L4704" s="3557">
        <v>7500</v>
      </c>
      <c r="M4704" s="3576"/>
      <c r="N4704" s="2847"/>
      <c r="O4704" s="86"/>
      <c r="P4704" s="1817"/>
    </row>
    <row r="4705" spans="1:16" ht="51" customHeight="1">
      <c r="A4705" s="762"/>
      <c r="B4705" s="762" t="s">
        <v>1248</v>
      </c>
      <c r="C4705" s="810" t="s">
        <v>507</v>
      </c>
      <c r="D4705" s="1638"/>
      <c r="E4705" s="2291" t="s">
        <v>1914</v>
      </c>
      <c r="F4705" s="1092">
        <v>2311</v>
      </c>
      <c r="G4705" s="3004" t="s">
        <v>4874</v>
      </c>
      <c r="H4705" s="3592"/>
      <c r="I4705" s="3604">
        <v>5000</v>
      </c>
      <c r="J4705" s="3570"/>
      <c r="K4705" s="2821"/>
      <c r="L4705" s="3586"/>
      <c r="M4705" s="3579">
        <v>5000</v>
      </c>
      <c r="N4705" s="2847"/>
      <c r="O4705" s="86"/>
      <c r="P4705" s="1817" t="e">
        <f>INDEX(#REF!,MATCH(F4705,#REF!,0),2)</f>
        <v>#REF!</v>
      </c>
    </row>
    <row r="4706" spans="1:16" ht="22.15" customHeight="1">
      <c r="A4706" s="762"/>
      <c r="B4706" s="762" t="s">
        <v>1248</v>
      </c>
      <c r="C4706" s="810" t="s">
        <v>507</v>
      </c>
      <c r="D4706" s="1638"/>
      <c r="E4706" s="2291" t="s">
        <v>1914</v>
      </c>
      <c r="F4706" s="1092">
        <v>2311</v>
      </c>
      <c r="G4706" s="3004" t="s">
        <v>4875</v>
      </c>
      <c r="H4706" s="3592"/>
      <c r="I4706" s="3604">
        <v>2500</v>
      </c>
      <c r="J4706" s="3570"/>
      <c r="K4706" s="2821"/>
      <c r="L4706" s="3586"/>
      <c r="M4706" s="3579">
        <v>2500</v>
      </c>
      <c r="N4706" s="2847"/>
      <c r="O4706" s="86"/>
      <c r="P4706" s="1817" t="e">
        <f>INDEX(#REF!,MATCH(F4706,#REF!,0),2)</f>
        <v>#REF!</v>
      </c>
    </row>
    <row r="4707" spans="1:16">
      <c r="A4707" s="755"/>
      <c r="B4707" s="755" t="s">
        <v>1248</v>
      </c>
      <c r="C4707" s="1091" t="s">
        <v>507</v>
      </c>
      <c r="D4707" s="1639" t="s">
        <v>1282</v>
      </c>
      <c r="E4707" s="2292" t="s">
        <v>1914</v>
      </c>
      <c r="F4707" s="1098">
        <v>2312</v>
      </c>
      <c r="G4707" s="3540" t="s">
        <v>249</v>
      </c>
      <c r="H4707" s="3573">
        <v>1000</v>
      </c>
      <c r="I4707" s="3617"/>
      <c r="J4707" s="3558">
        <v>5098.5</v>
      </c>
      <c r="K4707" s="2816"/>
      <c r="L4707" s="3557">
        <v>0</v>
      </c>
      <c r="M4707" s="3576"/>
      <c r="N4707" s="2847"/>
      <c r="O4707" s="86"/>
      <c r="P4707" s="1817" t="e">
        <f>INDEX(#REF!,MATCH(F4707,#REF!,0),2)</f>
        <v>#REF!</v>
      </c>
    </row>
    <row r="4708" spans="1:16" ht="22.5">
      <c r="A4708" s="762"/>
      <c r="B4708" s="762" t="s">
        <v>1248</v>
      </c>
      <c r="C4708" s="810" t="s">
        <v>507</v>
      </c>
      <c r="D4708" s="1638"/>
      <c r="E4708" s="2291" t="s">
        <v>1914</v>
      </c>
      <c r="F4708" s="1099">
        <v>2312</v>
      </c>
      <c r="G4708" s="2516" t="s">
        <v>2617</v>
      </c>
      <c r="H4708" s="3592"/>
      <c r="I4708" s="3593">
        <v>1000</v>
      </c>
      <c r="J4708" s="3570"/>
      <c r="K4708" s="2821"/>
      <c r="L4708" s="3578"/>
      <c r="M4708" s="3564"/>
      <c r="N4708" s="2847"/>
      <c r="O4708" s="86"/>
      <c r="P4708" s="1817" t="e">
        <f>INDEX(#REF!,MATCH(F4708,#REF!,0),2)</f>
        <v>#REF!</v>
      </c>
    </row>
    <row r="4709" spans="1:16">
      <c r="A4709" s="755"/>
      <c r="B4709" s="755" t="s">
        <v>1249</v>
      </c>
      <c r="C4709" s="1091" t="s">
        <v>510</v>
      </c>
      <c r="D4709" s="1639" t="s">
        <v>1282</v>
      </c>
      <c r="E4709" s="2292" t="s">
        <v>1914</v>
      </c>
      <c r="F4709" s="1098">
        <v>2312</v>
      </c>
      <c r="G4709" s="3540" t="s">
        <v>249</v>
      </c>
      <c r="H4709" s="3573">
        <v>3000</v>
      </c>
      <c r="I4709" s="3617"/>
      <c r="J4709" s="3558"/>
      <c r="K4709" s="2816"/>
      <c r="L4709" s="3557">
        <v>3000</v>
      </c>
      <c r="M4709" s="3576"/>
      <c r="N4709" s="2847"/>
      <c r="O4709" s="86"/>
      <c r="P4709" s="1817" t="e">
        <f>INDEX(#REF!,MATCH(F4709,#REF!,0),2)</f>
        <v>#REF!</v>
      </c>
    </row>
    <row r="4710" spans="1:16" ht="22.5">
      <c r="A4710" s="762"/>
      <c r="B4710" s="762" t="s">
        <v>1249</v>
      </c>
      <c r="C4710" s="810" t="s">
        <v>510</v>
      </c>
      <c r="D4710" s="1638"/>
      <c r="E4710" s="2291" t="s">
        <v>1914</v>
      </c>
      <c r="F4710" s="1099">
        <v>2312</v>
      </c>
      <c r="G4710" s="3004" t="s">
        <v>2616</v>
      </c>
      <c r="H4710" s="3592"/>
      <c r="I4710" s="3604">
        <v>3000</v>
      </c>
      <c r="J4710" s="3570"/>
      <c r="K4710" s="2821"/>
      <c r="L4710" s="3586"/>
      <c r="M4710" s="3579">
        <v>3000</v>
      </c>
      <c r="N4710" s="241"/>
      <c r="O4710" s="86"/>
      <c r="P4710" s="1817" t="e">
        <f>INDEX(#REF!,MATCH(F4710,#REF!,0),2)</f>
        <v>#REF!</v>
      </c>
    </row>
    <row r="4711" spans="1:16" ht="50.45" customHeight="1">
      <c r="A4711" s="755"/>
      <c r="B4711" s="755" t="s">
        <v>1248</v>
      </c>
      <c r="C4711" s="1091" t="s">
        <v>505</v>
      </c>
      <c r="D4711" s="1639" t="s">
        <v>1282</v>
      </c>
      <c r="E4711" s="2292" t="s">
        <v>1914</v>
      </c>
      <c r="F4711" s="1098">
        <v>2314</v>
      </c>
      <c r="G4711" s="3540" t="s">
        <v>1208</v>
      </c>
      <c r="H4711" s="3573">
        <v>5000</v>
      </c>
      <c r="I4711" s="3618"/>
      <c r="J4711" s="3558">
        <v>3943.09</v>
      </c>
      <c r="K4711" s="2816"/>
      <c r="L4711" s="3573">
        <v>9500</v>
      </c>
      <c r="M4711" s="3576"/>
      <c r="N4711" s="2847"/>
      <c r="O4711" s="86"/>
      <c r="P4711" s="1817" t="e">
        <f>INDEX(#REF!,MATCH(F4711,#REF!,0),2)</f>
        <v>#REF!</v>
      </c>
    </row>
    <row r="4712" spans="1:16" ht="22.9" customHeight="1">
      <c r="A4712" s="762"/>
      <c r="B4712" s="762" t="s">
        <v>1248</v>
      </c>
      <c r="C4712" s="810" t="s">
        <v>505</v>
      </c>
      <c r="D4712" s="1638"/>
      <c r="E4712" s="2291" t="s">
        <v>1914</v>
      </c>
      <c r="F4712" s="1099">
        <v>2314</v>
      </c>
      <c r="G4712" s="3004" t="s">
        <v>4879</v>
      </c>
      <c r="H4712" s="3592"/>
      <c r="I4712" s="3604">
        <v>2000</v>
      </c>
      <c r="J4712" s="3570"/>
      <c r="K4712" s="2821"/>
      <c r="L4712" s="3586"/>
      <c r="M4712" s="3579">
        <v>1000</v>
      </c>
      <c r="N4712" s="2847"/>
      <c r="O4712" s="86"/>
      <c r="P4712" s="1817" t="e">
        <f>INDEX(#REF!,MATCH(F4712,#REF!,0),2)</f>
        <v>#REF!</v>
      </c>
    </row>
    <row r="4713" spans="1:16" ht="22.5">
      <c r="A4713" s="762"/>
      <c r="B4713" s="762" t="s">
        <v>1248</v>
      </c>
      <c r="C4713" s="810" t="s">
        <v>505</v>
      </c>
      <c r="D4713" s="1638"/>
      <c r="E4713" s="2291" t="s">
        <v>1914</v>
      </c>
      <c r="F4713" s="1099">
        <v>2314</v>
      </c>
      <c r="G4713" s="3004" t="s">
        <v>4880</v>
      </c>
      <c r="H4713" s="3592"/>
      <c r="I4713" s="3604">
        <v>1000</v>
      </c>
      <c r="J4713" s="3570"/>
      <c r="K4713" s="2821"/>
      <c r="L4713" s="3586"/>
      <c r="M4713" s="3579">
        <v>1500</v>
      </c>
      <c r="N4713" s="2847"/>
      <c r="O4713" s="86"/>
      <c r="P4713" s="1817" t="e">
        <f>INDEX(#REF!,MATCH(F4713,#REF!,0),2)</f>
        <v>#REF!</v>
      </c>
    </row>
    <row r="4714" spans="1:16" ht="22.5">
      <c r="A4714" s="1370"/>
      <c r="B4714" s="762" t="s">
        <v>1248</v>
      </c>
      <c r="C4714" s="810" t="s">
        <v>505</v>
      </c>
      <c r="D4714" s="1638"/>
      <c r="E4714" s="2291" t="s">
        <v>1914</v>
      </c>
      <c r="F4714" s="1099">
        <v>2314</v>
      </c>
      <c r="G4714" s="3004" t="s">
        <v>4881</v>
      </c>
      <c r="H4714" s="3592"/>
      <c r="I4714" s="3593"/>
      <c r="J4714" s="3570"/>
      <c r="K4714" s="2821"/>
      <c r="L4714" s="3586"/>
      <c r="M4714" s="3579">
        <v>5000</v>
      </c>
      <c r="N4714" s="241" t="s">
        <v>6011</v>
      </c>
      <c r="O4714" s="86"/>
      <c r="P4714" s="1817" t="e">
        <f>INDEX(#REF!,MATCH(F4714,#REF!,0),2)</f>
        <v>#REF!</v>
      </c>
    </row>
    <row r="4715" spans="1:16" ht="22.5">
      <c r="A4715" s="1370"/>
      <c r="B4715" s="762" t="s">
        <v>1248</v>
      </c>
      <c r="C4715" s="810" t="s">
        <v>505</v>
      </c>
      <c r="D4715" s="1638"/>
      <c r="E4715" s="2291" t="s">
        <v>1914</v>
      </c>
      <c r="F4715" s="1099">
        <v>2314</v>
      </c>
      <c r="G4715" s="3004" t="s">
        <v>4882</v>
      </c>
      <c r="H4715" s="3592"/>
      <c r="I4715" s="3593"/>
      <c r="J4715" s="3570"/>
      <c r="K4715" s="2821"/>
      <c r="L4715" s="3586"/>
      <c r="M4715" s="4288">
        <v>0</v>
      </c>
      <c r="N4715" s="241" t="s">
        <v>6008</v>
      </c>
      <c r="O4715" s="86"/>
      <c r="P4715" s="1817" t="e">
        <f>INDEX(#REF!,MATCH(F4715,#REF!,0),2)</f>
        <v>#REF!</v>
      </c>
    </row>
    <row r="4716" spans="1:16" ht="33.75">
      <c r="A4716" s="762"/>
      <c r="B4716" s="762" t="s">
        <v>1248</v>
      </c>
      <c r="C4716" s="810" t="s">
        <v>505</v>
      </c>
      <c r="D4716" s="1638"/>
      <c r="E4716" s="2291" t="s">
        <v>1914</v>
      </c>
      <c r="F4716" s="1092">
        <v>2314</v>
      </c>
      <c r="G4716" s="2516" t="s">
        <v>2632</v>
      </c>
      <c r="H4716" s="3592"/>
      <c r="I4716" s="3604">
        <v>800</v>
      </c>
      <c r="J4716" s="3570"/>
      <c r="K4716" s="2821"/>
      <c r="L4716" s="3578"/>
      <c r="M4716" s="3579">
        <v>800</v>
      </c>
      <c r="N4716" s="2847"/>
      <c r="O4716" s="86"/>
      <c r="P4716" s="1817" t="e">
        <f>INDEX(#REF!,MATCH(F4716,#REF!,0),2)</f>
        <v>#REF!</v>
      </c>
    </row>
    <row r="4717" spans="1:16" ht="30" customHeight="1">
      <c r="A4717" s="762"/>
      <c r="B4717" s="762" t="s">
        <v>1248</v>
      </c>
      <c r="C4717" s="810" t="s">
        <v>505</v>
      </c>
      <c r="D4717" s="1638"/>
      <c r="E4717" s="2291" t="s">
        <v>1914</v>
      </c>
      <c r="F4717" s="1092">
        <v>2314</v>
      </c>
      <c r="G4717" s="2516" t="s">
        <v>2633</v>
      </c>
      <c r="H4717" s="3592"/>
      <c r="I4717" s="3604">
        <v>1200</v>
      </c>
      <c r="J4717" s="3570"/>
      <c r="K4717" s="2821"/>
      <c r="L4717" s="3578"/>
      <c r="M4717" s="3579">
        <v>1200</v>
      </c>
      <c r="N4717" s="2847"/>
      <c r="O4717" s="86"/>
      <c r="P4717" s="1817" t="e">
        <f>INDEX(#REF!,MATCH(F4717,#REF!,0),2)</f>
        <v>#REF!</v>
      </c>
    </row>
    <row r="4718" spans="1:16">
      <c r="A4718" s="755"/>
      <c r="B4718" s="755" t="s">
        <v>1248</v>
      </c>
      <c r="C4718" s="1091" t="s">
        <v>505</v>
      </c>
      <c r="D4718" s="1639" t="s">
        <v>1282</v>
      </c>
      <c r="E4718" s="2292" t="s">
        <v>1914</v>
      </c>
      <c r="F4718" s="1090">
        <v>2322</v>
      </c>
      <c r="G4718" s="3540" t="s">
        <v>390</v>
      </c>
      <c r="H4718" s="3557">
        <v>500</v>
      </c>
      <c r="I4718" s="3616"/>
      <c r="J4718" s="3558">
        <v>0</v>
      </c>
      <c r="K4718" s="2816"/>
      <c r="L4718" s="3557">
        <v>500</v>
      </c>
      <c r="M4718" s="3576"/>
      <c r="N4718" s="2847"/>
      <c r="O4718" s="86"/>
      <c r="P4718" s="1817" t="e">
        <f>INDEX(#REF!,MATCH(F4718,#REF!,0),2)</f>
        <v>#REF!</v>
      </c>
    </row>
    <row r="4719" spans="1:16" ht="33.75">
      <c r="A4719" s="762"/>
      <c r="B4719" s="762" t="s">
        <v>1248</v>
      </c>
      <c r="C4719" s="810" t="s">
        <v>505</v>
      </c>
      <c r="D4719" s="1638"/>
      <c r="E4719" s="2291" t="s">
        <v>1914</v>
      </c>
      <c r="F4719" s="1092">
        <v>2322</v>
      </c>
      <c r="G4719" s="3004" t="s">
        <v>4883</v>
      </c>
      <c r="H4719" s="3586"/>
      <c r="I4719" s="3572">
        <v>300</v>
      </c>
      <c r="J4719" s="3570"/>
      <c r="K4719" s="2821"/>
      <c r="L4719" s="3586"/>
      <c r="M4719" s="3579">
        <v>500</v>
      </c>
      <c r="N4719" s="2847"/>
      <c r="O4719" s="86"/>
      <c r="P4719" s="1817" t="e">
        <f>INDEX(#REF!,MATCH(F4719,#REF!,0),2)</f>
        <v>#REF!</v>
      </c>
    </row>
    <row r="4720" spans="1:16">
      <c r="A4720" s="762"/>
      <c r="B4720" s="762" t="s">
        <v>1248</v>
      </c>
      <c r="C4720" s="810" t="s">
        <v>505</v>
      </c>
      <c r="D4720" s="1638"/>
      <c r="E4720" s="2291" t="s">
        <v>1914</v>
      </c>
      <c r="F4720" s="1092">
        <v>2322</v>
      </c>
      <c r="G4720" s="2516" t="s">
        <v>1571</v>
      </c>
      <c r="H4720" s="3586"/>
      <c r="I4720" s="3572">
        <v>200</v>
      </c>
      <c r="J4720" s="3570"/>
      <c r="K4720" s="2821"/>
      <c r="L4720" s="3578"/>
      <c r="M4720" s="3564"/>
      <c r="N4720" s="2847"/>
      <c r="O4720" s="86"/>
      <c r="P4720" s="1817" t="e">
        <f>INDEX(#REF!,MATCH(F4720,#REF!,0),2)</f>
        <v>#REF!</v>
      </c>
    </row>
    <row r="4721" spans="1:16">
      <c r="A4721" s="755"/>
      <c r="B4721" s="755" t="s">
        <v>1248</v>
      </c>
      <c r="C4721" s="1091" t="s">
        <v>507</v>
      </c>
      <c r="D4721" s="1639" t="s">
        <v>1282</v>
      </c>
      <c r="E4721" s="2292" t="s">
        <v>1914</v>
      </c>
      <c r="F4721" s="1090">
        <v>2341</v>
      </c>
      <c r="G4721" s="3540" t="s">
        <v>364</v>
      </c>
      <c r="H4721" s="3557">
        <v>850</v>
      </c>
      <c r="I4721" s="3616"/>
      <c r="J4721" s="3558">
        <v>501</v>
      </c>
      <c r="K4721" s="2816"/>
      <c r="L4721" s="3557">
        <v>850</v>
      </c>
      <c r="M4721" s="3576"/>
      <c r="N4721" s="2847"/>
      <c r="O4721" s="86"/>
      <c r="P4721" s="1817" t="e">
        <f>INDEX(#REF!,MATCH(F4721,#REF!,0),2)</f>
        <v>#REF!</v>
      </c>
    </row>
    <row r="4722" spans="1:16" ht="22.5">
      <c r="A4722" s="762"/>
      <c r="B4722" s="762" t="s">
        <v>1248</v>
      </c>
      <c r="C4722" s="810" t="s">
        <v>507</v>
      </c>
      <c r="D4722" s="1638"/>
      <c r="E4722" s="2291" t="s">
        <v>1914</v>
      </c>
      <c r="F4722" s="1092">
        <v>2341</v>
      </c>
      <c r="G4722" s="2516" t="s">
        <v>1572</v>
      </c>
      <c r="H4722" s="3594"/>
      <c r="I4722" s="3572">
        <v>500</v>
      </c>
      <c r="J4722" s="3595"/>
      <c r="K4722" s="3596"/>
      <c r="L4722" s="3594"/>
      <c r="M4722" s="3579">
        <v>500</v>
      </c>
      <c r="N4722" s="2847"/>
      <c r="O4722" s="86"/>
      <c r="P4722" s="1817" t="e">
        <f>INDEX(#REF!,MATCH(F4722,#REF!,0),2)</f>
        <v>#REF!</v>
      </c>
    </row>
    <row r="4723" spans="1:16">
      <c r="A4723" s="762"/>
      <c r="B4723" s="762" t="s">
        <v>1248</v>
      </c>
      <c r="C4723" s="810" t="s">
        <v>507</v>
      </c>
      <c r="D4723" s="1638"/>
      <c r="E4723" s="2291" t="s">
        <v>1914</v>
      </c>
      <c r="F4723" s="1092">
        <v>2341</v>
      </c>
      <c r="G4723" s="2516" t="s">
        <v>1397</v>
      </c>
      <c r="H4723" s="3594"/>
      <c r="I4723" s="3572">
        <v>150</v>
      </c>
      <c r="J4723" s="3595"/>
      <c r="K4723" s="3596"/>
      <c r="L4723" s="3594"/>
      <c r="M4723" s="3579">
        <v>150</v>
      </c>
      <c r="N4723" s="2847"/>
      <c r="O4723" s="86"/>
      <c r="P4723" s="1817" t="e">
        <f>INDEX(#REF!,MATCH(F4723,#REF!,0),2)</f>
        <v>#REF!</v>
      </c>
    </row>
    <row r="4724" spans="1:16" ht="33.75">
      <c r="A4724" s="762"/>
      <c r="B4724" s="762" t="s">
        <v>1248</v>
      </c>
      <c r="C4724" s="810" t="s">
        <v>507</v>
      </c>
      <c r="D4724" s="1638"/>
      <c r="E4724" s="2291" t="s">
        <v>1914</v>
      </c>
      <c r="F4724" s="1092">
        <v>2341</v>
      </c>
      <c r="G4724" s="2516" t="s">
        <v>1573</v>
      </c>
      <c r="H4724" s="3594"/>
      <c r="I4724" s="3572">
        <v>200</v>
      </c>
      <c r="J4724" s="3595"/>
      <c r="K4724" s="3596"/>
      <c r="L4724" s="3594"/>
      <c r="M4724" s="3579">
        <v>200</v>
      </c>
      <c r="N4724" s="2847"/>
      <c r="O4724" s="86"/>
      <c r="P4724" s="1817" t="e">
        <f>INDEX(#REF!,MATCH(F4724,#REF!,0),2)</f>
        <v>#REF!</v>
      </c>
    </row>
    <row r="4725" spans="1:16">
      <c r="A4725" s="755"/>
      <c r="B4725" s="755" t="s">
        <v>1248</v>
      </c>
      <c r="C4725" s="1091" t="s">
        <v>505</v>
      </c>
      <c r="D4725" s="1639" t="s">
        <v>1282</v>
      </c>
      <c r="E4725" s="2292" t="s">
        <v>1914</v>
      </c>
      <c r="F4725" s="1090">
        <v>2350</v>
      </c>
      <c r="G4725" s="3540" t="s">
        <v>290</v>
      </c>
      <c r="H4725" s="3557">
        <v>4800</v>
      </c>
      <c r="I4725" s="3607"/>
      <c r="J4725" s="3558">
        <v>4779</v>
      </c>
      <c r="K4725" s="2816"/>
      <c r="L4725" s="3557">
        <v>5250</v>
      </c>
      <c r="M4725" s="3576"/>
      <c r="N4725" s="2847"/>
      <c r="O4725" s="86"/>
      <c r="P4725" s="1817" t="e">
        <f>INDEX(#REF!,MATCH(F4725,#REF!,0),2)</f>
        <v>#REF!</v>
      </c>
    </row>
    <row r="4726" spans="1:16">
      <c r="A4726" s="1563"/>
      <c r="B4726" s="762" t="s">
        <v>1248</v>
      </c>
      <c r="C4726" s="810" t="s">
        <v>505</v>
      </c>
      <c r="D4726" s="1638"/>
      <c r="E4726" s="2291" t="s">
        <v>1914</v>
      </c>
      <c r="F4726" s="1092">
        <v>2350</v>
      </c>
      <c r="G4726" s="2516" t="s">
        <v>2618</v>
      </c>
      <c r="H4726" s="3592"/>
      <c r="I4726" s="3604">
        <v>3750</v>
      </c>
      <c r="J4726" s="3570"/>
      <c r="K4726" s="2821"/>
      <c r="L4726" s="3586"/>
      <c r="M4726" s="3579">
        <v>3750</v>
      </c>
      <c r="N4726" s="2847"/>
      <c r="O4726" s="86"/>
      <c r="P4726" s="1817" t="e">
        <f>INDEX(#REF!,MATCH(F4726,#REF!,0),2)</f>
        <v>#REF!</v>
      </c>
    </row>
    <row r="4727" spans="1:16" ht="22.5">
      <c r="A4727" s="1370"/>
      <c r="B4727" s="762" t="s">
        <v>1248</v>
      </c>
      <c r="C4727" s="810" t="s">
        <v>505</v>
      </c>
      <c r="D4727" s="1638"/>
      <c r="E4727" s="2291" t="s">
        <v>1914</v>
      </c>
      <c r="F4727" s="1092">
        <v>2350</v>
      </c>
      <c r="G4727" s="2516" t="s">
        <v>2619</v>
      </c>
      <c r="H4727" s="3592"/>
      <c r="I4727" s="3604">
        <v>5000</v>
      </c>
      <c r="J4727" s="3570"/>
      <c r="K4727" s="2821"/>
      <c r="L4727" s="3586"/>
      <c r="M4727" s="4288">
        <v>1500</v>
      </c>
      <c r="N4727" s="241" t="s">
        <v>5156</v>
      </c>
      <c r="O4727" s="86"/>
      <c r="P4727" s="1817" t="e">
        <f>INDEX(#REF!,MATCH(F4727,#REF!,0),2)</f>
        <v>#REF!</v>
      </c>
    </row>
    <row r="4728" spans="1:16" ht="45">
      <c r="A4728" s="1882"/>
      <c r="B4728" s="762" t="s">
        <v>1248</v>
      </c>
      <c r="C4728" s="810" t="s">
        <v>505</v>
      </c>
      <c r="D4728" s="1638"/>
      <c r="E4728" s="2291" t="s">
        <v>1914</v>
      </c>
      <c r="F4728" s="1092">
        <v>2350</v>
      </c>
      <c r="G4728" s="3555" t="s">
        <v>3283</v>
      </c>
      <c r="H4728" s="3592"/>
      <c r="I4728" s="3604">
        <v>-4000</v>
      </c>
      <c r="J4728" s="3570"/>
      <c r="K4728" s="2821"/>
      <c r="L4728" s="3578"/>
      <c r="M4728" s="3564"/>
      <c r="N4728" s="2847"/>
      <c r="O4728" s="86"/>
      <c r="P4728" s="1817" t="e">
        <f>INDEX(#REF!,MATCH(F4728,#REF!,0),2)</f>
        <v>#REF!</v>
      </c>
    </row>
    <row r="4729" spans="1:16">
      <c r="A4729" s="755"/>
      <c r="B4729" s="755" t="s">
        <v>1249</v>
      </c>
      <c r="C4729" s="1091" t="s">
        <v>505</v>
      </c>
      <c r="D4729" s="1639" t="s">
        <v>1282</v>
      </c>
      <c r="E4729" s="2292" t="s">
        <v>1914</v>
      </c>
      <c r="F4729" s="1090">
        <v>2361</v>
      </c>
      <c r="G4729" s="3540" t="s">
        <v>3759</v>
      </c>
      <c r="H4729" s="3557"/>
      <c r="I4729" s="3617"/>
      <c r="J4729" s="3558"/>
      <c r="K4729" s="2816"/>
      <c r="L4729" s="3557">
        <v>7036.2199999999993</v>
      </c>
      <c r="M4729" s="3576"/>
      <c r="N4729" s="2847"/>
      <c r="O4729" s="86"/>
      <c r="P4729" s="1817" t="e">
        <f>INDEX(#REF!,MATCH(F4729,#REF!,0),2)</f>
        <v>#REF!</v>
      </c>
    </row>
    <row r="4730" spans="1:16" ht="22.5">
      <c r="A4730" s="762"/>
      <c r="B4730" s="762" t="s">
        <v>1249</v>
      </c>
      <c r="C4730" s="810" t="s">
        <v>505</v>
      </c>
      <c r="D4730" s="1638"/>
      <c r="E4730" s="2291" t="s">
        <v>1914</v>
      </c>
      <c r="F4730" s="1092">
        <v>2361</v>
      </c>
      <c r="G4730" s="2516" t="s">
        <v>6232</v>
      </c>
      <c r="H4730" s="3592"/>
      <c r="I4730" s="3604"/>
      <c r="J4730" s="3570"/>
      <c r="K4730" s="2821"/>
      <c r="L4730" s="3586"/>
      <c r="M4730" s="4597">
        <v>624.29999999999995</v>
      </c>
      <c r="N4730" s="2847"/>
      <c r="O4730" s="86"/>
      <c r="P4730" s="1817" t="e">
        <f>INDEX(#REF!,MATCH(F4730,#REF!,0),2)</f>
        <v>#REF!</v>
      </c>
    </row>
    <row r="4731" spans="1:16" ht="22.5">
      <c r="A4731" s="762"/>
      <c r="B4731" s="762" t="s">
        <v>1249</v>
      </c>
      <c r="C4731" s="810" t="s">
        <v>505</v>
      </c>
      <c r="D4731" s="1638"/>
      <c r="E4731" s="2291" t="s">
        <v>1914</v>
      </c>
      <c r="F4731" s="1092">
        <v>2361</v>
      </c>
      <c r="G4731" s="2516" t="s">
        <v>6233</v>
      </c>
      <c r="H4731" s="3592"/>
      <c r="I4731" s="3604"/>
      <c r="J4731" s="3570"/>
      <c r="K4731" s="2821"/>
      <c r="L4731" s="3586"/>
      <c r="M4731" s="4597">
        <v>710.19999999999993</v>
      </c>
      <c r="N4731" s="2847"/>
      <c r="O4731" s="86"/>
      <c r="P4731" s="1817" t="e">
        <f>INDEX(#REF!,MATCH(F4731,#REF!,0),2)</f>
        <v>#REF!</v>
      </c>
    </row>
    <row r="4732" spans="1:16" ht="22.5">
      <c r="A4732" s="4582"/>
      <c r="B4732" s="762" t="s">
        <v>1249</v>
      </c>
      <c r="C4732" s="810" t="s">
        <v>505</v>
      </c>
      <c r="D4732" s="1638"/>
      <c r="E4732" s="2291" t="s">
        <v>1914</v>
      </c>
      <c r="F4732" s="1092">
        <v>2361</v>
      </c>
      <c r="G4732" s="2516" t="s">
        <v>6234</v>
      </c>
      <c r="H4732" s="4600"/>
      <c r="I4732" s="4611"/>
      <c r="J4732" s="4601"/>
      <c r="K4732" s="4602"/>
      <c r="L4732" s="4603"/>
      <c r="M4732" s="4597">
        <v>2429.04</v>
      </c>
      <c r="N4732" s="2847"/>
      <c r="O4732" s="86"/>
      <c r="P4732" s="1817" t="e">
        <f>INDEX(#REF!,MATCH(F4732,#REF!,0),2)</f>
        <v>#REF!</v>
      </c>
    </row>
    <row r="4733" spans="1:16">
      <c r="A4733" s="4582"/>
      <c r="B4733" s="762" t="s">
        <v>1249</v>
      </c>
      <c r="C4733" s="810" t="s">
        <v>505</v>
      </c>
      <c r="D4733" s="1638"/>
      <c r="E4733" s="2291" t="s">
        <v>1914</v>
      </c>
      <c r="F4733" s="1092">
        <v>2361</v>
      </c>
      <c r="G4733" s="4599" t="s">
        <v>6235</v>
      </c>
      <c r="H4733" s="4600"/>
      <c r="I4733" s="4611"/>
      <c r="J4733" s="4601"/>
      <c r="K4733" s="4602"/>
      <c r="L4733" s="4603"/>
      <c r="M4733" s="4597">
        <v>1690.08</v>
      </c>
      <c r="N4733" s="2847"/>
      <c r="O4733" s="86"/>
      <c r="P4733" s="1817" t="e">
        <f>INDEX(#REF!,MATCH(F4733,#REF!,0),2)</f>
        <v>#REF!</v>
      </c>
    </row>
    <row r="4734" spans="1:16">
      <c r="A4734" s="762"/>
      <c r="B4734" s="762" t="s">
        <v>1249</v>
      </c>
      <c r="C4734" s="810" t="s">
        <v>505</v>
      </c>
      <c r="D4734" s="1638"/>
      <c r="E4734" s="2291" t="s">
        <v>1914</v>
      </c>
      <c r="F4734" s="1092">
        <v>2361</v>
      </c>
      <c r="G4734" s="4599" t="s">
        <v>6236</v>
      </c>
      <c r="H4734" s="3592"/>
      <c r="I4734" s="3604"/>
      <c r="J4734" s="3570"/>
      <c r="K4734" s="2821"/>
      <c r="L4734" s="3586"/>
      <c r="M4734" s="4597">
        <v>1582.6</v>
      </c>
      <c r="N4734" s="2847"/>
      <c r="O4734" s="86"/>
      <c r="P4734" s="1817" t="e">
        <f>INDEX(#REF!,MATCH(F4734,#REF!,0),2)</f>
        <v>#REF!</v>
      </c>
    </row>
    <row r="4735" spans="1:16">
      <c r="A4735" s="755"/>
      <c r="B4735" s="755" t="s">
        <v>512</v>
      </c>
      <c r="C4735" s="1091" t="s">
        <v>506</v>
      </c>
      <c r="D4735" s="1639" t="s">
        <v>1282</v>
      </c>
      <c r="E4735" s="2292" t="s">
        <v>1915</v>
      </c>
      <c r="F4735" s="1090">
        <v>2363</v>
      </c>
      <c r="G4735" s="3540" t="s">
        <v>1574</v>
      </c>
      <c r="H4735" s="3597">
        <v>74869</v>
      </c>
      <c r="I4735" s="3617"/>
      <c r="J4735" s="3558"/>
      <c r="K4735" s="2816"/>
      <c r="L4735" s="4594">
        <v>66180.800000000003</v>
      </c>
      <c r="M4735" s="3576"/>
      <c r="N4735" s="3605" t="s">
        <v>4884</v>
      </c>
      <c r="O4735" s="86"/>
      <c r="P4735" s="1817" t="e">
        <f>INDEX(#REF!,MATCH(F4735,#REF!,0),2)</f>
        <v>#REF!</v>
      </c>
    </row>
    <row r="4736" spans="1:16">
      <c r="A4736" s="762"/>
      <c r="B4736" s="762" t="s">
        <v>512</v>
      </c>
      <c r="C4736" s="810" t="s">
        <v>506</v>
      </c>
      <c r="D4736" s="1638"/>
      <c r="E4736" s="2291" t="s">
        <v>1915</v>
      </c>
      <c r="F4736" s="1092">
        <v>2363</v>
      </c>
      <c r="G4736" s="2516" t="s">
        <v>3061</v>
      </c>
      <c r="H4736" s="3592"/>
      <c r="I4736" s="3604">
        <v>25376</v>
      </c>
      <c r="J4736" s="3570"/>
      <c r="K4736" s="2821"/>
      <c r="L4736" s="3586"/>
      <c r="M4736" s="3579"/>
      <c r="N4736" s="2847"/>
      <c r="O4736" s="86"/>
      <c r="P4736" s="1817" t="e">
        <f>INDEX(#REF!,MATCH(F4736,#REF!,0),2)</f>
        <v>#REF!</v>
      </c>
    </row>
    <row r="4737" spans="1:16" ht="22.5">
      <c r="A4737" s="762"/>
      <c r="B4737" s="762" t="s">
        <v>512</v>
      </c>
      <c r="C4737" s="810" t="s">
        <v>506</v>
      </c>
      <c r="D4737" s="1638"/>
      <c r="E4737" s="2291" t="s">
        <v>1915</v>
      </c>
      <c r="F4737" s="1092">
        <v>2363</v>
      </c>
      <c r="G4737" s="2516" t="s">
        <v>2620</v>
      </c>
      <c r="H4737" s="3592"/>
      <c r="I4737" s="3604">
        <v>26273</v>
      </c>
      <c r="J4737" s="3570"/>
      <c r="K4737" s="2821"/>
      <c r="L4737" s="3586"/>
      <c r="M4737" s="3579">
        <v>36255.800000000003</v>
      </c>
      <c r="N4737" s="2847"/>
      <c r="O4737" s="86"/>
      <c r="P4737" s="1817" t="e">
        <f>INDEX(#REF!,MATCH(F4737,#REF!,0),2)</f>
        <v>#REF!</v>
      </c>
    </row>
    <row r="4738" spans="1:16" ht="22.5">
      <c r="A4738" s="762"/>
      <c r="B4738" s="762" t="s">
        <v>512</v>
      </c>
      <c r="C4738" s="810" t="s">
        <v>506</v>
      </c>
      <c r="D4738" s="1638"/>
      <c r="E4738" s="2291" t="s">
        <v>1915</v>
      </c>
      <c r="F4738" s="1092">
        <v>2363</v>
      </c>
      <c r="G4738" s="2516" t="s">
        <v>2621</v>
      </c>
      <c r="H4738" s="3592"/>
      <c r="I4738" s="3604">
        <v>23219.999999999996</v>
      </c>
      <c r="J4738" s="3570"/>
      <c r="K4738" s="2821"/>
      <c r="L4738" s="3586"/>
      <c r="M4738" s="3579">
        <v>29925</v>
      </c>
      <c r="N4738" s="2847"/>
      <c r="O4738" s="86"/>
      <c r="P4738" s="1817" t="e">
        <f>INDEX(#REF!,MATCH(F4738,#REF!,0),2)</f>
        <v>#REF!</v>
      </c>
    </row>
    <row r="4739" spans="1:16">
      <c r="A4739" s="755"/>
      <c r="B4739" s="755" t="s">
        <v>1248</v>
      </c>
      <c r="C4739" s="1091" t="s">
        <v>507</v>
      </c>
      <c r="D4739" s="1639" t="s">
        <v>1282</v>
      </c>
      <c r="E4739" s="2292" t="s">
        <v>1914</v>
      </c>
      <c r="F4739" s="1090">
        <v>2363</v>
      </c>
      <c r="G4739" s="3540" t="s">
        <v>1574</v>
      </c>
      <c r="H4739" s="3573">
        <v>78805.399999999994</v>
      </c>
      <c r="I4739" s="3617"/>
      <c r="J4739" s="3558">
        <v>53436</v>
      </c>
      <c r="K4739" s="2816"/>
      <c r="L4739" s="3557">
        <v>66180.800000000003</v>
      </c>
      <c r="M4739" s="3560"/>
      <c r="N4739" s="3506">
        <f>L4739-H4739</f>
        <v>-12624.599999999991</v>
      </c>
      <c r="O4739" s="86"/>
      <c r="P4739" s="1817" t="e">
        <f>INDEX(#REF!,MATCH(F4739,#REF!,0),2)</f>
        <v>#REF!</v>
      </c>
    </row>
    <row r="4740" spans="1:16" ht="22.5">
      <c r="A4740" s="762"/>
      <c r="B4740" s="762" t="s">
        <v>1248</v>
      </c>
      <c r="C4740" s="810" t="s">
        <v>507</v>
      </c>
      <c r="D4740" s="1638"/>
      <c r="E4740" s="2291" t="s">
        <v>1914</v>
      </c>
      <c r="F4740" s="1092">
        <v>2363</v>
      </c>
      <c r="G4740" s="2516" t="s">
        <v>2620</v>
      </c>
      <c r="H4740" s="3592"/>
      <c r="I4740" s="3604">
        <v>38737.399999999994</v>
      </c>
      <c r="J4740" s="3570"/>
      <c r="K4740" s="2821"/>
      <c r="L4740" s="3578"/>
      <c r="M4740" s="3606">
        <v>36255.800000000003</v>
      </c>
      <c r="N4740" s="2847"/>
      <c r="O4740" s="86"/>
      <c r="P4740" s="1817" t="e">
        <f>INDEX(#REF!,MATCH(F4740,#REF!,0),2)</f>
        <v>#REF!</v>
      </c>
    </row>
    <row r="4741" spans="1:16" ht="22.5">
      <c r="A4741" s="1563"/>
      <c r="B4741" s="762" t="s">
        <v>1248</v>
      </c>
      <c r="C4741" s="810" t="s">
        <v>507</v>
      </c>
      <c r="D4741" s="1638"/>
      <c r="E4741" s="2291" t="s">
        <v>1914</v>
      </c>
      <c r="F4741" s="1092">
        <v>2363</v>
      </c>
      <c r="G4741" s="2516" t="s">
        <v>2621</v>
      </c>
      <c r="H4741" s="3592"/>
      <c r="I4741" s="3604">
        <v>40068</v>
      </c>
      <c r="J4741" s="3570"/>
      <c r="K4741" s="2821"/>
      <c r="L4741" s="3578"/>
      <c r="M4741" s="3606">
        <v>29925</v>
      </c>
      <c r="N4741" s="2847"/>
      <c r="O4741" s="86"/>
      <c r="P4741" s="1817" t="e">
        <f>INDEX(#REF!,MATCH(F4741,#REF!,0),2)</f>
        <v>#REF!</v>
      </c>
    </row>
    <row r="4742" spans="1:16" ht="22.5">
      <c r="A4742" s="762"/>
      <c r="B4742" s="762" t="s">
        <v>1248</v>
      </c>
      <c r="C4742" s="810" t="s">
        <v>507</v>
      </c>
      <c r="D4742" s="1638"/>
      <c r="E4742" s="2291" t="s">
        <v>1914</v>
      </c>
      <c r="F4742" s="1092">
        <v>2363</v>
      </c>
      <c r="G4742" s="2516" t="s">
        <v>1575</v>
      </c>
      <c r="H4742" s="3592"/>
      <c r="I4742" s="3604"/>
      <c r="J4742" s="3570"/>
      <c r="K4742" s="2821"/>
      <c r="L4742" s="3578"/>
      <c r="M4742" s="3564"/>
      <c r="N4742" s="2847"/>
      <c r="O4742" s="86"/>
      <c r="P4742" s="1817" t="e">
        <f>INDEX(#REF!,MATCH(F4742,#REF!,0),2)</f>
        <v>#REF!</v>
      </c>
    </row>
    <row r="4743" spans="1:16">
      <c r="A4743" s="762"/>
      <c r="B4743" s="762" t="s">
        <v>1248</v>
      </c>
      <c r="C4743" s="810" t="s">
        <v>507</v>
      </c>
      <c r="D4743" s="1638"/>
      <c r="E4743" s="2291" t="s">
        <v>1914</v>
      </c>
      <c r="F4743" s="1092">
        <v>2363</v>
      </c>
      <c r="G4743" s="2516" t="s">
        <v>1180</v>
      </c>
      <c r="H4743" s="3592"/>
      <c r="I4743" s="3604"/>
      <c r="J4743" s="3570"/>
      <c r="K4743" s="2821"/>
      <c r="L4743" s="3578"/>
      <c r="M4743" s="3564"/>
      <c r="N4743" s="2847"/>
      <c r="O4743" s="86"/>
      <c r="P4743" s="1817" t="e">
        <f>INDEX(#REF!,MATCH(F4743,#REF!,0),2)</f>
        <v>#REF!</v>
      </c>
    </row>
    <row r="4744" spans="1:16">
      <c r="A4744" s="755"/>
      <c r="B4744" s="755" t="s">
        <v>1248</v>
      </c>
      <c r="C4744" s="1091" t="s">
        <v>507</v>
      </c>
      <c r="D4744" s="1639"/>
      <c r="E4744" s="2292" t="s">
        <v>1914</v>
      </c>
      <c r="F4744" s="1090">
        <v>2370</v>
      </c>
      <c r="G4744" s="3540" t="s">
        <v>365</v>
      </c>
      <c r="H4744" s="3573">
        <v>19100</v>
      </c>
      <c r="I4744" s="3617"/>
      <c r="J4744" s="3558">
        <v>16376</v>
      </c>
      <c r="K4744" s="2816"/>
      <c r="L4744" s="3557">
        <v>18300</v>
      </c>
      <c r="M4744" s="3560"/>
      <c r="N4744" s="2847"/>
      <c r="O4744" s="86"/>
      <c r="P4744" s="1817" t="e">
        <f>INDEX(#REF!,MATCH(F4744,#REF!,0),2)</f>
        <v>#REF!</v>
      </c>
    </row>
    <row r="4745" spans="1:16">
      <c r="A4745" s="762"/>
      <c r="B4745" s="762" t="s">
        <v>1248</v>
      </c>
      <c r="C4745" s="810" t="s">
        <v>507</v>
      </c>
      <c r="D4745" s="1638"/>
      <c r="E4745" s="2291" t="s">
        <v>1914</v>
      </c>
      <c r="F4745" s="1092">
        <v>2370</v>
      </c>
      <c r="G4745" s="2516" t="s">
        <v>2623</v>
      </c>
      <c r="H4745" s="3592"/>
      <c r="I4745" s="3604">
        <v>900</v>
      </c>
      <c r="J4745" s="3570"/>
      <c r="K4745" s="2821"/>
      <c r="L4745" s="3578"/>
      <c r="M4745" s="3579">
        <v>900</v>
      </c>
      <c r="N4745" s="2847"/>
      <c r="O4745" s="86"/>
      <c r="P4745" s="1817" t="e">
        <f>INDEX(#REF!,MATCH(F4745,#REF!,0),2)</f>
        <v>#REF!</v>
      </c>
    </row>
    <row r="4746" spans="1:16" ht="22.5">
      <c r="A4746" s="762"/>
      <c r="B4746" s="762" t="s">
        <v>1248</v>
      </c>
      <c r="C4746" s="810" t="s">
        <v>507</v>
      </c>
      <c r="D4746" s="1638"/>
      <c r="E4746" s="2291" t="s">
        <v>1914</v>
      </c>
      <c r="F4746" s="1092">
        <v>2370</v>
      </c>
      <c r="G4746" s="2516" t="s">
        <v>2624</v>
      </c>
      <c r="H4746" s="3592"/>
      <c r="I4746" s="3604">
        <v>900</v>
      </c>
      <c r="J4746" s="3570"/>
      <c r="K4746" s="2821"/>
      <c r="L4746" s="3578"/>
      <c r="M4746" s="3579">
        <v>900</v>
      </c>
      <c r="N4746" s="2847"/>
      <c r="O4746" s="86"/>
      <c r="P4746" s="1817" t="e">
        <f>INDEX(#REF!,MATCH(F4746,#REF!,0),2)</f>
        <v>#REF!</v>
      </c>
    </row>
    <row r="4747" spans="1:16" ht="33.75">
      <c r="A4747" s="762"/>
      <c r="B4747" s="762" t="s">
        <v>1248</v>
      </c>
      <c r="C4747" s="810" t="s">
        <v>507</v>
      </c>
      <c r="D4747" s="1638"/>
      <c r="E4747" s="2291" t="s">
        <v>1914</v>
      </c>
      <c r="F4747" s="1092">
        <v>2370</v>
      </c>
      <c r="G4747" s="2516" t="s">
        <v>2625</v>
      </c>
      <c r="H4747" s="3592"/>
      <c r="I4747" s="3604">
        <v>3000</v>
      </c>
      <c r="J4747" s="3570"/>
      <c r="K4747" s="2821"/>
      <c r="L4747" s="3578"/>
      <c r="M4747" s="3579">
        <v>3000</v>
      </c>
      <c r="N4747" s="2847"/>
      <c r="O4747" s="86"/>
      <c r="P4747" s="1817" t="e">
        <f>INDEX(#REF!,MATCH(F4747,#REF!,0),2)</f>
        <v>#REF!</v>
      </c>
    </row>
    <row r="4748" spans="1:16" ht="22.5">
      <c r="A4748" s="762"/>
      <c r="B4748" s="762" t="s">
        <v>1248</v>
      </c>
      <c r="C4748" s="810" t="s">
        <v>507</v>
      </c>
      <c r="D4748" s="1638"/>
      <c r="E4748" s="2291" t="s">
        <v>1914</v>
      </c>
      <c r="F4748" s="1092">
        <v>2370</v>
      </c>
      <c r="G4748" s="2516" t="s">
        <v>2626</v>
      </c>
      <c r="H4748" s="3592"/>
      <c r="I4748" s="3604">
        <v>900</v>
      </c>
      <c r="J4748" s="3570"/>
      <c r="K4748" s="2821"/>
      <c r="L4748" s="3578"/>
      <c r="M4748" s="3579">
        <v>900</v>
      </c>
      <c r="N4748" s="2847"/>
      <c r="O4748" s="86"/>
      <c r="P4748" s="1817" t="e">
        <f>INDEX(#REF!,MATCH(F4748,#REF!,0),2)</f>
        <v>#REF!</v>
      </c>
    </row>
    <row r="4749" spans="1:16" ht="33.75">
      <c r="A4749" s="762"/>
      <c r="B4749" s="762" t="s">
        <v>1248</v>
      </c>
      <c r="C4749" s="810" t="s">
        <v>507</v>
      </c>
      <c r="D4749" s="1638"/>
      <c r="E4749" s="2291" t="s">
        <v>1914</v>
      </c>
      <c r="F4749" s="1092">
        <v>2370</v>
      </c>
      <c r="G4749" s="2516" t="s">
        <v>2627</v>
      </c>
      <c r="H4749" s="3592"/>
      <c r="I4749" s="3604">
        <v>3000</v>
      </c>
      <c r="J4749" s="3570"/>
      <c r="K4749" s="2821"/>
      <c r="L4749" s="3578"/>
      <c r="M4749" s="3579">
        <v>3000</v>
      </c>
      <c r="N4749" s="2847"/>
      <c r="O4749" s="86"/>
      <c r="P4749" s="1817" t="e">
        <f>INDEX(#REF!,MATCH(F4749,#REF!,0),2)</f>
        <v>#REF!</v>
      </c>
    </row>
    <row r="4750" spans="1:16" ht="18" customHeight="1">
      <c r="A4750" s="762"/>
      <c r="B4750" s="762" t="s">
        <v>1248</v>
      </c>
      <c r="C4750" s="810" t="s">
        <v>507</v>
      </c>
      <c r="D4750" s="1638"/>
      <c r="E4750" s="2291" t="s">
        <v>1914</v>
      </c>
      <c r="F4750" s="1092">
        <v>2370</v>
      </c>
      <c r="G4750" s="2516" t="s">
        <v>2628</v>
      </c>
      <c r="H4750" s="3592"/>
      <c r="I4750" s="3604">
        <v>1000</v>
      </c>
      <c r="J4750" s="3570"/>
      <c r="K4750" s="2821"/>
      <c r="L4750" s="3578"/>
      <c r="M4750" s="3579">
        <v>1000</v>
      </c>
      <c r="N4750" s="2847"/>
      <c r="O4750" s="86"/>
      <c r="P4750" s="1817" t="e">
        <f>INDEX(#REF!,MATCH(F4750,#REF!,0),2)</f>
        <v>#REF!</v>
      </c>
    </row>
    <row r="4751" spans="1:16" ht="33.75">
      <c r="A4751" s="762"/>
      <c r="B4751" s="762" t="s">
        <v>1248</v>
      </c>
      <c r="C4751" s="810" t="s">
        <v>507</v>
      </c>
      <c r="D4751" s="1638"/>
      <c r="E4751" s="2291" t="s">
        <v>1914</v>
      </c>
      <c r="F4751" s="1092">
        <v>2370</v>
      </c>
      <c r="G4751" s="2516" t="s">
        <v>2629</v>
      </c>
      <c r="H4751" s="3592"/>
      <c r="I4751" s="3604">
        <v>3000</v>
      </c>
      <c r="J4751" s="3570"/>
      <c r="K4751" s="2821"/>
      <c r="L4751" s="3578"/>
      <c r="M4751" s="3579">
        <v>3000</v>
      </c>
      <c r="N4751" s="2847"/>
      <c r="O4751" s="86"/>
      <c r="P4751" s="1817" t="e">
        <f>INDEX(#REF!,MATCH(F4751,#REF!,0),2)</f>
        <v>#REF!</v>
      </c>
    </row>
    <row r="4752" spans="1:16">
      <c r="A4752" s="762"/>
      <c r="B4752" s="762" t="s">
        <v>1248</v>
      </c>
      <c r="C4752" s="810" t="s">
        <v>507</v>
      </c>
      <c r="D4752" s="1638"/>
      <c r="E4752" s="2291" t="s">
        <v>1914</v>
      </c>
      <c r="F4752" s="1092">
        <v>2370</v>
      </c>
      <c r="G4752" s="2516" t="s">
        <v>2630</v>
      </c>
      <c r="H4752" s="3592"/>
      <c r="I4752" s="3604">
        <v>600</v>
      </c>
      <c r="J4752" s="3570"/>
      <c r="K4752" s="2821"/>
      <c r="L4752" s="3578"/>
      <c r="M4752" s="3579">
        <v>600</v>
      </c>
      <c r="N4752" s="2847"/>
      <c r="O4752" s="86"/>
      <c r="P4752" s="1817" t="e">
        <f>INDEX(#REF!,MATCH(F4752,#REF!,0),2)</f>
        <v>#REF!</v>
      </c>
    </row>
    <row r="4753" spans="1:16" ht="22.5">
      <c r="A4753" s="762"/>
      <c r="B4753" s="762" t="s">
        <v>1248</v>
      </c>
      <c r="C4753" s="810" t="s">
        <v>507</v>
      </c>
      <c r="D4753" s="1638"/>
      <c r="E4753" s="2291" t="s">
        <v>1914</v>
      </c>
      <c r="F4753" s="1092">
        <v>2370</v>
      </c>
      <c r="G4753" s="2516" t="s">
        <v>2631</v>
      </c>
      <c r="H4753" s="3592"/>
      <c r="I4753" s="3604">
        <v>500</v>
      </c>
      <c r="J4753" s="3570"/>
      <c r="K4753" s="2821"/>
      <c r="L4753" s="3578"/>
      <c r="M4753" s="3579">
        <v>500</v>
      </c>
      <c r="N4753" s="2847"/>
      <c r="O4753" s="86"/>
      <c r="P4753" s="1817" t="e">
        <f>INDEX(#REF!,MATCH(F4753,#REF!,0),2)</f>
        <v>#REF!</v>
      </c>
    </row>
    <row r="4754" spans="1:16">
      <c r="A4754" s="762"/>
      <c r="B4754" s="762" t="s">
        <v>1248</v>
      </c>
      <c r="C4754" s="810" t="s">
        <v>507</v>
      </c>
      <c r="D4754" s="1638"/>
      <c r="E4754" s="2291" t="s">
        <v>1914</v>
      </c>
      <c r="F4754" s="1092">
        <v>2370</v>
      </c>
      <c r="G4754" s="3004" t="s">
        <v>447</v>
      </c>
      <c r="H4754" s="3592"/>
      <c r="I4754" s="3604">
        <v>3500</v>
      </c>
      <c r="J4754" s="3570"/>
      <c r="K4754" s="2821"/>
      <c r="L4754" s="3578"/>
      <c r="M4754" s="3579">
        <v>4500</v>
      </c>
      <c r="N4754" s="2847" t="s">
        <v>4885</v>
      </c>
      <c r="O4754" s="86"/>
      <c r="P4754" s="1817" t="e">
        <f>INDEX(#REF!,MATCH(F4754,#REF!,0),2)</f>
        <v>#REF!</v>
      </c>
    </row>
    <row r="4755" spans="1:16">
      <c r="A4755" s="755"/>
      <c r="B4755" s="755" t="s">
        <v>512</v>
      </c>
      <c r="C4755" s="1091" t="s">
        <v>507</v>
      </c>
      <c r="D4755" s="1639" t="s">
        <v>1282</v>
      </c>
      <c r="E4755" s="2292" t="s">
        <v>1915</v>
      </c>
      <c r="F4755" s="1090">
        <v>2370</v>
      </c>
      <c r="G4755" s="3540" t="s">
        <v>365</v>
      </c>
      <c r="H4755" s="3597">
        <v>7456</v>
      </c>
      <c r="I4755" s="3617"/>
      <c r="J4755" s="3558"/>
      <c r="K4755" s="2816"/>
      <c r="L4755" s="3598">
        <v>6000</v>
      </c>
      <c r="M4755" s="3560"/>
      <c r="N4755" s="3605" t="s">
        <v>4884</v>
      </c>
      <c r="O4755" s="86"/>
      <c r="P4755" s="1817" t="e">
        <f>INDEX(#REF!,MATCH(F4755,#REF!,0),2)</f>
        <v>#REF!</v>
      </c>
    </row>
    <row r="4756" spans="1:16" ht="22.5">
      <c r="A4756" s="1268"/>
      <c r="B4756" s="762" t="s">
        <v>512</v>
      </c>
      <c r="C4756" s="810" t="s">
        <v>507</v>
      </c>
      <c r="D4756" s="1638"/>
      <c r="E4756" s="2291" t="s">
        <v>1915</v>
      </c>
      <c r="F4756" s="1092">
        <v>2370</v>
      </c>
      <c r="G4756" s="2516" t="s">
        <v>3241</v>
      </c>
      <c r="H4756" s="3592"/>
      <c r="I4756" s="3604">
        <v>7456</v>
      </c>
      <c r="J4756" s="3570"/>
      <c r="K4756" s="2821"/>
      <c r="L4756" s="3578"/>
      <c r="M4756" s="3564">
        <v>6000</v>
      </c>
      <c r="N4756" s="2847"/>
      <c r="O4756" s="86"/>
      <c r="P4756" s="1817" t="e">
        <f>INDEX(#REF!,MATCH(F4756,#REF!,0),2)</f>
        <v>#REF!</v>
      </c>
    </row>
    <row r="4757" spans="1:16">
      <c r="A4757" s="755"/>
      <c r="B4757" s="755" t="s">
        <v>1248</v>
      </c>
      <c r="C4757" s="1091" t="s">
        <v>505</v>
      </c>
      <c r="D4757" s="1639" t="s">
        <v>1282</v>
      </c>
      <c r="E4757" s="2292" t="s">
        <v>1914</v>
      </c>
      <c r="F4757" s="1090">
        <v>2390</v>
      </c>
      <c r="G4757" s="3540" t="s">
        <v>253</v>
      </c>
      <c r="H4757" s="3573">
        <v>4450</v>
      </c>
      <c r="I4757" s="3617"/>
      <c r="J4757" s="3558">
        <v>1434</v>
      </c>
      <c r="K4757" s="2816"/>
      <c r="L4757" s="3557">
        <v>1925</v>
      </c>
      <c r="M4757" s="3560"/>
      <c r="N4757" s="2847"/>
      <c r="O4757" s="86"/>
      <c r="P4757" s="1817" t="e">
        <f>INDEX(#REF!,MATCH(F4757,#REF!,0),2)</f>
        <v>#REF!</v>
      </c>
    </row>
    <row r="4758" spans="1:16" ht="22.5">
      <c r="A4758" s="762"/>
      <c r="B4758" s="762" t="s">
        <v>1248</v>
      </c>
      <c r="C4758" s="810" t="s">
        <v>507</v>
      </c>
      <c r="D4758" s="1638"/>
      <c r="E4758" s="2291" t="s">
        <v>1914</v>
      </c>
      <c r="F4758" s="1092">
        <v>2390</v>
      </c>
      <c r="G4758" s="2516" t="s">
        <v>2622</v>
      </c>
      <c r="H4758" s="3592"/>
      <c r="I4758" s="3604">
        <v>300</v>
      </c>
      <c r="J4758" s="3570"/>
      <c r="K4758" s="2821"/>
      <c r="L4758" s="3578"/>
      <c r="M4758" s="3579">
        <v>300</v>
      </c>
      <c r="N4758" s="2847"/>
      <c r="O4758" s="86"/>
      <c r="P4758" s="1817" t="e">
        <f>INDEX(#REF!,MATCH(F4758,#REF!,0),2)</f>
        <v>#REF!</v>
      </c>
    </row>
    <row r="4759" spans="1:16" ht="67.5">
      <c r="A4759" s="762"/>
      <c r="B4759" s="762" t="s">
        <v>1248</v>
      </c>
      <c r="C4759" s="810" t="s">
        <v>505</v>
      </c>
      <c r="D4759" s="1638"/>
      <c r="E4759" s="2291" t="s">
        <v>1914</v>
      </c>
      <c r="F4759" s="1092">
        <v>2390</v>
      </c>
      <c r="G4759" s="2516" t="s">
        <v>2634</v>
      </c>
      <c r="H4759" s="3592"/>
      <c r="I4759" s="3604">
        <v>1250</v>
      </c>
      <c r="J4759" s="3570"/>
      <c r="K4759" s="2821"/>
      <c r="L4759" s="3578"/>
      <c r="M4759" s="4288">
        <v>625</v>
      </c>
      <c r="N4759" s="2396" t="s">
        <v>6012</v>
      </c>
      <c r="O4759" s="86"/>
      <c r="P4759" s="1817"/>
    </row>
    <row r="4760" spans="1:16">
      <c r="A4760" s="762"/>
      <c r="B4760" s="762" t="s">
        <v>1248</v>
      </c>
      <c r="C4760" s="810" t="s">
        <v>505</v>
      </c>
      <c r="D4760" s="1638"/>
      <c r="E4760" s="2291" t="s">
        <v>1914</v>
      </c>
      <c r="F4760" s="1092">
        <v>2390</v>
      </c>
      <c r="G4760" s="2516" t="s">
        <v>2635</v>
      </c>
      <c r="H4760" s="3592"/>
      <c r="I4760" s="3604">
        <v>1250</v>
      </c>
      <c r="J4760" s="3570"/>
      <c r="K4760" s="2821"/>
      <c r="L4760" s="3578"/>
      <c r="M4760" s="3579">
        <v>1000</v>
      </c>
      <c r="N4760" s="2847"/>
      <c r="O4760" s="86"/>
      <c r="P4760" s="1817"/>
    </row>
    <row r="4761" spans="1:16" ht="22.5">
      <c r="A4761" s="755"/>
      <c r="B4761" s="755" t="s">
        <v>1250</v>
      </c>
      <c r="C4761" s="1091" t="s">
        <v>654</v>
      </c>
      <c r="D4761" s="1639" t="s">
        <v>1282</v>
      </c>
      <c r="E4761" s="2292" t="s">
        <v>1914</v>
      </c>
      <c r="F4761" s="1090">
        <v>5120</v>
      </c>
      <c r="G4761" s="3540" t="s">
        <v>899</v>
      </c>
      <c r="H4761" s="3557">
        <v>0</v>
      </c>
      <c r="I4761" s="3616"/>
      <c r="J4761" s="3558"/>
      <c r="K4761" s="2816"/>
      <c r="L4761" s="3557">
        <v>0</v>
      </c>
      <c r="M4761" s="3576"/>
      <c r="N4761" s="2847"/>
      <c r="O4761" s="86"/>
      <c r="P4761" s="1817"/>
    </row>
    <row r="4762" spans="1:16">
      <c r="A4762" s="762"/>
      <c r="B4762" s="762" t="s">
        <v>1250</v>
      </c>
      <c r="C4762" s="810" t="s">
        <v>654</v>
      </c>
      <c r="D4762" s="1638"/>
      <c r="E4762" s="2291" t="s">
        <v>1914</v>
      </c>
      <c r="F4762" s="1092">
        <v>5120</v>
      </c>
      <c r="G4762" s="2516"/>
      <c r="H4762" s="3586"/>
      <c r="I4762" s="3561"/>
      <c r="J4762" s="3570"/>
      <c r="K4762" s="2821"/>
      <c r="L4762" s="3578"/>
      <c r="M4762" s="3563"/>
      <c r="N4762" s="2847"/>
      <c r="O4762" s="86"/>
      <c r="P4762" s="1817" t="e">
        <f>INDEX(#REF!,MATCH(F4762,#REF!,0),2)</f>
        <v>#REF!</v>
      </c>
    </row>
    <row r="4763" spans="1:16">
      <c r="A4763" s="755"/>
      <c r="B4763" s="755" t="s">
        <v>512</v>
      </c>
      <c r="C4763" s="1091" t="s">
        <v>507</v>
      </c>
      <c r="D4763" s="1639" t="s">
        <v>1282</v>
      </c>
      <c r="E4763" s="2292" t="s">
        <v>1915</v>
      </c>
      <c r="F4763" s="1090">
        <v>5233</v>
      </c>
      <c r="G4763" s="3540" t="s">
        <v>450</v>
      </c>
      <c r="H4763" s="3597">
        <v>3196</v>
      </c>
      <c r="I4763" s="3617"/>
      <c r="J4763" s="3558"/>
      <c r="K4763" s="2816"/>
      <c r="L4763" s="3598">
        <v>6000</v>
      </c>
      <c r="M4763" s="3560"/>
      <c r="N4763" s="2847" t="s">
        <v>4884</v>
      </c>
      <c r="O4763" s="86"/>
      <c r="P4763" s="1817" t="e">
        <f>INDEX(#REF!,MATCH(F4763,#REF!,0),2)</f>
        <v>#REF!</v>
      </c>
    </row>
    <row r="4764" spans="1:16" ht="22.5">
      <c r="A4764" s="1268"/>
      <c r="B4764" s="762" t="s">
        <v>512</v>
      </c>
      <c r="C4764" s="810" t="s">
        <v>507</v>
      </c>
      <c r="D4764" s="1638"/>
      <c r="E4764" s="2291" t="s">
        <v>1915</v>
      </c>
      <c r="F4764" s="1092">
        <v>5233</v>
      </c>
      <c r="G4764" s="2516" t="s">
        <v>3241</v>
      </c>
      <c r="H4764" s="3592"/>
      <c r="I4764" s="3604">
        <v>3196</v>
      </c>
      <c r="J4764" s="3570"/>
      <c r="K4764" s="2821"/>
      <c r="L4764" s="3578"/>
      <c r="M4764" s="3564">
        <v>6000</v>
      </c>
      <c r="N4764" s="2847"/>
      <c r="O4764" s="86"/>
      <c r="P4764" s="1817" t="e">
        <f>INDEX(#REF!,MATCH(F4764,#REF!,0),2)</f>
        <v>#REF!</v>
      </c>
    </row>
    <row r="4765" spans="1:16" ht="22.15" customHeight="1">
      <c r="A4765" s="755"/>
      <c r="B4765" s="755" t="s">
        <v>1250</v>
      </c>
      <c r="C4765" s="1091" t="s">
        <v>654</v>
      </c>
      <c r="D4765" s="1639" t="s">
        <v>1282</v>
      </c>
      <c r="E4765" s="2292" t="s">
        <v>1914</v>
      </c>
      <c r="F4765" s="1090">
        <v>5233</v>
      </c>
      <c r="G4765" s="3540" t="s">
        <v>450</v>
      </c>
      <c r="H4765" s="3557">
        <v>10250</v>
      </c>
      <c r="I4765" s="3616"/>
      <c r="J4765" s="3558">
        <v>8675</v>
      </c>
      <c r="K4765" s="2816"/>
      <c r="L4765" s="3557">
        <v>11750</v>
      </c>
      <c r="M4765" s="3576"/>
      <c r="N4765" s="2396" t="s">
        <v>6013</v>
      </c>
      <c r="O4765" s="86"/>
      <c r="P4765" s="1817" t="e">
        <f>INDEX(#REF!,MATCH(F4765,#REF!,0),2)</f>
        <v>#REF!</v>
      </c>
    </row>
    <row r="4766" spans="1:16">
      <c r="A4766" s="762"/>
      <c r="B4766" s="762" t="s">
        <v>1250</v>
      </c>
      <c r="C4766" s="810" t="s">
        <v>654</v>
      </c>
      <c r="D4766" s="1638"/>
      <c r="E4766" s="2291" t="s">
        <v>1914</v>
      </c>
      <c r="F4766" s="1092">
        <v>5233</v>
      </c>
      <c r="G4766" s="3004" t="s">
        <v>4887</v>
      </c>
      <c r="H4766" s="3586"/>
      <c r="I4766" s="3561">
        <v>10000</v>
      </c>
      <c r="J4766" s="3570"/>
      <c r="K4766" s="2821"/>
      <c r="L4766" s="3586"/>
      <c r="M4766" s="3561">
        <v>10000</v>
      </c>
      <c r="N4766" s="2847"/>
      <c r="O4766" s="86"/>
      <c r="P4766" s="1817" t="e">
        <f>INDEX(#REF!,MATCH(F4766,#REF!,0),2)</f>
        <v>#REF!</v>
      </c>
    </row>
    <row r="4767" spans="1:16">
      <c r="A4767" s="1563"/>
      <c r="B4767" s="762" t="s">
        <v>1250</v>
      </c>
      <c r="C4767" s="810" t="s">
        <v>654</v>
      </c>
      <c r="D4767" s="1638"/>
      <c r="E4767" s="2291" t="s">
        <v>1914</v>
      </c>
      <c r="F4767" s="1092">
        <v>5233</v>
      </c>
      <c r="G4767" s="3004" t="s">
        <v>1465</v>
      </c>
      <c r="H4767" s="3586"/>
      <c r="I4767" s="3561">
        <v>500</v>
      </c>
      <c r="J4767" s="3570"/>
      <c r="K4767" s="2821"/>
      <c r="L4767" s="3586"/>
      <c r="M4767" s="3561">
        <v>1000</v>
      </c>
      <c r="N4767" s="2847"/>
      <c r="O4767" s="86"/>
      <c r="P4767" s="1817"/>
    </row>
    <row r="4768" spans="1:16" ht="22.5">
      <c r="A4768" s="1370"/>
      <c r="B4768" s="762" t="s">
        <v>1250</v>
      </c>
      <c r="C4768" s="810" t="s">
        <v>654</v>
      </c>
      <c r="D4768" s="1638"/>
      <c r="E4768" s="2291" t="s">
        <v>1914</v>
      </c>
      <c r="F4768" s="1092">
        <v>5233</v>
      </c>
      <c r="G4768" s="3004" t="s">
        <v>4888</v>
      </c>
      <c r="H4768" s="3586"/>
      <c r="I4768" s="3561"/>
      <c r="J4768" s="3570"/>
      <c r="K4768" s="2821"/>
      <c r="L4768" s="3586"/>
      <c r="M4768" s="3561">
        <v>750</v>
      </c>
      <c r="N4768" s="2847"/>
      <c r="O4768" s="86"/>
      <c r="P4768" s="1817" t="e">
        <f>INDEX(#REF!,MATCH(F4768,#REF!,0),2)</f>
        <v>#REF!</v>
      </c>
    </row>
    <row r="4769" spans="1:16" ht="33.6" customHeight="1">
      <c r="A4769" s="755"/>
      <c r="B4769" s="755" t="s">
        <v>1250</v>
      </c>
      <c r="C4769" s="1091" t="s">
        <v>509</v>
      </c>
      <c r="D4769" s="1639" t="s">
        <v>1282</v>
      </c>
      <c r="E4769" s="2292" t="s">
        <v>1914</v>
      </c>
      <c r="F4769" s="1090">
        <v>5238</v>
      </c>
      <c r="G4769" s="3540" t="s">
        <v>257</v>
      </c>
      <c r="H4769" s="3599">
        <v>6111</v>
      </c>
      <c r="I4769" s="3616"/>
      <c r="J4769" s="3558">
        <v>2420</v>
      </c>
      <c r="K4769" s="2816"/>
      <c r="L4769" s="3557">
        <v>6000</v>
      </c>
      <c r="M4769" s="3560"/>
      <c r="N4769" s="2847"/>
      <c r="O4769" s="86"/>
      <c r="P4769" s="1817"/>
    </row>
    <row r="4770" spans="1:16">
      <c r="A4770" s="762"/>
      <c r="B4770" s="762" t="s">
        <v>1250</v>
      </c>
      <c r="C4770" s="810" t="s">
        <v>665</v>
      </c>
      <c r="D4770" s="1638"/>
      <c r="E4770" s="2291" t="s">
        <v>1914</v>
      </c>
      <c r="F4770" s="1092">
        <v>5238</v>
      </c>
      <c r="G4770" s="3004" t="s">
        <v>4889</v>
      </c>
      <c r="H4770" s="3563"/>
      <c r="I4770" s="3572"/>
      <c r="J4770" s="3570"/>
      <c r="K4770" s="2821"/>
      <c r="L4770" s="3563"/>
      <c r="M4770" s="3561">
        <v>5000</v>
      </c>
      <c r="N4770" s="2847"/>
      <c r="O4770" s="86"/>
      <c r="P4770" s="1817" t="e">
        <f>INDEX(#REF!,MATCH(F4770,#REF!,0),2)</f>
        <v>#REF!</v>
      </c>
    </row>
    <row r="4771" spans="1:16" ht="22.5">
      <c r="A4771" s="2790"/>
      <c r="B4771" s="762" t="s">
        <v>1250</v>
      </c>
      <c r="C4771" s="810" t="s">
        <v>665</v>
      </c>
      <c r="D4771" s="1638"/>
      <c r="E4771" s="2291" t="s">
        <v>1914</v>
      </c>
      <c r="F4771" s="1092">
        <v>5238</v>
      </c>
      <c r="G4771" s="3004" t="s">
        <v>2636</v>
      </c>
      <c r="H4771" s="3563"/>
      <c r="I4771" s="3572">
        <v>3000</v>
      </c>
      <c r="J4771" s="3570"/>
      <c r="K4771" s="2821"/>
      <c r="L4771" s="3563"/>
      <c r="M4771" s="4287">
        <v>0</v>
      </c>
      <c r="N4771" s="241" t="s">
        <v>6008</v>
      </c>
      <c r="O4771" s="86"/>
      <c r="P4771" s="1817"/>
    </row>
    <row r="4772" spans="1:16">
      <c r="A4772" s="2790"/>
      <c r="B4772" s="762" t="s">
        <v>1250</v>
      </c>
      <c r="C4772" s="810" t="s">
        <v>665</v>
      </c>
      <c r="D4772" s="1638"/>
      <c r="E4772" s="2291" t="s">
        <v>1914</v>
      </c>
      <c r="F4772" s="1092">
        <v>5238</v>
      </c>
      <c r="G4772" s="3004" t="s">
        <v>4890</v>
      </c>
      <c r="H4772" s="3563"/>
      <c r="I4772" s="3572">
        <v>2420</v>
      </c>
      <c r="J4772" s="3570"/>
      <c r="K4772" s="2821"/>
      <c r="L4772" s="3563"/>
      <c r="M4772" s="4287">
        <v>0</v>
      </c>
      <c r="N4772" s="241" t="s">
        <v>6008</v>
      </c>
      <c r="O4772" s="86"/>
      <c r="P4772" s="1817" t="e">
        <f>INDEX(#REF!,MATCH(F4772,#REF!,0),2)</f>
        <v>#REF!</v>
      </c>
    </row>
    <row r="4773" spans="1:16" ht="22.5">
      <c r="A4773" s="2790"/>
      <c r="B4773" s="762" t="s">
        <v>1250</v>
      </c>
      <c r="C4773" s="810" t="s">
        <v>665</v>
      </c>
      <c r="D4773" s="1638"/>
      <c r="E4773" s="2291" t="s">
        <v>1914</v>
      </c>
      <c r="F4773" s="1092">
        <v>5238</v>
      </c>
      <c r="G4773" s="3004" t="s">
        <v>4891</v>
      </c>
      <c r="H4773" s="3563"/>
      <c r="I4773" s="3572"/>
      <c r="J4773" s="3570"/>
      <c r="K4773" s="2821"/>
      <c r="L4773" s="3563"/>
      <c r="M4773" s="4598">
        <v>1000</v>
      </c>
      <c r="N4773" s="241" t="s">
        <v>6014</v>
      </c>
      <c r="O4773" s="86"/>
      <c r="P4773" s="1817" t="e">
        <f>INDEX(#REF!,MATCH(F4773,#REF!,0),2)</f>
        <v>#REF!</v>
      </c>
    </row>
    <row r="4774" spans="1:16">
      <c r="A4774" s="762"/>
      <c r="B4774" s="762" t="s">
        <v>1250</v>
      </c>
      <c r="C4774" s="810" t="s">
        <v>665</v>
      </c>
      <c r="D4774" s="1638"/>
      <c r="E4774" s="2291" t="s">
        <v>1914</v>
      </c>
      <c r="F4774" s="1092">
        <v>5238</v>
      </c>
      <c r="G4774" s="3555" t="s">
        <v>2637</v>
      </c>
      <c r="H4774" s="3563"/>
      <c r="I4774" s="3572">
        <v>6000</v>
      </c>
      <c r="J4774" s="3570"/>
      <c r="K4774" s="2821"/>
      <c r="L4774" s="3563"/>
      <c r="M4774" s="3563"/>
      <c r="N4774" s="2847"/>
      <c r="O4774" s="86"/>
      <c r="P4774" s="1817" t="e">
        <f>INDEX(#REF!,MATCH(F4774,#REF!,0),2)</f>
        <v>#REF!</v>
      </c>
    </row>
    <row r="4775" spans="1:16" ht="45">
      <c r="A4775" s="1882"/>
      <c r="B4775" s="762" t="s">
        <v>1250</v>
      </c>
      <c r="C4775" s="810" t="s">
        <v>665</v>
      </c>
      <c r="D4775" s="1638"/>
      <c r="E4775" s="2291" t="s">
        <v>1914</v>
      </c>
      <c r="F4775" s="1092">
        <v>5238</v>
      </c>
      <c r="G4775" s="3555" t="s">
        <v>3283</v>
      </c>
      <c r="H4775" s="3563"/>
      <c r="I4775" s="3572">
        <v>-4229</v>
      </c>
      <c r="J4775" s="3570"/>
      <c r="K4775" s="2821"/>
      <c r="L4775" s="3563"/>
      <c r="M4775" s="3563"/>
      <c r="N4775" s="2847"/>
      <c r="O4775" s="86"/>
      <c r="P4775" s="1817" t="e">
        <f>INDEX(#REF!,MATCH(F4775,#REF!,0),2)</f>
        <v>#REF!</v>
      </c>
    </row>
    <row r="4776" spans="1:16">
      <c r="A4776" s="755"/>
      <c r="B4776" s="755" t="s">
        <v>1249</v>
      </c>
      <c r="C4776" s="1091" t="s">
        <v>510</v>
      </c>
      <c r="D4776" s="1639" t="s">
        <v>1282</v>
      </c>
      <c r="E4776" s="2292" t="s">
        <v>1914</v>
      </c>
      <c r="F4776" s="1090">
        <v>5238</v>
      </c>
      <c r="G4776" s="3540" t="s">
        <v>257</v>
      </c>
      <c r="H4776" s="3599">
        <v>0</v>
      </c>
      <c r="I4776" s="3616"/>
      <c r="J4776" s="3558"/>
      <c r="K4776" s="2816"/>
      <c r="L4776" s="3557">
        <v>0</v>
      </c>
      <c r="M4776" s="3560"/>
      <c r="N4776" s="2847"/>
      <c r="O4776" s="86"/>
      <c r="P4776" s="1817" t="e">
        <f>INDEX(#REF!,MATCH(F4776,#REF!,0),2)</f>
        <v>#REF!</v>
      </c>
    </row>
    <row r="4777" spans="1:16">
      <c r="A4777" s="762"/>
      <c r="B4777" s="762" t="s">
        <v>1249</v>
      </c>
      <c r="C4777" s="810" t="s">
        <v>510</v>
      </c>
      <c r="D4777" s="1638"/>
      <c r="E4777" s="2291" t="s">
        <v>1914</v>
      </c>
      <c r="F4777" s="1092">
        <v>5238</v>
      </c>
      <c r="G4777" s="3555"/>
      <c r="H4777" s="3563"/>
      <c r="I4777" s="3572"/>
      <c r="J4777" s="3570"/>
      <c r="K4777" s="2821"/>
      <c r="L4777" s="3561"/>
      <c r="M4777" s="3563"/>
      <c r="N4777" s="2847"/>
      <c r="O4777" s="86"/>
      <c r="P4777" s="1817" t="e">
        <f>INDEX(#REF!,MATCH(F4777,#REF!,0),2)</f>
        <v>#REF!</v>
      </c>
    </row>
    <row r="4778" spans="1:16">
      <c r="A4778" s="755"/>
      <c r="B4778" s="755" t="s">
        <v>1250</v>
      </c>
      <c r="C4778" s="1091" t="s">
        <v>509</v>
      </c>
      <c r="D4778" s="1639" t="s">
        <v>1282</v>
      </c>
      <c r="E4778" s="2292" t="s">
        <v>1914</v>
      </c>
      <c r="F4778" s="1090">
        <v>5239</v>
      </c>
      <c r="G4778" s="3540" t="s">
        <v>449</v>
      </c>
      <c r="H4778" s="3557">
        <v>0</v>
      </c>
      <c r="I4778" s="3616"/>
      <c r="J4778" s="3558"/>
      <c r="K4778" s="2816"/>
      <c r="L4778" s="3557">
        <v>2500</v>
      </c>
      <c r="M4778" s="3560"/>
      <c r="N4778" s="2847"/>
      <c r="O4778" s="86"/>
      <c r="P4778" s="1817" t="e">
        <f>INDEX(#REF!,MATCH(F4778,#REF!,0),2)</f>
        <v>#REF!</v>
      </c>
    </row>
    <row r="4779" spans="1:16" ht="17.45" customHeight="1">
      <c r="A4779" s="2790"/>
      <c r="B4779" s="762" t="s">
        <v>1250</v>
      </c>
      <c r="C4779" s="810" t="s">
        <v>665</v>
      </c>
      <c r="D4779" s="1638"/>
      <c r="E4779" s="2291" t="s">
        <v>1914</v>
      </c>
      <c r="F4779" s="1099">
        <v>5239</v>
      </c>
      <c r="G4779" s="3004" t="s">
        <v>4876</v>
      </c>
      <c r="H4779" s="3592"/>
      <c r="I4779" s="3592"/>
      <c r="J4779" s="3570"/>
      <c r="K4779" s="2821"/>
      <c r="L4779" s="3586"/>
      <c r="M4779" s="3579">
        <v>2500</v>
      </c>
      <c r="N4779" s="241" t="s">
        <v>3758</v>
      </c>
      <c r="O4779" s="86"/>
      <c r="P4779" s="1817" t="e">
        <f>INDEX(#REF!,MATCH(F4779,#REF!,0),2)</f>
        <v>#REF!</v>
      </c>
    </row>
    <row r="4780" spans="1:16" ht="30" customHeight="1">
      <c r="A4780" s="755"/>
      <c r="B4780" s="755" t="s">
        <v>1249</v>
      </c>
      <c r="C4780" s="1091" t="s">
        <v>510</v>
      </c>
      <c r="D4780" s="1639" t="s">
        <v>1282</v>
      </c>
      <c r="E4780" s="2292" t="s">
        <v>1914</v>
      </c>
      <c r="F4780" s="1090">
        <v>5239</v>
      </c>
      <c r="G4780" s="3540" t="s">
        <v>449</v>
      </c>
      <c r="H4780" s="3557">
        <v>8229</v>
      </c>
      <c r="I4780" s="3616"/>
      <c r="J4780" s="3558">
        <v>8228</v>
      </c>
      <c r="K4780" s="2816"/>
      <c r="L4780" s="3557">
        <v>26501.510000000002</v>
      </c>
      <c r="M4780" s="3560"/>
      <c r="N4780" s="2847"/>
      <c r="O4780" s="86"/>
      <c r="P4780" s="1817" t="e">
        <f>INDEX(#REF!,MATCH(F4780,#REF!,0),2)</f>
        <v>#REF!</v>
      </c>
    </row>
    <row r="4781" spans="1:16" ht="22.5">
      <c r="A4781" s="762"/>
      <c r="B4781" s="762" t="s">
        <v>1249</v>
      </c>
      <c r="C4781" s="810" t="s">
        <v>510</v>
      </c>
      <c r="D4781" s="1638"/>
      <c r="E4781" s="2291" t="s">
        <v>1914</v>
      </c>
      <c r="F4781" s="1092">
        <v>5239</v>
      </c>
      <c r="G4781" s="3004" t="s">
        <v>4892</v>
      </c>
      <c r="H4781" s="3578"/>
      <c r="I4781" s="3570"/>
      <c r="J4781" s="3570"/>
      <c r="K4781" s="2821"/>
      <c r="L4781" s="3578"/>
      <c r="M4781" s="3579">
        <v>15000</v>
      </c>
      <c r="N4781" s="2847"/>
      <c r="O4781" s="86"/>
      <c r="P4781" s="1817" t="e">
        <f>INDEX(#REF!,MATCH(F4781,#REF!,0),2)</f>
        <v>#REF!</v>
      </c>
    </row>
    <row r="4782" spans="1:16" ht="22.5">
      <c r="A4782" s="762"/>
      <c r="B4782" s="762" t="s">
        <v>1249</v>
      </c>
      <c r="C4782" s="810" t="s">
        <v>510</v>
      </c>
      <c r="D4782" s="1638"/>
      <c r="E4782" s="2291" t="s">
        <v>1914</v>
      </c>
      <c r="F4782" s="1099">
        <v>2312</v>
      </c>
      <c r="G4782" s="3004" t="s">
        <v>4877</v>
      </c>
      <c r="H4782" s="3592"/>
      <c r="I4782" s="3592"/>
      <c r="J4782" s="3570"/>
      <c r="K4782" s="2821"/>
      <c r="L4782" s="3586"/>
      <c r="M4782" s="3579">
        <v>2450.64</v>
      </c>
      <c r="N4782" s="241" t="s">
        <v>3758</v>
      </c>
      <c r="O4782" s="86"/>
      <c r="P4782" s="1817" t="e">
        <f>INDEX(#REF!,MATCH(F4782,#REF!,0),2)</f>
        <v>#REF!</v>
      </c>
    </row>
    <row r="4783" spans="1:16" ht="33.75">
      <c r="A4783" s="2790"/>
      <c r="B4783" s="762" t="s">
        <v>1249</v>
      </c>
      <c r="C4783" s="810" t="s">
        <v>510</v>
      </c>
      <c r="D4783" s="1638"/>
      <c r="E4783" s="2291" t="s">
        <v>1914</v>
      </c>
      <c r="F4783" s="1099">
        <v>2312</v>
      </c>
      <c r="G4783" s="3004" t="s">
        <v>4878</v>
      </c>
      <c r="H4783" s="3592"/>
      <c r="I4783" s="3592"/>
      <c r="J4783" s="3570"/>
      <c r="K4783" s="2821"/>
      <c r="L4783" s="3586"/>
      <c r="M4783" s="3579">
        <v>2014.65</v>
      </c>
      <c r="N4783" s="241" t="s">
        <v>3758</v>
      </c>
      <c r="O4783" s="86"/>
      <c r="P4783" s="1817" t="e">
        <f>INDEX(#REF!,MATCH(F4783,#REF!,0),2)</f>
        <v>#REF!</v>
      </c>
    </row>
    <row r="4784" spans="1:16" ht="22.5">
      <c r="A4784" s="4604"/>
      <c r="B4784" s="4607" t="s">
        <v>1249</v>
      </c>
      <c r="C4784" s="4605" t="s">
        <v>510</v>
      </c>
      <c r="D4784" s="4606"/>
      <c r="E4784" s="4607" t="s">
        <v>1914</v>
      </c>
      <c r="F4784" s="4605">
        <v>5239</v>
      </c>
      <c r="G4784" s="4595" t="s">
        <v>6232</v>
      </c>
      <c r="H4784" s="4608"/>
      <c r="I4784" s="4609"/>
      <c r="J4784" s="4609"/>
      <c r="K4784" s="4610"/>
      <c r="L4784" s="4608"/>
      <c r="M4784" s="4597">
        <v>624.29999999999995</v>
      </c>
      <c r="N4784" s="2847"/>
      <c r="O4784" s="86"/>
      <c r="P4784" s="1817" t="e">
        <f>INDEX(#REF!,MATCH(F4784,#REF!,0),2)</f>
        <v>#REF!</v>
      </c>
    </row>
    <row r="4785" spans="1:48" ht="22.5">
      <c r="A4785" s="4604"/>
      <c r="B4785" s="4607" t="s">
        <v>1249</v>
      </c>
      <c r="C4785" s="4605" t="s">
        <v>510</v>
      </c>
      <c r="D4785" s="4606"/>
      <c r="E4785" s="4607" t="s">
        <v>1914</v>
      </c>
      <c r="F4785" s="4605">
        <v>5239</v>
      </c>
      <c r="G4785" s="4595" t="s">
        <v>6233</v>
      </c>
      <c r="H4785" s="4608"/>
      <c r="I4785" s="4608"/>
      <c r="J4785" s="4609"/>
      <c r="K4785" s="4610"/>
      <c r="L4785" s="4608"/>
      <c r="M4785" s="4597">
        <v>710.19999999999993</v>
      </c>
      <c r="N4785" s="241"/>
      <c r="O4785" s="86"/>
      <c r="P4785" s="1817" t="e">
        <f>INDEX(#REF!,MATCH(F4785,#REF!,0),2)</f>
        <v>#REF!</v>
      </c>
    </row>
    <row r="4786" spans="1:48" ht="22.5">
      <c r="A4786" s="4604"/>
      <c r="B4786" s="4607" t="s">
        <v>1249</v>
      </c>
      <c r="C4786" s="4605" t="s">
        <v>510</v>
      </c>
      <c r="D4786" s="4606"/>
      <c r="E4786" s="4607" t="s">
        <v>1914</v>
      </c>
      <c r="F4786" s="4605">
        <v>5239</v>
      </c>
      <c r="G4786" s="4595" t="s">
        <v>6234</v>
      </c>
      <c r="H4786" s="4608"/>
      <c r="I4786" s="4608"/>
      <c r="J4786" s="4609"/>
      <c r="K4786" s="4610"/>
      <c r="L4786" s="4608"/>
      <c r="M4786" s="4597">
        <v>2429.04</v>
      </c>
      <c r="N4786" s="241"/>
      <c r="O4786" s="86"/>
      <c r="P4786" s="1817" t="e">
        <f>INDEX(#REF!,MATCH(F4786,#REF!,0),2)</f>
        <v>#REF!</v>
      </c>
    </row>
    <row r="4787" spans="1:48">
      <c r="A4787" s="4604"/>
      <c r="B4787" s="4607" t="s">
        <v>1249</v>
      </c>
      <c r="C4787" s="4605" t="s">
        <v>510</v>
      </c>
      <c r="D4787" s="4606"/>
      <c r="E4787" s="4607" t="s">
        <v>1914</v>
      </c>
      <c r="F4787" s="4605">
        <v>5239</v>
      </c>
      <c r="G4787" s="4599" t="s">
        <v>6235</v>
      </c>
      <c r="H4787" s="4608"/>
      <c r="I4787" s="4609"/>
      <c r="J4787" s="4609"/>
      <c r="K4787" s="4610"/>
      <c r="L4787" s="4608"/>
      <c r="M4787" s="4597">
        <v>1690.08</v>
      </c>
      <c r="N4787" s="2847"/>
      <c r="O4787" s="86"/>
      <c r="P4787" s="1817" t="e">
        <f>INDEX(#REF!,MATCH(F4787,#REF!,0),2)</f>
        <v>#REF!</v>
      </c>
    </row>
    <row r="4788" spans="1:48">
      <c r="A4788" s="4604"/>
      <c r="B4788" s="4607" t="s">
        <v>1249</v>
      </c>
      <c r="C4788" s="4605" t="s">
        <v>510</v>
      </c>
      <c r="D4788" s="4606"/>
      <c r="E4788" s="4607" t="s">
        <v>1914</v>
      </c>
      <c r="F4788" s="4605">
        <v>5239</v>
      </c>
      <c r="G4788" s="4599" t="s">
        <v>6236</v>
      </c>
      <c r="H4788" s="4608"/>
      <c r="I4788" s="4609"/>
      <c r="J4788" s="4609"/>
      <c r="K4788" s="4610"/>
      <c r="L4788" s="4608"/>
      <c r="M4788" s="4597">
        <v>1582.6</v>
      </c>
      <c r="N4788" s="2847"/>
      <c r="O4788" s="86"/>
      <c r="P4788" s="1817" t="e">
        <f>INDEX(#REF!,MATCH(F4788,#REF!,0),2)</f>
        <v>#REF!</v>
      </c>
    </row>
    <row r="4789" spans="1:48" ht="45">
      <c r="A4789" s="762"/>
      <c r="B4789" s="762" t="s">
        <v>1249</v>
      </c>
      <c r="C4789" s="810" t="s">
        <v>510</v>
      </c>
      <c r="D4789" s="1638"/>
      <c r="E4789" s="2291" t="s">
        <v>1914</v>
      </c>
      <c r="F4789" s="1092">
        <v>5239</v>
      </c>
      <c r="G4789" s="3555" t="s">
        <v>3283</v>
      </c>
      <c r="H4789" s="3578"/>
      <c r="I4789" s="3570">
        <v>8229</v>
      </c>
      <c r="J4789" s="3570"/>
      <c r="K4789" s="2821"/>
      <c r="L4789" s="3578"/>
      <c r="M4789" s="3579"/>
      <c r="N4789" s="2847"/>
      <c r="O4789" s="86"/>
      <c r="P4789" s="1817" t="e">
        <f>INDEX(#REF!,MATCH(F4789,#REF!,0),2)</f>
        <v>#REF!</v>
      </c>
    </row>
    <row r="4790" spans="1:48" ht="45">
      <c r="A4790" s="762"/>
      <c r="B4790" s="762" t="s">
        <v>1249</v>
      </c>
      <c r="C4790" s="810" t="s">
        <v>510</v>
      </c>
      <c r="D4790" s="1638"/>
      <c r="E4790" s="2291" t="s">
        <v>1914</v>
      </c>
      <c r="F4790" s="1092">
        <v>5239</v>
      </c>
      <c r="G4790" s="3555" t="s">
        <v>3284</v>
      </c>
      <c r="H4790" s="3578"/>
      <c r="I4790" s="3570">
        <v>2250</v>
      </c>
      <c r="J4790" s="3570"/>
      <c r="K4790" s="2821"/>
      <c r="L4790" s="3578"/>
      <c r="M4790" s="3564"/>
      <c r="N4790" s="2847"/>
      <c r="O4790" s="86"/>
      <c r="P4790" s="1817" t="e">
        <f>INDEX(#REF!,MATCH(F4790,#REF!,0),2)</f>
        <v>#REF!</v>
      </c>
    </row>
    <row r="4791" spans="1:48">
      <c r="A4791" s="755"/>
      <c r="B4791" s="755" t="s">
        <v>566</v>
      </c>
      <c r="C4791" s="1091" t="s">
        <v>508</v>
      </c>
      <c r="D4791" s="1639" t="s">
        <v>1282</v>
      </c>
      <c r="E4791" s="2292" t="s">
        <v>1914</v>
      </c>
      <c r="F4791" s="1090">
        <v>5240</v>
      </c>
      <c r="G4791" s="3540" t="s">
        <v>449</v>
      </c>
      <c r="H4791" s="3557">
        <v>0</v>
      </c>
      <c r="I4791" s="3616"/>
      <c r="J4791" s="3558"/>
      <c r="K4791" s="2816"/>
      <c r="L4791" s="3557">
        <v>0</v>
      </c>
      <c r="M4791" s="3576"/>
      <c r="N4791" s="2847"/>
      <c r="O4791" s="86"/>
      <c r="P4791" s="1817" t="e">
        <f>INDEX(#REF!,MATCH(F4791,#REF!,0),2)</f>
        <v>#REF!</v>
      </c>
    </row>
    <row r="4792" spans="1:48">
      <c r="A4792" s="762"/>
      <c r="B4792" s="762" t="s">
        <v>566</v>
      </c>
      <c r="C4792" s="810" t="s">
        <v>508</v>
      </c>
      <c r="D4792" s="1638"/>
      <c r="E4792" s="2291" t="s">
        <v>1914</v>
      </c>
      <c r="F4792" s="1092">
        <v>5240</v>
      </c>
      <c r="G4792" s="3556"/>
      <c r="H4792" s="3578"/>
      <c r="I4792" s="3570"/>
      <c r="J4792" s="3570"/>
      <c r="K4792" s="2821"/>
      <c r="L4792" s="3578"/>
      <c r="M4792" s="3564"/>
      <c r="N4792" s="2847"/>
      <c r="O4792" s="86"/>
      <c r="P4792" s="1817" t="e">
        <f>INDEX(#REF!,MATCH(F4792,#REF!,0),2)</f>
        <v>#REF!</v>
      </c>
    </row>
    <row r="4793" spans="1:48" ht="30" customHeight="1">
      <c r="A4793" s="755"/>
      <c r="B4793" s="755" t="s">
        <v>2649</v>
      </c>
      <c r="C4793" s="1091" t="s">
        <v>505</v>
      </c>
      <c r="D4793" s="1639" t="s">
        <v>1282</v>
      </c>
      <c r="E4793" s="2292" t="s">
        <v>1914</v>
      </c>
      <c r="F4793" s="1090">
        <v>7230</v>
      </c>
      <c r="G4793" s="3540" t="s">
        <v>1848</v>
      </c>
      <c r="H4793" s="3573">
        <v>244781</v>
      </c>
      <c r="I4793" s="3617"/>
      <c r="J4793" s="3558">
        <v>184781</v>
      </c>
      <c r="K4793" s="2816"/>
      <c r="L4793" s="3557">
        <v>283797</v>
      </c>
      <c r="M4793" s="3576"/>
      <c r="N4793" s="3605"/>
      <c r="O4793" s="86"/>
      <c r="P4793" s="1817" t="e">
        <f>INDEX(#REF!,MATCH(F4793,#REF!,0),2)</f>
        <v>#REF!</v>
      </c>
    </row>
    <row r="4794" spans="1:48">
      <c r="A4794" s="762"/>
      <c r="B4794" s="762" t="s">
        <v>2649</v>
      </c>
      <c r="C4794" s="810" t="s">
        <v>505</v>
      </c>
      <c r="D4794" s="1638"/>
      <c r="E4794" s="2291" t="s">
        <v>1914</v>
      </c>
      <c r="F4794" s="1092">
        <v>7230</v>
      </c>
      <c r="G4794" s="2516" t="s">
        <v>1133</v>
      </c>
      <c r="H4794" s="3592"/>
      <c r="I4794" s="3604">
        <v>241081</v>
      </c>
      <c r="J4794" s="3570"/>
      <c r="K4794" s="2821"/>
      <c r="L4794" s="3586"/>
      <c r="M4794" s="3579">
        <v>283797</v>
      </c>
      <c r="N4794" s="241" t="s">
        <v>5702</v>
      </c>
      <c r="O4794" s="86"/>
      <c r="P4794" s="1817" t="e">
        <f>INDEX(#REF!,MATCH(F4794,#REF!,0),2)</f>
        <v>#REF!</v>
      </c>
    </row>
    <row r="4795" spans="1:48" ht="45">
      <c r="A4795" s="762"/>
      <c r="B4795" s="762" t="s">
        <v>2649</v>
      </c>
      <c r="C4795" s="810" t="s">
        <v>505</v>
      </c>
      <c r="D4795" s="1638"/>
      <c r="E4795" s="2291" t="s">
        <v>1914</v>
      </c>
      <c r="F4795" s="1092">
        <v>7230</v>
      </c>
      <c r="G4795" s="2516" t="s">
        <v>3277</v>
      </c>
      <c r="H4795" s="3592"/>
      <c r="I4795" s="3604">
        <v>3700</v>
      </c>
      <c r="J4795" s="3570"/>
      <c r="K4795" s="2821"/>
      <c r="L4795" s="3586"/>
      <c r="M4795" s="3579"/>
      <c r="N4795" s="2847"/>
      <c r="O4795" s="86"/>
      <c r="P4795" s="1817"/>
    </row>
    <row r="4796" spans="1:48" ht="30" customHeight="1">
      <c r="A4796" s="755"/>
      <c r="B4796" s="755" t="s">
        <v>566</v>
      </c>
      <c r="C4796" s="1091" t="s">
        <v>508</v>
      </c>
      <c r="D4796" s="1637" t="s">
        <v>2022</v>
      </c>
      <c r="E4796" s="2292" t="s">
        <v>2021</v>
      </c>
      <c r="F4796" s="1090">
        <v>5250</v>
      </c>
      <c r="G4796" s="757" t="s">
        <v>470</v>
      </c>
      <c r="H4796" s="1100">
        <v>1127560</v>
      </c>
      <c r="I4796" s="1113"/>
      <c r="J4796" s="1104"/>
      <c r="K4796" s="1105"/>
      <c r="L4796" s="1108">
        <v>0</v>
      </c>
      <c r="M4796" s="1109"/>
      <c r="N4796" s="2847"/>
      <c r="O4796" s="86"/>
      <c r="P4796" s="1817" t="e">
        <f>INDEX(#REF!,MATCH(F4796,#REF!,0),2)</f>
        <v>#REF!</v>
      </c>
    </row>
    <row r="4797" spans="1:48" ht="16.899999999999999" customHeight="1">
      <c r="A4797" s="762"/>
      <c r="B4797" s="762" t="s">
        <v>566</v>
      </c>
      <c r="C4797" s="810" t="s">
        <v>508</v>
      </c>
      <c r="D4797" s="1638"/>
      <c r="E4797" s="2291" t="s">
        <v>2021</v>
      </c>
      <c r="F4797" s="1092">
        <v>5250</v>
      </c>
      <c r="G4797" s="812" t="s">
        <v>517</v>
      </c>
      <c r="H4797" s="1111"/>
      <c r="I4797" s="1103"/>
      <c r="J4797" s="1106"/>
      <c r="K4797" s="1110"/>
      <c r="L4797" s="1111"/>
      <c r="M4797" s="1523"/>
      <c r="N4797" s="2847"/>
      <c r="O4797" s="86"/>
      <c r="P4797" s="1817" t="e">
        <f>INDEX(#REF!,MATCH(F4797,#REF!,0),2)</f>
        <v>#REF!</v>
      </c>
      <c r="Q4797" s="4"/>
      <c r="R4797" s="4"/>
      <c r="S4797" s="4"/>
      <c r="T4797" s="4"/>
      <c r="U4797" s="4"/>
      <c r="V4797" s="4"/>
      <c r="W4797" s="4"/>
      <c r="X4797" s="4"/>
      <c r="Y4797" s="4"/>
      <c r="Z4797" s="4"/>
      <c r="AA4797" s="4"/>
      <c r="AB4797" s="4"/>
      <c r="AC4797" s="4"/>
      <c r="AD4797" s="4"/>
      <c r="AE4797" s="4"/>
      <c r="AF4797" s="4"/>
      <c r="AG4797" s="4"/>
      <c r="AH4797" s="4"/>
      <c r="AI4797" s="4"/>
      <c r="AJ4797" s="4"/>
      <c r="AK4797" s="4"/>
      <c r="AL4797" s="4"/>
      <c r="AM4797" s="4"/>
      <c r="AN4797" s="4"/>
      <c r="AO4797" s="4"/>
      <c r="AP4797" s="4"/>
      <c r="AQ4797" s="4"/>
      <c r="AR4797" s="4"/>
      <c r="AS4797" s="4"/>
      <c r="AT4797" s="4"/>
      <c r="AU4797" s="4"/>
      <c r="AV4797" s="4"/>
    </row>
    <row r="4798" spans="1:48" ht="11.25" customHeight="1">
      <c r="A4798" s="1882"/>
      <c r="B4798" s="762" t="s">
        <v>566</v>
      </c>
      <c r="C4798" s="810" t="s">
        <v>508</v>
      </c>
      <c r="D4798" s="1638"/>
      <c r="E4798" s="2291" t="s">
        <v>2021</v>
      </c>
      <c r="F4798" s="1092">
        <v>5250</v>
      </c>
      <c r="G4798" s="812" t="s">
        <v>3095</v>
      </c>
      <c r="H4798" s="1111"/>
      <c r="I4798" s="1103"/>
      <c r="J4798" s="1106"/>
      <c r="K4798" s="1110"/>
      <c r="L4798" s="1111"/>
      <c r="M4798" s="1523"/>
      <c r="N4798" s="2847"/>
      <c r="O4798" s="86"/>
      <c r="P4798" s="1817"/>
      <c r="Q4798" s="43"/>
      <c r="R4798" s="43"/>
      <c r="S4798" s="43"/>
      <c r="T4798" s="43"/>
      <c r="U4798" s="43"/>
      <c r="V4798" s="43"/>
      <c r="W4798" s="43"/>
      <c r="X4798" s="43"/>
      <c r="Y4798" s="43"/>
      <c r="Z4798" s="43"/>
      <c r="AA4798" s="43"/>
      <c r="AB4798" s="43"/>
      <c r="AC4798" s="43"/>
      <c r="AD4798" s="43"/>
      <c r="AE4798" s="43"/>
      <c r="AF4798" s="43"/>
      <c r="AG4798" s="43"/>
      <c r="AH4798" s="4"/>
      <c r="AI4798" s="4"/>
      <c r="AJ4798" s="4"/>
      <c r="AK4798" s="4"/>
      <c r="AL4798" s="4"/>
      <c r="AM4798" s="4"/>
      <c r="AN4798" s="4"/>
      <c r="AO4798" s="4"/>
      <c r="AP4798" s="4"/>
      <c r="AQ4798" s="4"/>
      <c r="AR4798" s="4"/>
      <c r="AS4798" s="4"/>
      <c r="AT4798" s="4"/>
      <c r="AU4798" s="4"/>
      <c r="AV4798" s="4"/>
    </row>
    <row r="4799" spans="1:48" ht="19.149999999999999" customHeight="1">
      <c r="A4799" s="762"/>
      <c r="B4799" s="762" t="s">
        <v>566</v>
      </c>
      <c r="C4799" s="810" t="s">
        <v>508</v>
      </c>
      <c r="D4799" s="1638"/>
      <c r="E4799" s="2291" t="s">
        <v>2021</v>
      </c>
      <c r="F4799" s="1092">
        <v>5250</v>
      </c>
      <c r="G4799" s="1529" t="s">
        <v>3094</v>
      </c>
      <c r="H4799" s="1111"/>
      <c r="I4799" s="1103"/>
      <c r="J4799" s="1106"/>
      <c r="K4799" s="1110"/>
      <c r="L4799" s="1111"/>
      <c r="M4799" s="1523"/>
      <c r="N4799" s="2847"/>
      <c r="O4799" s="86"/>
      <c r="P4799" s="1817" t="e">
        <f>INDEX(#REF!,MATCH(F4799,#REF!,0),2)</f>
        <v>#REF!</v>
      </c>
      <c r="Q4799" s="43"/>
      <c r="R4799" s="43"/>
      <c r="S4799" s="43"/>
      <c r="T4799" s="43"/>
      <c r="U4799" s="43"/>
      <c r="V4799" s="43"/>
      <c r="W4799" s="43"/>
      <c r="X4799" s="43"/>
      <c r="Y4799" s="43"/>
      <c r="Z4799" s="43"/>
      <c r="AA4799" s="43"/>
      <c r="AB4799" s="43"/>
      <c r="AC4799" s="43"/>
      <c r="AD4799" s="43"/>
      <c r="AE4799" s="43"/>
      <c r="AF4799" s="43"/>
      <c r="AG4799" s="43"/>
      <c r="AH4799" s="4"/>
      <c r="AI4799" s="4"/>
      <c r="AJ4799" s="4"/>
      <c r="AK4799" s="4"/>
      <c r="AL4799" s="4"/>
      <c r="AM4799" s="4"/>
      <c r="AN4799" s="4"/>
      <c r="AO4799" s="4"/>
      <c r="AP4799" s="4"/>
      <c r="AQ4799" s="4"/>
      <c r="AR4799" s="4"/>
      <c r="AS4799" s="4"/>
      <c r="AT4799" s="4"/>
      <c r="AU4799" s="4"/>
      <c r="AV4799" s="4"/>
    </row>
    <row r="4800" spans="1:48" ht="19.149999999999999" customHeight="1">
      <c r="A4800" s="755"/>
      <c r="B4800" s="755" t="s">
        <v>566</v>
      </c>
      <c r="C4800" s="1091" t="s">
        <v>508</v>
      </c>
      <c r="D4800" s="1637" t="s">
        <v>1858</v>
      </c>
      <c r="E4800" s="2292" t="s">
        <v>1916</v>
      </c>
      <c r="F4800" s="1090">
        <v>1147</v>
      </c>
      <c r="G4800" s="757" t="s">
        <v>1917</v>
      </c>
      <c r="H4800" s="1107">
        <v>5000</v>
      </c>
      <c r="I4800" s="1107"/>
      <c r="J4800" s="1104"/>
      <c r="K4800" s="1105"/>
      <c r="L4800" s="1100">
        <v>0</v>
      </c>
      <c r="M4800" s="1101"/>
      <c r="N4800" s="2847"/>
      <c r="O4800" s="86"/>
      <c r="P4800" s="1817" t="e">
        <f>INDEX(#REF!,MATCH(F4800,#REF!,0),2)</f>
        <v>#REF!</v>
      </c>
      <c r="Q4800" s="43"/>
      <c r="R4800" s="43"/>
      <c r="S4800" s="43"/>
      <c r="T4800" s="43"/>
      <c r="U4800" s="43"/>
      <c r="V4800" s="43"/>
      <c r="W4800" s="43"/>
      <c r="X4800" s="43"/>
      <c r="Y4800" s="43"/>
      <c r="Z4800" s="43"/>
      <c r="AA4800" s="43"/>
      <c r="AB4800" s="43"/>
      <c r="AC4800" s="43"/>
      <c r="AD4800" s="43"/>
      <c r="AE4800" s="43"/>
      <c r="AF4800" s="43"/>
      <c r="AG4800" s="43"/>
      <c r="AH4800" s="4"/>
      <c r="AI4800" s="4"/>
      <c r="AJ4800" s="4"/>
      <c r="AK4800" s="4"/>
      <c r="AL4800" s="4"/>
      <c r="AM4800" s="4"/>
      <c r="AN4800" s="4"/>
      <c r="AO4800" s="4"/>
      <c r="AP4800" s="4"/>
      <c r="AQ4800" s="4"/>
      <c r="AR4800" s="4"/>
      <c r="AS4800" s="4"/>
      <c r="AT4800" s="4"/>
      <c r="AU4800" s="4"/>
      <c r="AV4800" s="4"/>
    </row>
    <row r="4801" spans="1:48" ht="19.149999999999999" customHeight="1">
      <c r="A4801" s="1370"/>
      <c r="B4801" s="1370" t="s">
        <v>566</v>
      </c>
      <c r="C4801" s="1404" t="s">
        <v>508</v>
      </c>
      <c r="D4801" s="1640"/>
      <c r="E4801" s="2293" t="s">
        <v>1916</v>
      </c>
      <c r="F4801" s="1405">
        <v>1147</v>
      </c>
      <c r="G4801" s="1399"/>
      <c r="H4801" s="1461"/>
      <c r="I4801" s="1461">
        <v>5000</v>
      </c>
      <c r="J4801" s="1407"/>
      <c r="K4801" s="1406"/>
      <c r="L4801" s="3537"/>
      <c r="M4801" s="1407"/>
      <c r="N4801" s="2847"/>
      <c r="O4801" s="86"/>
      <c r="P4801" s="1817" t="e">
        <f>INDEX(#REF!,MATCH(F4801,#REF!,0),2)</f>
        <v>#REF!</v>
      </c>
      <c r="Q4801" s="43"/>
      <c r="R4801" s="43"/>
      <c r="S4801" s="43"/>
      <c r="T4801" s="43"/>
      <c r="U4801" s="43"/>
      <c r="V4801" s="43"/>
      <c r="W4801" s="43"/>
      <c r="X4801" s="43"/>
      <c r="Y4801" s="43"/>
      <c r="Z4801" s="43"/>
      <c r="AA4801" s="43"/>
      <c r="AB4801" s="43"/>
      <c r="AC4801" s="43"/>
      <c r="AD4801" s="43"/>
      <c r="AE4801" s="43"/>
      <c r="AF4801" s="43"/>
      <c r="AG4801" s="43"/>
      <c r="AH4801" s="43"/>
      <c r="AI4801" s="43"/>
      <c r="AJ4801" s="43"/>
      <c r="AK4801" s="43"/>
      <c r="AL4801" s="43"/>
      <c r="AM4801" s="43"/>
      <c r="AN4801" s="43"/>
      <c r="AO4801" s="43"/>
      <c r="AP4801" s="43"/>
      <c r="AQ4801" s="43"/>
      <c r="AR4801" s="43"/>
      <c r="AS4801" s="43"/>
      <c r="AT4801" s="43"/>
      <c r="AU4801" s="43"/>
      <c r="AV4801" s="43"/>
    </row>
    <row r="4802" spans="1:48" ht="12.6" customHeight="1">
      <c r="A4802" s="755"/>
      <c r="B4802" s="755" t="s">
        <v>566</v>
      </c>
      <c r="C4802" s="1091" t="s">
        <v>508</v>
      </c>
      <c r="D4802" s="1637" t="s">
        <v>1858</v>
      </c>
      <c r="E4802" s="2292" t="s">
        <v>1916</v>
      </c>
      <c r="F4802" s="1090">
        <v>1210</v>
      </c>
      <c r="G4802" s="757" t="s">
        <v>624</v>
      </c>
      <c r="H4802" s="1107">
        <v>1180</v>
      </c>
      <c r="I4802" s="1107"/>
      <c r="J4802" s="1104"/>
      <c r="K4802" s="1105"/>
      <c r="L4802" s="1100">
        <v>0</v>
      </c>
      <c r="M4802" s="1101"/>
      <c r="N4802" s="2847"/>
      <c r="O4802" s="86"/>
      <c r="P4802" s="1817" t="e">
        <f>INDEX(#REF!,MATCH(F4802,#REF!,0),2)</f>
        <v>#REF!</v>
      </c>
      <c r="Q4802" s="43"/>
      <c r="R4802" s="43"/>
      <c r="S4802" s="43"/>
      <c r="T4802" s="43"/>
      <c r="U4802" s="43"/>
      <c r="V4802" s="43"/>
      <c r="W4802" s="43"/>
      <c r="X4802" s="43"/>
      <c r="Y4802" s="43"/>
      <c r="Z4802" s="43"/>
      <c r="AA4802" s="43"/>
      <c r="AB4802" s="43"/>
      <c r="AC4802" s="43"/>
      <c r="AD4802" s="43"/>
      <c r="AE4802" s="43"/>
      <c r="AF4802" s="43"/>
      <c r="AG4802" s="43"/>
      <c r="AH4802" s="4"/>
      <c r="AI4802" s="4"/>
      <c r="AJ4802" s="4"/>
      <c r="AK4802" s="4"/>
      <c r="AL4802" s="4"/>
      <c r="AM4802" s="4"/>
      <c r="AN4802" s="4"/>
      <c r="AO4802" s="4"/>
      <c r="AP4802" s="4"/>
      <c r="AQ4802" s="4"/>
      <c r="AR4802" s="4"/>
      <c r="AS4802" s="4"/>
      <c r="AT4802" s="4"/>
      <c r="AU4802" s="4"/>
    </row>
    <row r="4803" spans="1:48" ht="11.45" customHeight="1">
      <c r="A4803" s="1370"/>
      <c r="B4803" s="1370" t="s">
        <v>566</v>
      </c>
      <c r="C4803" s="1404" t="s">
        <v>508</v>
      </c>
      <c r="D4803" s="1640"/>
      <c r="E4803" s="2293" t="s">
        <v>1916</v>
      </c>
      <c r="F4803" s="1405">
        <v>1210</v>
      </c>
      <c r="G4803" s="1399"/>
      <c r="H4803" s="1461"/>
      <c r="I4803" s="1461">
        <v>1180</v>
      </c>
      <c r="J4803" s="1407"/>
      <c r="K4803" s="1406"/>
      <c r="L4803" s="3537"/>
      <c r="M4803" s="1407"/>
      <c r="N4803" s="2847"/>
      <c r="O4803" s="86"/>
      <c r="P4803" s="1817" t="e">
        <f>INDEX(#REF!,MATCH(F4803,#REF!,0),2)</f>
        <v>#REF!</v>
      </c>
      <c r="Q4803" s="43"/>
      <c r="R4803" s="43"/>
      <c r="S4803" s="43"/>
      <c r="T4803" s="43"/>
      <c r="U4803" s="43"/>
      <c r="V4803" s="43"/>
      <c r="W4803" s="43"/>
      <c r="X4803" s="43"/>
      <c r="Y4803" s="43"/>
      <c r="Z4803" s="43"/>
      <c r="AA4803" s="43"/>
      <c r="AB4803" s="43"/>
      <c r="AC4803" s="43"/>
      <c r="AD4803" s="43"/>
      <c r="AE4803" s="43"/>
      <c r="AF4803" s="43"/>
      <c r="AG4803" s="43"/>
      <c r="AH4803" s="43"/>
      <c r="AI4803" s="43"/>
      <c r="AJ4803" s="43"/>
      <c r="AK4803" s="43"/>
      <c r="AL4803" s="43"/>
      <c r="AM4803" s="43"/>
      <c r="AN4803" s="43"/>
      <c r="AO4803" s="43"/>
      <c r="AP4803" s="43"/>
      <c r="AQ4803" s="43"/>
      <c r="AR4803" s="43"/>
      <c r="AS4803" s="43"/>
      <c r="AT4803" s="43"/>
      <c r="AU4803" s="43"/>
      <c r="AV4803" s="43"/>
    </row>
    <row r="4804" spans="1:48" ht="11.45" customHeight="1">
      <c r="A4804" s="755"/>
      <c r="B4804" s="755" t="s">
        <v>566</v>
      </c>
      <c r="C4804" s="1091" t="s">
        <v>508</v>
      </c>
      <c r="D4804" s="1637" t="s">
        <v>1858</v>
      </c>
      <c r="E4804" s="2292" t="s">
        <v>1916</v>
      </c>
      <c r="F4804" s="1090">
        <v>2121</v>
      </c>
      <c r="G4804" s="757" t="s">
        <v>1918</v>
      </c>
      <c r="H4804" s="1100">
        <v>8433</v>
      </c>
      <c r="I4804" s="1107"/>
      <c r="J4804" s="1104"/>
      <c r="K4804" s="1105"/>
      <c r="L4804" s="1100">
        <v>0</v>
      </c>
      <c r="M4804" s="1101"/>
      <c r="N4804" s="2847"/>
      <c r="O4804" s="86"/>
      <c r="P4804" s="1817" t="e">
        <f>INDEX(#REF!,MATCH(F4804,#REF!,0),2)</f>
        <v>#REF!</v>
      </c>
      <c r="Q4804" s="43"/>
      <c r="R4804" s="43"/>
      <c r="S4804" s="43"/>
      <c r="T4804" s="43"/>
      <c r="U4804" s="43"/>
      <c r="V4804" s="43"/>
      <c r="W4804" s="43"/>
      <c r="X4804" s="43"/>
      <c r="Y4804" s="43"/>
      <c r="Z4804" s="43"/>
      <c r="AA4804" s="43"/>
      <c r="AB4804" s="43"/>
      <c r="AC4804" s="43"/>
      <c r="AD4804" s="43"/>
      <c r="AE4804" s="43"/>
      <c r="AF4804" s="43"/>
      <c r="AG4804" s="43"/>
      <c r="AH4804" s="4"/>
      <c r="AI4804" s="4"/>
      <c r="AJ4804" s="4"/>
      <c r="AK4804" s="4"/>
      <c r="AL4804" s="4"/>
      <c r="AM4804" s="4"/>
      <c r="AN4804" s="4"/>
      <c r="AO4804" s="4"/>
      <c r="AP4804" s="4"/>
      <c r="AQ4804" s="4"/>
      <c r="AR4804" s="4"/>
      <c r="AS4804" s="4"/>
      <c r="AT4804" s="4"/>
      <c r="AU4804" s="4"/>
      <c r="AV4804" s="4"/>
    </row>
    <row r="4805" spans="1:48" ht="65.45" customHeight="1">
      <c r="A4805" s="1370"/>
      <c r="B4805" s="1370" t="s">
        <v>566</v>
      </c>
      <c r="C4805" s="1404" t="s">
        <v>508</v>
      </c>
      <c r="D4805" s="1640"/>
      <c r="E4805" s="2293" t="s">
        <v>1916</v>
      </c>
      <c r="F4805" s="1405">
        <v>2121</v>
      </c>
      <c r="G4805" s="1399"/>
      <c r="H4805" s="1461"/>
      <c r="I4805" s="1461">
        <v>8433</v>
      </c>
      <c r="J4805" s="1407"/>
      <c r="K4805" s="1406"/>
      <c r="L4805" s="3537"/>
      <c r="M4805" s="1407"/>
      <c r="N4805" s="2847"/>
      <c r="O4805" s="86"/>
      <c r="P4805" s="1817" t="e">
        <f>INDEX(#REF!,MATCH(F4805,#REF!,0),2)</f>
        <v>#REF!</v>
      </c>
      <c r="Q4805" s="43"/>
      <c r="R4805" s="43"/>
      <c r="S4805" s="43"/>
      <c r="T4805" s="43"/>
      <c r="U4805" s="43"/>
      <c r="V4805" s="43"/>
      <c r="W4805" s="43"/>
      <c r="X4805" s="43"/>
      <c r="Y4805" s="43"/>
      <c r="Z4805" s="43"/>
      <c r="AA4805" s="43"/>
      <c r="AB4805" s="43"/>
      <c r="AC4805" s="43"/>
      <c r="AD4805" s="43"/>
      <c r="AE4805" s="43"/>
      <c r="AF4805" s="43"/>
      <c r="AG4805" s="43"/>
      <c r="AH4805" s="4"/>
      <c r="AI4805" s="4"/>
      <c r="AJ4805" s="4"/>
      <c r="AK4805" s="4"/>
      <c r="AL4805" s="4"/>
      <c r="AM4805" s="4"/>
      <c r="AN4805" s="4"/>
      <c r="AO4805" s="4"/>
      <c r="AP4805" s="4"/>
      <c r="AQ4805" s="4"/>
      <c r="AR4805" s="4"/>
      <c r="AS4805" s="4"/>
      <c r="AT4805" s="4"/>
      <c r="AU4805" s="4"/>
      <c r="AV4805" s="4"/>
    </row>
    <row r="4806" spans="1:48" ht="15" customHeight="1">
      <c r="A4806" s="755"/>
      <c r="B4806" s="755" t="s">
        <v>566</v>
      </c>
      <c r="C4806" s="1091" t="s">
        <v>508</v>
      </c>
      <c r="D4806" s="1637" t="s">
        <v>1858</v>
      </c>
      <c r="E4806" s="2292" t="s">
        <v>1916</v>
      </c>
      <c r="F4806" s="1090">
        <v>2122</v>
      </c>
      <c r="G4806" s="757" t="s">
        <v>1919</v>
      </c>
      <c r="H4806" s="1107">
        <v>20000</v>
      </c>
      <c r="I4806" s="1107"/>
      <c r="J4806" s="1104"/>
      <c r="K4806" s="1105"/>
      <c r="L4806" s="1100">
        <v>0</v>
      </c>
      <c r="M4806" s="1101"/>
      <c r="N4806" s="2847"/>
      <c r="O4806" s="86"/>
      <c r="P4806" s="1817" t="e">
        <f>INDEX(#REF!,MATCH(F4806,#REF!,0),2)</f>
        <v>#REF!</v>
      </c>
      <c r="Q4806" s="43"/>
      <c r="R4806" s="43"/>
      <c r="S4806" s="43"/>
      <c r="T4806" s="43"/>
      <c r="U4806" s="43"/>
      <c r="V4806" s="43"/>
      <c r="W4806" s="43"/>
      <c r="X4806" s="43"/>
      <c r="Y4806" s="43"/>
      <c r="Z4806" s="43"/>
      <c r="AA4806" s="43"/>
      <c r="AB4806" s="43"/>
      <c r="AC4806" s="43"/>
      <c r="AD4806" s="43"/>
      <c r="AE4806" s="43"/>
      <c r="AF4806" s="43"/>
      <c r="AG4806" s="43"/>
      <c r="AH4806" s="43"/>
      <c r="AI4806" s="43"/>
      <c r="AJ4806" s="43"/>
      <c r="AK4806" s="43"/>
      <c r="AL4806" s="43"/>
      <c r="AM4806" s="43"/>
      <c r="AN4806" s="43"/>
      <c r="AO4806" s="43"/>
      <c r="AP4806" s="43"/>
      <c r="AQ4806" s="43"/>
      <c r="AR4806" s="43"/>
      <c r="AS4806" s="43"/>
      <c r="AT4806" s="43"/>
      <c r="AU4806" s="43"/>
      <c r="AV4806" s="43"/>
    </row>
    <row r="4807" spans="1:48">
      <c r="A4807" s="1370"/>
      <c r="B4807" s="1370" t="s">
        <v>566</v>
      </c>
      <c r="C4807" s="1404" t="s">
        <v>508</v>
      </c>
      <c r="D4807" s="1640"/>
      <c r="E4807" s="2293" t="s">
        <v>1916</v>
      </c>
      <c r="F4807" s="1405">
        <v>2122</v>
      </c>
      <c r="G4807" s="1399"/>
      <c r="H4807" s="1461"/>
      <c r="I4807" s="1461">
        <v>15000</v>
      </c>
      <c r="J4807" s="1407"/>
      <c r="K4807" s="1406"/>
      <c r="L4807" s="3537"/>
      <c r="M4807" s="1407"/>
      <c r="N4807" s="2847"/>
      <c r="O4807" s="86"/>
      <c r="P4807" s="1817" t="e">
        <f>INDEX(#REF!,MATCH(F4807,#REF!,0),2)</f>
        <v>#REF!</v>
      </c>
      <c r="Q4807" s="43"/>
      <c r="R4807" s="43"/>
      <c r="S4807" s="43"/>
      <c r="T4807" s="43"/>
      <c r="U4807" s="43"/>
      <c r="V4807" s="43"/>
      <c r="W4807" s="43"/>
      <c r="X4807" s="43"/>
      <c r="Y4807" s="43"/>
      <c r="Z4807" s="43"/>
      <c r="AA4807" s="43"/>
      <c r="AB4807" s="43"/>
      <c r="AC4807" s="43"/>
      <c r="AD4807" s="43"/>
      <c r="AE4807" s="43"/>
      <c r="AF4807" s="43"/>
      <c r="AG4807" s="43"/>
      <c r="AH4807" s="4"/>
      <c r="AI4807" s="4"/>
      <c r="AJ4807" s="4"/>
      <c r="AK4807" s="4"/>
      <c r="AL4807" s="4"/>
      <c r="AM4807" s="4"/>
      <c r="AN4807" s="4"/>
      <c r="AO4807" s="4"/>
      <c r="AP4807" s="4"/>
      <c r="AQ4807" s="4"/>
      <c r="AR4807" s="4"/>
      <c r="AS4807" s="4"/>
      <c r="AT4807" s="4"/>
      <c r="AU4807" s="4"/>
      <c r="AV4807" s="4"/>
    </row>
    <row r="4808" spans="1:48" ht="15" customHeight="1">
      <c r="A4808" s="1882"/>
      <c r="B4808" s="1370" t="s">
        <v>566</v>
      </c>
      <c r="C4808" s="1404" t="s">
        <v>508</v>
      </c>
      <c r="D4808" s="1640"/>
      <c r="E4808" s="2293" t="s">
        <v>1916</v>
      </c>
      <c r="F4808" s="1405">
        <v>2122</v>
      </c>
      <c r="G4808" s="1993" t="s">
        <v>3171</v>
      </c>
      <c r="H4808" s="2341"/>
      <c r="I4808" s="2341">
        <v>5000</v>
      </c>
      <c r="J4808" s="2342"/>
      <c r="K4808" s="2321"/>
      <c r="L4808" s="3538"/>
      <c r="M4808" s="2342"/>
      <c r="N4808" s="2847"/>
      <c r="O4808" s="86"/>
      <c r="P4808" s="1817" t="e">
        <f>INDEX(#REF!,MATCH(F4808,#REF!,0),2)</f>
        <v>#REF!</v>
      </c>
      <c r="Q4808" s="43"/>
      <c r="R4808" s="43"/>
      <c r="S4808" s="43"/>
      <c r="T4808" s="43"/>
      <c r="U4808" s="43"/>
      <c r="V4808" s="43"/>
      <c r="W4808" s="43"/>
      <c r="X4808" s="43"/>
      <c r="Y4808" s="43"/>
      <c r="Z4808" s="43"/>
      <c r="AA4808" s="43"/>
      <c r="AB4808" s="43"/>
      <c r="AC4808" s="43"/>
      <c r="AD4808" s="43"/>
      <c r="AE4808" s="43"/>
      <c r="AF4808" s="43"/>
      <c r="AG4808" s="43"/>
      <c r="AH4808" s="4"/>
      <c r="AI4808" s="4"/>
      <c r="AJ4808" s="4"/>
      <c r="AK4808" s="4"/>
      <c r="AL4808" s="4"/>
      <c r="AM4808" s="4"/>
      <c r="AN4808" s="4"/>
      <c r="AO4808" s="4"/>
      <c r="AP4808" s="4"/>
      <c r="AQ4808" s="4"/>
      <c r="AR4808" s="4"/>
      <c r="AS4808" s="4"/>
      <c r="AT4808" s="4"/>
      <c r="AU4808" s="4"/>
      <c r="AV4808" s="4"/>
    </row>
    <row r="4809" spans="1:48" ht="11.45" customHeight="1">
      <c r="A4809" s="755"/>
      <c r="B4809" s="755" t="s">
        <v>566</v>
      </c>
      <c r="C4809" s="1091" t="s">
        <v>508</v>
      </c>
      <c r="D4809" s="1637" t="s">
        <v>1858</v>
      </c>
      <c r="E4809" s="2290" t="s">
        <v>1916</v>
      </c>
      <c r="F4809" s="1090">
        <v>2233</v>
      </c>
      <c r="G4809" s="757" t="s">
        <v>1920</v>
      </c>
      <c r="H4809" s="1107">
        <v>7000</v>
      </c>
      <c r="I4809" s="1107"/>
      <c r="J4809" s="1104"/>
      <c r="K4809" s="1105"/>
      <c r="L4809" s="1100"/>
      <c r="M4809" s="1101"/>
      <c r="N4809" s="2847"/>
      <c r="O4809" s="86"/>
      <c r="P4809" s="1817" t="e">
        <f>INDEX(#REF!,MATCH(F4809,#REF!,0),2)</f>
        <v>#REF!</v>
      </c>
      <c r="Q4809" s="1779"/>
      <c r="R4809" s="1779"/>
      <c r="S4809" s="1779"/>
      <c r="T4809" s="1779"/>
      <c r="U4809" s="1779"/>
      <c r="V4809" s="1779"/>
      <c r="W4809" s="43"/>
      <c r="X4809" s="1779"/>
      <c r="Y4809" s="1779"/>
      <c r="Z4809" s="1779"/>
      <c r="AA4809" s="1779"/>
      <c r="AB4809" s="1779"/>
      <c r="AC4809" s="1779"/>
      <c r="AD4809" s="1779"/>
      <c r="AE4809" s="1779"/>
      <c r="AF4809" s="1779"/>
      <c r="AG4809" s="1779"/>
      <c r="AH4809" s="1779"/>
      <c r="AI4809" s="1779"/>
      <c r="AJ4809" s="1779"/>
      <c r="AK4809" s="1779"/>
      <c r="AL4809" s="1779"/>
      <c r="AM4809" s="1779"/>
      <c r="AN4809" s="1779"/>
      <c r="AO4809" s="1779"/>
      <c r="AP4809" s="1779"/>
      <c r="AQ4809" s="1779"/>
      <c r="AR4809" s="1779"/>
      <c r="AS4809" s="1779"/>
      <c r="AT4809" s="1779"/>
      <c r="AU4809" s="1779"/>
      <c r="AV4809" s="1779"/>
    </row>
    <row r="4810" spans="1:48" ht="20.45" customHeight="1">
      <c r="A4810" s="762"/>
      <c r="B4810" s="762" t="s">
        <v>566</v>
      </c>
      <c r="C4810" s="810" t="s">
        <v>508</v>
      </c>
      <c r="D4810" s="1638"/>
      <c r="E4810" s="2291" t="s">
        <v>1916</v>
      </c>
      <c r="F4810" s="1092">
        <v>2233</v>
      </c>
      <c r="G4810" s="812" t="s">
        <v>3098</v>
      </c>
      <c r="H4810" s="1102"/>
      <c r="I4810" s="1102">
        <v>7000</v>
      </c>
      <c r="J4810" s="1169"/>
      <c r="K4810" s="1110"/>
      <c r="L4810" s="1112"/>
      <c r="M4810" s="1169"/>
      <c r="N4810" s="2847"/>
      <c r="O4810" s="86"/>
      <c r="P4810" s="1817" t="e">
        <f>INDEX(#REF!,MATCH(F4810,#REF!,0),2)</f>
        <v>#REF!</v>
      </c>
      <c r="Q4810" s="1779"/>
      <c r="R4810" s="1779"/>
      <c r="S4810" s="1779"/>
      <c r="T4810" s="1779"/>
      <c r="U4810" s="1779"/>
      <c r="V4810" s="1779"/>
      <c r="W4810" s="43"/>
      <c r="X4810" s="1779"/>
      <c r="Y4810" s="1779"/>
      <c r="Z4810" s="1779"/>
      <c r="AA4810" s="1779"/>
      <c r="AB4810" s="1779"/>
      <c r="AC4810" s="1779"/>
      <c r="AD4810" s="1779"/>
      <c r="AE4810" s="1779"/>
      <c r="AF4810" s="1779"/>
      <c r="AG4810" s="1779"/>
      <c r="AH4810" s="1779"/>
      <c r="AI4810" s="1779"/>
      <c r="AJ4810" s="1779"/>
      <c r="AK4810" s="1779"/>
      <c r="AL4810" s="1779"/>
      <c r="AM4810" s="1779"/>
      <c r="AN4810" s="1779"/>
      <c r="AO4810" s="1779"/>
      <c r="AP4810" s="1779"/>
      <c r="AQ4810" s="1779"/>
      <c r="AR4810" s="1779"/>
      <c r="AS4810" s="1779"/>
      <c r="AT4810" s="1779"/>
      <c r="AU4810" s="1779"/>
      <c r="AV4810" s="1779"/>
    </row>
    <row r="4811" spans="1:48" ht="11.45" customHeight="1">
      <c r="A4811" s="755"/>
      <c r="B4811" s="755" t="s">
        <v>566</v>
      </c>
      <c r="C4811" s="1091" t="s">
        <v>508</v>
      </c>
      <c r="D4811" s="1637" t="s">
        <v>1858</v>
      </c>
      <c r="E4811" s="2290" t="s">
        <v>1916</v>
      </c>
      <c r="F4811" s="1090">
        <v>2239</v>
      </c>
      <c r="G4811" s="757" t="s">
        <v>1801</v>
      </c>
      <c r="H4811" s="1107">
        <v>10000</v>
      </c>
      <c r="I4811" s="1107"/>
      <c r="J4811" s="1104"/>
      <c r="K4811" s="1105"/>
      <c r="L4811" s="1100">
        <v>3164.6</v>
      </c>
      <c r="M4811" s="1101"/>
      <c r="N4811" s="2847"/>
      <c r="O4811" s="86"/>
      <c r="P4811" s="1817" t="e">
        <f>INDEX(#REF!,MATCH(F4811,#REF!,0),2)</f>
        <v>#REF!</v>
      </c>
      <c r="Q4811" s="43"/>
      <c r="R4811" s="43"/>
      <c r="S4811" s="43"/>
      <c r="T4811" s="43"/>
      <c r="U4811" s="43"/>
      <c r="V4811" s="43"/>
      <c r="W4811" s="43"/>
      <c r="X4811" s="43"/>
      <c r="Y4811" s="43"/>
      <c r="Z4811" s="43"/>
      <c r="AA4811" s="43"/>
      <c r="AB4811" s="43"/>
      <c r="AC4811" s="43"/>
      <c r="AD4811" s="43"/>
      <c r="AE4811" s="43"/>
      <c r="AF4811" s="43"/>
      <c r="AG4811" s="43"/>
      <c r="AH4811" s="43"/>
      <c r="AI4811" s="43"/>
      <c r="AJ4811" s="43"/>
      <c r="AK4811" s="43"/>
      <c r="AL4811" s="43"/>
      <c r="AM4811" s="43"/>
      <c r="AN4811" s="43"/>
      <c r="AO4811" s="43"/>
      <c r="AP4811" s="43"/>
      <c r="AQ4811" s="43"/>
      <c r="AR4811" s="43"/>
      <c r="AS4811" s="43"/>
      <c r="AT4811" s="43"/>
      <c r="AU4811" s="43"/>
      <c r="AV4811" s="43"/>
    </row>
    <row r="4812" spans="1:48" ht="11.45" customHeight="1">
      <c r="A4812" s="762"/>
      <c r="B4812" s="762" t="s">
        <v>566</v>
      </c>
      <c r="C4812" s="810" t="s">
        <v>508</v>
      </c>
      <c r="D4812" s="1638"/>
      <c r="E4812" s="2291" t="s">
        <v>1916</v>
      </c>
      <c r="F4812" s="1092">
        <v>2239</v>
      </c>
      <c r="G4812" s="812" t="s">
        <v>4934</v>
      </c>
      <c r="H4812" s="1102"/>
      <c r="I4812" s="1102"/>
      <c r="J4812" s="1169"/>
      <c r="K4812" s="1110"/>
      <c r="L4812" s="1112"/>
      <c r="M4812" s="1169">
        <v>3164.6</v>
      </c>
      <c r="N4812" s="2847"/>
      <c r="O4812" s="86"/>
      <c r="P4812" s="1817" t="e">
        <f>INDEX(#REF!,MATCH(F4812,#REF!,0),2)</f>
        <v>#REF!</v>
      </c>
      <c r="Q4812" s="43"/>
      <c r="R4812" s="43"/>
      <c r="S4812" s="43"/>
      <c r="T4812" s="43"/>
      <c r="U4812" s="43"/>
      <c r="V4812" s="43"/>
      <c r="W4812" s="43"/>
      <c r="X4812" s="43"/>
      <c r="Y4812" s="43"/>
      <c r="Z4812" s="43"/>
      <c r="AA4812" s="43"/>
      <c r="AB4812" s="43"/>
      <c r="AC4812" s="43"/>
      <c r="AD4812" s="43"/>
      <c r="AE4812" s="43"/>
      <c r="AF4812" s="43"/>
      <c r="AG4812" s="43"/>
      <c r="AH4812" s="4"/>
      <c r="AI4812" s="4"/>
      <c r="AJ4812" s="4"/>
      <c r="AK4812" s="4"/>
      <c r="AL4812" s="4"/>
      <c r="AM4812" s="4"/>
      <c r="AN4812" s="4"/>
      <c r="AO4812" s="4"/>
      <c r="AP4812" s="4"/>
      <c r="AQ4812" s="4"/>
      <c r="AR4812" s="4"/>
      <c r="AS4812" s="4"/>
      <c r="AT4812" s="4"/>
      <c r="AU4812" s="4"/>
      <c r="AV4812" s="4"/>
    </row>
    <row r="4813" spans="1:48" ht="18" customHeight="1">
      <c r="A4813" s="762"/>
      <c r="B4813" s="762" t="s">
        <v>566</v>
      </c>
      <c r="C4813" s="810" t="s">
        <v>508</v>
      </c>
      <c r="D4813" s="1638"/>
      <c r="E4813" s="2291" t="s">
        <v>1916</v>
      </c>
      <c r="F4813" s="1092">
        <v>2239</v>
      </c>
      <c r="G4813" s="812" t="s">
        <v>3098</v>
      </c>
      <c r="H4813" s="1102"/>
      <c r="I4813" s="1102">
        <v>10000</v>
      </c>
      <c r="J4813" s="1169"/>
      <c r="K4813" s="1110"/>
      <c r="L4813" s="1112"/>
      <c r="M4813" s="1169"/>
      <c r="N4813" s="2847"/>
      <c r="O4813" s="86"/>
      <c r="P4813" s="1817" t="e">
        <f>INDEX(#REF!,MATCH(F4813,#REF!,0),2)</f>
        <v>#REF!</v>
      </c>
      <c r="Q4813" s="43"/>
      <c r="R4813" s="43"/>
      <c r="S4813" s="43"/>
      <c r="T4813" s="43"/>
      <c r="U4813" s="43"/>
      <c r="V4813" s="43"/>
      <c r="W4813" s="43"/>
      <c r="X4813" s="43"/>
      <c r="Y4813" s="43"/>
      <c r="Z4813" s="43"/>
      <c r="AA4813" s="43"/>
      <c r="AB4813" s="43"/>
      <c r="AC4813" s="43"/>
      <c r="AD4813" s="43"/>
      <c r="AE4813" s="43"/>
      <c r="AF4813" s="43"/>
      <c r="AG4813" s="43"/>
      <c r="AH4813" s="4"/>
      <c r="AI4813" s="4"/>
      <c r="AJ4813" s="4"/>
      <c r="AK4813" s="4"/>
      <c r="AL4813" s="4"/>
      <c r="AM4813" s="4"/>
      <c r="AN4813" s="4"/>
      <c r="AO4813" s="4"/>
      <c r="AP4813" s="4"/>
      <c r="AQ4813" s="4"/>
      <c r="AR4813" s="4"/>
      <c r="AS4813" s="4"/>
      <c r="AT4813" s="4"/>
      <c r="AU4813" s="4"/>
      <c r="AV4813" s="4"/>
    </row>
    <row r="4814" spans="1:48" ht="18" customHeight="1">
      <c r="A4814" s="755"/>
      <c r="B4814" s="755" t="s">
        <v>566</v>
      </c>
      <c r="C4814" s="1091" t="s">
        <v>508</v>
      </c>
      <c r="D4814" s="1637" t="s">
        <v>4936</v>
      </c>
      <c r="E4814" s="2290" t="s">
        <v>4937</v>
      </c>
      <c r="F4814" s="1090">
        <v>2239</v>
      </c>
      <c r="G4814" s="757" t="s">
        <v>1801</v>
      </c>
      <c r="H4814" s="1107"/>
      <c r="I4814" s="1107"/>
      <c r="J4814" s="1104"/>
      <c r="K4814" s="1105"/>
      <c r="L4814" s="1100">
        <v>12304</v>
      </c>
      <c r="M4814" s="1101"/>
      <c r="N4814" s="2847"/>
      <c r="O4814" s="86"/>
      <c r="P4814" s="1817" t="e">
        <f>INDEX(#REF!,MATCH(F4814,#REF!,0),2)</f>
        <v>#REF!</v>
      </c>
      <c r="Q4814" s="43"/>
      <c r="R4814" s="43"/>
      <c r="S4814" s="43"/>
      <c r="T4814" s="43"/>
      <c r="U4814" s="43"/>
      <c r="V4814" s="43"/>
      <c r="W4814" s="43"/>
      <c r="X4814" s="43"/>
      <c r="Y4814" s="43"/>
      <c r="Z4814" s="43"/>
      <c r="AA4814" s="43"/>
      <c r="AB4814" s="43"/>
      <c r="AC4814" s="43"/>
      <c r="AD4814" s="43"/>
      <c r="AE4814" s="43"/>
      <c r="AF4814" s="43"/>
      <c r="AG4814" s="43"/>
      <c r="AH4814" s="4"/>
      <c r="AI4814" s="4"/>
      <c r="AJ4814" s="4"/>
      <c r="AK4814" s="4"/>
      <c r="AL4814" s="4"/>
      <c r="AM4814" s="4"/>
      <c r="AN4814" s="4"/>
      <c r="AO4814" s="4"/>
      <c r="AP4814" s="4"/>
      <c r="AQ4814" s="4"/>
      <c r="AR4814" s="4"/>
      <c r="AS4814" s="4"/>
      <c r="AT4814" s="4"/>
      <c r="AU4814" s="4"/>
      <c r="AV4814" s="4"/>
    </row>
    <row r="4815" spans="1:48" ht="23.25" customHeight="1">
      <c r="A4815" s="762"/>
      <c r="B4815" s="762" t="s">
        <v>566</v>
      </c>
      <c r="C4815" s="810" t="s">
        <v>508</v>
      </c>
      <c r="D4815" s="1638"/>
      <c r="E4815" s="2291" t="s">
        <v>4937</v>
      </c>
      <c r="F4815" s="1092">
        <v>2239</v>
      </c>
      <c r="G4815" s="812" t="s">
        <v>4935</v>
      </c>
      <c r="H4815" s="1102"/>
      <c r="I4815" s="1102"/>
      <c r="J4815" s="1169"/>
      <c r="K4815" s="1110"/>
      <c r="L4815" s="1112"/>
      <c r="M4815" s="1169">
        <v>12304</v>
      </c>
      <c r="N4815" s="2847"/>
      <c r="O4815" s="86"/>
      <c r="P4815" s="1817" t="e">
        <f>INDEX(#REF!,MATCH(F4815,#REF!,0),2)</f>
        <v>#REF!</v>
      </c>
      <c r="Q4815" s="43"/>
      <c r="R4815" s="43"/>
      <c r="S4815" s="43"/>
      <c r="T4815" s="43"/>
      <c r="U4815" s="43"/>
      <c r="V4815" s="43"/>
      <c r="W4815" s="43"/>
      <c r="X4815" s="43"/>
      <c r="Y4815" s="43"/>
      <c r="Z4815" s="43"/>
      <c r="AA4815" s="43"/>
      <c r="AB4815" s="43"/>
      <c r="AC4815" s="43"/>
      <c r="AD4815" s="43"/>
      <c r="AE4815" s="43"/>
      <c r="AF4815" s="43"/>
      <c r="AG4815" s="43"/>
      <c r="AH4815" s="43"/>
      <c r="AI4815" s="43"/>
      <c r="AJ4815" s="43"/>
      <c r="AK4815" s="43"/>
      <c r="AL4815" s="43"/>
      <c r="AM4815" s="43"/>
      <c r="AN4815" s="43"/>
      <c r="AO4815" s="43"/>
      <c r="AP4815" s="43"/>
      <c r="AQ4815" s="43"/>
      <c r="AR4815" s="43"/>
      <c r="AS4815" s="43"/>
      <c r="AT4815" s="43"/>
      <c r="AU4815" s="43"/>
      <c r="AV4815" s="43"/>
    </row>
    <row r="4816" spans="1:48" ht="14.25" customHeight="1">
      <c r="A4816" s="176"/>
      <c r="B4816" s="170" t="s">
        <v>663</v>
      </c>
      <c r="C4816" s="170" t="s">
        <v>652</v>
      </c>
      <c r="D4816" s="1603">
        <v>660</v>
      </c>
      <c r="E4816" s="2250" t="s">
        <v>1952</v>
      </c>
      <c r="F4816" s="171">
        <v>1119</v>
      </c>
      <c r="G4816" s="172" t="s">
        <v>628</v>
      </c>
      <c r="H4816" s="208">
        <v>141498.4</v>
      </c>
      <c r="I4816" s="196"/>
      <c r="J4816" s="196"/>
      <c r="K4816" s="194"/>
      <c r="L4816" s="1580">
        <v>161336.66400000002</v>
      </c>
      <c r="M4816" s="1580"/>
      <c r="N4816" s="2847"/>
      <c r="O4816" s="86"/>
      <c r="P4816" s="1817" t="e">
        <f>INDEX(#REF!,MATCH(F4816,#REF!,0),2)</f>
        <v>#REF!</v>
      </c>
      <c r="Q4816" s="43"/>
      <c r="R4816" s="43"/>
      <c r="S4816" s="43"/>
      <c r="T4816" s="43"/>
      <c r="U4816" s="43"/>
      <c r="V4816" s="43"/>
      <c r="W4816" s="43"/>
      <c r="X4816" s="43"/>
      <c r="Y4816" s="43"/>
      <c r="Z4816" s="43"/>
      <c r="AA4816" s="43"/>
      <c r="AB4816" s="43"/>
      <c r="AC4816" s="43"/>
      <c r="AD4816" s="43"/>
      <c r="AE4816" s="43"/>
      <c r="AF4816" s="43"/>
      <c r="AG4816" s="43"/>
      <c r="AH4816" s="43"/>
      <c r="AI4816" s="43"/>
      <c r="AJ4816" s="43"/>
      <c r="AK4816" s="43"/>
      <c r="AL4816" s="43"/>
      <c r="AM4816" s="43"/>
      <c r="AN4816" s="43"/>
      <c r="AO4816" s="43"/>
      <c r="AP4816" s="43"/>
      <c r="AQ4816" s="43"/>
      <c r="AR4816" s="43"/>
      <c r="AS4816" s="43"/>
      <c r="AT4816" s="43"/>
      <c r="AU4816" s="43"/>
      <c r="AV4816" s="43"/>
    </row>
    <row r="4817" spans="1:48" ht="19.149999999999999" customHeight="1">
      <c r="A4817" s="175"/>
      <c r="B4817" s="173" t="s">
        <v>663</v>
      </c>
      <c r="C4817" s="173" t="s">
        <v>652</v>
      </c>
      <c r="D4817" s="1604"/>
      <c r="E4817" s="2251" t="s">
        <v>1952</v>
      </c>
      <c r="F4817" s="370">
        <v>1119</v>
      </c>
      <c r="G4817" s="179" t="s">
        <v>663</v>
      </c>
      <c r="H4817" s="270"/>
      <c r="I4817" s="197">
        <v>149967.4</v>
      </c>
      <c r="J4817" s="197"/>
      <c r="K4817" s="194"/>
      <c r="L4817" s="1576"/>
      <c r="M4817" s="1576">
        <v>161336.66400000002</v>
      </c>
      <c r="N4817" s="2847"/>
      <c r="O4817" s="86"/>
      <c r="P4817" s="1817" t="e">
        <f>INDEX(#REF!,MATCH(F4817,#REF!,0),2)</f>
        <v>#REF!</v>
      </c>
      <c r="Q4817" s="43"/>
      <c r="R4817" s="43"/>
      <c r="S4817" s="43"/>
      <c r="T4817" s="43"/>
      <c r="U4817" s="43"/>
      <c r="V4817" s="43"/>
      <c r="W4817" s="43"/>
      <c r="X4817" s="43"/>
      <c r="Y4817" s="43"/>
      <c r="Z4817" s="43"/>
      <c r="AA4817" s="43"/>
      <c r="AB4817" s="43"/>
      <c r="AC4817" s="43"/>
      <c r="AD4817" s="43"/>
      <c r="AE4817" s="43"/>
      <c r="AF4817" s="43"/>
      <c r="AG4817" s="43"/>
      <c r="AH4817" s="4"/>
      <c r="AI4817" s="4"/>
      <c r="AJ4817" s="4"/>
      <c r="AK4817" s="4"/>
      <c r="AL4817" s="4"/>
      <c r="AM4817" s="4"/>
      <c r="AN4817" s="4"/>
      <c r="AO4817" s="4"/>
      <c r="AP4817" s="4"/>
      <c r="AQ4817" s="4"/>
      <c r="AR4817" s="4"/>
      <c r="AS4817" s="4"/>
      <c r="AT4817" s="4"/>
      <c r="AU4817" s="4"/>
      <c r="AV4817" s="4"/>
    </row>
    <row r="4818" spans="1:48" ht="11.45" customHeight="1">
      <c r="A4818" s="175"/>
      <c r="B4818" s="173" t="s">
        <v>663</v>
      </c>
      <c r="C4818" s="173" t="s">
        <v>652</v>
      </c>
      <c r="D4818" s="1604"/>
      <c r="E4818" s="2251" t="s">
        <v>1952</v>
      </c>
      <c r="F4818" s="370">
        <v>1119</v>
      </c>
      <c r="G4818" s="179" t="s">
        <v>1861</v>
      </c>
      <c r="H4818" s="270"/>
      <c r="I4818" s="197"/>
      <c r="J4818" s="197"/>
      <c r="K4818" s="194"/>
      <c r="L4818" s="1576"/>
      <c r="M4818" s="1576"/>
      <c r="N4818" s="2847"/>
      <c r="O4818" s="86"/>
      <c r="P4818" s="1817" t="e">
        <f>INDEX(#REF!,MATCH(F4818,#REF!,0),2)</f>
        <v>#REF!</v>
      </c>
      <c r="Q4818" s="43"/>
      <c r="R4818" s="43"/>
      <c r="S4818" s="43"/>
      <c r="T4818" s="43"/>
      <c r="U4818" s="43"/>
      <c r="V4818" s="43"/>
      <c r="W4818" s="43"/>
      <c r="X4818" s="43"/>
      <c r="Y4818" s="43"/>
      <c r="Z4818" s="43"/>
      <c r="AA4818" s="43"/>
      <c r="AB4818" s="43"/>
      <c r="AC4818" s="43"/>
      <c r="AD4818" s="43"/>
      <c r="AE4818" s="43"/>
      <c r="AF4818" s="43"/>
      <c r="AG4818" s="43"/>
      <c r="AH4818" s="43"/>
      <c r="AI4818" s="43"/>
      <c r="AJ4818" s="43"/>
      <c r="AK4818" s="43"/>
      <c r="AL4818" s="43"/>
      <c r="AM4818" s="43"/>
      <c r="AN4818" s="43"/>
      <c r="AO4818" s="43"/>
      <c r="AP4818" s="43"/>
      <c r="AQ4818" s="43"/>
      <c r="AR4818" s="43"/>
      <c r="AS4818" s="43"/>
      <c r="AT4818" s="43"/>
      <c r="AU4818" s="43"/>
      <c r="AV4818" s="43"/>
    </row>
    <row r="4819" spans="1:48" ht="11.45" customHeight="1">
      <c r="A4819" s="1376"/>
      <c r="B4819" s="173" t="s">
        <v>663</v>
      </c>
      <c r="C4819" s="173" t="s">
        <v>652</v>
      </c>
      <c r="D4819" s="1604"/>
      <c r="E4819" s="2251" t="s">
        <v>1952</v>
      </c>
      <c r="F4819" s="370">
        <v>1119</v>
      </c>
      <c r="G4819" s="1913" t="s">
        <v>3201</v>
      </c>
      <c r="H4819" s="1422"/>
      <c r="I4819" s="1379">
        <v>-8469</v>
      </c>
      <c r="J4819" s="1379"/>
      <c r="K4819" s="1416"/>
      <c r="L4819" s="1576"/>
      <c r="M4819" s="1576"/>
      <c r="N4819" s="2847"/>
      <c r="O4819" s="86"/>
      <c r="P4819" s="1817" t="e">
        <f>INDEX(#REF!,MATCH(F4819,#REF!,0),2)</f>
        <v>#REF!</v>
      </c>
      <c r="Q4819" s="43"/>
      <c r="R4819" s="43"/>
      <c r="S4819" s="43"/>
      <c r="T4819" s="43"/>
      <c r="U4819" s="43"/>
      <c r="V4819" s="43"/>
      <c r="W4819" s="43"/>
      <c r="X4819" s="43"/>
      <c r="Y4819" s="43"/>
      <c r="Z4819" s="43"/>
      <c r="AA4819" s="43"/>
      <c r="AB4819" s="43"/>
      <c r="AC4819" s="43"/>
      <c r="AD4819" s="43"/>
      <c r="AE4819" s="43"/>
      <c r="AF4819" s="43"/>
      <c r="AG4819" s="43"/>
      <c r="AH4819" s="43"/>
      <c r="AI4819" s="43"/>
      <c r="AJ4819" s="43"/>
      <c r="AK4819" s="43"/>
      <c r="AL4819" s="43"/>
      <c r="AM4819" s="43"/>
      <c r="AN4819" s="43"/>
      <c r="AO4819" s="43"/>
      <c r="AP4819" s="43"/>
      <c r="AQ4819" s="43"/>
      <c r="AR4819" s="43"/>
      <c r="AS4819" s="43"/>
      <c r="AT4819" s="43"/>
      <c r="AU4819" s="43"/>
      <c r="AV4819" s="43"/>
    </row>
    <row r="4820" spans="1:48" ht="14.45" customHeight="1">
      <c r="A4820" s="16"/>
      <c r="B4820" s="170" t="s">
        <v>663</v>
      </c>
      <c r="C4820" s="170" t="s">
        <v>652</v>
      </c>
      <c r="D4820" s="1603">
        <v>660</v>
      </c>
      <c r="E4820" s="2252" t="s">
        <v>1952</v>
      </c>
      <c r="F4820" s="171">
        <v>1146</v>
      </c>
      <c r="G4820" s="7" t="s">
        <v>889</v>
      </c>
      <c r="H4820" s="346">
        <v>0</v>
      </c>
      <c r="I4820" s="347"/>
      <c r="J4820" s="348"/>
      <c r="K4820" s="349"/>
      <c r="L4820" s="1580">
        <v>0</v>
      </c>
      <c r="M4820" s="1580"/>
      <c r="N4820" s="2847"/>
      <c r="O4820" s="86"/>
      <c r="P4820" s="1817" t="e">
        <f>INDEX(#REF!,MATCH(F4820,#REF!,0),2)</f>
        <v>#REF!</v>
      </c>
      <c r="Q4820" s="43"/>
      <c r="R4820" s="43"/>
      <c r="S4820" s="43"/>
      <c r="T4820" s="43"/>
      <c r="U4820" s="43"/>
      <c r="V4820" s="43"/>
      <c r="W4820" s="43"/>
      <c r="X4820" s="43"/>
      <c r="Y4820" s="43"/>
      <c r="Z4820" s="43"/>
      <c r="AA4820" s="43"/>
      <c r="AB4820" s="43"/>
      <c r="AC4820" s="43"/>
      <c r="AD4820" s="43"/>
      <c r="AE4820" s="43"/>
      <c r="AF4820" s="43"/>
      <c r="AG4820" s="43"/>
      <c r="AH4820" s="43"/>
      <c r="AI4820" s="43"/>
      <c r="AJ4820" s="43"/>
      <c r="AK4820" s="43"/>
      <c r="AL4820" s="43"/>
      <c r="AM4820" s="43"/>
      <c r="AN4820" s="43"/>
      <c r="AO4820" s="43"/>
      <c r="AP4820" s="43"/>
      <c r="AQ4820" s="43"/>
      <c r="AR4820" s="43"/>
      <c r="AS4820" s="43"/>
      <c r="AT4820" s="43"/>
      <c r="AU4820" s="43"/>
      <c r="AV4820" s="43"/>
    </row>
    <row r="4821" spans="1:48" ht="14.45" customHeight="1">
      <c r="A4821" s="175"/>
      <c r="B4821" s="173" t="s">
        <v>663</v>
      </c>
      <c r="C4821" s="173" t="s">
        <v>652</v>
      </c>
      <c r="D4821" s="1604"/>
      <c r="E4821" s="2251" t="s">
        <v>1952</v>
      </c>
      <c r="F4821" s="370">
        <v>1146</v>
      </c>
      <c r="G4821" s="174"/>
      <c r="H4821" s="270"/>
      <c r="I4821" s="197"/>
      <c r="J4821" s="197"/>
      <c r="K4821" s="194"/>
      <c r="L4821" s="1576"/>
      <c r="M4821" s="1576"/>
      <c r="N4821" s="2847"/>
      <c r="O4821" s="86"/>
      <c r="P4821" s="1817" t="e">
        <f>INDEX(#REF!,MATCH(F4821,#REF!,0),2)</f>
        <v>#REF!</v>
      </c>
      <c r="Q4821" s="43"/>
      <c r="R4821" s="43"/>
      <c r="S4821" s="43"/>
      <c r="T4821" s="43"/>
      <c r="U4821" s="43"/>
      <c r="V4821" s="43"/>
      <c r="W4821" s="43"/>
      <c r="X4821" s="43"/>
      <c r="Y4821" s="43"/>
      <c r="Z4821" s="43"/>
      <c r="AA4821" s="43"/>
      <c r="AB4821" s="43"/>
      <c r="AC4821" s="43"/>
      <c r="AD4821" s="43"/>
      <c r="AE4821" s="43"/>
      <c r="AF4821" s="43"/>
      <c r="AG4821" s="43"/>
      <c r="AH4821" s="43"/>
      <c r="AI4821" s="43"/>
      <c r="AJ4821" s="43"/>
      <c r="AK4821" s="43"/>
      <c r="AL4821" s="43"/>
      <c r="AM4821" s="43"/>
      <c r="AN4821" s="43"/>
      <c r="AO4821" s="43"/>
      <c r="AP4821" s="43"/>
      <c r="AQ4821" s="43"/>
      <c r="AR4821" s="43"/>
      <c r="AS4821" s="43"/>
      <c r="AT4821" s="43"/>
      <c r="AU4821" s="43"/>
      <c r="AV4821" s="43"/>
    </row>
    <row r="4822" spans="1:48" ht="11.45" customHeight="1">
      <c r="A4822" s="176"/>
      <c r="B4822" s="170" t="s">
        <v>663</v>
      </c>
      <c r="C4822" s="170" t="s">
        <v>652</v>
      </c>
      <c r="D4822" s="1603">
        <v>660</v>
      </c>
      <c r="E4822" s="2252" t="s">
        <v>1952</v>
      </c>
      <c r="F4822" s="171">
        <v>1147</v>
      </c>
      <c r="G4822" s="172" t="s">
        <v>226</v>
      </c>
      <c r="H4822" s="208">
        <v>33441.100000000006</v>
      </c>
      <c r="I4822" s="196"/>
      <c r="J4822" s="196"/>
      <c r="K4822" s="194"/>
      <c r="L4822" s="1580">
        <v>57811.722000000002</v>
      </c>
      <c r="M4822" s="1580"/>
      <c r="N4822" s="2847"/>
      <c r="O4822" s="86"/>
      <c r="P4822" s="1817" t="e">
        <f>INDEX(#REF!,MATCH(F4822,#REF!,0),2)</f>
        <v>#REF!</v>
      </c>
      <c r="Q4822" s="43"/>
      <c r="R4822" s="43"/>
      <c r="S4822" s="43"/>
      <c r="T4822" s="43"/>
      <c r="U4822" s="43"/>
      <c r="V4822" s="43"/>
      <c r="W4822" s="43"/>
      <c r="X4822" s="43"/>
      <c r="Y4822" s="43"/>
      <c r="Z4822" s="43"/>
      <c r="AA4822" s="43"/>
      <c r="AB4822" s="43"/>
      <c r="AC4822" s="43"/>
      <c r="AD4822" s="43"/>
      <c r="AE4822" s="43"/>
      <c r="AF4822" s="43"/>
      <c r="AG4822" s="43"/>
      <c r="AH4822" s="43"/>
      <c r="AI4822" s="43"/>
      <c r="AJ4822" s="43"/>
      <c r="AK4822" s="43"/>
      <c r="AL4822" s="43"/>
      <c r="AM4822" s="43"/>
      <c r="AN4822" s="43"/>
      <c r="AO4822" s="43"/>
      <c r="AP4822" s="43"/>
      <c r="AQ4822" s="43"/>
      <c r="AR4822" s="43"/>
      <c r="AS4822" s="43"/>
      <c r="AT4822" s="43"/>
      <c r="AU4822" s="43"/>
      <c r="AV4822" s="43"/>
    </row>
    <row r="4823" spans="1:48" ht="11.45" customHeight="1">
      <c r="A4823" s="175"/>
      <c r="B4823" s="173" t="s">
        <v>663</v>
      </c>
      <c r="C4823" s="173" t="s">
        <v>652</v>
      </c>
      <c r="D4823" s="1604"/>
      <c r="E4823" s="2251" t="s">
        <v>1952</v>
      </c>
      <c r="F4823" s="370">
        <v>1147</v>
      </c>
      <c r="G4823" s="179" t="s">
        <v>663</v>
      </c>
      <c r="H4823" s="270"/>
      <c r="I4823" s="197">
        <v>12684.100000000002</v>
      </c>
      <c r="J4823" s="197"/>
      <c r="K4823" s="194"/>
      <c r="L4823" s="1576"/>
      <c r="M4823" s="1576">
        <v>13444.722</v>
      </c>
      <c r="N4823" s="2847"/>
      <c r="O4823" s="86"/>
      <c r="P4823" s="1817" t="e">
        <f>INDEX(#REF!,MATCH(F4823,#REF!,0),2)</f>
        <v>#REF!</v>
      </c>
      <c r="Q4823" s="43"/>
      <c r="R4823" s="43"/>
      <c r="S4823" s="43"/>
      <c r="T4823" s="43"/>
      <c r="U4823" s="43"/>
      <c r="V4823" s="43"/>
      <c r="W4823" s="43"/>
      <c r="X4823" s="43"/>
      <c r="Y4823" s="43"/>
      <c r="Z4823" s="43"/>
      <c r="AA4823" s="43"/>
      <c r="AB4823" s="43"/>
      <c r="AC4823" s="43"/>
      <c r="AD4823" s="43"/>
      <c r="AE4823" s="43"/>
      <c r="AF4823" s="43"/>
      <c r="AG4823" s="43"/>
      <c r="AH4823" s="43"/>
      <c r="AI4823" s="43"/>
      <c r="AJ4823" s="43"/>
      <c r="AK4823" s="43"/>
      <c r="AL4823" s="43"/>
      <c r="AM4823" s="43"/>
      <c r="AN4823" s="43"/>
      <c r="AO4823" s="43"/>
      <c r="AP4823" s="43"/>
      <c r="AQ4823" s="43"/>
      <c r="AR4823" s="43"/>
      <c r="AS4823" s="43"/>
      <c r="AT4823" s="43"/>
      <c r="AU4823" s="43"/>
      <c r="AV4823" s="43"/>
    </row>
    <row r="4824" spans="1:48" ht="11.45" customHeight="1">
      <c r="A4824" s="175"/>
      <c r="B4824" s="173" t="s">
        <v>663</v>
      </c>
      <c r="C4824" s="173" t="s">
        <v>652</v>
      </c>
      <c r="D4824" s="1604"/>
      <c r="E4824" s="2251" t="s">
        <v>1952</v>
      </c>
      <c r="F4824" s="370">
        <v>1147</v>
      </c>
      <c r="G4824" s="179" t="s">
        <v>2960</v>
      </c>
      <c r="H4824" s="270"/>
      <c r="I4824" s="197">
        <v>20757</v>
      </c>
      <c r="J4824" s="197"/>
      <c r="K4824" s="194"/>
      <c r="L4824" s="1575"/>
      <c r="M4824" s="1576">
        <v>44367</v>
      </c>
      <c r="N4824" s="241" t="s">
        <v>6121</v>
      </c>
      <c r="O4824" s="86"/>
      <c r="P4824" s="1817" t="e">
        <f>INDEX(#REF!,MATCH(F4824,#REF!,0),2)</f>
        <v>#REF!</v>
      </c>
      <c r="Q4824" s="43"/>
      <c r="R4824" s="43"/>
      <c r="S4824" s="43"/>
      <c r="T4824" s="43"/>
      <c r="U4824" s="43"/>
      <c r="V4824" s="43"/>
      <c r="W4824" s="43"/>
      <c r="X4824" s="43"/>
      <c r="Y4824" s="43"/>
      <c r="Z4824" s="43"/>
      <c r="AA4824" s="43"/>
      <c r="AB4824" s="43"/>
      <c r="AC4824" s="43"/>
      <c r="AD4824" s="43"/>
      <c r="AE4824" s="43"/>
      <c r="AF4824" s="43"/>
      <c r="AG4824" s="43"/>
      <c r="AH4824" s="43"/>
      <c r="AI4824" s="43"/>
      <c r="AJ4824" s="43"/>
      <c r="AK4824" s="43"/>
      <c r="AL4824" s="43"/>
      <c r="AM4824" s="43"/>
      <c r="AN4824" s="43"/>
      <c r="AO4824" s="43"/>
      <c r="AP4824" s="43"/>
      <c r="AQ4824" s="43"/>
      <c r="AR4824" s="43"/>
      <c r="AS4824" s="43"/>
      <c r="AT4824" s="43"/>
      <c r="AU4824" s="43"/>
      <c r="AV4824" s="43"/>
    </row>
    <row r="4825" spans="1:48" ht="11.45" customHeight="1">
      <c r="A4825" s="176"/>
      <c r="B4825" s="170" t="s">
        <v>663</v>
      </c>
      <c r="C4825" s="170" t="s">
        <v>652</v>
      </c>
      <c r="D4825" s="1603">
        <v>660</v>
      </c>
      <c r="E4825" s="2252" t="s">
        <v>1952</v>
      </c>
      <c r="F4825" s="171">
        <v>1148</v>
      </c>
      <c r="G4825" s="172" t="s">
        <v>613</v>
      </c>
      <c r="H4825" s="208">
        <v>0</v>
      </c>
      <c r="I4825" s="196"/>
      <c r="J4825" s="196"/>
      <c r="K4825" s="194"/>
      <c r="L4825" s="1580">
        <v>0</v>
      </c>
      <c r="M4825" s="1580"/>
      <c r="N4825" s="2847"/>
      <c r="O4825" s="86"/>
      <c r="P4825" s="1817" t="e">
        <f>INDEX(#REF!,MATCH(F4825,#REF!,0),2)</f>
        <v>#REF!</v>
      </c>
      <c r="Q4825" s="43"/>
      <c r="R4825" s="43"/>
      <c r="S4825" s="43"/>
      <c r="T4825" s="43"/>
      <c r="U4825" s="43"/>
      <c r="V4825" s="43"/>
      <c r="W4825" s="43"/>
      <c r="X4825" s="43"/>
      <c r="Y4825" s="43"/>
      <c r="Z4825" s="43"/>
      <c r="AA4825" s="43"/>
      <c r="AB4825" s="43"/>
      <c r="AC4825" s="43"/>
      <c r="AD4825" s="43"/>
      <c r="AE4825" s="43"/>
      <c r="AF4825" s="43"/>
      <c r="AG4825" s="43"/>
      <c r="AH4825" s="43"/>
      <c r="AI4825" s="43"/>
      <c r="AJ4825" s="43"/>
      <c r="AK4825" s="43"/>
      <c r="AL4825" s="43"/>
      <c r="AM4825" s="43"/>
      <c r="AN4825" s="43"/>
      <c r="AO4825" s="43"/>
      <c r="AP4825" s="43"/>
      <c r="AQ4825" s="43"/>
      <c r="AR4825" s="43"/>
      <c r="AS4825" s="43"/>
      <c r="AT4825" s="43"/>
      <c r="AU4825" s="43"/>
      <c r="AV4825" s="43"/>
    </row>
    <row r="4826" spans="1:48" ht="21.75" customHeight="1">
      <c r="A4826" s="175"/>
      <c r="B4826" s="173" t="s">
        <v>663</v>
      </c>
      <c r="C4826" s="173" t="s">
        <v>652</v>
      </c>
      <c r="D4826" s="1604"/>
      <c r="E4826" s="2251" t="s">
        <v>1952</v>
      </c>
      <c r="F4826" s="370">
        <v>1148</v>
      </c>
      <c r="G4826" s="174" t="s">
        <v>1033</v>
      </c>
      <c r="H4826" s="270"/>
      <c r="I4826" s="197">
        <v>0</v>
      </c>
      <c r="J4826" s="197"/>
      <c r="K4826" s="194"/>
      <c r="L4826" s="1576"/>
      <c r="M4826" s="1576">
        <v>0</v>
      </c>
      <c r="N4826" s="2847"/>
      <c r="O4826" s="86"/>
      <c r="P4826" s="1817" t="e">
        <f>INDEX(#REF!,MATCH(F4826,#REF!,0),2)</f>
        <v>#REF!</v>
      </c>
      <c r="Q4826" s="43"/>
      <c r="R4826" s="43"/>
      <c r="S4826" s="43"/>
      <c r="T4826" s="43"/>
      <c r="U4826" s="43"/>
      <c r="V4826" s="43"/>
      <c r="W4826" s="43"/>
      <c r="X4826" s="43"/>
      <c r="Y4826" s="43"/>
      <c r="Z4826" s="43"/>
      <c r="AA4826" s="43"/>
      <c r="AB4826" s="43"/>
      <c r="AC4826" s="43"/>
      <c r="AD4826" s="43"/>
      <c r="AE4826" s="43"/>
      <c r="AF4826" s="43"/>
      <c r="AG4826" s="43"/>
      <c r="AH4826" s="43"/>
      <c r="AI4826" s="43"/>
      <c r="AJ4826" s="43"/>
      <c r="AK4826" s="43"/>
      <c r="AL4826" s="43"/>
      <c r="AM4826" s="43"/>
      <c r="AN4826" s="43"/>
      <c r="AO4826" s="43"/>
      <c r="AP4826" s="43"/>
      <c r="AQ4826" s="43"/>
      <c r="AR4826" s="43"/>
      <c r="AS4826" s="43"/>
      <c r="AT4826" s="43"/>
      <c r="AU4826" s="43"/>
      <c r="AV4826" s="43"/>
    </row>
    <row r="4827" spans="1:48" ht="21.75" customHeight="1">
      <c r="A4827" s="1484"/>
      <c r="B4827" s="1465" t="s">
        <v>663</v>
      </c>
      <c r="C4827" s="1465" t="s">
        <v>652</v>
      </c>
      <c r="D4827" s="1602"/>
      <c r="E4827" s="2265" t="s">
        <v>1952</v>
      </c>
      <c r="F4827" s="1527">
        <v>1148</v>
      </c>
      <c r="G4827" s="1529" t="s">
        <v>2047</v>
      </c>
      <c r="H4827" s="1422"/>
      <c r="I4827" s="1379"/>
      <c r="J4827" s="1379"/>
      <c r="K4827" s="1416"/>
      <c r="L4827" s="1576"/>
      <c r="M4827" s="1576"/>
      <c r="N4827" s="2847"/>
      <c r="O4827" s="86"/>
      <c r="P4827" s="1817" t="e">
        <f>INDEX(#REF!,MATCH(F4827,#REF!,0),2)</f>
        <v>#REF!</v>
      </c>
      <c r="Q4827" s="43"/>
      <c r="R4827" s="43"/>
      <c r="S4827" s="43"/>
      <c r="T4827" s="43"/>
      <c r="U4827" s="43"/>
      <c r="V4827" s="43"/>
      <c r="W4827" s="43"/>
      <c r="X4827" s="43"/>
      <c r="Y4827" s="43"/>
      <c r="Z4827" s="43"/>
      <c r="AA4827" s="43"/>
      <c r="AB4827" s="43"/>
      <c r="AC4827" s="43"/>
      <c r="AD4827" s="43"/>
      <c r="AE4827" s="43"/>
      <c r="AF4827" s="43"/>
      <c r="AG4827" s="43"/>
      <c r="AH4827" s="43"/>
      <c r="AI4827" s="43"/>
      <c r="AJ4827" s="43"/>
      <c r="AK4827" s="43"/>
      <c r="AL4827" s="43"/>
      <c r="AM4827" s="43"/>
      <c r="AN4827" s="43"/>
      <c r="AO4827" s="43"/>
      <c r="AP4827" s="43"/>
      <c r="AQ4827" s="43"/>
      <c r="AR4827" s="43"/>
      <c r="AS4827" s="43"/>
      <c r="AT4827" s="43"/>
      <c r="AU4827" s="43"/>
      <c r="AV4827" s="43"/>
    </row>
    <row r="4828" spans="1:48" ht="14.25" customHeight="1">
      <c r="A4828" s="5"/>
      <c r="B4828" s="5" t="s">
        <v>663</v>
      </c>
      <c r="C4828" s="5" t="s">
        <v>652</v>
      </c>
      <c r="D4828" s="1603">
        <v>660</v>
      </c>
      <c r="E4828" s="2220" t="s">
        <v>1952</v>
      </c>
      <c r="F4828" s="6">
        <v>1170</v>
      </c>
      <c r="G4828" s="7" t="s">
        <v>724</v>
      </c>
      <c r="H4828" s="8">
        <v>120</v>
      </c>
      <c r="I4828" s="9"/>
      <c r="J4828" s="8"/>
      <c r="K4828" s="10"/>
      <c r="L4828" s="1647">
        <v>105</v>
      </c>
      <c r="M4828" s="1647"/>
      <c r="N4828" s="2847"/>
      <c r="O4828" s="86"/>
      <c r="P4828" s="1817" t="e">
        <f>INDEX(#REF!,MATCH(F4828,#REF!,0),2)</f>
        <v>#REF!</v>
      </c>
      <c r="Q4828" s="43"/>
      <c r="R4828" s="43"/>
      <c r="S4828" s="43"/>
      <c r="T4828" s="43"/>
      <c r="U4828" s="43"/>
      <c r="V4828" s="43"/>
      <c r="W4828" s="43"/>
      <c r="X4828" s="43"/>
      <c r="Y4828" s="43"/>
      <c r="Z4828" s="43"/>
      <c r="AA4828" s="43"/>
      <c r="AB4828" s="43"/>
      <c r="AC4828" s="43"/>
      <c r="AD4828" s="43"/>
      <c r="AE4828" s="43"/>
      <c r="AF4828" s="43"/>
      <c r="AG4828" s="43"/>
      <c r="AH4828" s="43"/>
      <c r="AI4828" s="43"/>
      <c r="AJ4828" s="43"/>
      <c r="AK4828" s="43"/>
      <c r="AL4828" s="43"/>
      <c r="AM4828" s="43"/>
      <c r="AN4828" s="43"/>
      <c r="AO4828" s="43"/>
      <c r="AP4828" s="43"/>
      <c r="AQ4828" s="43"/>
      <c r="AR4828" s="43"/>
      <c r="AS4828" s="43"/>
      <c r="AT4828" s="43"/>
      <c r="AU4828" s="43"/>
      <c r="AV4828" s="43"/>
    </row>
    <row r="4829" spans="1:48" ht="13.15" customHeight="1">
      <c r="A4829" s="246"/>
      <c r="B4829" s="12" t="s">
        <v>663</v>
      </c>
      <c r="C4829" s="12" t="s">
        <v>652</v>
      </c>
      <c r="D4829" s="1593"/>
      <c r="E4829" s="2222" t="s">
        <v>1952</v>
      </c>
      <c r="F4829" s="23">
        <v>1170</v>
      </c>
      <c r="G4829" s="2820" t="s">
        <v>5331</v>
      </c>
      <c r="H4829" s="259"/>
      <c r="I4829" s="264">
        <v>120</v>
      </c>
      <c r="J4829" s="264"/>
      <c r="K4829" s="260"/>
      <c r="L4829" s="1646"/>
      <c r="M4829" s="1646">
        <v>105</v>
      </c>
      <c r="N4829" s="2847"/>
      <c r="O4829" s="86"/>
      <c r="P4829" s="1817" t="e">
        <f>INDEX(#REF!,MATCH(F4829,#REF!,0),2)</f>
        <v>#REF!</v>
      </c>
      <c r="Q4829" s="43"/>
      <c r="R4829" s="43"/>
      <c r="S4829" s="43"/>
      <c r="T4829" s="43"/>
      <c r="U4829" s="43"/>
      <c r="V4829" s="43"/>
      <c r="W4829" s="43"/>
      <c r="X4829" s="43"/>
      <c r="Y4829" s="43"/>
      <c r="Z4829" s="43"/>
      <c r="AA4829" s="43"/>
      <c r="AB4829" s="43"/>
      <c r="AC4829" s="43"/>
      <c r="AD4829" s="43"/>
      <c r="AE4829" s="43"/>
      <c r="AF4829" s="43"/>
      <c r="AG4829" s="43"/>
      <c r="AH4829" s="43"/>
      <c r="AI4829" s="43"/>
      <c r="AJ4829" s="43"/>
      <c r="AK4829" s="43"/>
      <c r="AL4829" s="43"/>
      <c r="AM4829" s="43"/>
      <c r="AN4829" s="43"/>
      <c r="AO4829" s="43"/>
      <c r="AP4829" s="43"/>
      <c r="AQ4829" s="43"/>
      <c r="AR4829" s="43"/>
      <c r="AS4829" s="43"/>
      <c r="AT4829" s="43"/>
      <c r="AU4829" s="43"/>
      <c r="AV4829" s="43"/>
    </row>
    <row r="4830" spans="1:48" ht="14.25" customHeight="1">
      <c r="A4830" s="176"/>
      <c r="B4830" s="170" t="s">
        <v>663</v>
      </c>
      <c r="C4830" s="170" t="s">
        <v>652</v>
      </c>
      <c r="D4830" s="1603">
        <v>660</v>
      </c>
      <c r="E4830" s="2252" t="s">
        <v>1952</v>
      </c>
      <c r="F4830" s="171">
        <v>1210</v>
      </c>
      <c r="G4830" s="172" t="s">
        <v>228</v>
      </c>
      <c r="H4830" s="208">
        <v>35258.299522750007</v>
      </c>
      <c r="I4830" s="193"/>
      <c r="J4830" s="196"/>
      <c r="K4830" s="194"/>
      <c r="L4830" s="1580">
        <v>51142.072521435002</v>
      </c>
      <c r="M4830" s="1580"/>
      <c r="N4830" s="2847"/>
      <c r="O4830" s="86"/>
      <c r="P4830" s="1817" t="e">
        <f>INDEX(#REF!,MATCH(F4830,#REF!,0),2)</f>
        <v>#REF!</v>
      </c>
      <c r="Q4830" s="43"/>
      <c r="R4830" s="43"/>
      <c r="S4830" s="43"/>
      <c r="T4830" s="43"/>
      <c r="U4830" s="43"/>
      <c r="V4830" s="43"/>
      <c r="W4830" s="43"/>
      <c r="X4830" s="43"/>
      <c r="Y4830" s="43"/>
      <c r="Z4830" s="43"/>
      <c r="AA4830" s="43"/>
      <c r="AB4830" s="43"/>
      <c r="AC4830" s="43"/>
      <c r="AD4830" s="43"/>
      <c r="AE4830" s="43"/>
      <c r="AF4830" s="43"/>
      <c r="AG4830" s="43"/>
      <c r="AH4830" s="43"/>
      <c r="AI4830" s="43"/>
      <c r="AJ4830" s="43"/>
      <c r="AK4830" s="43"/>
      <c r="AL4830" s="43"/>
      <c r="AM4830" s="43"/>
      <c r="AN4830" s="43"/>
      <c r="AO4830" s="43"/>
      <c r="AP4830" s="43"/>
      <c r="AQ4830" s="43"/>
      <c r="AR4830" s="43"/>
      <c r="AS4830" s="43"/>
      <c r="AT4830" s="43"/>
      <c r="AU4830" s="43"/>
      <c r="AV4830" s="43"/>
    </row>
    <row r="4831" spans="1:48">
      <c r="A4831" s="175"/>
      <c r="B4831" s="173" t="s">
        <v>663</v>
      </c>
      <c r="C4831" s="173" t="s">
        <v>652</v>
      </c>
      <c r="D4831" s="1604"/>
      <c r="E4831" s="2251" t="s">
        <v>1952</v>
      </c>
      <c r="F4831" s="370">
        <v>1210</v>
      </c>
      <c r="G4831" s="179" t="s">
        <v>663</v>
      </c>
      <c r="H4831" s="270"/>
      <c r="I4831" s="197">
        <v>37872.299522750007</v>
      </c>
      <c r="J4831" s="197"/>
      <c r="K4831" s="194"/>
      <c r="L4831" s="1576"/>
      <c r="M4831" s="1576">
        <v>40675.897221435</v>
      </c>
      <c r="N4831" s="2847"/>
      <c r="O4831" s="86"/>
      <c r="P4831" s="1817" t="e">
        <f>INDEX(#REF!,MATCH(F4831,#REF!,0),2)</f>
        <v>#REF!</v>
      </c>
      <c r="Q4831" s="43"/>
      <c r="R4831" s="43"/>
      <c r="S4831" s="43"/>
      <c r="T4831" s="43"/>
      <c r="U4831" s="43"/>
      <c r="V4831" s="43"/>
      <c r="W4831" s="43"/>
      <c r="X4831" s="43"/>
      <c r="Y4831" s="43"/>
      <c r="Z4831" s="43"/>
      <c r="AA4831" s="43"/>
      <c r="AB4831" s="43"/>
      <c r="AC4831" s="43"/>
      <c r="AD4831" s="43"/>
      <c r="AE4831" s="43"/>
      <c r="AF4831" s="43"/>
      <c r="AG4831" s="43"/>
      <c r="AH4831" s="43"/>
      <c r="AI4831" s="43"/>
      <c r="AJ4831" s="43"/>
      <c r="AK4831" s="43"/>
      <c r="AL4831" s="43"/>
      <c r="AM4831" s="43"/>
      <c r="AN4831" s="43"/>
      <c r="AO4831" s="43"/>
      <c r="AP4831" s="43"/>
      <c r="AQ4831" s="43"/>
      <c r="AR4831" s="43"/>
      <c r="AS4831" s="43"/>
      <c r="AT4831" s="43"/>
      <c r="AU4831" s="43"/>
      <c r="AV4831" s="43"/>
    </row>
    <row r="4832" spans="1:48" ht="21.75">
      <c r="A4832" s="175"/>
      <c r="B4832" s="173" t="s">
        <v>663</v>
      </c>
      <c r="C4832" s="173" t="s">
        <v>652</v>
      </c>
      <c r="D4832" s="1604"/>
      <c r="E4832" s="2251" t="s">
        <v>1952</v>
      </c>
      <c r="F4832" s="370">
        <v>1210</v>
      </c>
      <c r="G4832" s="179" t="s">
        <v>1862</v>
      </c>
      <c r="H4832" s="270"/>
      <c r="I4832" s="197"/>
      <c r="J4832" s="197"/>
      <c r="K4832" s="194"/>
      <c r="L4832" s="1576"/>
      <c r="M4832" s="1576">
        <v>10466.175300000001</v>
      </c>
      <c r="N4832" s="2847"/>
      <c r="O4832" s="86"/>
      <c r="P4832" s="1817" t="e">
        <f>INDEX(#REF!,MATCH(F4832,#REF!,0),2)</f>
        <v>#REF!</v>
      </c>
      <c r="Q4832" s="43"/>
      <c r="R4832" s="43"/>
      <c r="S4832" s="43"/>
      <c r="T4832" s="43"/>
      <c r="U4832" s="43"/>
      <c r="V4832" s="43"/>
      <c r="W4832" s="43"/>
      <c r="X4832" s="43"/>
      <c r="Y4832" s="43"/>
      <c r="Z4832" s="43"/>
      <c r="AA4832" s="43"/>
      <c r="AB4832" s="43"/>
      <c r="AC4832" s="43"/>
      <c r="AD4832" s="43"/>
      <c r="AE4832" s="43"/>
      <c r="AF4832" s="43"/>
      <c r="AG4832" s="43"/>
      <c r="AH4832" s="43"/>
      <c r="AI4832" s="43"/>
      <c r="AJ4832" s="43"/>
      <c r="AK4832" s="43"/>
      <c r="AL4832" s="43"/>
      <c r="AM4832" s="43"/>
      <c r="AN4832" s="43"/>
      <c r="AO4832" s="43"/>
      <c r="AP4832" s="43"/>
      <c r="AQ4832" s="43"/>
      <c r="AR4832" s="43"/>
      <c r="AS4832" s="43"/>
      <c r="AT4832" s="43"/>
      <c r="AU4832" s="43"/>
      <c r="AV4832" s="43"/>
    </row>
    <row r="4833" spans="1:48" ht="22.5">
      <c r="A4833" s="1914"/>
      <c r="B4833" s="173" t="s">
        <v>663</v>
      </c>
      <c r="C4833" s="173" t="s">
        <v>652</v>
      </c>
      <c r="D4833" s="1604"/>
      <c r="E4833" s="2251" t="s">
        <v>1952</v>
      </c>
      <c r="F4833" s="370">
        <v>1210</v>
      </c>
      <c r="G4833" s="1913" t="s">
        <v>3201</v>
      </c>
      <c r="H4833" s="2085"/>
      <c r="I4833" s="1651">
        <v>-2614</v>
      </c>
      <c r="J4833" s="1651"/>
      <c r="K4833" s="1724"/>
      <c r="L4833" s="1892"/>
      <c r="M4833" s="1892"/>
      <c r="N4833" s="2847"/>
      <c r="O4833" s="86"/>
      <c r="P4833" s="1817" t="e">
        <f>INDEX(#REF!,MATCH(F4833,#REF!,0),2)</f>
        <v>#REF!</v>
      </c>
      <c r="Q4833" s="43"/>
      <c r="R4833" s="43"/>
      <c r="S4833" s="43"/>
      <c r="T4833" s="43"/>
      <c r="U4833" s="43"/>
      <c r="V4833" s="43"/>
      <c r="W4833" s="43"/>
      <c r="X4833" s="43"/>
      <c r="Y4833" s="43"/>
      <c r="Z4833" s="43"/>
      <c r="AA4833" s="43"/>
      <c r="AB4833" s="43"/>
      <c r="AC4833" s="43"/>
      <c r="AD4833" s="43"/>
      <c r="AE4833" s="43"/>
      <c r="AF4833" s="43"/>
      <c r="AG4833" s="43"/>
      <c r="AH4833" s="43"/>
      <c r="AI4833" s="43"/>
      <c r="AJ4833" s="43"/>
      <c r="AK4833" s="43"/>
      <c r="AL4833" s="43"/>
      <c r="AM4833" s="43"/>
      <c r="AN4833" s="43"/>
      <c r="AO4833" s="43"/>
      <c r="AP4833" s="43"/>
      <c r="AQ4833" s="43"/>
      <c r="AR4833" s="43"/>
      <c r="AS4833" s="43"/>
      <c r="AT4833" s="43"/>
      <c r="AU4833" s="43"/>
      <c r="AV4833" s="43"/>
    </row>
    <row r="4834" spans="1:48" ht="22.5">
      <c r="A4834" s="176"/>
      <c r="B4834" s="170" t="s">
        <v>663</v>
      </c>
      <c r="C4834" s="170" t="s">
        <v>652</v>
      </c>
      <c r="D4834" s="1603">
        <v>660</v>
      </c>
      <c r="E4834" s="2252" t="s">
        <v>1952</v>
      </c>
      <c r="F4834" s="171">
        <v>1221</v>
      </c>
      <c r="G4834" s="172" t="s">
        <v>295</v>
      </c>
      <c r="H4834" s="208">
        <v>8335.3289222500025</v>
      </c>
      <c r="I4834" s="193"/>
      <c r="J4834" s="196"/>
      <c r="K4834" s="194"/>
      <c r="L4834" s="1580">
        <v>8863.1976958649993</v>
      </c>
      <c r="M4834" s="1580"/>
      <c r="N4834" s="2847"/>
      <c r="O4834" s="86"/>
      <c r="P4834" s="1817" t="e">
        <f>INDEX(#REF!,MATCH(F4834,#REF!,0),2)</f>
        <v>#REF!</v>
      </c>
      <c r="Q4834" s="43"/>
      <c r="R4834" s="43"/>
      <c r="S4834" s="43"/>
      <c r="T4834" s="43"/>
      <c r="U4834" s="43"/>
      <c r="V4834" s="43"/>
      <c r="W4834" s="43"/>
      <c r="X4834" s="43"/>
      <c r="Y4834" s="43"/>
      <c r="Z4834" s="43"/>
      <c r="AA4834" s="43"/>
      <c r="AB4834" s="43"/>
      <c r="AC4834" s="43"/>
      <c r="AD4834" s="43"/>
      <c r="AE4834" s="43"/>
      <c r="AF4834" s="43"/>
      <c r="AG4834" s="43"/>
      <c r="AH4834" s="43"/>
      <c r="AI4834" s="43"/>
      <c r="AJ4834" s="43"/>
      <c r="AK4834" s="43"/>
      <c r="AL4834" s="43"/>
      <c r="AM4834" s="43"/>
      <c r="AN4834" s="43"/>
      <c r="AO4834" s="43"/>
      <c r="AP4834" s="43"/>
      <c r="AQ4834" s="43"/>
      <c r="AR4834" s="43"/>
      <c r="AS4834" s="43"/>
      <c r="AT4834" s="43"/>
      <c r="AU4834" s="43"/>
      <c r="AV4834" s="43"/>
    </row>
    <row r="4835" spans="1:48" ht="11.45" customHeight="1">
      <c r="A4835" s="175"/>
      <c r="B4835" s="173" t="s">
        <v>663</v>
      </c>
      <c r="C4835" s="173" t="s">
        <v>652</v>
      </c>
      <c r="D4835" s="1604"/>
      <c r="E4835" s="2251" t="s">
        <v>1952</v>
      </c>
      <c r="F4835" s="370">
        <v>1221</v>
      </c>
      <c r="G4835" s="174" t="s">
        <v>1987</v>
      </c>
      <c r="H4835" s="185"/>
      <c r="I4835" s="186">
        <v>8335.3289222500025</v>
      </c>
      <c r="J4835" s="186"/>
      <c r="K4835" s="194"/>
      <c r="L4835" s="1576"/>
      <c r="M4835" s="1576">
        <v>8863.1976958649993</v>
      </c>
      <c r="N4835" s="2847"/>
      <c r="O4835" s="86"/>
      <c r="P4835" s="1817" t="e">
        <f>INDEX(#REF!,MATCH(F4835,#REF!,0),2)</f>
        <v>#REF!</v>
      </c>
      <c r="Q4835" s="43"/>
      <c r="R4835" s="43"/>
      <c r="S4835" s="43"/>
      <c r="T4835" s="43"/>
      <c r="U4835" s="43"/>
      <c r="V4835" s="43"/>
      <c r="W4835" s="43"/>
      <c r="X4835" s="43"/>
      <c r="Y4835" s="43"/>
      <c r="Z4835" s="43"/>
      <c r="AA4835" s="43"/>
      <c r="AB4835" s="43"/>
      <c r="AC4835" s="43"/>
      <c r="AD4835" s="43"/>
      <c r="AE4835" s="43"/>
      <c r="AF4835" s="43"/>
      <c r="AG4835" s="43"/>
      <c r="AH4835" s="43"/>
      <c r="AI4835" s="43"/>
      <c r="AJ4835" s="43"/>
      <c r="AL4835" s="43"/>
      <c r="AM4835" s="43"/>
      <c r="AN4835" s="43"/>
      <c r="AO4835" s="43"/>
      <c r="AP4835" s="43"/>
      <c r="AQ4835" s="43"/>
      <c r="AR4835" s="43"/>
      <c r="AS4835" s="43"/>
      <c r="AT4835" s="43"/>
      <c r="AU4835" s="43"/>
      <c r="AV4835" s="43"/>
    </row>
    <row r="4836" spans="1:48" ht="11.45" customHeight="1">
      <c r="A4836" s="1376"/>
      <c r="B4836" s="173" t="s">
        <v>663</v>
      </c>
      <c r="C4836" s="173" t="s">
        <v>652</v>
      </c>
      <c r="D4836" s="1604"/>
      <c r="E4836" s="2251" t="s">
        <v>1952</v>
      </c>
      <c r="F4836" s="370">
        <v>1221</v>
      </c>
      <c r="G4836" s="179" t="s">
        <v>1981</v>
      </c>
      <c r="H4836" s="1422"/>
      <c r="I4836" s="1379"/>
      <c r="J4836" s="1379"/>
      <c r="K4836" s="1416"/>
      <c r="L4836" s="1576"/>
      <c r="M4836" s="1576"/>
      <c r="N4836" s="2847"/>
      <c r="O4836" s="86"/>
      <c r="P4836" s="1817" t="e">
        <f>INDEX(#REF!,MATCH(F4836,#REF!,0),2)</f>
        <v>#REF!</v>
      </c>
      <c r="Q4836" s="43"/>
      <c r="R4836" s="43"/>
      <c r="S4836" s="43"/>
      <c r="T4836" s="43"/>
      <c r="U4836" s="43"/>
      <c r="V4836" s="43"/>
      <c r="W4836" s="43"/>
      <c r="X4836" s="43"/>
      <c r="Y4836" s="43"/>
      <c r="Z4836" s="43"/>
      <c r="AA4836" s="43"/>
      <c r="AB4836" s="43"/>
      <c r="AC4836" s="43"/>
      <c r="AD4836" s="43"/>
      <c r="AE4836" s="43"/>
      <c r="AF4836" s="43"/>
      <c r="AG4836" s="43"/>
      <c r="AH4836" s="43"/>
      <c r="AI4836" s="43"/>
      <c r="AJ4836" s="43"/>
      <c r="AL4836" s="43"/>
      <c r="AM4836" s="43"/>
      <c r="AN4836" s="43"/>
      <c r="AO4836" s="43"/>
      <c r="AP4836" s="43"/>
      <c r="AQ4836" s="43"/>
      <c r="AR4836" s="43"/>
      <c r="AS4836" s="43"/>
      <c r="AT4836" s="43"/>
      <c r="AU4836" s="43"/>
      <c r="AV4836" s="43"/>
    </row>
    <row r="4837" spans="1:48" ht="25.9" customHeight="1">
      <c r="A4837" s="176"/>
      <c r="B4837" s="170" t="s">
        <v>1248</v>
      </c>
      <c r="C4837" s="170" t="s">
        <v>652</v>
      </c>
      <c r="D4837" s="1603">
        <v>660</v>
      </c>
      <c r="E4837" s="2252" t="s">
        <v>1952</v>
      </c>
      <c r="F4837" s="171">
        <v>1228</v>
      </c>
      <c r="G4837" s="271" t="s">
        <v>230</v>
      </c>
      <c r="H4837" s="192">
        <v>4282</v>
      </c>
      <c r="I4837" s="193"/>
      <c r="J4837" s="196"/>
      <c r="K4837" s="194"/>
      <c r="L4837" s="1580">
        <v>3822</v>
      </c>
      <c r="M4837" s="1578"/>
      <c r="N4837" s="2847"/>
      <c r="O4837" s="86"/>
      <c r="P4837" s="1817" t="e">
        <f>INDEX(#REF!,MATCH(F4837,#REF!,0),2)</f>
        <v>#REF!</v>
      </c>
      <c r="Q4837" s="43"/>
      <c r="R4837" s="43"/>
      <c r="S4837" s="43"/>
      <c r="T4837" s="43"/>
      <c r="U4837" s="43"/>
      <c r="V4837" s="43"/>
      <c r="W4837" s="43"/>
      <c r="X4837" s="43"/>
      <c r="Y4837" s="43"/>
      <c r="Z4837" s="43"/>
      <c r="AA4837" s="43"/>
      <c r="AB4837" s="43"/>
      <c r="AC4837" s="43"/>
      <c r="AD4837" s="43"/>
      <c r="AE4837" s="43"/>
      <c r="AF4837" s="43"/>
      <c r="AG4837" s="43"/>
      <c r="AH4837" s="43"/>
      <c r="AI4837" s="43"/>
      <c r="AJ4837" s="43"/>
      <c r="AL4837" s="43"/>
      <c r="AM4837" s="43"/>
      <c r="AN4837" s="43"/>
      <c r="AO4837" s="43"/>
      <c r="AP4837" s="43"/>
      <c r="AQ4837" s="43"/>
      <c r="AR4837" s="43"/>
      <c r="AS4837" s="43"/>
      <c r="AT4837" s="43"/>
      <c r="AU4837" s="43"/>
      <c r="AV4837" s="43"/>
    </row>
    <row r="4838" spans="1:48">
      <c r="A4838" s="173"/>
      <c r="B4838" s="992" t="s">
        <v>1248</v>
      </c>
      <c r="C4838" s="992" t="s">
        <v>652</v>
      </c>
      <c r="D4838" s="1604"/>
      <c r="E4838" s="2251" t="s">
        <v>1952</v>
      </c>
      <c r="F4838" s="370">
        <v>1228</v>
      </c>
      <c r="G4838" s="174" t="s">
        <v>646</v>
      </c>
      <c r="H4838" s="195"/>
      <c r="I4838" s="195"/>
      <c r="J4838" s="186"/>
      <c r="K4838" s="187"/>
      <c r="L4838" s="1575"/>
      <c r="M4838" s="1575"/>
      <c r="N4838" s="2847"/>
      <c r="O4838" s="86"/>
      <c r="P4838" s="1817" t="e">
        <f>INDEX(#REF!,MATCH(F4838,#REF!,0),2)</f>
        <v>#REF!</v>
      </c>
      <c r="Q4838" s="43"/>
      <c r="R4838" s="43"/>
      <c r="S4838" s="43"/>
      <c r="T4838" s="43"/>
      <c r="U4838" s="43"/>
      <c r="V4838" s="43"/>
      <c r="W4838" s="43"/>
      <c r="X4838" s="43"/>
      <c r="Y4838" s="43"/>
      <c r="Z4838" s="43"/>
      <c r="AA4838" s="43"/>
      <c r="AB4838" s="43"/>
      <c r="AC4838" s="43"/>
      <c r="AD4838" s="43"/>
      <c r="AE4838" s="43"/>
      <c r="AF4838" s="43"/>
      <c r="AG4838" s="43"/>
      <c r="AH4838" s="43"/>
      <c r="AI4838" s="43"/>
      <c r="AJ4838" s="43"/>
      <c r="AK4838" s="43"/>
      <c r="AL4838" s="43"/>
      <c r="AM4838" s="43"/>
      <c r="AN4838" s="43"/>
      <c r="AO4838" s="43"/>
      <c r="AP4838" s="43"/>
      <c r="AQ4838" s="43"/>
      <c r="AR4838" s="43"/>
      <c r="AS4838" s="43"/>
      <c r="AT4838" s="43"/>
      <c r="AU4838" s="43"/>
      <c r="AV4838" s="43"/>
    </row>
    <row r="4839" spans="1:48">
      <c r="A4839" s="173"/>
      <c r="B4839" s="992" t="s">
        <v>1248</v>
      </c>
      <c r="C4839" s="992" t="s">
        <v>652</v>
      </c>
      <c r="D4839" s="1604"/>
      <c r="E4839" s="2251" t="s">
        <v>1952</v>
      </c>
      <c r="F4839" s="370">
        <v>1228</v>
      </c>
      <c r="G4839" s="1656" t="s">
        <v>1541</v>
      </c>
      <c r="H4839" s="1173"/>
      <c r="I4839" s="1173">
        <v>684</v>
      </c>
      <c r="J4839" s="1174"/>
      <c r="K4839" s="1175"/>
      <c r="L4839" s="1575"/>
      <c r="M4839" s="1576">
        <v>684</v>
      </c>
      <c r="N4839" s="2847"/>
      <c r="O4839" s="86"/>
      <c r="P4839" s="1817" t="e">
        <f>INDEX(#REF!,MATCH(F4839,#REF!,0),2)</f>
        <v>#REF!</v>
      </c>
      <c r="Q4839" s="43"/>
      <c r="R4839" s="43"/>
      <c r="S4839" s="43"/>
      <c r="T4839" s="43"/>
      <c r="U4839" s="43"/>
      <c r="V4839" s="43"/>
      <c r="W4839" s="43"/>
      <c r="X4839" s="43"/>
      <c r="Y4839" s="43"/>
      <c r="Z4839" s="43"/>
      <c r="AA4839" s="43"/>
      <c r="AB4839" s="43"/>
      <c r="AC4839" s="43"/>
      <c r="AD4839" s="43"/>
      <c r="AE4839" s="43"/>
      <c r="AF4839" s="43"/>
      <c r="AG4839" s="43"/>
      <c r="AH4839" s="43"/>
      <c r="AI4839" s="43"/>
      <c r="AJ4839" s="43"/>
      <c r="AK4839" s="43"/>
      <c r="AL4839" s="43"/>
      <c r="AM4839" s="43"/>
      <c r="AN4839" s="43"/>
      <c r="AO4839" s="43"/>
      <c r="AP4839" s="43"/>
      <c r="AQ4839" s="43"/>
      <c r="AR4839" s="43"/>
      <c r="AS4839" s="43"/>
      <c r="AT4839" s="43"/>
      <c r="AU4839" s="43"/>
      <c r="AV4839" s="43"/>
    </row>
    <row r="4840" spans="1:48" ht="33" customHeight="1">
      <c r="A4840" s="173"/>
      <c r="B4840" s="992" t="s">
        <v>1248</v>
      </c>
      <c r="C4840" s="992" t="s">
        <v>652</v>
      </c>
      <c r="D4840" s="1604"/>
      <c r="E4840" s="2251" t="s">
        <v>1952</v>
      </c>
      <c r="F4840" s="370">
        <v>1228</v>
      </c>
      <c r="G4840" s="1656" t="s">
        <v>1609</v>
      </c>
      <c r="H4840" s="1173"/>
      <c r="I4840" s="1173">
        <v>684</v>
      </c>
      <c r="J4840" s="1174"/>
      <c r="K4840" s="1175"/>
      <c r="L4840" s="1575"/>
      <c r="M4840" s="1576">
        <v>684</v>
      </c>
      <c r="N4840" s="2847"/>
      <c r="O4840" s="86"/>
      <c r="P4840" s="1817" t="e">
        <f>INDEX(#REF!,MATCH(F4840,#REF!,0),2)</f>
        <v>#REF!</v>
      </c>
      <c r="Q4840" s="43"/>
      <c r="R4840" s="43"/>
      <c r="S4840" s="43"/>
      <c r="T4840" s="43"/>
      <c r="U4840" s="43"/>
      <c r="V4840" s="43"/>
      <c r="W4840" s="43"/>
      <c r="X4840" s="43"/>
      <c r="Y4840" s="43"/>
      <c r="Z4840" s="43"/>
      <c r="AA4840" s="43"/>
      <c r="AB4840" s="43"/>
      <c r="AC4840" s="43"/>
      <c r="AD4840" s="43"/>
      <c r="AE4840" s="43"/>
      <c r="AF4840" s="43"/>
      <c r="AG4840" s="43"/>
      <c r="AH4840" s="43"/>
      <c r="AI4840" s="43"/>
      <c r="AJ4840" s="43"/>
      <c r="AL4840" s="43"/>
      <c r="AM4840" s="43"/>
      <c r="AN4840" s="43"/>
      <c r="AO4840" s="43"/>
      <c r="AP4840" s="43"/>
      <c r="AQ4840" s="43"/>
      <c r="AR4840" s="43"/>
      <c r="AS4840" s="43"/>
      <c r="AT4840" s="43"/>
      <c r="AU4840" s="43"/>
      <c r="AV4840" s="43"/>
    </row>
    <row r="4841" spans="1:48" ht="15.6" customHeight="1">
      <c r="A4841" s="173"/>
      <c r="B4841" s="992" t="s">
        <v>1248</v>
      </c>
      <c r="C4841" s="992" t="s">
        <v>652</v>
      </c>
      <c r="D4841" s="1604"/>
      <c r="E4841" s="2251" t="s">
        <v>1952</v>
      </c>
      <c r="F4841" s="370">
        <v>1228</v>
      </c>
      <c r="G4841" s="1656" t="s">
        <v>515</v>
      </c>
      <c r="H4841" s="1173"/>
      <c r="I4841" s="1173">
        <v>684</v>
      </c>
      <c r="J4841" s="1174"/>
      <c r="K4841" s="1175"/>
      <c r="L4841" s="1575"/>
      <c r="M4841" s="1576">
        <v>684</v>
      </c>
      <c r="N4841" s="2847"/>
      <c r="O4841" s="86"/>
      <c r="P4841" s="1817" t="e">
        <f>INDEX(#REF!,MATCH(F4841,#REF!,0),2)</f>
        <v>#REF!</v>
      </c>
      <c r="Q4841" s="43"/>
      <c r="R4841" s="43"/>
      <c r="S4841" s="43"/>
      <c r="T4841" s="43"/>
      <c r="U4841" s="43"/>
      <c r="V4841" s="43"/>
      <c r="W4841" s="43"/>
      <c r="X4841" s="43"/>
      <c r="Y4841" s="43"/>
      <c r="Z4841" s="43"/>
      <c r="AA4841" s="43"/>
      <c r="AB4841" s="43"/>
      <c r="AC4841" s="43"/>
      <c r="AD4841" s="43"/>
      <c r="AE4841" s="43"/>
      <c r="AF4841" s="43"/>
      <c r="AG4841" s="43"/>
      <c r="AH4841" s="43"/>
      <c r="AI4841" s="43"/>
      <c r="AJ4841" s="43"/>
      <c r="AK4841" s="43"/>
      <c r="AL4841" s="43"/>
      <c r="AM4841" s="43"/>
      <c r="AN4841" s="43"/>
      <c r="AO4841" s="43"/>
      <c r="AP4841" s="43"/>
      <c r="AQ4841" s="43"/>
      <c r="AR4841" s="43"/>
      <c r="AS4841" s="43"/>
      <c r="AT4841" s="43"/>
      <c r="AU4841" s="43"/>
      <c r="AV4841" s="43"/>
    </row>
    <row r="4842" spans="1:48" ht="26.45" customHeight="1">
      <c r="A4842" s="992"/>
      <c r="B4842" s="992" t="s">
        <v>1248</v>
      </c>
      <c r="C4842" s="992" t="s">
        <v>652</v>
      </c>
      <c r="D4842" s="1604"/>
      <c r="E4842" s="2251" t="s">
        <v>1952</v>
      </c>
      <c r="F4842" s="370">
        <v>1228</v>
      </c>
      <c r="G4842" s="1656" t="s">
        <v>1671</v>
      </c>
      <c r="H4842" s="1173"/>
      <c r="I4842" s="1173">
        <v>684</v>
      </c>
      <c r="J4842" s="1174"/>
      <c r="K4842" s="1175"/>
      <c r="L4842" s="1575"/>
      <c r="M4842" s="1576">
        <v>684</v>
      </c>
      <c r="N4842" s="2847"/>
      <c r="O4842" s="86"/>
      <c r="P4842" s="1817" t="e">
        <f>INDEX(#REF!,MATCH(F4842,#REF!,0),2)</f>
        <v>#REF!</v>
      </c>
      <c r="Q4842" s="43"/>
      <c r="R4842" s="43"/>
      <c r="S4842" s="43"/>
      <c r="T4842" s="43"/>
      <c r="U4842" s="43"/>
      <c r="V4842" s="43"/>
      <c r="W4842" s="43"/>
      <c r="X4842" s="43"/>
      <c r="Y4842" s="43"/>
      <c r="Z4842" s="43"/>
      <c r="AA4842" s="43"/>
      <c r="AB4842" s="43"/>
      <c r="AC4842" s="43"/>
      <c r="AD4842" s="43"/>
      <c r="AE4842" s="43"/>
      <c r="AF4842" s="43"/>
      <c r="AG4842" s="43"/>
      <c r="AH4842" s="43"/>
      <c r="AI4842" s="43"/>
      <c r="AJ4842" s="43"/>
      <c r="AK4842" s="43"/>
      <c r="AL4842" s="43"/>
      <c r="AM4842" s="43"/>
      <c r="AN4842" s="43"/>
      <c r="AO4842" s="43"/>
      <c r="AP4842" s="43"/>
      <c r="AQ4842" s="43"/>
      <c r="AR4842" s="43"/>
      <c r="AS4842" s="43"/>
      <c r="AT4842" s="43"/>
      <c r="AU4842" s="43"/>
      <c r="AV4842" s="43"/>
    </row>
    <row r="4843" spans="1:48" ht="15.6" customHeight="1">
      <c r="A4843" s="992"/>
      <c r="B4843" s="992" t="s">
        <v>1248</v>
      </c>
      <c r="C4843" s="992" t="s">
        <v>652</v>
      </c>
      <c r="D4843" s="1604"/>
      <c r="E4843" s="2251" t="s">
        <v>1952</v>
      </c>
      <c r="F4843" s="370">
        <v>1228</v>
      </c>
      <c r="G4843" s="1656" t="s">
        <v>1671</v>
      </c>
      <c r="H4843" s="1173"/>
      <c r="I4843" s="1173">
        <v>684</v>
      </c>
      <c r="J4843" s="1174"/>
      <c r="K4843" s="1175"/>
      <c r="L4843" s="1575"/>
      <c r="M4843" s="1576">
        <v>684</v>
      </c>
      <c r="N4843" s="2847"/>
      <c r="O4843" s="86"/>
      <c r="P4843" s="1817" t="e">
        <f>INDEX(#REF!,MATCH(F4843,#REF!,0),2)</f>
        <v>#REF!</v>
      </c>
      <c r="Q4843" s="43"/>
      <c r="R4843" s="43"/>
      <c r="S4843" s="43"/>
      <c r="T4843" s="43"/>
      <c r="U4843" s="43"/>
      <c r="V4843" s="43"/>
      <c r="W4843" s="43"/>
      <c r="X4843" s="43"/>
      <c r="Y4843" s="43"/>
      <c r="Z4843" s="43"/>
      <c r="AA4843" s="43"/>
      <c r="AB4843" s="43"/>
      <c r="AC4843" s="43"/>
      <c r="AD4843" s="43"/>
      <c r="AE4843" s="43"/>
      <c r="AF4843" s="43"/>
      <c r="AG4843" s="43"/>
      <c r="AH4843" s="43"/>
      <c r="AI4843" s="43"/>
      <c r="AJ4843" s="43"/>
      <c r="AK4843" s="43"/>
      <c r="AL4843" s="43"/>
      <c r="AM4843" s="43"/>
      <c r="AN4843" s="43"/>
      <c r="AO4843" s="43"/>
      <c r="AP4843" s="43"/>
      <c r="AQ4843" s="43"/>
      <c r="AR4843" s="43"/>
      <c r="AS4843" s="43"/>
      <c r="AT4843" s="43"/>
      <c r="AU4843" s="43"/>
      <c r="AV4843" s="43"/>
    </row>
    <row r="4844" spans="1:48" ht="14.45" customHeight="1">
      <c r="A4844" s="992"/>
      <c r="B4844" s="992" t="s">
        <v>1248</v>
      </c>
      <c r="C4844" s="992" t="s">
        <v>652</v>
      </c>
      <c r="D4844" s="1604"/>
      <c r="E4844" s="2251" t="s">
        <v>1952</v>
      </c>
      <c r="F4844" s="370">
        <v>1228</v>
      </c>
      <c r="G4844" s="3752" t="s">
        <v>1610</v>
      </c>
      <c r="H4844" s="1173"/>
      <c r="I4844" s="1173">
        <v>252</v>
      </c>
      <c r="J4844" s="1174"/>
      <c r="K4844" s="1175"/>
      <c r="L4844" s="1575"/>
      <c r="M4844" s="1575">
        <v>252</v>
      </c>
      <c r="N4844" s="2847"/>
      <c r="O4844" s="86"/>
      <c r="P4844" s="1817" t="e">
        <f>INDEX(#REF!,MATCH(F4844,#REF!,0),2)</f>
        <v>#REF!</v>
      </c>
      <c r="Q4844" s="43"/>
      <c r="R4844" s="43"/>
      <c r="S4844" s="43"/>
      <c r="T4844" s="43"/>
      <c r="U4844" s="43"/>
      <c r="V4844" s="43"/>
      <c r="W4844" s="43"/>
      <c r="X4844" s="43"/>
      <c r="Y4844" s="43"/>
      <c r="Z4844" s="43"/>
      <c r="AA4844" s="43"/>
      <c r="AB4844" s="43"/>
      <c r="AC4844" s="43"/>
      <c r="AD4844" s="43"/>
      <c r="AE4844" s="43"/>
      <c r="AF4844" s="43"/>
      <c r="AG4844" s="43"/>
      <c r="AH4844" s="43"/>
      <c r="AI4844" s="43"/>
      <c r="AJ4844" s="43"/>
      <c r="AK4844" s="43"/>
      <c r="AL4844" s="43"/>
      <c r="AM4844" s="43"/>
      <c r="AN4844" s="43"/>
      <c r="AO4844" s="43"/>
      <c r="AP4844" s="43"/>
      <c r="AQ4844" s="43"/>
      <c r="AR4844" s="43"/>
      <c r="AS4844" s="43"/>
      <c r="AT4844" s="43"/>
      <c r="AU4844" s="43"/>
      <c r="AV4844" s="43"/>
    </row>
    <row r="4845" spans="1:48">
      <c r="A4845" s="1658"/>
      <c r="B4845" s="412" t="s">
        <v>1248</v>
      </c>
      <c r="C4845" s="412" t="s">
        <v>652</v>
      </c>
      <c r="D4845" s="1590"/>
      <c r="E4845" s="2224" t="s">
        <v>1952</v>
      </c>
      <c r="F4845" s="505">
        <v>1228</v>
      </c>
      <c r="G4845" s="1672" t="s">
        <v>2585</v>
      </c>
      <c r="H4845" s="1723"/>
      <c r="I4845" s="1723">
        <v>150</v>
      </c>
      <c r="J4845" s="1651"/>
      <c r="K4845" s="1724"/>
      <c r="L4845" s="1575"/>
      <c r="M4845" s="1576">
        <v>150</v>
      </c>
      <c r="N4845" s="2847"/>
      <c r="O4845" s="86"/>
      <c r="P4845" s="1817"/>
      <c r="Q4845" s="43"/>
      <c r="R4845" s="43"/>
      <c r="S4845" s="43"/>
      <c r="T4845" s="43"/>
      <c r="U4845" s="43"/>
      <c r="V4845" s="43"/>
      <c r="W4845" s="43"/>
      <c r="X4845" s="43"/>
      <c r="Y4845" s="43"/>
      <c r="Z4845" s="43"/>
      <c r="AA4845" s="43"/>
      <c r="AB4845" s="43"/>
      <c r="AC4845" s="43"/>
      <c r="AD4845" s="43"/>
      <c r="AE4845" s="43"/>
      <c r="AF4845" s="43"/>
      <c r="AG4845" s="43"/>
      <c r="AH4845" s="43"/>
      <c r="AI4845" s="43"/>
      <c r="AJ4845" s="43"/>
      <c r="AK4845" s="43"/>
      <c r="AL4845" s="43"/>
      <c r="AM4845" s="43"/>
      <c r="AN4845" s="43"/>
      <c r="AO4845" s="43"/>
      <c r="AP4845" s="43"/>
      <c r="AQ4845" s="43"/>
      <c r="AR4845" s="43"/>
      <c r="AS4845" s="43"/>
      <c r="AT4845" s="43"/>
      <c r="AU4845" s="43"/>
      <c r="AV4845" s="43"/>
    </row>
    <row r="4846" spans="1:48" ht="19.149999999999999" customHeight="1">
      <c r="A4846" s="504"/>
      <c r="B4846" s="412" t="s">
        <v>1248</v>
      </c>
      <c r="C4846" s="412" t="s">
        <v>652</v>
      </c>
      <c r="D4846" s="1590"/>
      <c r="E4846" s="2224" t="s">
        <v>1952</v>
      </c>
      <c r="F4846" s="505">
        <v>1228</v>
      </c>
      <c r="G4846" s="562" t="s">
        <v>5130</v>
      </c>
      <c r="H4846" s="563"/>
      <c r="I4846" s="563">
        <v>460</v>
      </c>
      <c r="J4846" s="441"/>
      <c r="K4846" s="458"/>
      <c r="L4846" s="1575"/>
      <c r="M4846" s="1576"/>
      <c r="N4846" s="2847"/>
      <c r="O4846" s="86"/>
      <c r="P4846" s="1817" t="e">
        <f>INDEX(#REF!,MATCH(F4846,#REF!,0),2)</f>
        <v>#REF!</v>
      </c>
      <c r="Q4846" s="43"/>
      <c r="R4846" s="43"/>
      <c r="S4846" s="43"/>
      <c r="T4846" s="43"/>
      <c r="U4846" s="43"/>
      <c r="V4846" s="43"/>
      <c r="W4846" s="43"/>
      <c r="X4846" s="43"/>
      <c r="Y4846" s="43"/>
      <c r="Z4846" s="43"/>
      <c r="AA4846" s="43"/>
      <c r="AB4846" s="43"/>
      <c r="AC4846" s="43"/>
      <c r="AD4846" s="43"/>
      <c r="AE4846" s="43"/>
      <c r="AF4846" s="43"/>
      <c r="AG4846" s="43"/>
      <c r="AH4846" s="43"/>
      <c r="AI4846" s="43"/>
      <c r="AJ4846" s="43"/>
      <c r="AK4846" s="43"/>
      <c r="AL4846" s="43"/>
      <c r="AM4846" s="43"/>
      <c r="AN4846" s="43"/>
      <c r="AO4846" s="43"/>
      <c r="AP4846" s="43"/>
      <c r="AQ4846" s="43"/>
      <c r="AR4846" s="43"/>
      <c r="AS4846" s="43"/>
      <c r="AT4846" s="43"/>
      <c r="AU4846" s="43"/>
      <c r="AV4846" s="43"/>
    </row>
    <row r="4847" spans="1:48" ht="13.9" customHeight="1">
      <c r="A4847" s="176"/>
      <c r="B4847" s="170" t="s">
        <v>1248</v>
      </c>
      <c r="C4847" s="170" t="s">
        <v>507</v>
      </c>
      <c r="D4847" s="1603">
        <v>660</v>
      </c>
      <c r="E4847" s="2252" t="s">
        <v>1952</v>
      </c>
      <c r="F4847" s="171">
        <v>2112</v>
      </c>
      <c r="G4847" s="172" t="s">
        <v>1982</v>
      </c>
      <c r="H4847" s="208">
        <v>0</v>
      </c>
      <c r="I4847" s="208"/>
      <c r="J4847" s="196"/>
      <c r="K4847" s="194"/>
      <c r="L4847" s="1580">
        <v>0</v>
      </c>
      <c r="M4847" s="1580"/>
      <c r="N4847" s="2847"/>
      <c r="O4847" s="86"/>
      <c r="P4847" s="1817" t="e">
        <f>INDEX(#REF!,MATCH(F4847,#REF!,0),2)</f>
        <v>#REF!</v>
      </c>
      <c r="Q4847" s="43"/>
      <c r="R4847" s="43"/>
      <c r="S4847" s="43"/>
      <c r="T4847" s="43"/>
      <c r="U4847" s="43"/>
      <c r="V4847" s="43"/>
      <c r="W4847" s="43"/>
      <c r="X4847" s="43"/>
      <c r="Y4847" s="43"/>
      <c r="Z4847" s="43"/>
      <c r="AA4847" s="43"/>
      <c r="AB4847" s="43"/>
      <c r="AC4847" s="43"/>
      <c r="AD4847" s="43"/>
      <c r="AE4847" s="43"/>
      <c r="AF4847" s="43"/>
      <c r="AG4847" s="43"/>
      <c r="AH4847" s="43"/>
      <c r="AI4847" s="43"/>
      <c r="AJ4847" s="43"/>
      <c r="AL4847" s="43"/>
      <c r="AM4847" s="43"/>
      <c r="AN4847" s="43"/>
      <c r="AO4847" s="43"/>
      <c r="AP4847" s="43"/>
      <c r="AQ4847" s="43"/>
      <c r="AR4847" s="43"/>
      <c r="AS4847" s="43"/>
      <c r="AT4847" s="43"/>
      <c r="AU4847" s="43"/>
      <c r="AV4847" s="43"/>
    </row>
    <row r="4848" spans="1:48" ht="11.45" customHeight="1">
      <c r="A4848" s="175"/>
      <c r="B4848" s="173" t="s">
        <v>1248</v>
      </c>
      <c r="C4848" s="173" t="s">
        <v>507</v>
      </c>
      <c r="D4848" s="1604"/>
      <c r="E4848" s="2251" t="s">
        <v>1952</v>
      </c>
      <c r="F4848" s="370">
        <v>2112</v>
      </c>
      <c r="G4848" s="174" t="s">
        <v>271</v>
      </c>
      <c r="H4848" s="191"/>
      <c r="I4848" s="191"/>
      <c r="J4848" s="186"/>
      <c r="K4848" s="187"/>
      <c r="L4848" s="1576"/>
      <c r="M4848" s="1576"/>
      <c r="N4848" s="2847"/>
      <c r="O4848" s="86"/>
      <c r="P4848" s="1817" t="e">
        <f>INDEX(#REF!,MATCH(F4848,#REF!,0),2)</f>
        <v>#REF!</v>
      </c>
      <c r="Q4848" s="43"/>
      <c r="R4848" s="43"/>
      <c r="S4848" s="43"/>
      <c r="T4848" s="43"/>
      <c r="U4848" s="43"/>
      <c r="V4848" s="43"/>
      <c r="W4848" s="43"/>
      <c r="X4848" s="43"/>
      <c r="Y4848" s="43"/>
      <c r="Z4848" s="43"/>
      <c r="AA4848" s="43"/>
      <c r="AB4848" s="43"/>
      <c r="AC4848" s="43"/>
      <c r="AD4848" s="43"/>
      <c r="AE4848" s="43"/>
      <c r="AF4848" s="43"/>
      <c r="AG4848" s="43"/>
      <c r="AH4848" s="43"/>
      <c r="AI4848" s="43"/>
      <c r="AJ4848" s="43"/>
      <c r="AL4848" s="43"/>
      <c r="AM4848" s="43"/>
      <c r="AN4848" s="43"/>
      <c r="AO4848" s="43"/>
      <c r="AP4848" s="43"/>
      <c r="AQ4848" s="43"/>
      <c r="AR4848" s="43"/>
      <c r="AS4848" s="43"/>
      <c r="AT4848" s="43"/>
      <c r="AU4848" s="43"/>
      <c r="AV4848" s="43"/>
    </row>
    <row r="4849" spans="1:48" ht="13.9" customHeight="1">
      <c r="A4849" s="176"/>
      <c r="B4849" s="170" t="s">
        <v>1248</v>
      </c>
      <c r="C4849" s="170" t="s">
        <v>507</v>
      </c>
      <c r="D4849" s="1603">
        <v>660</v>
      </c>
      <c r="E4849" s="2252" t="s">
        <v>1952</v>
      </c>
      <c r="F4849" s="171">
        <v>2121</v>
      </c>
      <c r="G4849" s="172" t="s">
        <v>1011</v>
      </c>
      <c r="H4849" s="208">
        <v>200</v>
      </c>
      <c r="I4849" s="208"/>
      <c r="J4849" s="196"/>
      <c r="K4849" s="194"/>
      <c r="L4849" s="1580">
        <v>200</v>
      </c>
      <c r="M4849" s="1580"/>
      <c r="N4849" s="2847"/>
      <c r="O4849" s="86"/>
      <c r="P4849" s="1817" t="e">
        <f>INDEX(#REF!,MATCH(F4849,#REF!,0),2)</f>
        <v>#REF!</v>
      </c>
      <c r="Q4849" s="43"/>
      <c r="R4849" s="43"/>
      <c r="S4849" s="43"/>
      <c r="T4849" s="43"/>
      <c r="U4849" s="43"/>
      <c r="V4849" s="43"/>
      <c r="W4849" s="43"/>
      <c r="X4849" s="43"/>
      <c r="Y4849" s="43"/>
      <c r="Z4849" s="43"/>
      <c r="AA4849" s="43"/>
      <c r="AB4849" s="43"/>
      <c r="AC4849" s="43"/>
      <c r="AD4849" s="43"/>
      <c r="AE4849" s="43"/>
      <c r="AF4849" s="43"/>
      <c r="AG4849" s="43"/>
      <c r="AH4849" s="43"/>
      <c r="AI4849" s="43"/>
      <c r="AJ4849" s="43"/>
      <c r="AL4849" s="43"/>
      <c r="AM4849" s="43"/>
      <c r="AN4849" s="43"/>
      <c r="AO4849" s="43"/>
      <c r="AP4849" s="43"/>
      <c r="AQ4849" s="43"/>
      <c r="AR4849" s="43"/>
      <c r="AS4849" s="43"/>
      <c r="AT4849" s="43"/>
      <c r="AU4849" s="43"/>
      <c r="AV4849" s="43"/>
    </row>
    <row r="4850" spans="1:48" ht="11.45" customHeight="1">
      <c r="A4850" s="175"/>
      <c r="B4850" s="173" t="s">
        <v>1248</v>
      </c>
      <c r="C4850" s="173" t="s">
        <v>507</v>
      </c>
      <c r="D4850" s="1604"/>
      <c r="E4850" s="2251" t="s">
        <v>1952</v>
      </c>
      <c r="F4850" s="370">
        <v>2121</v>
      </c>
      <c r="G4850" s="174" t="s">
        <v>271</v>
      </c>
      <c r="H4850" s="191"/>
      <c r="I4850" s="191">
        <v>200</v>
      </c>
      <c r="J4850" s="186"/>
      <c r="K4850" s="187"/>
      <c r="L4850" s="1576"/>
      <c r="M4850" s="1576">
        <v>200</v>
      </c>
      <c r="N4850" s="2847"/>
      <c r="O4850" s="86"/>
      <c r="P4850" s="1817" t="e">
        <f>INDEX(#REF!,MATCH(F4850,#REF!,0),2)</f>
        <v>#REF!</v>
      </c>
      <c r="Q4850" s="43"/>
      <c r="R4850" s="43"/>
      <c r="S4850" s="43"/>
      <c r="T4850" s="43"/>
      <c r="U4850" s="43"/>
      <c r="V4850" s="43"/>
      <c r="W4850" s="43"/>
      <c r="X4850" s="43"/>
      <c r="Y4850" s="43"/>
      <c r="Z4850" s="43"/>
      <c r="AA4850" s="43"/>
      <c r="AB4850" s="43"/>
      <c r="AC4850" s="43"/>
      <c r="AD4850" s="43"/>
      <c r="AE4850" s="43"/>
      <c r="AF4850" s="43"/>
      <c r="AG4850" s="43"/>
      <c r="AH4850" s="43"/>
      <c r="AI4850" s="43"/>
      <c r="AJ4850" s="43"/>
      <c r="AL4850" s="43"/>
      <c r="AM4850" s="43"/>
      <c r="AN4850" s="43"/>
      <c r="AO4850" s="43"/>
      <c r="AP4850" s="43"/>
      <c r="AQ4850" s="43"/>
      <c r="AR4850" s="43"/>
      <c r="AS4850" s="43"/>
      <c r="AT4850" s="43"/>
      <c r="AU4850" s="43"/>
      <c r="AV4850" s="43"/>
    </row>
    <row r="4851" spans="1:48">
      <c r="A4851" s="176"/>
      <c r="B4851" s="170" t="s">
        <v>1248</v>
      </c>
      <c r="C4851" s="170" t="s">
        <v>507</v>
      </c>
      <c r="D4851" s="1603">
        <v>660</v>
      </c>
      <c r="E4851" s="2252" t="s">
        <v>1952</v>
      </c>
      <c r="F4851" s="171">
        <v>2210</v>
      </c>
      <c r="G4851" s="172" t="s">
        <v>879</v>
      </c>
      <c r="H4851" s="208">
        <v>860</v>
      </c>
      <c r="I4851" s="208"/>
      <c r="J4851" s="196"/>
      <c r="K4851" s="194"/>
      <c r="L4851" s="1580">
        <v>1008.0799999999999</v>
      </c>
      <c r="M4851" s="1580"/>
      <c r="N4851" s="2847"/>
      <c r="O4851" s="86"/>
      <c r="P4851" s="1817" t="e">
        <f>INDEX(#REF!,MATCH(F4851,#REF!,0),2)</f>
        <v>#REF!</v>
      </c>
    </row>
    <row r="4852" spans="1:48">
      <c r="A4852" s="175"/>
      <c r="B4852" s="173" t="s">
        <v>1248</v>
      </c>
      <c r="C4852" s="173" t="s">
        <v>507</v>
      </c>
      <c r="D4852" s="1604"/>
      <c r="E4852" s="2251" t="s">
        <v>1952</v>
      </c>
      <c r="F4852" s="370">
        <v>2210</v>
      </c>
      <c r="G4852" s="2774" t="s">
        <v>5332</v>
      </c>
      <c r="H4852" s="191"/>
      <c r="I4852" s="191">
        <v>660</v>
      </c>
      <c r="J4852" s="186"/>
      <c r="K4852" s="187"/>
      <c r="L4852" s="1576"/>
      <c r="M4852" s="2779">
        <v>808.07999999999993</v>
      </c>
      <c r="N4852" s="241"/>
      <c r="O4852" s="86"/>
      <c r="P4852" s="1817" t="e">
        <f>INDEX(#REF!,MATCH(F4852,#REF!,0),2)</f>
        <v>#REF!</v>
      </c>
      <c r="Q4852" s="43"/>
      <c r="R4852" s="43"/>
      <c r="S4852" s="43"/>
      <c r="T4852" s="43"/>
      <c r="U4852" s="43"/>
      <c r="V4852" s="43"/>
      <c r="W4852" s="43"/>
      <c r="X4852" s="43"/>
      <c r="Y4852" s="43"/>
      <c r="Z4852" s="43"/>
      <c r="AA4852" s="43"/>
      <c r="AB4852" s="43"/>
      <c r="AC4852" s="43"/>
      <c r="AD4852" s="43"/>
      <c r="AE4852" s="43"/>
      <c r="AF4852" s="43"/>
      <c r="AG4852" s="43"/>
      <c r="AH4852" s="43"/>
      <c r="AI4852" s="43"/>
      <c r="AJ4852" s="43"/>
      <c r="AK4852" s="43"/>
      <c r="AL4852" s="43"/>
      <c r="AM4852" s="43"/>
      <c r="AN4852" s="43"/>
      <c r="AO4852" s="43"/>
      <c r="AP4852" s="43"/>
      <c r="AQ4852" s="43"/>
      <c r="AR4852" s="43"/>
      <c r="AS4852" s="43"/>
      <c r="AT4852" s="43"/>
      <c r="AU4852" s="43"/>
      <c r="AV4852" s="43"/>
    </row>
    <row r="4853" spans="1:48" ht="22.5">
      <c r="A4853" s="175"/>
      <c r="B4853" s="173" t="s">
        <v>1248</v>
      </c>
      <c r="C4853" s="173" t="s">
        <v>507</v>
      </c>
      <c r="D4853" s="1604"/>
      <c r="E4853" s="2251" t="s">
        <v>1952</v>
      </c>
      <c r="F4853" s="370">
        <v>2210</v>
      </c>
      <c r="G4853" s="298" t="s">
        <v>828</v>
      </c>
      <c r="H4853" s="185"/>
      <c r="I4853" s="195">
        <v>200</v>
      </c>
      <c r="J4853" s="186"/>
      <c r="K4853" s="187"/>
      <c r="L4853" s="1576"/>
      <c r="M4853" s="1576">
        <v>200</v>
      </c>
      <c r="N4853" s="2847"/>
      <c r="O4853" s="86"/>
      <c r="P4853" s="1817" t="e">
        <f>INDEX(#REF!,MATCH(F4853,#REF!,0),2)</f>
        <v>#REF!</v>
      </c>
      <c r="Q4853" s="43"/>
      <c r="R4853" s="43"/>
      <c r="S4853" s="43"/>
      <c r="T4853" s="43"/>
      <c r="U4853" s="43"/>
      <c r="V4853" s="43"/>
      <c r="W4853" s="43"/>
      <c r="X4853" s="43"/>
      <c r="Y4853" s="43"/>
      <c r="Z4853" s="43"/>
      <c r="AA4853" s="43"/>
      <c r="AB4853" s="43"/>
      <c r="AC4853" s="43"/>
      <c r="AD4853" s="43"/>
      <c r="AE4853" s="43"/>
      <c r="AF4853" s="43"/>
      <c r="AG4853" s="43"/>
      <c r="AH4853" s="43"/>
      <c r="AI4853" s="43"/>
      <c r="AJ4853" s="43"/>
      <c r="AK4853" s="43"/>
      <c r="AL4853" s="43"/>
      <c r="AM4853" s="43"/>
      <c r="AN4853" s="43"/>
      <c r="AO4853" s="43"/>
      <c r="AP4853" s="43"/>
      <c r="AQ4853" s="43"/>
      <c r="AR4853" s="43"/>
      <c r="AS4853" s="43"/>
      <c r="AT4853" s="43"/>
      <c r="AU4853" s="43"/>
      <c r="AV4853" s="43"/>
    </row>
    <row r="4854" spans="1:48">
      <c r="A4854" s="170"/>
      <c r="B4854" s="170" t="s">
        <v>1248</v>
      </c>
      <c r="C4854" s="170" t="s">
        <v>505</v>
      </c>
      <c r="D4854" s="1603">
        <v>660</v>
      </c>
      <c r="E4854" s="2252" t="s">
        <v>1952</v>
      </c>
      <c r="F4854" s="171">
        <v>2234</v>
      </c>
      <c r="G4854" s="172" t="s">
        <v>235</v>
      </c>
      <c r="H4854" s="192">
        <v>120</v>
      </c>
      <c r="I4854" s="193"/>
      <c r="J4854" s="196"/>
      <c r="K4854" s="194"/>
      <c r="L4854" s="1580">
        <v>120</v>
      </c>
      <c r="M4854" s="1580"/>
      <c r="N4854" s="2847"/>
      <c r="O4854" s="86"/>
      <c r="P4854" s="1817"/>
      <c r="Q4854" s="43"/>
      <c r="R4854" s="43"/>
      <c r="S4854" s="43"/>
      <c r="T4854" s="43"/>
      <c r="U4854" s="43"/>
      <c r="V4854" s="43"/>
      <c r="W4854" s="43"/>
      <c r="X4854" s="43"/>
      <c r="Y4854" s="43"/>
      <c r="Z4854" s="43"/>
      <c r="AA4854" s="43"/>
      <c r="AB4854" s="43"/>
      <c r="AC4854" s="43"/>
      <c r="AD4854" s="43"/>
      <c r="AE4854" s="43"/>
      <c r="AF4854" s="43"/>
      <c r="AG4854" s="43"/>
      <c r="AH4854" s="43"/>
      <c r="AI4854" s="43"/>
      <c r="AJ4854" s="43"/>
      <c r="AK4854" s="43"/>
      <c r="AL4854" s="43"/>
      <c r="AM4854" s="43"/>
      <c r="AN4854" s="43"/>
      <c r="AO4854" s="43"/>
      <c r="AP4854" s="43"/>
      <c r="AQ4854" s="43"/>
      <c r="AR4854" s="43"/>
      <c r="AS4854" s="43"/>
      <c r="AT4854" s="43"/>
      <c r="AU4854" s="43"/>
      <c r="AV4854" s="43"/>
    </row>
    <row r="4855" spans="1:48">
      <c r="A4855" s="173"/>
      <c r="B4855" s="173" t="s">
        <v>1248</v>
      </c>
      <c r="C4855" s="173" t="s">
        <v>505</v>
      </c>
      <c r="D4855" s="1604"/>
      <c r="E4855" s="2251" t="s">
        <v>1952</v>
      </c>
      <c r="F4855" s="370">
        <v>2234</v>
      </c>
      <c r="G4855" s="996" t="s">
        <v>1611</v>
      </c>
      <c r="H4855" s="185"/>
      <c r="I4855" s="265">
        <v>120</v>
      </c>
      <c r="J4855" s="186"/>
      <c r="K4855" s="187"/>
      <c r="L4855" s="1576"/>
      <c r="M4855" s="1646">
        <v>120</v>
      </c>
      <c r="N4855" s="2847"/>
      <c r="O4855" s="86"/>
      <c r="P4855" s="1817" t="e">
        <f>INDEX(#REF!,MATCH(F4855,#REF!,0),2)</f>
        <v>#REF!</v>
      </c>
      <c r="Q4855" s="43"/>
      <c r="R4855" s="43"/>
      <c r="S4855" s="43"/>
      <c r="T4855" s="43"/>
      <c r="U4855" s="43"/>
      <c r="V4855" s="43"/>
      <c r="W4855" s="43"/>
      <c r="X4855" s="43"/>
      <c r="Y4855" s="43"/>
      <c r="Z4855" s="43"/>
      <c r="AA4855" s="43"/>
      <c r="AB4855" s="43"/>
      <c r="AC4855" s="43"/>
      <c r="AD4855" s="43"/>
      <c r="AE4855" s="43"/>
      <c r="AF4855" s="43"/>
      <c r="AG4855" s="43"/>
      <c r="AH4855" s="43"/>
      <c r="AI4855" s="43"/>
      <c r="AJ4855" s="43"/>
      <c r="AK4855" s="43"/>
      <c r="AL4855" s="43"/>
      <c r="AM4855" s="43"/>
      <c r="AN4855" s="43"/>
      <c r="AO4855" s="43"/>
      <c r="AP4855" s="43"/>
      <c r="AQ4855" s="43"/>
      <c r="AR4855" s="43"/>
      <c r="AS4855" s="43"/>
      <c r="AT4855" s="43"/>
      <c r="AU4855" s="43"/>
      <c r="AV4855" s="43"/>
    </row>
    <row r="4856" spans="1:48" ht="11.45" customHeight="1">
      <c r="A4856" s="170"/>
      <c r="B4856" s="170" t="s">
        <v>1248</v>
      </c>
      <c r="C4856" s="170" t="s">
        <v>505</v>
      </c>
      <c r="D4856" s="1603">
        <v>660</v>
      </c>
      <c r="E4856" s="2252" t="s">
        <v>1952</v>
      </c>
      <c r="F4856" s="171">
        <v>2235</v>
      </c>
      <c r="G4856" s="172" t="s">
        <v>2431</v>
      </c>
      <c r="H4856" s="192">
        <v>995</v>
      </c>
      <c r="I4856" s="193"/>
      <c r="J4856" s="196"/>
      <c r="K4856" s="194"/>
      <c r="L4856" s="1580">
        <v>995</v>
      </c>
      <c r="M4856" s="1580"/>
      <c r="N4856" s="2847"/>
      <c r="O4856" s="86"/>
      <c r="P4856" s="1817" t="e">
        <f>INDEX(#REF!,MATCH(F4856,#REF!,0),2)</f>
        <v>#REF!</v>
      </c>
      <c r="Q4856" s="43"/>
      <c r="R4856" s="43"/>
      <c r="S4856" s="43"/>
      <c r="T4856" s="43"/>
      <c r="U4856" s="43"/>
      <c r="V4856" s="43"/>
      <c r="W4856" s="43"/>
      <c r="X4856" s="43"/>
      <c r="Y4856" s="43"/>
      <c r="Z4856" s="43"/>
      <c r="AA4856" s="43"/>
      <c r="AB4856" s="43"/>
      <c r="AC4856" s="43"/>
      <c r="AD4856" s="43"/>
      <c r="AE4856" s="43"/>
      <c r="AF4856" s="43"/>
      <c r="AG4856" s="43"/>
      <c r="AH4856" s="43"/>
      <c r="AI4856" s="43"/>
      <c r="AJ4856" s="43"/>
      <c r="AK4856" s="43"/>
      <c r="AL4856" s="43"/>
      <c r="AM4856" s="43"/>
      <c r="AN4856" s="43"/>
      <c r="AO4856" s="43"/>
      <c r="AP4856" s="43"/>
      <c r="AQ4856" s="43"/>
      <c r="AR4856" s="43"/>
      <c r="AS4856" s="43"/>
      <c r="AT4856" s="43"/>
      <c r="AU4856" s="43"/>
      <c r="AV4856" s="43"/>
    </row>
    <row r="4857" spans="1:48" ht="11.45" customHeight="1">
      <c r="A4857" s="175"/>
      <c r="B4857" s="173" t="s">
        <v>1248</v>
      </c>
      <c r="C4857" s="173" t="s">
        <v>507</v>
      </c>
      <c r="D4857" s="1604"/>
      <c r="E4857" s="2251" t="s">
        <v>1952</v>
      </c>
      <c r="F4857" s="370">
        <v>2235</v>
      </c>
      <c r="G4857" s="2774" t="s">
        <v>2285</v>
      </c>
      <c r="H4857" s="185"/>
      <c r="I4857" s="186">
        <v>595</v>
      </c>
      <c r="J4857" s="186"/>
      <c r="K4857" s="187"/>
      <c r="L4857" s="1576"/>
      <c r="M4857" s="1576">
        <v>595</v>
      </c>
      <c r="N4857" s="2847"/>
      <c r="O4857" s="86"/>
      <c r="P4857" s="1817" t="e">
        <f>INDEX(#REF!,MATCH(F4857,#REF!,0),2)</f>
        <v>#REF!</v>
      </c>
      <c r="Q4857" s="43"/>
      <c r="R4857" s="43"/>
      <c r="S4857" s="43"/>
      <c r="T4857" s="43"/>
      <c r="U4857" s="43"/>
      <c r="V4857" s="43"/>
      <c r="W4857" s="43"/>
      <c r="X4857" s="43"/>
      <c r="Y4857" s="43"/>
      <c r="Z4857" s="43"/>
      <c r="AA4857" s="43"/>
      <c r="AB4857" s="43"/>
      <c r="AC4857" s="43"/>
      <c r="AD4857" s="43"/>
      <c r="AE4857" s="43"/>
      <c r="AF4857" s="43"/>
      <c r="AG4857" s="43"/>
      <c r="AH4857" s="43"/>
      <c r="AI4857" s="43"/>
      <c r="AJ4857" s="43"/>
      <c r="AK4857" s="43"/>
      <c r="AL4857" s="43"/>
      <c r="AM4857" s="43"/>
      <c r="AN4857" s="43"/>
      <c r="AO4857" s="43"/>
      <c r="AP4857" s="43"/>
      <c r="AQ4857" s="43"/>
      <c r="AR4857" s="43"/>
      <c r="AS4857" s="43"/>
      <c r="AT4857" s="43"/>
      <c r="AU4857" s="43"/>
      <c r="AV4857" s="43"/>
    </row>
    <row r="4858" spans="1:48" ht="11.45" customHeight="1">
      <c r="A4858" s="1658"/>
      <c r="B4858" s="173" t="s">
        <v>1248</v>
      </c>
      <c r="C4858" s="173" t="s">
        <v>507</v>
      </c>
      <c r="D4858" s="1604"/>
      <c r="E4858" s="2251" t="s">
        <v>1952</v>
      </c>
      <c r="F4858" s="370">
        <v>2235</v>
      </c>
      <c r="G4858" s="1567" t="s">
        <v>2286</v>
      </c>
      <c r="H4858" s="1657"/>
      <c r="I4858" s="1651">
        <v>400</v>
      </c>
      <c r="J4858" s="1651"/>
      <c r="K4858" s="1652"/>
      <c r="L4858" s="1575"/>
      <c r="M4858" s="1576">
        <v>400</v>
      </c>
      <c r="N4858" s="2847"/>
      <c r="O4858" s="86"/>
      <c r="P4858" s="1817" t="e">
        <f>INDEX(#REF!,MATCH(F4858,#REF!,0),2)</f>
        <v>#REF!</v>
      </c>
      <c r="Q4858" s="43"/>
      <c r="R4858" s="43"/>
      <c r="S4858" s="43"/>
      <c r="T4858" s="43"/>
      <c r="U4858" s="43"/>
      <c r="V4858" s="43"/>
      <c r="W4858" s="43"/>
      <c r="X4858" s="43"/>
      <c r="Y4858" s="43"/>
      <c r="Z4858" s="43"/>
      <c r="AA4858" s="43"/>
      <c r="AB4858" s="43"/>
      <c r="AC4858" s="43"/>
      <c r="AD4858" s="43"/>
      <c r="AE4858" s="43"/>
      <c r="AF4858" s="43"/>
      <c r="AG4858" s="43"/>
      <c r="AH4858" s="43"/>
      <c r="AI4858" s="43"/>
      <c r="AJ4858" s="43"/>
      <c r="AK4858" s="43"/>
      <c r="AL4858" s="43"/>
      <c r="AM4858" s="43"/>
      <c r="AN4858" s="43"/>
      <c r="AO4858" s="43"/>
      <c r="AP4858" s="43"/>
      <c r="AQ4858" s="43"/>
      <c r="AR4858" s="43"/>
      <c r="AS4858" s="43"/>
      <c r="AT4858" s="43"/>
      <c r="AU4858" s="43"/>
      <c r="AV4858" s="43"/>
    </row>
    <row r="4859" spans="1:48" ht="11.45" customHeight="1">
      <c r="A4859" s="176"/>
      <c r="B4859" s="170" t="s">
        <v>1248</v>
      </c>
      <c r="C4859" s="170" t="s">
        <v>505</v>
      </c>
      <c r="D4859" s="1603">
        <v>660</v>
      </c>
      <c r="E4859" s="2252" t="s">
        <v>1952</v>
      </c>
      <c r="F4859" s="171">
        <v>2239</v>
      </c>
      <c r="G4859" s="172" t="s">
        <v>237</v>
      </c>
      <c r="H4859" s="192">
        <v>6160</v>
      </c>
      <c r="I4859" s="193"/>
      <c r="J4859" s="196"/>
      <c r="K4859" s="194"/>
      <c r="L4859" s="1580">
        <v>2140</v>
      </c>
      <c r="M4859" s="1580"/>
      <c r="N4859" s="2847"/>
      <c r="O4859" s="86"/>
      <c r="P4859" s="1817" t="e">
        <f>INDEX(#REF!,MATCH(F4859,#REF!,0),2)</f>
        <v>#REF!</v>
      </c>
      <c r="Q4859" s="43"/>
      <c r="R4859" s="43"/>
      <c r="S4859" s="43"/>
      <c r="T4859" s="43"/>
      <c r="U4859" s="43"/>
      <c r="V4859" s="43"/>
      <c r="W4859" s="43"/>
      <c r="X4859" s="43"/>
      <c r="Y4859" s="43"/>
      <c r="Z4859" s="43"/>
      <c r="AA4859" s="43"/>
      <c r="AB4859" s="43"/>
      <c r="AC4859" s="43"/>
      <c r="AD4859" s="43"/>
      <c r="AE4859" s="43"/>
      <c r="AF4859" s="43"/>
      <c r="AG4859" s="43"/>
      <c r="AH4859" s="43"/>
      <c r="AI4859" s="43"/>
      <c r="AJ4859" s="43"/>
      <c r="AK4859" s="43"/>
      <c r="AL4859" s="43"/>
      <c r="AM4859" s="43"/>
      <c r="AN4859" s="43"/>
      <c r="AO4859" s="43"/>
      <c r="AP4859" s="43"/>
      <c r="AQ4859" s="43"/>
      <c r="AR4859" s="43"/>
      <c r="AS4859" s="43"/>
      <c r="AT4859" s="43"/>
      <c r="AU4859" s="43"/>
      <c r="AV4859" s="43"/>
    </row>
    <row r="4860" spans="1:48" ht="13.15" customHeight="1">
      <c r="A4860" s="334"/>
      <c r="B4860" s="173" t="s">
        <v>1248</v>
      </c>
      <c r="C4860" s="173" t="s">
        <v>505</v>
      </c>
      <c r="D4860" s="1604"/>
      <c r="E4860" s="2251" t="s">
        <v>1952</v>
      </c>
      <c r="F4860" s="370">
        <v>2239</v>
      </c>
      <c r="G4860" s="323" t="s">
        <v>1315</v>
      </c>
      <c r="H4860" s="324"/>
      <c r="I4860" s="324">
        <v>2160</v>
      </c>
      <c r="J4860" s="345"/>
      <c r="K4860" s="322"/>
      <c r="L4860" s="1576"/>
      <c r="M4860" s="4411">
        <v>1840</v>
      </c>
      <c r="N4860" s="241" t="s">
        <v>5156</v>
      </c>
      <c r="O4860" s="86"/>
      <c r="P4860" s="1817"/>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row>
    <row r="4861" spans="1:48" ht="13.15" customHeight="1">
      <c r="A4861" s="334"/>
      <c r="B4861" s="173" t="s">
        <v>1248</v>
      </c>
      <c r="C4861" s="173" t="s">
        <v>507</v>
      </c>
      <c r="D4861" s="1604"/>
      <c r="E4861" s="2251" t="s">
        <v>1952</v>
      </c>
      <c r="F4861" s="370">
        <v>2239</v>
      </c>
      <c r="G4861" s="1567" t="s">
        <v>2479</v>
      </c>
      <c r="H4861" s="321"/>
      <c r="I4861" s="345">
        <v>4000</v>
      </c>
      <c r="J4861" s="345"/>
      <c r="K4861" s="322"/>
      <c r="L4861" s="1575"/>
      <c r="M4861" s="1575"/>
      <c r="N4861" s="2847"/>
      <c r="O4861" s="86"/>
      <c r="P4861" s="1817" t="e">
        <f>INDEX(#REF!,MATCH(F4861,#REF!,0),2)</f>
        <v>#REF!</v>
      </c>
      <c r="Q4861" s="43"/>
      <c r="R4861" s="43"/>
      <c r="S4861" s="43"/>
      <c r="T4861" s="43"/>
      <c r="U4861" s="43"/>
      <c r="V4861" s="43"/>
      <c r="W4861" s="43"/>
      <c r="X4861" s="43"/>
      <c r="Y4861" s="43"/>
      <c r="Z4861" s="43"/>
      <c r="AA4861" s="43"/>
      <c r="AB4861" s="43"/>
      <c r="AC4861" s="43"/>
      <c r="AD4861" s="43"/>
      <c r="AE4861" s="43"/>
      <c r="AF4861" s="43"/>
      <c r="AG4861" s="43"/>
      <c r="AH4861" s="43"/>
      <c r="AI4861" s="43"/>
      <c r="AJ4861" s="43"/>
      <c r="AK4861" s="43"/>
      <c r="AL4861" s="43"/>
      <c r="AM4861" s="43"/>
      <c r="AN4861" s="43"/>
      <c r="AO4861" s="43"/>
      <c r="AP4861" s="43"/>
      <c r="AQ4861" s="43"/>
      <c r="AR4861" s="43"/>
      <c r="AS4861" s="43"/>
      <c r="AT4861" s="43"/>
      <c r="AU4861" s="43"/>
      <c r="AV4861" s="43"/>
    </row>
    <row r="4862" spans="1:48" ht="24.6" customHeight="1">
      <c r="A4862" s="3753"/>
      <c r="B4862" s="173" t="s">
        <v>1248</v>
      </c>
      <c r="C4862" s="173" t="s">
        <v>507</v>
      </c>
      <c r="D4862" s="1604"/>
      <c r="E4862" s="2251" t="s">
        <v>1952</v>
      </c>
      <c r="F4862" s="370">
        <v>2239</v>
      </c>
      <c r="G4862" s="2774" t="s">
        <v>5138</v>
      </c>
      <c r="H4862" s="1657"/>
      <c r="I4862" s="1651"/>
      <c r="J4862" s="1651"/>
      <c r="K4862" s="1652"/>
      <c r="L4862" s="2778"/>
      <c r="M4862" s="2779">
        <v>300</v>
      </c>
      <c r="N4862" s="241" t="s">
        <v>5139</v>
      </c>
      <c r="O4862" s="86"/>
      <c r="P4862" s="1817" t="e">
        <f>INDEX(#REF!,MATCH(F4862,#REF!,0),2)</f>
        <v>#REF!</v>
      </c>
      <c r="Q4862" s="43"/>
      <c r="R4862" s="43"/>
      <c r="S4862" s="43"/>
      <c r="T4862" s="43"/>
      <c r="U4862" s="43"/>
      <c r="V4862" s="43"/>
      <c r="W4862" s="43"/>
      <c r="X4862" s="43"/>
      <c r="Y4862" s="43"/>
      <c r="Z4862" s="43"/>
      <c r="AA4862" s="43"/>
      <c r="AB4862" s="43"/>
      <c r="AC4862" s="43"/>
      <c r="AD4862" s="43"/>
      <c r="AE4862" s="43"/>
      <c r="AF4862" s="43"/>
      <c r="AG4862" s="43"/>
      <c r="AH4862" s="43"/>
      <c r="AI4862" s="43"/>
      <c r="AJ4862" s="43"/>
      <c r="AK4862" s="43"/>
      <c r="AL4862" s="43"/>
      <c r="AM4862" s="43"/>
      <c r="AN4862" s="43"/>
      <c r="AO4862" s="43"/>
      <c r="AP4862" s="43"/>
      <c r="AQ4862" s="43"/>
      <c r="AR4862" s="43"/>
      <c r="AS4862" s="43"/>
      <c r="AT4862" s="43"/>
      <c r="AU4862" s="43"/>
      <c r="AV4862" s="43"/>
    </row>
    <row r="4863" spans="1:48" ht="13.15" customHeight="1">
      <c r="A4863" s="176"/>
      <c r="B4863" s="170" t="s">
        <v>1249</v>
      </c>
      <c r="C4863" s="170" t="s">
        <v>507</v>
      </c>
      <c r="D4863" s="1603">
        <v>660</v>
      </c>
      <c r="E4863" s="2252" t="s">
        <v>1952</v>
      </c>
      <c r="F4863" s="398">
        <v>2239</v>
      </c>
      <c r="G4863" s="172" t="s">
        <v>1612</v>
      </c>
      <c r="H4863" s="196">
        <v>78000</v>
      </c>
      <c r="I4863" s="193"/>
      <c r="J4863" s="196">
        <v>19770</v>
      </c>
      <c r="K4863" s="194"/>
      <c r="L4863" s="1580">
        <v>79126</v>
      </c>
      <c r="M4863" s="1578"/>
      <c r="N4863" s="2847"/>
      <c r="O4863" s="86"/>
      <c r="P4863" s="1817" t="e">
        <f>INDEX(#REF!,MATCH(F4863,#REF!,0),2)</f>
        <v>#REF!</v>
      </c>
      <c r="Q4863" s="43"/>
      <c r="R4863" s="43"/>
      <c r="S4863" s="43"/>
      <c r="T4863" s="43"/>
      <c r="U4863" s="43"/>
      <c r="V4863" s="43"/>
      <c r="W4863" s="43"/>
      <c r="X4863" s="43"/>
      <c r="Y4863" s="43"/>
      <c r="Z4863" s="43"/>
      <c r="AA4863" s="43"/>
      <c r="AB4863" s="43"/>
      <c r="AC4863" s="43"/>
      <c r="AD4863" s="43"/>
      <c r="AE4863" s="43"/>
      <c r="AF4863" s="43"/>
      <c r="AG4863" s="43"/>
      <c r="AH4863" s="43"/>
      <c r="AI4863" s="43"/>
      <c r="AJ4863" s="43"/>
      <c r="AK4863" s="43"/>
      <c r="AL4863" s="43"/>
      <c r="AM4863" s="43"/>
      <c r="AN4863" s="43"/>
      <c r="AO4863" s="43"/>
      <c r="AP4863" s="43"/>
      <c r="AQ4863" s="43"/>
      <c r="AR4863" s="43"/>
      <c r="AS4863" s="43"/>
      <c r="AT4863" s="43"/>
      <c r="AU4863" s="43"/>
      <c r="AV4863" s="43"/>
    </row>
    <row r="4864" spans="1:48" ht="11.45" customHeight="1">
      <c r="A4864" s="1658"/>
      <c r="B4864" s="173" t="s">
        <v>1249</v>
      </c>
      <c r="C4864" s="173" t="s">
        <v>507</v>
      </c>
      <c r="D4864" s="1604"/>
      <c r="E4864" s="2251" t="s">
        <v>1952</v>
      </c>
      <c r="F4864" s="370">
        <v>2239</v>
      </c>
      <c r="G4864" s="2774" t="s">
        <v>3269</v>
      </c>
      <c r="H4864" s="1657"/>
      <c r="I4864" s="1651">
        <v>50000</v>
      </c>
      <c r="J4864" s="1651">
        <v>10139</v>
      </c>
      <c r="K4864" s="1652"/>
      <c r="L4864" s="1575"/>
      <c r="M4864" s="1576">
        <v>40600</v>
      </c>
      <c r="N4864" s="2847"/>
      <c r="O4864" s="86"/>
      <c r="P4864" s="1817" t="e">
        <f>INDEX(#REF!,MATCH(F4864,#REF!,0),2)</f>
        <v>#REF!</v>
      </c>
      <c r="Q4864" s="43"/>
      <c r="R4864" s="43"/>
      <c r="S4864" s="43"/>
      <c r="T4864" s="43"/>
      <c r="U4864" s="43"/>
      <c r="V4864" s="43"/>
      <c r="W4864" s="43"/>
      <c r="X4864" s="43"/>
      <c r="Y4864" s="43"/>
      <c r="Z4864" s="43"/>
      <c r="AA4864" s="43"/>
      <c r="AB4864" s="43"/>
      <c r="AC4864" s="43"/>
      <c r="AD4864" s="43"/>
      <c r="AE4864" s="43"/>
      <c r="AF4864" s="43"/>
      <c r="AG4864" s="43"/>
      <c r="AH4864" s="43"/>
      <c r="AI4864" s="43"/>
      <c r="AJ4864" s="43"/>
      <c r="AK4864" s="43"/>
      <c r="AL4864" s="43"/>
      <c r="AM4864" s="43"/>
      <c r="AN4864" s="43"/>
      <c r="AO4864" s="43"/>
      <c r="AP4864" s="43"/>
      <c r="AQ4864" s="43"/>
      <c r="AR4864" s="43"/>
      <c r="AS4864" s="43"/>
      <c r="AT4864" s="43"/>
      <c r="AU4864" s="43"/>
      <c r="AV4864" s="43"/>
    </row>
    <row r="4865" spans="1:48" ht="24" customHeight="1">
      <c r="A4865" s="1658"/>
      <c r="B4865" s="173" t="s">
        <v>1249</v>
      </c>
      <c r="C4865" s="173" t="s">
        <v>507</v>
      </c>
      <c r="D4865" s="1604"/>
      <c r="E4865" s="2251" t="s">
        <v>1952</v>
      </c>
      <c r="F4865" s="370">
        <v>2239</v>
      </c>
      <c r="G4865" s="1567" t="s">
        <v>5745</v>
      </c>
      <c r="H4865" s="1657"/>
      <c r="I4865" s="1651">
        <v>28000</v>
      </c>
      <c r="J4865" s="1651">
        <v>9631</v>
      </c>
      <c r="K4865" s="1652"/>
      <c r="L4865" s="1575"/>
      <c r="M4865" s="1576">
        <v>38526</v>
      </c>
      <c r="N4865" s="2847"/>
      <c r="O4865" s="86"/>
      <c r="P4865" s="1817" t="e">
        <f>INDEX(#REF!,MATCH(F4865,#REF!,0),2)</f>
        <v>#REF!</v>
      </c>
      <c r="Q4865" s="43"/>
      <c r="R4865" s="43"/>
      <c r="S4865" s="43"/>
      <c r="T4865" s="43"/>
      <c r="U4865" s="43"/>
      <c r="V4865" s="43"/>
      <c r="W4865" s="43"/>
      <c r="X4865" s="43"/>
      <c r="Y4865" s="43"/>
      <c r="Z4865" s="43"/>
      <c r="AA4865" s="43"/>
      <c r="AB4865" s="43"/>
      <c r="AC4865" s="43"/>
      <c r="AD4865" s="43"/>
      <c r="AE4865" s="43"/>
      <c r="AF4865" s="43"/>
      <c r="AG4865" s="43"/>
      <c r="AH4865" s="43"/>
      <c r="AI4865" s="43"/>
      <c r="AJ4865" s="43"/>
      <c r="AK4865" s="43"/>
      <c r="AL4865" s="43"/>
      <c r="AM4865" s="43"/>
      <c r="AN4865" s="43"/>
      <c r="AO4865" s="43"/>
      <c r="AP4865" s="43"/>
      <c r="AQ4865" s="43"/>
      <c r="AR4865" s="43"/>
      <c r="AS4865" s="43"/>
      <c r="AT4865" s="43"/>
      <c r="AU4865" s="43"/>
      <c r="AV4865" s="43"/>
    </row>
    <row r="4866" spans="1:48" ht="11.45" customHeight="1">
      <c r="A4866" s="176"/>
      <c r="B4866" s="170" t="s">
        <v>1248</v>
      </c>
      <c r="C4866" s="170" t="s">
        <v>505</v>
      </c>
      <c r="D4866" s="1603">
        <v>660</v>
      </c>
      <c r="E4866" s="2252" t="s">
        <v>1952</v>
      </c>
      <c r="F4866" s="171">
        <v>2243</v>
      </c>
      <c r="G4866" s="172" t="s">
        <v>279</v>
      </c>
      <c r="H4866" s="192">
        <v>500</v>
      </c>
      <c r="I4866" s="192"/>
      <c r="J4866" s="196">
        <v>0</v>
      </c>
      <c r="K4866" s="209"/>
      <c r="L4866" s="1580">
        <v>250</v>
      </c>
      <c r="M4866" s="1580"/>
      <c r="N4866" s="2847"/>
      <c r="O4866" s="86"/>
      <c r="P4866" s="1817" t="e">
        <f>INDEX(#REF!,MATCH(F4866,#REF!,0),2)</f>
        <v>#REF!</v>
      </c>
      <c r="Q4866" s="43"/>
      <c r="R4866" s="43"/>
      <c r="S4866" s="43"/>
      <c r="T4866" s="43"/>
      <c r="U4866" s="43"/>
      <c r="V4866" s="43"/>
      <c r="W4866" s="43"/>
      <c r="X4866" s="43"/>
      <c r="Y4866" s="43"/>
      <c r="Z4866" s="43"/>
      <c r="AA4866" s="43"/>
      <c r="AB4866" s="43"/>
      <c r="AC4866" s="43"/>
      <c r="AD4866" s="43"/>
      <c r="AE4866" s="43"/>
      <c r="AF4866" s="43"/>
      <c r="AG4866" s="43"/>
      <c r="AH4866" s="43"/>
      <c r="AI4866" s="43"/>
      <c r="AJ4866" s="43"/>
      <c r="AK4866" s="43"/>
      <c r="AL4866" s="43"/>
      <c r="AM4866" s="43"/>
      <c r="AN4866" s="43"/>
      <c r="AO4866" s="43"/>
      <c r="AP4866" s="43"/>
      <c r="AQ4866" s="43"/>
      <c r="AR4866" s="43"/>
      <c r="AS4866" s="43"/>
      <c r="AT4866" s="43"/>
      <c r="AU4866" s="43"/>
      <c r="AV4866" s="43"/>
    </row>
    <row r="4867" spans="1:48" ht="11.45" customHeight="1">
      <c r="A4867" s="175"/>
      <c r="B4867" s="173" t="s">
        <v>1248</v>
      </c>
      <c r="C4867" s="173" t="s">
        <v>505</v>
      </c>
      <c r="D4867" s="1604"/>
      <c r="E4867" s="2251" t="s">
        <v>1952</v>
      </c>
      <c r="F4867" s="370">
        <v>2243</v>
      </c>
      <c r="G4867" s="174" t="s">
        <v>1116</v>
      </c>
      <c r="H4867" s="195"/>
      <c r="I4867" s="195">
        <v>500</v>
      </c>
      <c r="J4867" s="186"/>
      <c r="K4867" s="210"/>
      <c r="L4867" s="1576"/>
      <c r="M4867" s="4222">
        <v>250</v>
      </c>
      <c r="N4867" s="241" t="s">
        <v>5333</v>
      </c>
      <c r="O4867" s="86"/>
      <c r="P4867" s="1817" t="e">
        <f>INDEX(#REF!,MATCH(F4867,#REF!,0),2)</f>
        <v>#REF!</v>
      </c>
      <c r="Q4867" s="43"/>
      <c r="R4867" s="43"/>
      <c r="S4867" s="43"/>
      <c r="T4867" s="43"/>
      <c r="U4867" s="43"/>
      <c r="V4867" s="43"/>
      <c r="W4867" s="43"/>
      <c r="X4867" s="43"/>
      <c r="Y4867" s="43"/>
      <c r="Z4867" s="43"/>
      <c r="AA4867" s="43"/>
      <c r="AB4867" s="43"/>
      <c r="AC4867" s="43"/>
      <c r="AD4867" s="43"/>
      <c r="AE4867" s="43"/>
      <c r="AF4867" s="43"/>
      <c r="AG4867" s="43"/>
      <c r="AH4867" s="43"/>
      <c r="AI4867" s="43"/>
      <c r="AJ4867" s="43"/>
      <c r="AL4867" s="43"/>
      <c r="AM4867" s="43"/>
      <c r="AN4867" s="43"/>
      <c r="AO4867" s="43"/>
      <c r="AP4867" s="43"/>
      <c r="AQ4867" s="43"/>
      <c r="AR4867" s="43"/>
      <c r="AS4867" s="43"/>
      <c r="AT4867" s="43"/>
      <c r="AU4867" s="43"/>
      <c r="AV4867" s="43"/>
    </row>
    <row r="4868" spans="1:48">
      <c r="A4868" s="176"/>
      <c r="B4868" s="170" t="s">
        <v>1248</v>
      </c>
      <c r="C4868" s="170" t="s">
        <v>505</v>
      </c>
      <c r="D4868" s="1603">
        <v>660</v>
      </c>
      <c r="E4868" s="2252" t="s">
        <v>1952</v>
      </c>
      <c r="F4868" s="171">
        <v>2247</v>
      </c>
      <c r="G4868" s="172" t="s">
        <v>281</v>
      </c>
      <c r="H4868" s="192">
        <v>740</v>
      </c>
      <c r="I4868" s="192"/>
      <c r="J4868" s="196"/>
      <c r="K4868" s="209"/>
      <c r="L4868" s="1580">
        <v>1400</v>
      </c>
      <c r="M4868" s="1580"/>
      <c r="N4868" s="2847"/>
      <c r="O4868" s="86"/>
      <c r="P4868" s="1817" t="e">
        <f>INDEX(#REF!,MATCH(F4868,#REF!,0),2)</f>
        <v>#REF!</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row>
    <row r="4869" spans="1:48">
      <c r="A4869" s="175"/>
      <c r="B4869" s="173" t="s">
        <v>1248</v>
      </c>
      <c r="C4869" s="173" t="s">
        <v>505</v>
      </c>
      <c r="D4869" s="1604"/>
      <c r="E4869" s="2251" t="s">
        <v>1952</v>
      </c>
      <c r="F4869" s="370">
        <v>2247</v>
      </c>
      <c r="G4869" s="174" t="s">
        <v>5129</v>
      </c>
      <c r="H4869" s="195"/>
      <c r="I4869" s="195">
        <v>740</v>
      </c>
      <c r="J4869" s="186"/>
      <c r="K4869" s="210"/>
      <c r="L4869" s="1576"/>
      <c r="M4869" s="1576">
        <v>1400</v>
      </c>
      <c r="N4869" s="2847"/>
      <c r="O4869" s="86"/>
      <c r="P4869" s="1817" t="e">
        <f>INDEX(#REF!,MATCH(F4869,#REF!,0),2)</f>
        <v>#REF!</v>
      </c>
      <c r="Q4869" s="43"/>
      <c r="R4869" s="43"/>
      <c r="S4869" s="43"/>
      <c r="T4869" s="43"/>
      <c r="U4869" s="43"/>
      <c r="V4869" s="43"/>
      <c r="W4869" s="43"/>
      <c r="X4869" s="43"/>
      <c r="Y4869" s="43"/>
      <c r="Z4869" s="43"/>
      <c r="AA4869" s="43"/>
      <c r="AB4869" s="43"/>
      <c r="AC4869" s="43"/>
      <c r="AD4869" s="43"/>
      <c r="AE4869" s="43"/>
      <c r="AF4869" s="43"/>
      <c r="AG4869" s="43"/>
      <c r="AH4869" s="43"/>
      <c r="AI4869" s="43"/>
      <c r="AJ4869" s="43"/>
      <c r="AK4869" s="43"/>
      <c r="AL4869" s="43"/>
      <c r="AM4869" s="43"/>
      <c r="AN4869" s="43"/>
      <c r="AO4869" s="43"/>
      <c r="AP4869" s="43"/>
      <c r="AQ4869" s="43"/>
      <c r="AR4869" s="43"/>
      <c r="AS4869" s="43"/>
      <c r="AT4869" s="43"/>
      <c r="AU4869" s="43"/>
      <c r="AV4869" s="43"/>
    </row>
    <row r="4870" spans="1:48">
      <c r="A4870" s="544"/>
      <c r="B4870" s="506" t="s">
        <v>1248</v>
      </c>
      <c r="C4870" s="506" t="s">
        <v>505</v>
      </c>
      <c r="D4870" s="1603">
        <v>660</v>
      </c>
      <c r="E4870" s="2252" t="s">
        <v>1952</v>
      </c>
      <c r="F4870" s="540">
        <v>2250</v>
      </c>
      <c r="G4870" s="411" t="s">
        <v>239</v>
      </c>
      <c r="H4870" s="571">
        <v>4788</v>
      </c>
      <c r="I4870" s="571"/>
      <c r="J4870" s="572"/>
      <c r="K4870" s="573"/>
      <c r="L4870" s="3754">
        <v>8045</v>
      </c>
      <c r="M4870" s="1766"/>
      <c r="N4870" s="241" t="s">
        <v>5334</v>
      </c>
      <c r="O4870" s="86"/>
      <c r="P4870" s="1817" t="e">
        <f>INDEX(#REF!,MATCH(F4870,#REF!,0),2)</f>
        <v>#REF!</v>
      </c>
      <c r="Q4870" s="43"/>
      <c r="R4870" s="43"/>
      <c r="S4870" s="43"/>
      <c r="T4870" s="43"/>
      <c r="U4870" s="43"/>
      <c r="V4870" s="43"/>
      <c r="W4870" s="43"/>
      <c r="X4870" s="43"/>
      <c r="Y4870" s="43"/>
      <c r="Z4870" s="43"/>
      <c r="AA4870" s="43"/>
      <c r="AB4870" s="43"/>
      <c r="AC4870" s="43"/>
      <c r="AD4870" s="43"/>
      <c r="AE4870" s="43"/>
      <c r="AF4870" s="43"/>
      <c r="AG4870" s="43"/>
      <c r="AH4870" s="43"/>
      <c r="AI4870" s="43"/>
      <c r="AJ4870" s="43"/>
      <c r="AK4870" s="43"/>
      <c r="AL4870" s="43"/>
      <c r="AM4870" s="43"/>
      <c r="AN4870" s="43"/>
      <c r="AO4870" s="43"/>
      <c r="AP4870" s="43"/>
      <c r="AQ4870" s="43"/>
      <c r="AR4870" s="43"/>
      <c r="AS4870" s="43"/>
      <c r="AT4870" s="43"/>
      <c r="AU4870" s="43"/>
      <c r="AV4870" s="43"/>
    </row>
    <row r="4871" spans="1:48">
      <c r="A4871" s="334"/>
      <c r="B4871" s="173" t="s">
        <v>1248</v>
      </c>
      <c r="C4871" s="173" t="s">
        <v>507</v>
      </c>
      <c r="D4871" s="1604"/>
      <c r="E4871" s="2251" t="s">
        <v>1952</v>
      </c>
      <c r="F4871" s="370">
        <v>2250</v>
      </c>
      <c r="G4871" s="323" t="s">
        <v>1035</v>
      </c>
      <c r="H4871" s="324"/>
      <c r="I4871" s="324">
        <v>201</v>
      </c>
      <c r="J4871" s="345"/>
      <c r="K4871" s="322"/>
      <c r="L4871" s="1575"/>
      <c r="M4871" s="1576">
        <v>0</v>
      </c>
      <c r="N4871" s="241" t="s">
        <v>5734</v>
      </c>
      <c r="O4871" s="86"/>
      <c r="P4871" s="1817" t="e">
        <f>INDEX(#REF!,MATCH(F4871,#REF!,0),2)</f>
        <v>#REF!</v>
      </c>
      <c r="Q4871" s="43"/>
      <c r="R4871" s="43"/>
      <c r="S4871" s="43"/>
      <c r="T4871" s="43"/>
      <c r="U4871" s="43"/>
      <c r="V4871" s="43"/>
      <c r="W4871" s="43"/>
      <c r="X4871" s="43"/>
      <c r="Y4871" s="43"/>
      <c r="Z4871" s="43"/>
      <c r="AA4871" s="43"/>
      <c r="AB4871" s="43"/>
      <c r="AC4871" s="43"/>
      <c r="AD4871" s="43"/>
      <c r="AE4871" s="43"/>
      <c r="AF4871" s="43"/>
      <c r="AG4871" s="43"/>
      <c r="AH4871" s="43"/>
      <c r="AI4871" s="43"/>
      <c r="AJ4871" s="43"/>
      <c r="AK4871" s="43"/>
      <c r="AL4871" s="43"/>
      <c r="AM4871" s="43"/>
      <c r="AN4871" s="43"/>
      <c r="AO4871" s="43"/>
      <c r="AP4871" s="43"/>
      <c r="AQ4871" s="43"/>
      <c r="AR4871" s="43"/>
      <c r="AS4871" s="43"/>
      <c r="AT4871" s="43"/>
      <c r="AU4871" s="43"/>
      <c r="AV4871" s="43"/>
    </row>
    <row r="4872" spans="1:48">
      <c r="A4872" s="334"/>
      <c r="B4872" s="173" t="s">
        <v>1248</v>
      </c>
      <c r="C4872" s="173" t="s">
        <v>507</v>
      </c>
      <c r="D4872" s="1604"/>
      <c r="E4872" s="2251" t="s">
        <v>1952</v>
      </c>
      <c r="F4872" s="370">
        <v>2250</v>
      </c>
      <c r="G4872" s="323" t="s">
        <v>1034</v>
      </c>
      <c r="H4872" s="324"/>
      <c r="I4872" s="324">
        <v>500</v>
      </c>
      <c r="J4872" s="345">
        <v>478</v>
      </c>
      <c r="K4872" s="322"/>
      <c r="L4872" s="1575"/>
      <c r="M4872" s="1576">
        <v>500</v>
      </c>
      <c r="N4872" s="2847"/>
      <c r="O4872" s="86"/>
      <c r="P4872" s="1817" t="e">
        <f>INDEX(#REF!,MATCH(F4872,#REF!,0),2)</f>
        <v>#REF!</v>
      </c>
      <c r="Q4872" s="43"/>
      <c r="R4872" s="43"/>
      <c r="S4872" s="43"/>
      <c r="T4872" s="43"/>
      <c r="U4872" s="43"/>
      <c r="V4872" s="43"/>
      <c r="W4872" s="43"/>
      <c r="X4872" s="43"/>
      <c r="Y4872" s="43"/>
      <c r="Z4872" s="43"/>
      <c r="AA4872" s="43"/>
      <c r="AB4872" s="43"/>
      <c r="AC4872" s="43"/>
      <c r="AD4872" s="43"/>
      <c r="AE4872" s="43"/>
      <c r="AF4872" s="43"/>
      <c r="AG4872" s="43"/>
      <c r="AH4872" s="43"/>
      <c r="AI4872" s="43"/>
      <c r="AJ4872" s="43"/>
      <c r="AK4872" s="43"/>
      <c r="AL4872" s="43"/>
      <c r="AM4872" s="43"/>
      <c r="AN4872" s="43"/>
      <c r="AO4872" s="43"/>
      <c r="AP4872" s="43"/>
      <c r="AQ4872" s="43"/>
      <c r="AR4872" s="43"/>
      <c r="AS4872" s="43"/>
      <c r="AT4872" s="43"/>
      <c r="AU4872" s="43"/>
      <c r="AV4872" s="43"/>
    </row>
    <row r="4873" spans="1:48">
      <c r="A4873" s="334"/>
      <c r="B4873" s="173" t="s">
        <v>1248</v>
      </c>
      <c r="C4873" s="173" t="s">
        <v>507</v>
      </c>
      <c r="D4873" s="1604"/>
      <c r="E4873" s="2251" t="s">
        <v>1952</v>
      </c>
      <c r="F4873" s="370">
        <v>2250</v>
      </c>
      <c r="G4873" s="323" t="s">
        <v>5131</v>
      </c>
      <c r="H4873" s="321"/>
      <c r="I4873" s="345">
        <v>1800</v>
      </c>
      <c r="J4873" s="345"/>
      <c r="K4873" s="322"/>
      <c r="L4873" s="1575"/>
      <c r="M4873" s="1576">
        <v>600</v>
      </c>
      <c r="N4873" s="2847"/>
      <c r="O4873" s="86"/>
      <c r="P4873" s="1817" t="e">
        <f>INDEX(#REF!,MATCH(F4873,#REF!,0),2)</f>
        <v>#REF!</v>
      </c>
      <c r="Q4873" s="43"/>
      <c r="R4873" s="43"/>
      <c r="S4873" s="43"/>
      <c r="T4873" s="43"/>
      <c r="U4873" s="43"/>
      <c r="V4873" s="43"/>
      <c r="W4873" s="43"/>
      <c r="X4873" s="43"/>
      <c r="Y4873" s="43"/>
      <c r="Z4873" s="43"/>
      <c r="AA4873" s="43"/>
      <c r="AB4873" s="43"/>
      <c r="AC4873" s="43"/>
      <c r="AD4873" s="43"/>
      <c r="AE4873" s="43"/>
      <c r="AF4873" s="43"/>
      <c r="AG4873" s="43"/>
      <c r="AH4873" s="43"/>
      <c r="AI4873" s="43"/>
      <c r="AJ4873" s="43"/>
      <c r="AK4873" s="43"/>
      <c r="AL4873" s="43"/>
      <c r="AM4873" s="43"/>
      <c r="AN4873" s="43"/>
      <c r="AO4873" s="43"/>
      <c r="AP4873" s="43"/>
      <c r="AQ4873" s="43"/>
      <c r="AR4873" s="43"/>
      <c r="AS4873" s="43"/>
      <c r="AT4873" s="43"/>
      <c r="AU4873" s="43"/>
      <c r="AV4873" s="43"/>
    </row>
    <row r="4874" spans="1:48" ht="16.5" customHeight="1">
      <c r="A4874" s="175"/>
      <c r="B4874" s="173" t="s">
        <v>1248</v>
      </c>
      <c r="C4874" s="173" t="s">
        <v>507</v>
      </c>
      <c r="D4874" s="1604"/>
      <c r="E4874" s="2251" t="s">
        <v>1952</v>
      </c>
      <c r="F4874" s="370">
        <v>2250</v>
      </c>
      <c r="G4874" s="174" t="s">
        <v>921</v>
      </c>
      <c r="H4874" s="195"/>
      <c r="I4874" s="195">
        <v>500</v>
      </c>
      <c r="J4874" s="186"/>
      <c r="K4874" s="187"/>
      <c r="L4874" s="1575"/>
      <c r="M4874" s="1576">
        <v>500</v>
      </c>
      <c r="N4874" s="2847"/>
      <c r="O4874" s="86"/>
      <c r="P4874" s="1817" t="e">
        <f>INDEX(#REF!,MATCH(F4874,#REF!,0),2)</f>
        <v>#REF!</v>
      </c>
      <c r="Q4874" s="43"/>
      <c r="R4874" s="43"/>
      <c r="S4874" s="43"/>
      <c r="T4874" s="43"/>
      <c r="U4874" s="43"/>
      <c r="V4874" s="43"/>
      <c r="W4874" s="43"/>
      <c r="X4874" s="43"/>
      <c r="Y4874" s="43"/>
      <c r="Z4874" s="43"/>
      <c r="AA4874" s="43"/>
      <c r="AB4874" s="43"/>
      <c r="AC4874" s="43"/>
      <c r="AD4874" s="43"/>
      <c r="AE4874" s="43"/>
      <c r="AF4874" s="43"/>
      <c r="AG4874" s="43"/>
      <c r="AH4874" s="1786"/>
      <c r="AI4874" s="1030"/>
      <c r="AJ4874" s="1030"/>
      <c r="AK4874" s="43"/>
      <c r="AL4874" s="43"/>
      <c r="AM4874" s="43"/>
      <c r="AN4874" s="43"/>
      <c r="AO4874" s="43"/>
      <c r="AP4874" s="43"/>
      <c r="AQ4874" s="43"/>
      <c r="AR4874" s="43"/>
      <c r="AS4874" s="43"/>
      <c r="AT4874" s="43"/>
      <c r="AU4874" s="43"/>
      <c r="AV4874" s="43"/>
    </row>
    <row r="4875" spans="1:48" ht="11.45" customHeight="1" thickBot="1">
      <c r="A4875" s="175"/>
      <c r="B4875" s="173" t="s">
        <v>1248</v>
      </c>
      <c r="C4875" s="173" t="s">
        <v>505</v>
      </c>
      <c r="D4875" s="1604"/>
      <c r="E4875" s="2251" t="s">
        <v>1952</v>
      </c>
      <c r="F4875" s="370">
        <v>2250</v>
      </c>
      <c r="G4875" s="1567" t="s">
        <v>2587</v>
      </c>
      <c r="H4875" s="195"/>
      <c r="I4875" s="195">
        <v>1000</v>
      </c>
      <c r="J4875" s="186"/>
      <c r="K4875" s="187"/>
      <c r="L4875" s="1575"/>
      <c r="M4875" s="4079">
        <v>1000</v>
      </c>
      <c r="N4875" s="2847"/>
      <c r="O4875" s="86"/>
      <c r="P4875" s="1817" t="e">
        <f>INDEX(#REF!,MATCH(F4875,#REF!,0),2)</f>
        <v>#REF!</v>
      </c>
      <c r="Q4875" s="43"/>
      <c r="R4875" s="43"/>
      <c r="S4875" s="43"/>
      <c r="T4875" s="43"/>
      <c r="U4875" s="43"/>
      <c r="V4875" s="43"/>
      <c r="W4875" s="43"/>
      <c r="X4875" s="43"/>
      <c r="Y4875" s="43"/>
      <c r="Z4875" s="43"/>
      <c r="AA4875" s="43"/>
      <c r="AB4875" s="43"/>
      <c r="AC4875" s="43"/>
      <c r="AD4875" s="43"/>
      <c r="AE4875" s="43"/>
      <c r="AF4875" s="43"/>
      <c r="AG4875" s="43"/>
      <c r="AH4875" s="1786"/>
      <c r="AI4875" s="1030"/>
      <c r="AJ4875" s="1030"/>
      <c r="AK4875" s="43"/>
      <c r="AL4875" s="43"/>
      <c r="AM4875" s="43"/>
      <c r="AN4875" s="43"/>
      <c r="AO4875" s="43"/>
      <c r="AP4875" s="43"/>
      <c r="AQ4875" s="43"/>
      <c r="AR4875" s="43"/>
      <c r="AS4875" s="43"/>
      <c r="AT4875" s="43"/>
      <c r="AU4875" s="43"/>
      <c r="AV4875" s="43"/>
    </row>
    <row r="4876" spans="1:48" ht="11.45" customHeight="1">
      <c r="A4876" s="175" t="s">
        <v>5741</v>
      </c>
      <c r="B4876" s="173" t="s">
        <v>1248</v>
      </c>
      <c r="C4876" s="173" t="s">
        <v>505</v>
      </c>
      <c r="D4876" s="1604"/>
      <c r="E4876" s="2251" t="s">
        <v>1952</v>
      </c>
      <c r="F4876" s="370">
        <v>2250</v>
      </c>
      <c r="G4876" s="1567" t="s">
        <v>2586</v>
      </c>
      <c r="H4876" s="195"/>
      <c r="I4876" s="195">
        <v>787</v>
      </c>
      <c r="J4876" s="186"/>
      <c r="K4876" s="187"/>
      <c r="L4876" s="1657"/>
      <c r="M4876" s="4081"/>
      <c r="N4876" s="2847"/>
      <c r="O4876" s="86"/>
      <c r="P4876" s="1817" t="e">
        <f>INDEX(#REF!,MATCH(F4876,#REF!,0),2)</f>
        <v>#REF!</v>
      </c>
      <c r="Q4876" s="43"/>
      <c r="R4876" s="43"/>
      <c r="S4876" s="43"/>
      <c r="T4876" s="43"/>
      <c r="U4876" s="43"/>
      <c r="V4876" s="43"/>
      <c r="W4876" s="43"/>
      <c r="X4876" s="43"/>
      <c r="Y4876" s="43"/>
      <c r="Z4876" s="43"/>
      <c r="AA4876" s="43"/>
      <c r="AB4876" s="43"/>
      <c r="AC4876" s="43"/>
      <c r="AD4876" s="43"/>
      <c r="AE4876" s="43"/>
      <c r="AF4876" s="43"/>
      <c r="AG4876" s="43"/>
      <c r="AH4876" s="43"/>
      <c r="AI4876" s="43"/>
      <c r="AJ4876" s="43"/>
      <c r="AK4876" s="43"/>
      <c r="AL4876" s="43"/>
      <c r="AM4876" s="43"/>
      <c r="AN4876" s="43"/>
      <c r="AO4876" s="43"/>
      <c r="AP4876" s="43"/>
      <c r="AQ4876" s="43"/>
      <c r="AR4876" s="43"/>
      <c r="AS4876" s="43"/>
      <c r="AT4876" s="43"/>
      <c r="AU4876" s="43"/>
      <c r="AV4876" s="43"/>
    </row>
    <row r="4877" spans="1:48" ht="13.5" customHeight="1" thickBot="1">
      <c r="A4877" s="3871" t="s">
        <v>5741</v>
      </c>
      <c r="B4877" s="173" t="s">
        <v>1248</v>
      </c>
      <c r="C4877" s="173" t="s">
        <v>505</v>
      </c>
      <c r="D4877" s="3873"/>
      <c r="E4877" s="2251" t="s">
        <v>1952</v>
      </c>
      <c r="F4877" s="370">
        <v>2250</v>
      </c>
      <c r="G4877" s="1567" t="s">
        <v>5735</v>
      </c>
      <c r="H4877" s="1650"/>
      <c r="I4877" s="1650"/>
      <c r="J4877" s="1651"/>
      <c r="K4877" s="1652"/>
      <c r="L4877" s="1657"/>
      <c r="M4877" s="4082">
        <v>5445</v>
      </c>
      <c r="N4877" s="241" t="s">
        <v>5743</v>
      </c>
      <c r="O4877" s="86"/>
      <c r="P4877" s="1817" t="e">
        <f>INDEX(#REF!,MATCH(F4877,#REF!,0),2)</f>
        <v>#REF!</v>
      </c>
      <c r="Q4877" s="43"/>
      <c r="R4877" s="43"/>
      <c r="S4877" s="43"/>
      <c r="T4877" s="43"/>
      <c r="U4877" s="43"/>
      <c r="V4877" s="43"/>
      <c r="W4877" s="43"/>
      <c r="X4877" s="43"/>
      <c r="Y4877" s="43"/>
      <c r="Z4877" s="43"/>
      <c r="AA4877" s="43"/>
      <c r="AB4877" s="43"/>
      <c r="AC4877" s="43"/>
      <c r="AD4877" s="43"/>
      <c r="AE4877" s="43"/>
      <c r="AF4877" s="43"/>
      <c r="AG4877" s="43"/>
      <c r="AH4877" s="43"/>
      <c r="AI4877" s="43"/>
      <c r="AJ4877" s="43"/>
      <c r="AK4877" s="43"/>
      <c r="AL4877" s="43"/>
      <c r="AM4877" s="43"/>
      <c r="AN4877" s="43"/>
      <c r="AO4877" s="43"/>
      <c r="AP4877" s="43"/>
      <c r="AQ4877" s="43"/>
      <c r="AR4877" s="43"/>
      <c r="AS4877" s="43"/>
      <c r="AT4877" s="43"/>
      <c r="AU4877" s="43"/>
      <c r="AV4877" s="43"/>
    </row>
    <row r="4878" spans="1:48" ht="18.600000000000001" customHeight="1">
      <c r="A4878" s="176"/>
      <c r="B4878" s="170" t="s">
        <v>1248</v>
      </c>
      <c r="C4878" s="170" t="s">
        <v>505</v>
      </c>
      <c r="D4878" s="1603">
        <v>660</v>
      </c>
      <c r="E4878" s="2252" t="s">
        <v>1952</v>
      </c>
      <c r="F4878" s="171">
        <v>2264</v>
      </c>
      <c r="G4878" s="172" t="s">
        <v>240</v>
      </c>
      <c r="H4878" s="192">
        <v>0</v>
      </c>
      <c r="I4878" s="192"/>
      <c r="J4878" s="196"/>
      <c r="K4878" s="194"/>
      <c r="L4878" s="1580">
        <v>0</v>
      </c>
      <c r="M4878" s="4080"/>
      <c r="N4878" s="2847"/>
      <c r="O4878" s="86"/>
      <c r="P4878" s="1817" t="e">
        <f>INDEX(#REF!,MATCH(F4878,#REF!,0),2)</f>
        <v>#REF!</v>
      </c>
      <c r="Q4878" s="43"/>
      <c r="R4878" s="43"/>
      <c r="S4878" s="43"/>
      <c r="T4878" s="43"/>
      <c r="U4878" s="43"/>
      <c r="V4878" s="43"/>
      <c r="W4878" s="43"/>
      <c r="X4878" s="43"/>
      <c r="Y4878" s="43"/>
      <c r="Z4878" s="43"/>
      <c r="AA4878" s="43"/>
      <c r="AB4878" s="43"/>
      <c r="AC4878" s="43"/>
      <c r="AD4878" s="43"/>
      <c r="AE4878" s="43"/>
      <c r="AF4878" s="43"/>
      <c r="AG4878" s="43"/>
      <c r="AH4878" s="43"/>
      <c r="AI4878" s="43"/>
      <c r="AJ4878" s="43"/>
      <c r="AK4878" s="43"/>
      <c r="AL4878" s="43"/>
      <c r="AM4878" s="43"/>
      <c r="AN4878" s="43"/>
      <c r="AO4878" s="43"/>
      <c r="AP4878" s="43"/>
      <c r="AQ4878" s="43"/>
      <c r="AR4878" s="43"/>
      <c r="AS4878" s="43"/>
      <c r="AT4878" s="43"/>
      <c r="AU4878" s="43"/>
      <c r="AV4878" s="43"/>
    </row>
    <row r="4879" spans="1:48" ht="14.45" customHeight="1">
      <c r="A4879" s="175"/>
      <c r="B4879" s="173" t="s">
        <v>1248</v>
      </c>
      <c r="C4879" s="173" t="s">
        <v>505</v>
      </c>
      <c r="D4879" s="1604"/>
      <c r="E4879" s="2251" t="s">
        <v>1952</v>
      </c>
      <c r="F4879" s="370">
        <v>2264</v>
      </c>
      <c r="G4879" s="174"/>
      <c r="H4879" s="195"/>
      <c r="I4879" s="195"/>
      <c r="J4879" s="186"/>
      <c r="K4879" s="187"/>
      <c r="L4879" s="1576"/>
      <c r="M4879" s="1576"/>
      <c r="N4879" s="2847"/>
      <c r="O4879" s="86"/>
      <c r="P4879" s="1817" t="e">
        <f>INDEX(#REF!,MATCH(F4879,#REF!,0),2)</f>
        <v>#REF!</v>
      </c>
      <c r="Q4879" s="43"/>
      <c r="R4879" s="43"/>
      <c r="S4879" s="43"/>
      <c r="T4879" s="43"/>
      <c r="U4879" s="43"/>
      <c r="V4879" s="43"/>
      <c r="W4879" s="43"/>
      <c r="X4879" s="43"/>
      <c r="Y4879" s="43"/>
      <c r="Z4879" s="43"/>
      <c r="AA4879" s="43"/>
      <c r="AB4879" s="43"/>
      <c r="AC4879" s="43"/>
      <c r="AD4879" s="43"/>
      <c r="AE4879" s="43"/>
      <c r="AF4879" s="43"/>
      <c r="AG4879" s="43"/>
      <c r="AH4879" s="43"/>
      <c r="AI4879" s="43"/>
      <c r="AJ4879" s="43"/>
      <c r="AK4879" s="43"/>
      <c r="AL4879" s="43"/>
      <c r="AM4879" s="43"/>
      <c r="AN4879" s="43"/>
      <c r="AO4879" s="43"/>
      <c r="AP4879" s="43"/>
      <c r="AQ4879" s="43"/>
      <c r="AR4879" s="43"/>
      <c r="AS4879" s="43"/>
      <c r="AT4879" s="43"/>
      <c r="AU4879" s="43"/>
      <c r="AV4879" s="43"/>
    </row>
    <row r="4880" spans="1:48" ht="11.45" customHeight="1">
      <c r="A4880" s="176"/>
      <c r="B4880" s="170" t="s">
        <v>1248</v>
      </c>
      <c r="C4880" s="170" t="s">
        <v>507</v>
      </c>
      <c r="D4880" s="1603">
        <v>660</v>
      </c>
      <c r="E4880" s="2252" t="s">
        <v>1952</v>
      </c>
      <c r="F4880" s="171">
        <v>2311</v>
      </c>
      <c r="G4880" s="172" t="s">
        <v>245</v>
      </c>
      <c r="H4880" s="192">
        <v>1290</v>
      </c>
      <c r="I4880" s="192"/>
      <c r="J4880" s="196">
        <v>415</v>
      </c>
      <c r="K4880" s="194"/>
      <c r="L4880" s="1580">
        <v>690</v>
      </c>
      <c r="M4880" s="1580"/>
      <c r="N4880" s="241" t="s">
        <v>5335</v>
      </c>
      <c r="O4880" s="86"/>
      <c r="P4880" s="1817" t="e">
        <f>INDEX(#REF!,MATCH(F4880,#REF!,0),2)</f>
        <v>#REF!</v>
      </c>
      <c r="Q4880" s="43"/>
      <c r="R4880" s="43"/>
      <c r="S4880" s="43"/>
      <c r="T4880" s="43"/>
      <c r="U4880" s="43"/>
      <c r="V4880" s="43"/>
      <c r="W4880" s="43"/>
      <c r="X4880" s="43"/>
      <c r="Y4880" s="43"/>
      <c r="Z4880" s="43"/>
      <c r="AA4880" s="43"/>
      <c r="AB4880" s="43"/>
      <c r="AC4880" s="43"/>
      <c r="AD4880" s="43"/>
      <c r="AE4880" s="43"/>
      <c r="AF4880" s="43"/>
      <c r="AG4880" s="43"/>
      <c r="AH4880" s="43"/>
      <c r="AI4880" s="43"/>
      <c r="AJ4880" s="43"/>
      <c r="AK4880" s="43"/>
      <c r="AL4880" s="43"/>
      <c r="AM4880" s="43"/>
      <c r="AN4880" s="43"/>
      <c r="AO4880" s="43"/>
      <c r="AP4880" s="43"/>
      <c r="AQ4880" s="43"/>
      <c r="AR4880" s="43"/>
      <c r="AS4880" s="43"/>
      <c r="AT4880" s="43"/>
      <c r="AU4880" s="43"/>
    </row>
    <row r="4881" spans="1:48" ht="14.45" customHeight="1">
      <c r="A4881" s="175"/>
      <c r="B4881" s="173" t="s">
        <v>1248</v>
      </c>
      <c r="C4881" s="173" t="s">
        <v>507</v>
      </c>
      <c r="D4881" s="1604"/>
      <c r="E4881" s="2251" t="s">
        <v>1952</v>
      </c>
      <c r="F4881" s="370">
        <v>2311</v>
      </c>
      <c r="G4881" s="1567" t="s">
        <v>2287</v>
      </c>
      <c r="H4881" s="195"/>
      <c r="I4881" s="195">
        <v>600</v>
      </c>
      <c r="J4881" s="186"/>
      <c r="K4881" s="187"/>
      <c r="L4881" s="1576"/>
      <c r="M4881" s="4412">
        <v>300</v>
      </c>
      <c r="N4881" s="241" t="s">
        <v>5156</v>
      </c>
      <c r="O4881" s="86"/>
      <c r="P4881" s="1817" t="e">
        <f>INDEX(#REF!,MATCH(F4881,#REF!,0),2)</f>
        <v>#REF!</v>
      </c>
    </row>
    <row r="4882" spans="1:48" ht="23.45" customHeight="1">
      <c r="A4882" s="175"/>
      <c r="B4882" s="173" t="s">
        <v>1248</v>
      </c>
      <c r="C4882" s="173" t="s">
        <v>507</v>
      </c>
      <c r="D4882" s="1604"/>
      <c r="E4882" s="2251" t="s">
        <v>1952</v>
      </c>
      <c r="F4882" s="370">
        <v>2311</v>
      </c>
      <c r="G4882" s="298" t="s">
        <v>530</v>
      </c>
      <c r="H4882" s="195"/>
      <c r="I4882" s="195">
        <v>600</v>
      </c>
      <c r="J4882" s="186">
        <v>415</v>
      </c>
      <c r="K4882" s="187"/>
      <c r="L4882" s="1576"/>
      <c r="M4882" s="4412">
        <v>300</v>
      </c>
      <c r="N4882" s="241" t="s">
        <v>5156</v>
      </c>
      <c r="O4882" s="86"/>
      <c r="P4882" s="1817" t="e">
        <f>INDEX(#REF!,MATCH(F4882,#REF!,0),2)</f>
        <v>#REF!</v>
      </c>
    </row>
    <row r="4883" spans="1:48" ht="11.45" customHeight="1">
      <c r="A4883" s="175"/>
      <c r="B4883" s="173" t="s">
        <v>1248</v>
      </c>
      <c r="C4883" s="173" t="s">
        <v>507</v>
      </c>
      <c r="D4883" s="1604"/>
      <c r="E4883" s="2251" t="s">
        <v>1952</v>
      </c>
      <c r="F4883" s="370">
        <v>2311</v>
      </c>
      <c r="G4883" s="1567" t="s">
        <v>5132</v>
      </c>
      <c r="H4883" s="195"/>
      <c r="I4883" s="195">
        <v>90</v>
      </c>
      <c r="J4883" s="186"/>
      <c r="K4883" s="187"/>
      <c r="L4883" s="1576"/>
      <c r="M4883" s="1576">
        <v>90</v>
      </c>
      <c r="N4883" s="2847"/>
      <c r="O4883" s="86"/>
      <c r="P4883" s="1817" t="e">
        <f>INDEX(#REF!,MATCH(F4883,#REF!,0),2)</f>
        <v>#REF!</v>
      </c>
      <c r="Q4883" s="43"/>
      <c r="R4883" s="43"/>
      <c r="S4883" s="43"/>
      <c r="T4883" s="43"/>
      <c r="U4883" s="43"/>
      <c r="V4883" s="43"/>
      <c r="W4883" s="43"/>
      <c r="X4883" s="43"/>
      <c r="Y4883" s="43"/>
      <c r="Z4883" s="43"/>
      <c r="AA4883" s="43"/>
      <c r="AB4883" s="43"/>
      <c r="AC4883" s="43"/>
      <c r="AD4883" s="43"/>
      <c r="AE4883" s="43"/>
      <c r="AF4883" s="43"/>
      <c r="AG4883" s="43"/>
      <c r="AH4883" s="43"/>
      <c r="AI4883" s="43"/>
      <c r="AJ4883" s="43"/>
      <c r="AK4883" s="43"/>
      <c r="AL4883" s="43"/>
      <c r="AM4883" s="43"/>
      <c r="AN4883" s="43"/>
      <c r="AO4883" s="43"/>
      <c r="AP4883" s="43"/>
      <c r="AQ4883" s="43"/>
      <c r="AR4883" s="43"/>
      <c r="AS4883" s="43"/>
      <c r="AT4883" s="43"/>
      <c r="AU4883" s="43"/>
      <c r="AV4883" s="43"/>
    </row>
    <row r="4884" spans="1:48" ht="36.6" customHeight="1">
      <c r="A4884" s="176"/>
      <c r="B4884" s="170" t="s">
        <v>1248</v>
      </c>
      <c r="C4884" s="170" t="s">
        <v>505</v>
      </c>
      <c r="D4884" s="1603">
        <v>660</v>
      </c>
      <c r="E4884" s="2252" t="s">
        <v>1952</v>
      </c>
      <c r="F4884" s="171">
        <v>2312</v>
      </c>
      <c r="G4884" s="172" t="s">
        <v>297</v>
      </c>
      <c r="H4884" s="192">
        <v>900</v>
      </c>
      <c r="I4884" s="192"/>
      <c r="J4884" s="196"/>
      <c r="K4884" s="194"/>
      <c r="L4884" s="1580">
        <v>300</v>
      </c>
      <c r="M4884" s="1580"/>
      <c r="N4884" s="2847"/>
      <c r="O4884" s="86"/>
      <c r="P4884" s="1817" t="e">
        <f>INDEX(#REF!,MATCH(F4884,#REF!,0),2)</f>
        <v>#REF!</v>
      </c>
      <c r="Q4884" s="4"/>
      <c r="R4884" s="4"/>
      <c r="S4884" s="4"/>
      <c r="T4884" s="4"/>
      <c r="U4884" s="4"/>
      <c r="V4884" s="4"/>
      <c r="W4884" s="4"/>
      <c r="X4884" s="4"/>
      <c r="Y4884" s="4"/>
      <c r="Z4884" s="4"/>
      <c r="AA4884" s="4"/>
      <c r="AB4884" s="4"/>
      <c r="AC4884" s="4"/>
      <c r="AD4884" s="4"/>
      <c r="AE4884" s="4"/>
      <c r="AF4884" s="4"/>
      <c r="AG4884" s="4"/>
      <c r="AH4884" s="4"/>
      <c r="AI4884" s="4"/>
      <c r="AJ4884" s="4"/>
      <c r="AK4884" s="4"/>
      <c r="AL4884" s="4"/>
      <c r="AM4884" s="4"/>
      <c r="AN4884" s="4"/>
      <c r="AO4884" s="4"/>
      <c r="AP4884" s="4"/>
      <c r="AQ4884" s="4"/>
      <c r="AR4884" s="4"/>
      <c r="AS4884" s="4"/>
      <c r="AT4884" s="4"/>
      <c r="AU4884" s="4"/>
      <c r="AV4884" s="4"/>
    </row>
    <row r="4885" spans="1:48">
      <c r="A4885" s="175"/>
      <c r="B4885" s="173" t="s">
        <v>1248</v>
      </c>
      <c r="C4885" s="173" t="s">
        <v>505</v>
      </c>
      <c r="D4885" s="1604"/>
      <c r="E4885" s="2251" t="s">
        <v>1952</v>
      </c>
      <c r="F4885" s="370">
        <v>2312</v>
      </c>
      <c r="G4885" s="2774" t="s">
        <v>5133</v>
      </c>
      <c r="H4885" s="195"/>
      <c r="I4885" s="195">
        <v>900</v>
      </c>
      <c r="J4885" s="186"/>
      <c r="K4885" s="187"/>
      <c r="L4885" s="1576"/>
      <c r="M4885" s="1576">
        <v>300</v>
      </c>
      <c r="N4885" s="2847"/>
      <c r="O4885" s="86"/>
      <c r="P4885" s="1817" t="e">
        <f>INDEX(#REF!,MATCH(F4885,#REF!,0),2)</f>
        <v>#REF!</v>
      </c>
      <c r="Q4885" s="4"/>
      <c r="R4885" s="4"/>
      <c r="S4885" s="4"/>
      <c r="T4885" s="4"/>
      <c r="U4885" s="4"/>
      <c r="V4885" s="4"/>
      <c r="W4885" s="4"/>
      <c r="X4885" s="4"/>
      <c r="Y4885" s="4"/>
      <c r="Z4885" s="4"/>
      <c r="AA4885" s="4"/>
      <c r="AB4885" s="4"/>
      <c r="AC4885" s="4"/>
      <c r="AD4885" s="4"/>
      <c r="AE4885" s="4"/>
      <c r="AF4885" s="4"/>
      <c r="AG4885" s="4"/>
      <c r="AH4885" s="4"/>
      <c r="AI4885" s="4"/>
      <c r="AJ4885" s="4"/>
      <c r="AK4885" s="4"/>
      <c r="AL4885" s="4"/>
      <c r="AM4885" s="4"/>
      <c r="AN4885" s="4"/>
      <c r="AO4885" s="4"/>
      <c r="AP4885" s="4"/>
      <c r="AQ4885" s="4"/>
      <c r="AR4885" s="4"/>
      <c r="AS4885" s="4"/>
      <c r="AT4885" s="4"/>
      <c r="AU4885" s="4"/>
      <c r="AV4885" s="4"/>
    </row>
    <row r="4886" spans="1:48">
      <c r="A4886" s="198"/>
      <c r="B4886" s="1072" t="s">
        <v>1248</v>
      </c>
      <c r="C4886" s="1072" t="s">
        <v>507</v>
      </c>
      <c r="D4886" s="1603">
        <v>660</v>
      </c>
      <c r="E4886" s="2252" t="s">
        <v>1952</v>
      </c>
      <c r="F4886" s="372">
        <v>2322</v>
      </c>
      <c r="G4886" s="199" t="s">
        <v>289</v>
      </c>
      <c r="H4886" s="192">
        <v>12000</v>
      </c>
      <c r="I4886" s="192"/>
      <c r="J4886" s="196">
        <v>3015</v>
      </c>
      <c r="K4886" s="194"/>
      <c r="L4886" s="1580">
        <v>12000</v>
      </c>
      <c r="M4886" s="1580"/>
      <c r="N4886" s="2847"/>
      <c r="O4886" s="86"/>
      <c r="P4886" s="1817" t="e">
        <f>INDEX(#REF!,MATCH(F4886,#REF!,0),2)</f>
        <v>#REF!</v>
      </c>
      <c r="Q4886" s="4"/>
      <c r="R4886" s="4"/>
      <c r="S4886" s="4"/>
      <c r="T4886" s="4"/>
      <c r="U4886" s="4"/>
      <c r="V4886" s="4"/>
      <c r="W4886" s="4"/>
      <c r="X4886" s="4"/>
      <c r="Y4886" s="4"/>
      <c r="Z4886" s="4"/>
      <c r="AA4886" s="4"/>
      <c r="AB4886" s="4"/>
      <c r="AC4886" s="4"/>
      <c r="AD4886" s="4"/>
      <c r="AE4886" s="4"/>
      <c r="AF4886" s="4"/>
      <c r="AG4886" s="4"/>
      <c r="AH4886" s="4"/>
      <c r="AI4886" s="4"/>
      <c r="AJ4886" s="4"/>
      <c r="AK4886" s="4"/>
      <c r="AL4886" s="4"/>
      <c r="AM4886" s="4"/>
      <c r="AN4886" s="4"/>
      <c r="AO4886" s="4"/>
      <c r="AP4886" s="4"/>
      <c r="AQ4886" s="4"/>
      <c r="AR4886" s="4"/>
      <c r="AS4886" s="4"/>
      <c r="AT4886" s="4"/>
      <c r="AU4886" s="4"/>
      <c r="AV4886" s="4"/>
    </row>
    <row r="4887" spans="1:48">
      <c r="A4887" s="175"/>
      <c r="B4887" s="173" t="s">
        <v>1248</v>
      </c>
      <c r="C4887" s="173" t="s">
        <v>507</v>
      </c>
      <c r="D4887" s="1604"/>
      <c r="E4887" s="2251" t="s">
        <v>1952</v>
      </c>
      <c r="F4887" s="370">
        <v>2322</v>
      </c>
      <c r="G4887" s="3377" t="s">
        <v>5134</v>
      </c>
      <c r="H4887" s="195"/>
      <c r="I4887" s="195">
        <v>1920</v>
      </c>
      <c r="J4887" s="186"/>
      <c r="K4887" s="187"/>
      <c r="L4887" s="1576"/>
      <c r="M4887" s="1576">
        <v>1920</v>
      </c>
      <c r="N4887" s="2847"/>
      <c r="O4887" s="86"/>
      <c r="P4887" s="1817" t="e">
        <f>INDEX(#REF!,MATCH(F4887,#REF!,0),2)</f>
        <v>#REF!</v>
      </c>
      <c r="Q4887" s="43"/>
      <c r="R4887" s="43"/>
      <c r="S4887" s="43"/>
      <c r="T4887" s="43"/>
      <c r="U4887" s="43"/>
      <c r="V4887" s="43"/>
      <c r="W4887" s="43"/>
      <c r="X4887" s="43"/>
      <c r="Y4887" s="43"/>
      <c r="Z4887" s="43"/>
      <c r="AA4887" s="43"/>
      <c r="AB4887" s="43"/>
      <c r="AC4887" s="43"/>
      <c r="AD4887" s="43"/>
      <c r="AE4887" s="43"/>
      <c r="AF4887" s="43"/>
      <c r="AG4887" s="43"/>
      <c r="AH4887" s="4"/>
      <c r="AI4887" s="4"/>
      <c r="AJ4887" s="4"/>
      <c r="AK4887" s="4"/>
      <c r="AL4887" s="4"/>
      <c r="AM4887" s="4"/>
      <c r="AN4887" s="4"/>
      <c r="AO4887" s="4"/>
      <c r="AP4887" s="4"/>
      <c r="AQ4887" s="4"/>
      <c r="AR4887" s="4"/>
      <c r="AS4887" s="4"/>
      <c r="AT4887" s="4"/>
      <c r="AU4887" s="4"/>
      <c r="AV4887" s="4"/>
    </row>
    <row r="4888" spans="1:48">
      <c r="A4888" s="175"/>
      <c r="B4888" s="173" t="s">
        <v>1248</v>
      </c>
      <c r="C4888" s="173" t="s">
        <v>507</v>
      </c>
      <c r="D4888" s="1604"/>
      <c r="E4888" s="2251" t="s">
        <v>1952</v>
      </c>
      <c r="F4888" s="370">
        <v>2322</v>
      </c>
      <c r="G4888" s="3377" t="s">
        <v>1613</v>
      </c>
      <c r="H4888" s="195"/>
      <c r="I4888" s="195">
        <v>1920</v>
      </c>
      <c r="J4888" s="186"/>
      <c r="K4888" s="187"/>
      <c r="L4888" s="1576"/>
      <c r="M4888" s="1576">
        <v>1920</v>
      </c>
      <c r="N4888" s="2847"/>
      <c r="O4888" s="86"/>
      <c r="P4888" s="1817" t="e">
        <f>INDEX(#REF!,MATCH(F4888,#REF!,0),2)</f>
        <v>#REF!</v>
      </c>
      <c r="Q4888" s="43"/>
      <c r="R4888" s="43"/>
      <c r="S4888" s="43"/>
      <c r="T4888" s="43"/>
      <c r="U4888" s="43"/>
      <c r="V4888" s="43"/>
      <c r="W4888" s="43"/>
      <c r="X4888" s="43"/>
      <c r="Y4888" s="43"/>
      <c r="Z4888" s="43"/>
      <c r="AA4888" s="43"/>
      <c r="AB4888" s="43"/>
      <c r="AC4888" s="43"/>
      <c r="AD4888" s="43"/>
      <c r="AE4888" s="43"/>
      <c r="AF4888" s="43"/>
      <c r="AG4888" s="43"/>
      <c r="AH4888" s="43"/>
      <c r="AI4888" s="43"/>
      <c r="AJ4888" s="43"/>
      <c r="AK4888" s="43"/>
      <c r="AL4888" s="43"/>
      <c r="AM4888" s="43"/>
      <c r="AN4888" s="43"/>
      <c r="AO4888" s="43"/>
      <c r="AP4888" s="43"/>
      <c r="AQ4888" s="43"/>
      <c r="AR4888" s="43"/>
      <c r="AS4888" s="43"/>
      <c r="AT4888" s="43"/>
      <c r="AU4888" s="43"/>
      <c r="AV4888" s="43"/>
    </row>
    <row r="4889" spans="1:48">
      <c r="A4889" s="175"/>
      <c r="B4889" s="173" t="s">
        <v>1248</v>
      </c>
      <c r="C4889" s="173" t="s">
        <v>507</v>
      </c>
      <c r="D4889" s="1604"/>
      <c r="E4889" s="2251" t="s">
        <v>1952</v>
      </c>
      <c r="F4889" s="370">
        <v>2322</v>
      </c>
      <c r="G4889" s="3377" t="s">
        <v>5135</v>
      </c>
      <c r="H4889" s="195"/>
      <c r="I4889" s="195">
        <v>2400</v>
      </c>
      <c r="J4889" s="186"/>
      <c r="K4889" s="187"/>
      <c r="L4889" s="1576"/>
      <c r="M4889" s="1576">
        <v>2400</v>
      </c>
      <c r="N4889" s="2847"/>
      <c r="O4889" s="86"/>
      <c r="P4889" s="1817" t="e">
        <f>INDEX(#REF!,MATCH(F4889,#REF!,0),2)</f>
        <v>#REF!</v>
      </c>
      <c r="Q4889" s="43"/>
      <c r="R4889" s="43"/>
      <c r="S4889" s="43"/>
      <c r="T4889" s="43"/>
      <c r="U4889" s="43"/>
      <c r="V4889" s="43"/>
      <c r="W4889" s="43"/>
      <c r="X4889" s="43"/>
      <c r="Y4889" s="43"/>
      <c r="Z4889" s="43"/>
      <c r="AA4889" s="43"/>
      <c r="AB4889" s="43"/>
      <c r="AC4889" s="43"/>
      <c r="AD4889" s="43"/>
      <c r="AE4889" s="43"/>
      <c r="AF4889" s="43"/>
      <c r="AG4889" s="43"/>
      <c r="AH4889" s="4"/>
      <c r="AI4889" s="4"/>
      <c r="AJ4889" s="4"/>
      <c r="AK4889" s="4"/>
      <c r="AL4889" s="4"/>
      <c r="AM4889" s="4"/>
      <c r="AN4889" s="4"/>
      <c r="AO4889" s="4"/>
      <c r="AP4889" s="4"/>
      <c r="AQ4889" s="4"/>
      <c r="AR4889" s="4"/>
      <c r="AS4889" s="4"/>
      <c r="AT4889" s="4"/>
      <c r="AU4889" s="4"/>
    </row>
    <row r="4890" spans="1:48">
      <c r="A4890" s="1000"/>
      <c r="B4890" s="173" t="s">
        <v>1248</v>
      </c>
      <c r="C4890" s="173" t="s">
        <v>507</v>
      </c>
      <c r="D4890" s="1604"/>
      <c r="E4890" s="2251" t="s">
        <v>1952</v>
      </c>
      <c r="F4890" s="370">
        <v>2322</v>
      </c>
      <c r="G4890" s="3377" t="s">
        <v>2288</v>
      </c>
      <c r="H4890" s="1020"/>
      <c r="I4890" s="1020">
        <v>1920</v>
      </c>
      <c r="J4890" s="1057"/>
      <c r="K4890" s="1058"/>
      <c r="L4890" s="1576"/>
      <c r="M4890" s="1576">
        <v>1920</v>
      </c>
      <c r="N4890" s="2847"/>
      <c r="O4890" s="86"/>
      <c r="P4890" s="1817" t="e">
        <f>INDEX(#REF!,MATCH(F4890,#REF!,0),2)</f>
        <v>#REF!</v>
      </c>
      <c r="Q4890" s="43"/>
      <c r="R4890" s="43"/>
      <c r="S4890" s="43"/>
      <c r="T4890" s="43"/>
      <c r="U4890" s="43"/>
      <c r="V4890" s="43"/>
      <c r="W4890" s="43"/>
      <c r="X4890" s="43"/>
      <c r="Y4890" s="43"/>
      <c r="Z4890" s="43"/>
      <c r="AA4890" s="43"/>
      <c r="AB4890" s="43"/>
      <c r="AC4890" s="43"/>
      <c r="AD4890" s="43"/>
      <c r="AE4890" s="43"/>
      <c r="AF4890" s="43"/>
      <c r="AG4890" s="43"/>
      <c r="AH4890" s="43"/>
      <c r="AI4890" s="43"/>
      <c r="AJ4890" s="43"/>
      <c r="AK4890" s="43"/>
      <c r="AL4890" s="43"/>
      <c r="AM4890" s="43"/>
      <c r="AN4890" s="43"/>
      <c r="AO4890" s="43"/>
      <c r="AP4890" s="43"/>
      <c r="AQ4890" s="43"/>
      <c r="AR4890" s="43"/>
      <c r="AS4890" s="43"/>
      <c r="AT4890" s="43"/>
      <c r="AU4890" s="43"/>
      <c r="AV4890" s="43"/>
    </row>
    <row r="4891" spans="1:48">
      <c r="A4891" s="1000"/>
      <c r="B4891" s="173" t="s">
        <v>1248</v>
      </c>
      <c r="C4891" s="173" t="s">
        <v>507</v>
      </c>
      <c r="D4891" s="1604"/>
      <c r="E4891" s="2251" t="s">
        <v>1952</v>
      </c>
      <c r="F4891" s="370">
        <v>2322</v>
      </c>
      <c r="G4891" s="3755" t="s">
        <v>514</v>
      </c>
      <c r="H4891" s="1020"/>
      <c r="I4891" s="1020">
        <v>1920</v>
      </c>
      <c r="J4891" s="1057"/>
      <c r="K4891" s="1058"/>
      <c r="L4891" s="1576"/>
      <c r="M4891" s="1576">
        <v>1920</v>
      </c>
      <c r="N4891" s="2847"/>
      <c r="O4891" s="86"/>
      <c r="P4891" s="1817" t="e">
        <f>INDEX(#REF!,MATCH(F4891,#REF!,0),2)</f>
        <v>#REF!</v>
      </c>
      <c r="Q4891" s="43"/>
      <c r="R4891" s="43"/>
      <c r="S4891" s="43"/>
      <c r="T4891" s="43"/>
      <c r="U4891" s="43"/>
      <c r="V4891" s="43"/>
      <c r="W4891" s="43"/>
      <c r="X4891" s="43"/>
      <c r="Y4891" s="43"/>
      <c r="Z4891" s="43"/>
      <c r="AA4891" s="43"/>
      <c r="AB4891" s="43"/>
      <c r="AC4891" s="43"/>
      <c r="AD4891" s="43"/>
      <c r="AE4891" s="43"/>
      <c r="AF4891" s="43"/>
      <c r="AG4891" s="43"/>
      <c r="AH4891" s="4"/>
      <c r="AI4891" s="4"/>
      <c r="AJ4891" s="4"/>
      <c r="AK4891" s="4"/>
      <c r="AL4891" s="4"/>
      <c r="AM4891" s="4"/>
      <c r="AN4891" s="4"/>
      <c r="AO4891" s="4"/>
      <c r="AP4891" s="4"/>
      <c r="AQ4891" s="4"/>
      <c r="AR4891" s="4"/>
      <c r="AS4891" s="4"/>
      <c r="AT4891" s="4"/>
      <c r="AU4891" s="4"/>
      <c r="AV4891" s="4"/>
    </row>
    <row r="4892" spans="1:48">
      <c r="A4892" s="175"/>
      <c r="B4892" s="173" t="s">
        <v>1248</v>
      </c>
      <c r="C4892" s="173" t="s">
        <v>507</v>
      </c>
      <c r="D4892" s="1604"/>
      <c r="E4892" s="2251" t="s">
        <v>1952</v>
      </c>
      <c r="F4892" s="370">
        <v>2322</v>
      </c>
      <c r="G4892" s="3377" t="s">
        <v>5136</v>
      </c>
      <c r="H4892" s="195"/>
      <c r="I4892" s="195">
        <v>1920</v>
      </c>
      <c r="J4892" s="186"/>
      <c r="K4892" s="187"/>
      <c r="L4892" s="1576"/>
      <c r="M4892" s="1576">
        <v>1920</v>
      </c>
      <c r="N4892" s="2847"/>
      <c r="O4892" s="86"/>
      <c r="P4892" s="1817" t="e">
        <f>INDEX(#REF!,MATCH(F4892,#REF!,0),2)</f>
        <v>#REF!</v>
      </c>
      <c r="Q4892" s="43"/>
      <c r="R4892" s="43"/>
      <c r="S4892" s="43"/>
      <c r="T4892" s="43"/>
      <c r="U4892" s="43"/>
      <c r="V4892" s="43"/>
      <c r="W4892" s="43"/>
      <c r="X4892" s="43"/>
      <c r="Y4892" s="43"/>
      <c r="Z4892" s="43"/>
      <c r="AA4892" s="43"/>
      <c r="AB4892" s="43"/>
      <c r="AC4892" s="43"/>
      <c r="AD4892" s="43"/>
      <c r="AE4892" s="43"/>
      <c r="AF4892" s="43"/>
      <c r="AG4892" s="43"/>
      <c r="AH4892" s="4"/>
      <c r="AI4892" s="4"/>
      <c r="AJ4892" s="4"/>
      <c r="AK4892" s="4"/>
      <c r="AL4892" s="4"/>
      <c r="AM4892" s="4"/>
      <c r="AN4892" s="4"/>
      <c r="AO4892" s="4"/>
      <c r="AP4892" s="4"/>
      <c r="AQ4892" s="4"/>
      <c r="AR4892" s="4"/>
      <c r="AS4892" s="4"/>
      <c r="AT4892" s="4"/>
      <c r="AU4892" s="4"/>
      <c r="AV4892" s="4"/>
    </row>
    <row r="4893" spans="1:48">
      <c r="A4893" s="176"/>
      <c r="B4893" s="170" t="s">
        <v>1248</v>
      </c>
      <c r="C4893" s="170" t="s">
        <v>505</v>
      </c>
      <c r="D4893" s="1603">
        <v>660</v>
      </c>
      <c r="E4893" s="2252" t="s">
        <v>1952</v>
      </c>
      <c r="F4893" s="171">
        <v>2350</v>
      </c>
      <c r="G4893" s="172" t="s">
        <v>251</v>
      </c>
      <c r="H4893" s="192">
        <v>300</v>
      </c>
      <c r="I4893" s="192"/>
      <c r="J4893" s="196"/>
      <c r="K4893" s="194"/>
      <c r="L4893" s="1580">
        <v>300</v>
      </c>
      <c r="M4893" s="1580"/>
      <c r="N4893" s="2847"/>
      <c r="O4893" s="86"/>
      <c r="P4893" s="1817" t="e">
        <f>INDEX(#REF!,MATCH(F4893,#REF!,0),2)</f>
        <v>#REF!</v>
      </c>
      <c r="Q4893" s="43"/>
      <c r="R4893" s="43"/>
      <c r="S4893" s="43"/>
      <c r="T4893" s="43"/>
      <c r="U4893" s="43"/>
      <c r="V4893" s="43"/>
      <c r="W4893" s="43"/>
      <c r="X4893" s="43"/>
      <c r="Y4893" s="43"/>
      <c r="Z4893" s="43"/>
      <c r="AA4893" s="43"/>
      <c r="AB4893" s="43"/>
      <c r="AC4893" s="43"/>
      <c r="AD4893" s="43"/>
      <c r="AE4893" s="43"/>
      <c r="AF4893" s="43"/>
      <c r="AG4893" s="43"/>
      <c r="AH4893" s="43"/>
      <c r="AI4893" s="43"/>
      <c r="AJ4893" s="43"/>
      <c r="AK4893" s="43"/>
      <c r="AL4893" s="43"/>
      <c r="AM4893" s="43"/>
      <c r="AN4893" s="43"/>
      <c r="AO4893" s="43"/>
      <c r="AP4893" s="43"/>
      <c r="AQ4893" s="43"/>
      <c r="AR4893" s="43"/>
      <c r="AS4893" s="43"/>
      <c r="AT4893" s="43"/>
      <c r="AU4893" s="43"/>
      <c r="AV4893" s="43"/>
    </row>
    <row r="4894" spans="1:48">
      <c r="A4894" s="175"/>
      <c r="B4894" s="173" t="s">
        <v>1248</v>
      </c>
      <c r="C4894" s="173" t="s">
        <v>505</v>
      </c>
      <c r="D4894" s="1604"/>
      <c r="E4894" s="2251" t="s">
        <v>1952</v>
      </c>
      <c r="F4894" s="370">
        <v>2350</v>
      </c>
      <c r="G4894" s="174" t="s">
        <v>271</v>
      </c>
      <c r="H4894" s="195"/>
      <c r="I4894" s="195">
        <v>300</v>
      </c>
      <c r="J4894" s="186"/>
      <c r="K4894" s="187"/>
      <c r="L4894" s="1576"/>
      <c r="M4894" s="1576">
        <v>300</v>
      </c>
      <c r="N4894" s="2847"/>
      <c r="O4894" s="86"/>
      <c r="P4894" s="1817" t="e">
        <f>INDEX(#REF!,MATCH(F4894,#REF!,0),2)</f>
        <v>#REF!</v>
      </c>
      <c r="Q4894" s="43"/>
      <c r="R4894" s="43"/>
      <c r="S4894" s="43"/>
      <c r="T4894" s="43"/>
      <c r="U4894" s="43"/>
      <c r="V4894" s="43"/>
      <c r="W4894" s="43"/>
      <c r="X4894" s="43"/>
      <c r="Y4894" s="43"/>
      <c r="Z4894" s="43"/>
      <c r="AA4894" s="43"/>
      <c r="AB4894" s="43"/>
      <c r="AC4894" s="43"/>
      <c r="AD4894" s="43"/>
      <c r="AE4894" s="43"/>
      <c r="AF4894" s="43"/>
      <c r="AG4894" s="43"/>
      <c r="AH4894" s="4"/>
      <c r="AI4894" s="4"/>
      <c r="AJ4894" s="4"/>
      <c r="AK4894" s="4"/>
      <c r="AL4894" s="4"/>
      <c r="AM4894" s="4"/>
      <c r="AN4894" s="4"/>
      <c r="AO4894" s="4"/>
      <c r="AP4894" s="4"/>
      <c r="AQ4894" s="4"/>
      <c r="AR4894" s="4"/>
      <c r="AS4894" s="4"/>
      <c r="AT4894" s="4"/>
      <c r="AU4894" s="4"/>
      <c r="AV4894" s="4"/>
    </row>
    <row r="4895" spans="1:48">
      <c r="A4895" s="176"/>
      <c r="B4895" s="170" t="s">
        <v>1248</v>
      </c>
      <c r="C4895" s="170" t="s">
        <v>505</v>
      </c>
      <c r="D4895" s="1603">
        <v>660</v>
      </c>
      <c r="E4895" s="2252" t="s">
        <v>1952</v>
      </c>
      <c r="F4895" s="171">
        <v>2390</v>
      </c>
      <c r="G4895" s="172" t="s">
        <v>298</v>
      </c>
      <c r="H4895" s="192">
        <v>200</v>
      </c>
      <c r="I4895" s="192"/>
      <c r="J4895" s="196"/>
      <c r="K4895" s="194"/>
      <c r="L4895" s="1580">
        <v>200</v>
      </c>
      <c r="M4895" s="1580"/>
      <c r="N4895" s="2847"/>
      <c r="O4895" s="86"/>
      <c r="P4895" s="1817" t="e">
        <f>INDEX(#REF!,MATCH(F4895,#REF!,0),2)</f>
        <v>#REF!</v>
      </c>
      <c r="Q4895" s="43"/>
      <c r="R4895" s="43"/>
      <c r="S4895" s="43"/>
      <c r="T4895" s="43"/>
      <c r="U4895" s="43"/>
      <c r="V4895" s="43"/>
      <c r="W4895" s="43"/>
      <c r="X4895" s="43"/>
      <c r="Y4895" s="43"/>
      <c r="Z4895" s="43"/>
      <c r="AA4895" s="43"/>
      <c r="AB4895" s="43"/>
      <c r="AC4895" s="43"/>
      <c r="AD4895" s="43"/>
      <c r="AE4895" s="43"/>
      <c r="AF4895" s="43"/>
      <c r="AG4895" s="43"/>
      <c r="AH4895" s="4"/>
      <c r="AI4895" s="4"/>
      <c r="AJ4895" s="4"/>
      <c r="AK4895" s="4"/>
      <c r="AL4895" s="4"/>
      <c r="AM4895" s="4"/>
      <c r="AN4895" s="4"/>
      <c r="AO4895" s="4"/>
      <c r="AP4895" s="4"/>
      <c r="AQ4895" s="4"/>
      <c r="AR4895" s="4"/>
      <c r="AS4895" s="4"/>
      <c r="AT4895" s="4"/>
      <c r="AU4895" s="4"/>
      <c r="AV4895" s="4"/>
    </row>
    <row r="4896" spans="1:48">
      <c r="A4896" s="175"/>
      <c r="B4896" s="173" t="s">
        <v>1248</v>
      </c>
      <c r="C4896" s="173" t="s">
        <v>505</v>
      </c>
      <c r="D4896" s="1604"/>
      <c r="E4896" s="2251" t="s">
        <v>1952</v>
      </c>
      <c r="F4896" s="370">
        <v>2390</v>
      </c>
      <c r="G4896" s="174" t="s">
        <v>294</v>
      </c>
      <c r="H4896" s="195"/>
      <c r="I4896" s="201">
        <v>200</v>
      </c>
      <c r="J4896" s="186"/>
      <c r="K4896" s="187"/>
      <c r="L4896" s="1576"/>
      <c r="M4896" s="1576">
        <v>200</v>
      </c>
      <c r="N4896" s="2847"/>
      <c r="O4896" s="86"/>
      <c r="P4896" s="1817" t="e">
        <f>INDEX(#REF!,MATCH(F4896,#REF!,0),2)</f>
        <v>#REF!</v>
      </c>
      <c r="Q4896" s="1779"/>
      <c r="R4896" s="1779"/>
      <c r="S4896" s="1779"/>
      <c r="T4896" s="1779"/>
      <c r="U4896" s="1779"/>
      <c r="V4896" s="1779"/>
      <c r="W4896" s="43"/>
      <c r="X4896" s="1779"/>
      <c r="Y4896" s="1779"/>
      <c r="Z4896" s="1779"/>
      <c r="AA4896" s="1779"/>
      <c r="AB4896" s="1779"/>
      <c r="AC4896" s="1779"/>
      <c r="AD4896" s="1779"/>
      <c r="AE4896" s="1779"/>
      <c r="AF4896" s="1779"/>
      <c r="AG4896" s="1779"/>
      <c r="AH4896" s="1779"/>
      <c r="AI4896" s="1779"/>
      <c r="AJ4896" s="1779"/>
      <c r="AK4896" s="1779"/>
      <c r="AL4896" s="1779"/>
      <c r="AM4896" s="1779"/>
      <c r="AN4896" s="1779"/>
      <c r="AO4896" s="1779"/>
      <c r="AP4896" s="1779"/>
      <c r="AQ4896" s="1779"/>
      <c r="AR4896" s="1779"/>
      <c r="AS4896" s="1779"/>
      <c r="AT4896" s="1779"/>
      <c r="AU4896" s="1779"/>
      <c r="AV4896" s="1779"/>
    </row>
    <row r="4897" spans="1:48" ht="22.5">
      <c r="A4897" s="176"/>
      <c r="B4897" s="170" t="s">
        <v>1248</v>
      </c>
      <c r="C4897" s="170" t="s">
        <v>507</v>
      </c>
      <c r="D4897" s="1603">
        <v>660</v>
      </c>
      <c r="E4897" s="2252" t="s">
        <v>1952</v>
      </c>
      <c r="F4897" s="171">
        <v>5120</v>
      </c>
      <c r="G4897" s="172" t="s">
        <v>899</v>
      </c>
      <c r="H4897" s="192"/>
      <c r="I4897" s="193"/>
      <c r="J4897" s="196"/>
      <c r="K4897" s="194"/>
      <c r="L4897" s="1578"/>
      <c r="M4897" s="1578"/>
      <c r="N4897" s="2847"/>
      <c r="O4897" s="86"/>
      <c r="P4897" s="1817" t="e">
        <f>INDEX(#REF!,MATCH(F4897,#REF!,0),2)</f>
        <v>#REF!</v>
      </c>
      <c r="Q4897" s="1779"/>
      <c r="R4897" s="1779"/>
      <c r="S4897" s="1779"/>
      <c r="T4897" s="1779"/>
      <c r="U4897" s="1779"/>
      <c r="V4897" s="1779"/>
      <c r="W4897" s="43"/>
      <c r="X4897" s="1779"/>
      <c r="Y4897" s="1779"/>
      <c r="Z4897" s="1779"/>
      <c r="AA4897" s="1779"/>
      <c r="AB4897" s="1779"/>
      <c r="AC4897" s="1779"/>
      <c r="AD4897" s="1779"/>
      <c r="AE4897" s="1779"/>
      <c r="AF4897" s="1779"/>
      <c r="AG4897" s="1779"/>
      <c r="AH4897" s="1779"/>
      <c r="AI4897" s="1779"/>
      <c r="AJ4897" s="1779"/>
      <c r="AK4897" s="1779"/>
      <c r="AL4897" s="1779"/>
      <c r="AM4897" s="1779"/>
      <c r="AN4897" s="1779"/>
      <c r="AO4897" s="1779"/>
      <c r="AP4897" s="1779"/>
      <c r="AQ4897" s="1779"/>
      <c r="AR4897" s="1779"/>
      <c r="AS4897" s="1779"/>
      <c r="AT4897" s="1779"/>
      <c r="AU4897" s="1779"/>
      <c r="AV4897" s="1779"/>
    </row>
    <row r="4898" spans="1:48">
      <c r="A4898" s="173"/>
      <c r="B4898" s="325" t="s">
        <v>1248</v>
      </c>
      <c r="C4898" s="325" t="s">
        <v>507</v>
      </c>
      <c r="D4898" s="1604"/>
      <c r="E4898" s="2251" t="s">
        <v>1952</v>
      </c>
      <c r="F4898" s="370">
        <v>5120</v>
      </c>
      <c r="G4898" s="298"/>
      <c r="H4898" s="189"/>
      <c r="I4898" s="195"/>
      <c r="J4898" s="197"/>
      <c r="K4898" s="190"/>
      <c r="L4898" s="1575"/>
      <c r="M4898" s="1575"/>
      <c r="N4898" s="2847"/>
      <c r="O4898" s="86"/>
      <c r="P4898" s="1817" t="e">
        <f>INDEX(#REF!,MATCH(F4898,#REF!,0),2)</f>
        <v>#REF!</v>
      </c>
      <c r="Q4898" s="43"/>
      <c r="R4898" s="43"/>
      <c r="S4898" s="43"/>
      <c r="T4898" s="43"/>
      <c r="U4898" s="43"/>
      <c r="V4898" s="43"/>
      <c r="W4898" s="43"/>
      <c r="X4898" s="43"/>
      <c r="Y4898" s="43"/>
      <c r="Z4898" s="43"/>
      <c r="AA4898" s="43"/>
      <c r="AB4898" s="43"/>
      <c r="AC4898" s="43"/>
      <c r="AD4898" s="43"/>
      <c r="AE4898" s="43"/>
      <c r="AF4898" s="43"/>
      <c r="AG4898" s="43"/>
      <c r="AH4898" s="43"/>
      <c r="AI4898" s="43"/>
      <c r="AJ4898" s="43"/>
      <c r="AK4898" s="43"/>
      <c r="AL4898" s="43"/>
      <c r="AM4898" s="43"/>
      <c r="AN4898" s="43"/>
      <c r="AO4898" s="43"/>
      <c r="AP4898" s="43"/>
      <c r="AQ4898" s="43"/>
      <c r="AR4898" s="43"/>
      <c r="AS4898" s="43"/>
      <c r="AT4898" s="43"/>
      <c r="AU4898" s="43"/>
      <c r="AV4898" s="43"/>
    </row>
    <row r="4899" spans="1:48">
      <c r="A4899" s="176"/>
      <c r="B4899" s="170" t="s">
        <v>1250</v>
      </c>
      <c r="C4899" s="170" t="s">
        <v>509</v>
      </c>
      <c r="D4899" s="1603">
        <v>660</v>
      </c>
      <c r="E4899" s="2252" t="s">
        <v>1952</v>
      </c>
      <c r="F4899" s="171">
        <v>5238</v>
      </c>
      <c r="G4899" s="172" t="s">
        <v>257</v>
      </c>
      <c r="H4899" s="192">
        <v>2500</v>
      </c>
      <c r="I4899" s="192"/>
      <c r="J4899" s="196"/>
      <c r="K4899" s="194"/>
      <c r="L4899" s="1580">
        <v>2200</v>
      </c>
      <c r="M4899" s="1580"/>
      <c r="N4899" s="2847"/>
      <c r="O4899" s="86"/>
      <c r="P4899" s="1817" t="e">
        <f>INDEX(#REF!,MATCH(F4899,#REF!,0),2)</f>
        <v>#REF!</v>
      </c>
      <c r="Q4899" s="43"/>
      <c r="R4899" s="43"/>
      <c r="S4899" s="43"/>
      <c r="T4899" s="43"/>
      <c r="U4899" s="43"/>
      <c r="V4899" s="43"/>
      <c r="W4899" s="43"/>
      <c r="X4899" s="43"/>
      <c r="Y4899" s="43"/>
      <c r="Z4899" s="43"/>
      <c r="AA4899" s="43"/>
      <c r="AB4899" s="43"/>
      <c r="AC4899" s="43"/>
      <c r="AD4899" s="43"/>
      <c r="AE4899" s="43"/>
      <c r="AF4899" s="43"/>
      <c r="AG4899" s="43"/>
      <c r="AH4899" s="4"/>
      <c r="AI4899" s="4"/>
      <c r="AJ4899" s="4"/>
      <c r="AK4899" s="4"/>
      <c r="AL4899" s="4"/>
      <c r="AM4899" s="4"/>
      <c r="AN4899" s="4"/>
      <c r="AO4899" s="4"/>
      <c r="AP4899" s="4"/>
      <c r="AQ4899" s="4"/>
      <c r="AR4899" s="4"/>
      <c r="AS4899" s="4"/>
      <c r="AT4899" s="4"/>
      <c r="AU4899" s="4"/>
      <c r="AV4899" s="4"/>
    </row>
    <row r="4900" spans="1:48" ht="22.5">
      <c r="A4900" s="1376"/>
      <c r="B4900" s="246" t="s">
        <v>1250</v>
      </c>
      <c r="C4900" s="246" t="s">
        <v>509</v>
      </c>
      <c r="D4900" s="1596"/>
      <c r="E4900" s="2226" t="s">
        <v>1952</v>
      </c>
      <c r="F4900" s="366">
        <v>5238</v>
      </c>
      <c r="G4900" s="2774" t="s">
        <v>5740</v>
      </c>
      <c r="H4900" s="1377"/>
      <c r="I4900" s="1378"/>
      <c r="J4900" s="1379"/>
      <c r="K4900" s="1380"/>
      <c r="L4900" s="1576"/>
      <c r="M4900" s="1661">
        <v>2200</v>
      </c>
      <c r="N4900" s="241" t="s">
        <v>5739</v>
      </c>
      <c r="O4900" s="86"/>
      <c r="P4900" s="1817" t="e">
        <f>INDEX(#REF!,MATCH(F4900,#REF!,0),2)</f>
        <v>#REF!</v>
      </c>
      <c r="Q4900" s="43"/>
      <c r="R4900" s="43"/>
      <c r="S4900" s="43"/>
      <c r="T4900" s="43"/>
      <c r="U4900" s="43"/>
      <c r="V4900" s="43"/>
      <c r="W4900" s="43"/>
      <c r="X4900" s="43"/>
      <c r="Y4900" s="43"/>
      <c r="Z4900" s="43"/>
      <c r="AA4900" s="43"/>
      <c r="AB4900" s="43"/>
      <c r="AC4900" s="43"/>
      <c r="AD4900" s="43"/>
      <c r="AE4900" s="43"/>
      <c r="AF4900" s="43"/>
      <c r="AG4900" s="43"/>
      <c r="AH4900" s="4"/>
      <c r="AI4900" s="4"/>
      <c r="AJ4900" s="4"/>
      <c r="AK4900" s="4"/>
      <c r="AL4900" s="4"/>
      <c r="AM4900" s="4"/>
      <c r="AN4900" s="4"/>
      <c r="AO4900" s="4"/>
      <c r="AP4900" s="4"/>
      <c r="AQ4900" s="4"/>
      <c r="AR4900" s="4"/>
      <c r="AS4900" s="4"/>
      <c r="AT4900" s="4"/>
      <c r="AU4900" s="4"/>
      <c r="AV4900" s="4"/>
    </row>
    <row r="4901" spans="1:48" ht="22.5">
      <c r="A4901" s="252"/>
      <c r="B4901" s="246" t="s">
        <v>1250</v>
      </c>
      <c r="C4901" s="246" t="s">
        <v>509</v>
      </c>
      <c r="D4901" s="1596"/>
      <c r="E4901" s="2226" t="s">
        <v>1952</v>
      </c>
      <c r="F4901" s="366">
        <v>5238</v>
      </c>
      <c r="G4901" s="248" t="s">
        <v>2289</v>
      </c>
      <c r="H4901" s="268"/>
      <c r="I4901" s="277">
        <v>2500</v>
      </c>
      <c r="J4901" s="1158"/>
      <c r="K4901" s="269"/>
      <c r="L4901" s="1575"/>
      <c r="M4901" s="1663"/>
      <c r="N4901" s="2847"/>
      <c r="O4901" s="86"/>
      <c r="P4901" s="1817" t="e">
        <f>INDEX(#REF!,MATCH(F4901,#REF!,0),2)</f>
        <v>#REF!</v>
      </c>
      <c r="Q4901" s="4"/>
      <c r="R4901" s="4"/>
      <c r="S4901" s="4"/>
      <c r="T4901" s="4"/>
      <c r="U4901" s="4"/>
      <c r="V4901" s="4"/>
      <c r="W4901" s="4"/>
      <c r="X4901" s="4"/>
      <c r="Y4901" s="4"/>
      <c r="Z4901" s="4"/>
      <c r="AA4901" s="4"/>
      <c r="AB4901" s="4"/>
      <c r="AC4901" s="4"/>
      <c r="AD4901" s="4"/>
      <c r="AE4901" s="4"/>
      <c r="AF4901" s="4"/>
      <c r="AG4901" s="4"/>
      <c r="AH4901" s="4"/>
      <c r="AI4901" s="4"/>
      <c r="AJ4901" s="4"/>
      <c r="AK4901" s="4"/>
      <c r="AL4901" s="4"/>
      <c r="AM4901" s="4"/>
      <c r="AN4901" s="4"/>
      <c r="AO4901" s="4"/>
      <c r="AP4901" s="4"/>
      <c r="AQ4901" s="4"/>
      <c r="AR4901" s="4"/>
      <c r="AS4901" s="4"/>
      <c r="AT4901" s="4"/>
      <c r="AU4901" s="4"/>
      <c r="AV4901" s="4"/>
    </row>
    <row r="4902" spans="1:48">
      <c r="A4902" s="176"/>
      <c r="B4902" s="170" t="s">
        <v>1250</v>
      </c>
      <c r="C4902" s="170" t="s">
        <v>509</v>
      </c>
      <c r="D4902" s="1603">
        <v>660</v>
      </c>
      <c r="E4902" s="2252" t="s">
        <v>1952</v>
      </c>
      <c r="F4902" s="171">
        <v>5239</v>
      </c>
      <c r="G4902" s="172" t="s">
        <v>256</v>
      </c>
      <c r="H4902" s="192">
        <v>2000</v>
      </c>
      <c r="I4902" s="192"/>
      <c r="J4902" s="196"/>
      <c r="K4902" s="194"/>
      <c r="L4902" s="1580">
        <v>1000</v>
      </c>
      <c r="M4902" s="1580"/>
      <c r="N4902" s="2847"/>
      <c r="O4902" s="86"/>
      <c r="P4902" s="1817" t="e">
        <f>INDEX(#REF!,MATCH(F4902,#REF!,0),2)</f>
        <v>#REF!</v>
      </c>
      <c r="Q4902" s="43"/>
      <c r="R4902" s="43"/>
      <c r="S4902" s="43"/>
      <c r="T4902" s="43"/>
      <c r="U4902" s="43"/>
      <c r="V4902" s="43"/>
      <c r="W4902" s="43"/>
      <c r="X4902" s="43"/>
      <c r="Y4902" s="43"/>
      <c r="Z4902" s="43"/>
      <c r="AA4902" s="43"/>
      <c r="AB4902" s="43"/>
      <c r="AC4902" s="43"/>
      <c r="AD4902" s="43"/>
      <c r="AE4902" s="43"/>
      <c r="AF4902" s="43"/>
      <c r="AG4902" s="43"/>
      <c r="AH4902" s="43"/>
      <c r="AI4902" s="43"/>
      <c r="AJ4902" s="43"/>
      <c r="AK4902" s="43"/>
      <c r="AL4902" s="43"/>
      <c r="AM4902" s="43"/>
      <c r="AN4902" s="43"/>
      <c r="AO4902" s="43"/>
      <c r="AP4902" s="43"/>
      <c r="AQ4902" s="43"/>
      <c r="AR4902" s="43"/>
      <c r="AS4902" s="43"/>
      <c r="AT4902" s="43"/>
      <c r="AU4902" s="43"/>
      <c r="AV4902" s="43"/>
    </row>
    <row r="4903" spans="1:48" ht="22.5">
      <c r="A4903" s="297"/>
      <c r="B4903" s="173" t="s">
        <v>1250</v>
      </c>
      <c r="C4903" s="173" t="s">
        <v>509</v>
      </c>
      <c r="D4903" s="1604"/>
      <c r="E4903" s="2251" t="s">
        <v>1952</v>
      </c>
      <c r="F4903" s="370">
        <v>5239</v>
      </c>
      <c r="G4903" s="2774" t="s">
        <v>5137</v>
      </c>
      <c r="H4903" s="303"/>
      <c r="I4903" s="303"/>
      <c r="J4903" s="318"/>
      <c r="K4903" s="307"/>
      <c r="L4903" s="1576"/>
      <c r="M4903" s="1576">
        <v>1000</v>
      </c>
      <c r="N4903" s="2847"/>
      <c r="O4903" s="86"/>
      <c r="P4903" s="1817" t="e">
        <f>INDEX(#REF!,MATCH(F4903,#REF!,0),2)</f>
        <v>#REF!</v>
      </c>
      <c r="Q4903" s="43"/>
      <c r="R4903" s="43"/>
      <c r="S4903" s="43"/>
      <c r="T4903" s="43"/>
      <c r="U4903" s="43"/>
      <c r="V4903" s="43"/>
      <c r="W4903" s="43"/>
      <c r="X4903" s="43"/>
      <c r="Y4903" s="43"/>
      <c r="Z4903" s="43"/>
      <c r="AA4903" s="43"/>
      <c r="AB4903" s="43"/>
      <c r="AC4903" s="43"/>
      <c r="AD4903" s="43"/>
      <c r="AE4903" s="43"/>
      <c r="AF4903" s="43"/>
      <c r="AG4903" s="43"/>
      <c r="AH4903" s="43"/>
      <c r="AI4903" s="43"/>
      <c r="AJ4903" s="43"/>
      <c r="AK4903" s="43"/>
      <c r="AL4903" s="43"/>
      <c r="AM4903" s="43"/>
      <c r="AN4903" s="43"/>
      <c r="AO4903" s="43"/>
      <c r="AP4903" s="43"/>
      <c r="AQ4903" s="43"/>
      <c r="AR4903" s="43"/>
      <c r="AS4903" s="43"/>
      <c r="AT4903" s="43"/>
      <c r="AU4903" s="43"/>
      <c r="AV4903" s="43"/>
    </row>
    <row r="4904" spans="1:48" ht="33.75">
      <c r="A4904" s="297"/>
      <c r="B4904" s="173" t="s">
        <v>1250</v>
      </c>
      <c r="C4904" s="173" t="s">
        <v>509</v>
      </c>
      <c r="D4904" s="1604"/>
      <c r="E4904" s="2251" t="s">
        <v>1952</v>
      </c>
      <c r="F4904" s="370">
        <v>5239</v>
      </c>
      <c r="G4904" s="1567" t="s">
        <v>2579</v>
      </c>
      <c r="H4904" s="303"/>
      <c r="I4904" s="303">
        <v>2000</v>
      </c>
      <c r="J4904" s="318"/>
      <c r="K4904" s="307"/>
      <c r="L4904" s="1575"/>
      <c r="M4904" s="1575"/>
      <c r="N4904" s="2847"/>
      <c r="O4904" s="86"/>
      <c r="P4904" s="1817" t="e">
        <f>INDEX(#REF!,MATCH(F4904,#REF!,0),2)</f>
        <v>#REF!</v>
      </c>
      <c r="Q4904" s="43"/>
      <c r="R4904" s="43"/>
      <c r="S4904" s="43"/>
      <c r="T4904" s="43"/>
      <c r="U4904" s="43"/>
      <c r="V4904" s="43"/>
      <c r="W4904" s="43"/>
      <c r="X4904" s="43"/>
      <c r="Y4904" s="43"/>
      <c r="Z4904" s="43"/>
      <c r="AA4904" s="43"/>
      <c r="AB4904" s="43"/>
      <c r="AC4904" s="43"/>
      <c r="AD4904" s="43"/>
      <c r="AE4904" s="43"/>
      <c r="AF4904" s="43"/>
      <c r="AG4904" s="43"/>
      <c r="AH4904" s="43"/>
      <c r="AI4904" s="43"/>
      <c r="AJ4904" s="43"/>
      <c r="AK4904" s="43"/>
      <c r="AL4904" s="43"/>
      <c r="AM4904" s="43"/>
      <c r="AN4904" s="43"/>
      <c r="AO4904" s="43"/>
      <c r="AP4904" s="43"/>
      <c r="AQ4904" s="43"/>
      <c r="AR4904" s="43"/>
      <c r="AS4904" s="43"/>
      <c r="AT4904" s="43"/>
      <c r="AU4904" s="43"/>
      <c r="AV4904" s="43"/>
    </row>
    <row r="4905" spans="1:48">
      <c r="A4905" s="176"/>
      <c r="B4905" s="170" t="s">
        <v>663</v>
      </c>
      <c r="C4905" s="170" t="s">
        <v>652</v>
      </c>
      <c r="D4905" s="1603">
        <v>670</v>
      </c>
      <c r="E4905" s="2250" t="s">
        <v>1930</v>
      </c>
      <c r="F4905" s="171">
        <v>1119</v>
      </c>
      <c r="G4905" s="1423" t="s">
        <v>628</v>
      </c>
      <c r="H4905" s="2604">
        <v>82170.000000000015</v>
      </c>
      <c r="I4905" s="2604"/>
      <c r="J4905" s="2635"/>
      <c r="K4905" s="2623"/>
      <c r="L4905" s="2604">
        <v>87100.200000000012</v>
      </c>
      <c r="M4905" s="2604"/>
      <c r="N4905" s="2847"/>
      <c r="O4905" s="86"/>
      <c r="P4905" s="1817" t="e">
        <f>INDEX(#REF!,MATCH(F4905,#REF!,0),2)</f>
        <v>#REF!</v>
      </c>
      <c r="Q4905" s="1779"/>
      <c r="R4905" s="1779"/>
      <c r="S4905" s="1779"/>
      <c r="T4905" s="1779"/>
      <c r="U4905" s="1779"/>
      <c r="V4905" s="1779"/>
      <c r="W4905" s="43"/>
      <c r="X4905" s="1779"/>
      <c r="Y4905" s="1779"/>
      <c r="Z4905" s="1779"/>
      <c r="AA4905" s="1779"/>
      <c r="AB4905" s="1779"/>
      <c r="AC4905" s="1779"/>
      <c r="AD4905" s="1779"/>
      <c r="AE4905" s="1779"/>
      <c r="AF4905" s="1779"/>
      <c r="AG4905" s="1779"/>
      <c r="AH4905" s="1779"/>
      <c r="AI4905" s="1779"/>
      <c r="AJ4905" s="1779"/>
      <c r="AK4905" s="1779"/>
      <c r="AL4905" s="1779"/>
      <c r="AM4905" s="1779"/>
      <c r="AN4905" s="1779"/>
      <c r="AO4905" s="1779"/>
      <c r="AP4905" s="1779"/>
      <c r="AQ4905" s="1779"/>
      <c r="AR4905" s="1779"/>
      <c r="AS4905" s="1779"/>
      <c r="AT4905" s="1779"/>
      <c r="AU4905" s="1779"/>
      <c r="AV4905" s="1779"/>
    </row>
    <row r="4906" spans="1:48">
      <c r="A4906" s="175"/>
      <c r="B4906" s="173" t="s">
        <v>663</v>
      </c>
      <c r="C4906" s="173" t="s">
        <v>652</v>
      </c>
      <c r="D4906" s="1604"/>
      <c r="E4906" s="2251" t="s">
        <v>1930</v>
      </c>
      <c r="F4906" s="370">
        <v>1119</v>
      </c>
      <c r="G4906" s="1424" t="s">
        <v>2588</v>
      </c>
      <c r="H4906" s="2592"/>
      <c r="I4906" s="2592">
        <v>82170.000000000015</v>
      </c>
      <c r="J4906" s="2636"/>
      <c r="K4906" s="2623"/>
      <c r="L4906" s="2592"/>
      <c r="M4906" s="2592">
        <v>87100.200000000012</v>
      </c>
      <c r="N4906" s="2847"/>
      <c r="O4906" s="86"/>
      <c r="P4906" s="1817" t="e">
        <f>INDEX(#REF!,MATCH(F4906,#REF!,0),2)</f>
        <v>#REF!</v>
      </c>
      <c r="Q4906" s="1779"/>
      <c r="R4906" s="1779"/>
      <c r="S4906" s="1779"/>
      <c r="T4906" s="1779"/>
      <c r="U4906" s="1779"/>
      <c r="V4906" s="1779"/>
      <c r="W4906" s="43"/>
      <c r="X4906" s="1779"/>
      <c r="Y4906" s="1779"/>
      <c r="Z4906" s="1779"/>
      <c r="AA4906" s="1779"/>
      <c r="AB4906" s="1779"/>
      <c r="AC4906" s="1779"/>
      <c r="AD4906" s="1779"/>
      <c r="AE4906" s="1779"/>
      <c r="AF4906" s="1779"/>
      <c r="AG4906" s="1779"/>
      <c r="AH4906" s="1779"/>
      <c r="AI4906" s="1779"/>
      <c r="AJ4906" s="1779"/>
      <c r="AK4906" s="1779"/>
      <c r="AL4906" s="1779"/>
      <c r="AM4906" s="1779"/>
      <c r="AN4906" s="1779"/>
      <c r="AO4906" s="1779"/>
      <c r="AP4906" s="1779"/>
      <c r="AQ4906" s="1779"/>
      <c r="AR4906" s="1779"/>
      <c r="AS4906" s="1779"/>
      <c r="AT4906" s="1779"/>
      <c r="AU4906" s="1779"/>
      <c r="AV4906" s="1779"/>
    </row>
    <row r="4907" spans="1:48" ht="22.5">
      <c r="A4907" s="16"/>
      <c r="B4907" s="170" t="s">
        <v>663</v>
      </c>
      <c r="C4907" s="170" t="s">
        <v>652</v>
      </c>
      <c r="D4907" s="1603">
        <v>670</v>
      </c>
      <c r="E4907" s="2252" t="s">
        <v>1930</v>
      </c>
      <c r="F4907" s="171">
        <v>1146</v>
      </c>
      <c r="G4907" s="1428" t="s">
        <v>889</v>
      </c>
      <c r="H4907" s="2604">
        <v>0</v>
      </c>
      <c r="I4907" s="2604"/>
      <c r="J4907" s="2635"/>
      <c r="K4907" s="2623"/>
      <c r="L4907" s="2604">
        <v>0</v>
      </c>
      <c r="M4907" s="2604"/>
      <c r="N4907" s="2847"/>
      <c r="O4907" s="86"/>
      <c r="P4907" s="1817" t="e">
        <f>INDEX(#REF!,MATCH(F4907,#REF!,0),2)</f>
        <v>#REF!</v>
      </c>
      <c r="Q4907" s="1779"/>
      <c r="R4907" s="1779"/>
      <c r="S4907" s="1779"/>
      <c r="T4907" s="1779"/>
      <c r="U4907" s="1779"/>
      <c r="V4907" s="1779"/>
      <c r="W4907" s="43"/>
      <c r="X4907" s="1779"/>
      <c r="Y4907" s="1779"/>
      <c r="Z4907" s="1779"/>
      <c r="AA4907" s="1779"/>
      <c r="AB4907" s="1779"/>
      <c r="AC4907" s="1779"/>
      <c r="AD4907" s="1779"/>
      <c r="AE4907" s="1779"/>
      <c r="AF4907" s="1779"/>
      <c r="AG4907" s="1779"/>
      <c r="AH4907" s="11"/>
      <c r="AI4907" s="11"/>
      <c r="AJ4907" s="11"/>
      <c r="AL4907" s="1779"/>
      <c r="AM4907" s="1779"/>
      <c r="AN4907" s="1779"/>
      <c r="AO4907" s="1779"/>
      <c r="AP4907" s="1779"/>
      <c r="AQ4907" s="1779"/>
      <c r="AR4907" s="1779"/>
      <c r="AS4907" s="1779"/>
      <c r="AT4907" s="1779"/>
      <c r="AU4907" s="1779"/>
      <c r="AV4907" s="1779"/>
    </row>
    <row r="4908" spans="1:48">
      <c r="A4908" s="175"/>
      <c r="B4908" s="173" t="s">
        <v>663</v>
      </c>
      <c r="C4908" s="173" t="s">
        <v>652</v>
      </c>
      <c r="D4908" s="1604"/>
      <c r="E4908" s="2251" t="s">
        <v>1930</v>
      </c>
      <c r="F4908" s="370">
        <v>1146</v>
      </c>
      <c r="G4908" s="1424"/>
      <c r="H4908" s="2592"/>
      <c r="I4908" s="2592"/>
      <c r="J4908" s="2636"/>
      <c r="K4908" s="2623"/>
      <c r="L4908" s="2592"/>
      <c r="M4908" s="2592"/>
      <c r="N4908" s="2847"/>
      <c r="O4908" s="86"/>
      <c r="P4908" s="1817" t="e">
        <f>INDEX(#REF!,MATCH(F4908,#REF!,0),2)</f>
        <v>#REF!</v>
      </c>
      <c r="Q4908" s="1779"/>
      <c r="R4908" s="1779"/>
      <c r="S4908" s="1779"/>
      <c r="T4908" s="1779"/>
      <c r="U4908" s="1779"/>
      <c r="V4908" s="1779"/>
      <c r="W4908" s="43"/>
      <c r="X4908" s="1779"/>
      <c r="Y4908" s="1779"/>
      <c r="Z4908" s="1779"/>
      <c r="AA4908" s="1779"/>
      <c r="AB4908" s="1779"/>
      <c r="AC4908" s="1779"/>
      <c r="AD4908" s="1779"/>
      <c r="AE4908" s="1779"/>
      <c r="AF4908" s="1779"/>
      <c r="AG4908" s="1779"/>
      <c r="AH4908" s="1779"/>
      <c r="AI4908" s="1779"/>
      <c r="AJ4908" s="1779"/>
      <c r="AK4908" s="1779"/>
      <c r="AL4908" s="1779"/>
      <c r="AM4908" s="1779"/>
      <c r="AN4908" s="1779"/>
      <c r="AO4908" s="1779"/>
      <c r="AP4908" s="1779"/>
      <c r="AQ4908" s="1779"/>
      <c r="AR4908" s="1779"/>
      <c r="AS4908" s="1779"/>
      <c r="AT4908" s="1779"/>
      <c r="AU4908" s="1779"/>
      <c r="AV4908" s="1779"/>
    </row>
    <row r="4909" spans="1:48">
      <c r="A4909" s="176"/>
      <c r="B4909" s="170" t="s">
        <v>663</v>
      </c>
      <c r="C4909" s="170" t="s">
        <v>652</v>
      </c>
      <c r="D4909" s="1603">
        <v>670</v>
      </c>
      <c r="E4909" s="2252" t="s">
        <v>1930</v>
      </c>
      <c r="F4909" s="171">
        <v>1147</v>
      </c>
      <c r="G4909" s="1423" t="s">
        <v>226</v>
      </c>
      <c r="H4909" s="2604">
        <v>6847.5000000000009</v>
      </c>
      <c r="I4909" s="2604"/>
      <c r="J4909" s="2635"/>
      <c r="K4909" s="2623"/>
      <c r="L4909" s="2604">
        <v>7258.35</v>
      </c>
      <c r="M4909" s="2604"/>
      <c r="N4909" s="2847"/>
      <c r="O4909" s="86"/>
      <c r="P4909" s="1817" t="e">
        <f>INDEX(#REF!,MATCH(F4909,#REF!,0),2)</f>
        <v>#REF!</v>
      </c>
      <c r="Q4909" s="1779"/>
      <c r="R4909" s="1779"/>
      <c r="S4909" s="1779"/>
      <c r="T4909" s="1779"/>
      <c r="U4909" s="1779"/>
      <c r="V4909" s="1779"/>
      <c r="W4909" s="43"/>
      <c r="X4909" s="1779"/>
      <c r="Y4909" s="1779"/>
      <c r="Z4909" s="1779"/>
      <c r="AA4909" s="1779"/>
      <c r="AB4909" s="1779"/>
      <c r="AC4909" s="1779"/>
      <c r="AD4909" s="1779"/>
      <c r="AE4909" s="1779"/>
      <c r="AF4909" s="1779"/>
      <c r="AG4909" s="1779"/>
      <c r="AH4909" s="1779"/>
      <c r="AI4909" s="1779"/>
      <c r="AJ4909" s="1779"/>
      <c r="AK4909" s="1779"/>
      <c r="AL4909" s="1779"/>
      <c r="AM4909" s="1779"/>
      <c r="AN4909" s="1779"/>
      <c r="AO4909" s="1779"/>
      <c r="AP4909" s="1779"/>
      <c r="AQ4909" s="1779"/>
      <c r="AR4909" s="1779"/>
      <c r="AS4909" s="1779"/>
      <c r="AT4909" s="1779"/>
      <c r="AU4909" s="1779"/>
      <c r="AV4909" s="1779"/>
    </row>
    <row r="4910" spans="1:48">
      <c r="A4910" s="175"/>
      <c r="B4910" s="173" t="s">
        <v>663</v>
      </c>
      <c r="C4910" s="173" t="s">
        <v>652</v>
      </c>
      <c r="D4910" s="1604"/>
      <c r="E4910" s="2251" t="s">
        <v>1930</v>
      </c>
      <c r="F4910" s="370">
        <v>1147</v>
      </c>
      <c r="G4910" s="1424" t="s">
        <v>663</v>
      </c>
      <c r="H4910" s="2592"/>
      <c r="I4910" s="2592">
        <v>6847.5000000000009</v>
      </c>
      <c r="J4910" s="2636"/>
      <c r="K4910" s="2623"/>
      <c r="L4910" s="2592"/>
      <c r="M4910" s="2592">
        <v>7258.35</v>
      </c>
      <c r="N4910" s="2847"/>
      <c r="O4910" s="86"/>
      <c r="P4910" s="1817" t="e">
        <f>INDEX(#REF!,MATCH(F4910,#REF!,0),2)</f>
        <v>#REF!</v>
      </c>
      <c r="Q4910" s="1779"/>
      <c r="R4910" s="1779"/>
      <c r="S4910" s="1779"/>
      <c r="T4910" s="1779"/>
      <c r="U4910" s="1779"/>
      <c r="V4910" s="1779"/>
      <c r="W4910" s="43"/>
      <c r="X4910" s="1779"/>
      <c r="Y4910" s="1779"/>
      <c r="Z4910" s="1779"/>
      <c r="AA4910" s="1779"/>
      <c r="AB4910" s="1779"/>
      <c r="AC4910" s="1779"/>
      <c r="AD4910" s="1779"/>
      <c r="AE4910" s="1779"/>
      <c r="AF4910" s="1779"/>
      <c r="AG4910" s="1779"/>
      <c r="AH4910" s="1779"/>
      <c r="AI4910" s="1779"/>
      <c r="AJ4910" s="1779"/>
      <c r="AK4910" s="1779"/>
      <c r="AL4910" s="1779"/>
      <c r="AM4910" s="1779"/>
      <c r="AN4910" s="1779"/>
      <c r="AO4910" s="1779"/>
      <c r="AP4910" s="1779"/>
      <c r="AQ4910" s="1779"/>
      <c r="AR4910" s="1779"/>
      <c r="AS4910" s="1779"/>
      <c r="AT4910" s="1779"/>
      <c r="AU4910" s="1779"/>
      <c r="AV4910" s="1779"/>
    </row>
    <row r="4911" spans="1:48">
      <c r="A4911" s="175"/>
      <c r="B4911" s="173" t="s">
        <v>663</v>
      </c>
      <c r="C4911" s="173" t="s">
        <v>652</v>
      </c>
      <c r="D4911" s="1604"/>
      <c r="E4911" s="2251" t="s">
        <v>1930</v>
      </c>
      <c r="F4911" s="370">
        <v>1147</v>
      </c>
      <c r="G4911" s="1424" t="s">
        <v>1180</v>
      </c>
      <c r="H4911" s="2592"/>
      <c r="I4911" s="2592"/>
      <c r="J4911" s="2636"/>
      <c r="K4911" s="2623"/>
      <c r="L4911" s="2592"/>
      <c r="M4911" s="2592"/>
      <c r="N4911" s="2847"/>
      <c r="O4911" s="86"/>
      <c r="P4911" s="1817" t="e">
        <f>INDEX(#REF!,MATCH(F4911,#REF!,0),2)</f>
        <v>#REF!</v>
      </c>
      <c r="Q4911" s="1779"/>
      <c r="R4911" s="1779"/>
      <c r="S4911" s="1779"/>
      <c r="T4911" s="1779"/>
      <c r="U4911" s="1779"/>
      <c r="V4911" s="1779"/>
      <c r="W4911" s="43"/>
      <c r="X4911" s="1779"/>
      <c r="Y4911" s="1779"/>
      <c r="Z4911" s="1779"/>
      <c r="AA4911" s="1779"/>
      <c r="AB4911" s="1779"/>
      <c r="AC4911" s="1779"/>
      <c r="AD4911" s="1779"/>
      <c r="AE4911" s="1779"/>
      <c r="AF4911" s="1779"/>
      <c r="AG4911" s="1779"/>
      <c r="AH4911" s="1779"/>
      <c r="AI4911" s="1779"/>
      <c r="AJ4911" s="1779"/>
      <c r="AK4911" s="1779"/>
      <c r="AL4911" s="1779"/>
      <c r="AM4911" s="1779"/>
      <c r="AN4911" s="1779"/>
      <c r="AO4911" s="1779"/>
      <c r="AP4911" s="1779"/>
      <c r="AQ4911" s="1779"/>
      <c r="AR4911" s="1779"/>
      <c r="AS4911" s="1779"/>
      <c r="AT4911" s="1779"/>
      <c r="AU4911" s="1779"/>
      <c r="AV4911" s="1779"/>
    </row>
    <row r="4912" spans="1:48">
      <c r="A4912" s="176"/>
      <c r="B4912" s="170" t="s">
        <v>663</v>
      </c>
      <c r="C4912" s="170" t="s">
        <v>652</v>
      </c>
      <c r="D4912" s="1603">
        <v>670</v>
      </c>
      <c r="E4912" s="2252" t="s">
        <v>1930</v>
      </c>
      <c r="F4912" s="171">
        <v>1148</v>
      </c>
      <c r="G4912" s="1423" t="s">
        <v>613</v>
      </c>
      <c r="H4912" s="2604">
        <v>1000</v>
      </c>
      <c r="I4912" s="2604"/>
      <c r="J4912" s="2635"/>
      <c r="K4912" s="2623"/>
      <c r="L4912" s="2604">
        <v>1000</v>
      </c>
      <c r="M4912" s="2604"/>
      <c r="N4912" s="2847"/>
      <c r="O4912" s="86"/>
      <c r="P4912" s="1817" t="e">
        <f>INDEX(#REF!,MATCH(F4912,#REF!,0),2)</f>
        <v>#REF!</v>
      </c>
      <c r="Q4912" s="43"/>
      <c r="R4912" s="43"/>
      <c r="S4912" s="43"/>
      <c r="T4912" s="43"/>
      <c r="U4912" s="43"/>
      <c r="V4912" s="43"/>
      <c r="W4912" s="43"/>
      <c r="X4912" s="43"/>
      <c r="Y4912" s="43"/>
      <c r="Z4912" s="43"/>
      <c r="AA4912" s="43"/>
      <c r="AB4912" s="43"/>
      <c r="AC4912" s="43"/>
      <c r="AD4912" s="43"/>
      <c r="AE4912" s="43"/>
      <c r="AF4912" s="43"/>
      <c r="AG4912" s="43"/>
      <c r="AH4912" s="43"/>
      <c r="AI4912" s="43"/>
      <c r="AJ4912" s="43"/>
      <c r="AK4912" s="43"/>
      <c r="AL4912" s="43"/>
      <c r="AM4912" s="43"/>
      <c r="AN4912" s="43"/>
      <c r="AO4912" s="43"/>
      <c r="AP4912" s="43"/>
      <c r="AQ4912" s="43"/>
      <c r="AR4912" s="43"/>
      <c r="AS4912" s="43"/>
      <c r="AT4912" s="43"/>
      <c r="AU4912" s="43"/>
      <c r="AV4912" s="43"/>
    </row>
    <row r="4913" spans="1:48">
      <c r="A4913" s="175"/>
      <c r="B4913" s="173" t="s">
        <v>663</v>
      </c>
      <c r="C4913" s="173" t="s">
        <v>652</v>
      </c>
      <c r="D4913" s="1604"/>
      <c r="E4913" s="2251" t="s">
        <v>1930</v>
      </c>
      <c r="F4913" s="370">
        <v>1148</v>
      </c>
      <c r="G4913" s="1424" t="s">
        <v>1033</v>
      </c>
      <c r="H4913" s="2592"/>
      <c r="I4913" s="2592">
        <v>1000</v>
      </c>
      <c r="J4913" s="2636"/>
      <c r="K4913" s="2623"/>
      <c r="L4913" s="2592"/>
      <c r="M4913" s="2592">
        <v>1000</v>
      </c>
      <c r="N4913" s="2847"/>
      <c r="O4913" s="86"/>
      <c r="P4913" s="1817" t="e">
        <f>INDEX(#REF!,MATCH(F4913,#REF!,0),2)</f>
        <v>#REF!</v>
      </c>
      <c r="Q4913" s="43"/>
      <c r="R4913" s="43"/>
      <c r="S4913" s="43"/>
      <c r="T4913" s="43"/>
      <c r="U4913" s="43"/>
      <c r="V4913" s="43"/>
      <c r="W4913" s="43"/>
      <c r="X4913" s="43"/>
      <c r="Y4913" s="43"/>
      <c r="Z4913" s="43"/>
      <c r="AA4913" s="43"/>
      <c r="AB4913" s="43"/>
      <c r="AC4913" s="43"/>
      <c r="AD4913" s="43"/>
      <c r="AE4913" s="43"/>
      <c r="AF4913" s="43"/>
      <c r="AG4913" s="43"/>
      <c r="AH4913" s="43"/>
      <c r="AI4913" s="43"/>
      <c r="AJ4913" s="43"/>
      <c r="AK4913" s="43"/>
      <c r="AL4913" s="43"/>
      <c r="AM4913" s="43"/>
      <c r="AN4913" s="43"/>
      <c r="AO4913" s="43"/>
      <c r="AP4913" s="43"/>
      <c r="AQ4913" s="43"/>
      <c r="AR4913" s="43"/>
      <c r="AS4913" s="43"/>
      <c r="AT4913" s="43"/>
      <c r="AU4913" s="43"/>
      <c r="AV4913" s="43"/>
    </row>
    <row r="4914" spans="1:48" ht="22.5">
      <c r="A4914" s="1484"/>
      <c r="B4914" s="173" t="s">
        <v>663</v>
      </c>
      <c r="C4914" s="173" t="s">
        <v>652</v>
      </c>
      <c r="D4914" s="1604"/>
      <c r="E4914" s="2251" t="s">
        <v>1930</v>
      </c>
      <c r="F4914" s="370">
        <v>1148</v>
      </c>
      <c r="G4914" s="1528" t="s">
        <v>2047</v>
      </c>
      <c r="H4914" s="2592"/>
      <c r="I4914" s="2592"/>
      <c r="J4914" s="2636"/>
      <c r="K4914" s="2623"/>
      <c r="L4914" s="2592"/>
      <c r="M4914" s="2592"/>
      <c r="N4914" s="2847"/>
      <c r="O4914" s="86"/>
      <c r="P4914" s="1817" t="e">
        <f>INDEX(#REF!,MATCH(F4914,#REF!,0),2)</f>
        <v>#REF!</v>
      </c>
      <c r="Q4914" s="43"/>
      <c r="R4914" s="43"/>
      <c r="S4914" s="43"/>
      <c r="T4914" s="43"/>
      <c r="U4914" s="43"/>
      <c r="V4914" s="43"/>
      <c r="W4914" s="43"/>
      <c r="X4914" s="43"/>
      <c r="Y4914" s="43"/>
      <c r="Z4914" s="43"/>
      <c r="AA4914" s="43"/>
      <c r="AB4914" s="43"/>
      <c r="AC4914" s="43"/>
      <c r="AD4914" s="43"/>
      <c r="AE4914" s="43"/>
      <c r="AF4914" s="43"/>
      <c r="AG4914" s="43"/>
      <c r="AH4914" s="43"/>
      <c r="AI4914" s="43"/>
      <c r="AJ4914" s="43"/>
      <c r="AK4914" s="43"/>
      <c r="AL4914" s="43"/>
      <c r="AM4914" s="43"/>
      <c r="AN4914" s="43"/>
      <c r="AO4914" s="43"/>
      <c r="AP4914" s="43"/>
      <c r="AQ4914" s="43"/>
      <c r="AR4914" s="43"/>
      <c r="AS4914" s="43"/>
      <c r="AT4914" s="43"/>
      <c r="AU4914" s="43"/>
      <c r="AV4914" s="43"/>
    </row>
    <row r="4915" spans="1:48">
      <c r="A4915" s="5"/>
      <c r="B4915" s="5" t="s">
        <v>663</v>
      </c>
      <c r="C4915" s="5" t="s">
        <v>652</v>
      </c>
      <c r="D4915" s="1603">
        <v>670</v>
      </c>
      <c r="E4915" s="2220" t="s">
        <v>1930</v>
      </c>
      <c r="F4915" s="6">
        <v>1170</v>
      </c>
      <c r="G4915" s="1428" t="s">
        <v>724</v>
      </c>
      <c r="H4915" s="2602">
        <v>60</v>
      </c>
      <c r="I4915" s="2602"/>
      <c r="J4915" s="2602"/>
      <c r="K4915" s="2624"/>
      <c r="L4915" s="2602">
        <v>60</v>
      </c>
      <c r="M4915" s="2602"/>
      <c r="N4915" s="2847"/>
      <c r="O4915" s="86"/>
      <c r="P4915" s="1817" t="e">
        <f>INDEX(#REF!,MATCH(F4915,#REF!,0),2)</f>
        <v>#REF!</v>
      </c>
      <c r="Q4915" s="43"/>
      <c r="R4915" s="43"/>
      <c r="S4915" s="43"/>
      <c r="T4915" s="43"/>
      <c r="U4915" s="43"/>
      <c r="V4915" s="43"/>
      <c r="W4915" s="43"/>
      <c r="X4915" s="43"/>
      <c r="Y4915" s="43"/>
      <c r="Z4915" s="43"/>
      <c r="AA4915" s="43"/>
      <c r="AB4915" s="43"/>
      <c r="AC4915" s="43"/>
      <c r="AD4915" s="43"/>
      <c r="AE4915" s="43"/>
      <c r="AF4915" s="43"/>
      <c r="AG4915" s="43"/>
      <c r="AH4915" s="43"/>
      <c r="AI4915" s="43"/>
      <c r="AJ4915" s="43"/>
      <c r="AK4915" s="43"/>
      <c r="AL4915" s="43"/>
      <c r="AM4915" s="43"/>
      <c r="AN4915" s="43"/>
      <c r="AO4915" s="43"/>
      <c r="AP4915" s="43"/>
      <c r="AQ4915" s="43"/>
      <c r="AR4915" s="43"/>
      <c r="AS4915" s="43"/>
      <c r="AT4915" s="43"/>
      <c r="AU4915" s="43"/>
      <c r="AV4915" s="43"/>
    </row>
    <row r="4916" spans="1:48" ht="22.5">
      <c r="A4916" s="246"/>
      <c r="B4916" s="12" t="s">
        <v>663</v>
      </c>
      <c r="C4916" s="12" t="s">
        <v>652</v>
      </c>
      <c r="D4916" s="1593"/>
      <c r="E4916" s="2222" t="s">
        <v>1930</v>
      </c>
      <c r="F4916" s="23">
        <v>1170</v>
      </c>
      <c r="G4916" s="1429" t="s">
        <v>957</v>
      </c>
      <c r="H4916" s="2603"/>
      <c r="I4916" s="2603">
        <v>60</v>
      </c>
      <c r="J4916" s="2637"/>
      <c r="K4916" s="2625"/>
      <c r="L4916" s="2603"/>
      <c r="M4916" s="2603">
        <v>60</v>
      </c>
      <c r="N4916" s="2847"/>
      <c r="O4916" s="86"/>
      <c r="P4916" s="1817" t="e">
        <f>INDEX(#REF!,MATCH(F4916,#REF!,0),2)</f>
        <v>#REF!</v>
      </c>
      <c r="Q4916" s="43"/>
      <c r="R4916" s="43"/>
      <c r="S4916" s="43"/>
      <c r="T4916" s="43"/>
      <c r="U4916" s="43"/>
      <c r="V4916" s="43"/>
      <c r="W4916" s="43"/>
      <c r="X4916" s="43"/>
      <c r="Y4916" s="43"/>
      <c r="Z4916" s="43"/>
      <c r="AA4916" s="43"/>
      <c r="AB4916" s="43"/>
      <c r="AC4916" s="43"/>
      <c r="AD4916" s="43"/>
      <c r="AE4916" s="43"/>
      <c r="AF4916" s="43"/>
      <c r="AG4916" s="43"/>
      <c r="AH4916" s="43"/>
      <c r="AI4916" s="43"/>
      <c r="AJ4916" s="43"/>
      <c r="AK4916" s="43"/>
      <c r="AL4916" s="43"/>
      <c r="AM4916" s="43"/>
      <c r="AN4916" s="43"/>
      <c r="AO4916" s="43"/>
      <c r="AP4916" s="43"/>
      <c r="AQ4916" s="43"/>
      <c r="AR4916" s="43"/>
      <c r="AS4916" s="43"/>
      <c r="AT4916" s="43"/>
      <c r="AU4916" s="43"/>
      <c r="AV4916" s="43"/>
    </row>
    <row r="4917" spans="1:48">
      <c r="A4917" s="176"/>
      <c r="B4917" s="170" t="s">
        <v>663</v>
      </c>
      <c r="C4917" s="170" t="s">
        <v>652</v>
      </c>
      <c r="D4917" s="1603">
        <v>670</v>
      </c>
      <c r="E4917" s="2252" t="s">
        <v>1930</v>
      </c>
      <c r="F4917" s="171">
        <v>1210</v>
      </c>
      <c r="G4917" s="1423" t="s">
        <v>228</v>
      </c>
      <c r="H4917" s="2604">
        <v>20716.546331250003</v>
      </c>
      <c r="I4917" s="2604"/>
      <c r="J4917" s="2635"/>
      <c r="K4917" s="2623"/>
      <c r="L4917" s="2604">
        <v>21959.539111125006</v>
      </c>
      <c r="M4917" s="2604"/>
      <c r="N4917" s="2847"/>
      <c r="O4917" s="86"/>
      <c r="P4917" s="1817" t="e">
        <f>INDEX(#REF!,MATCH(F4917,#REF!,0),2)</f>
        <v>#REF!</v>
      </c>
      <c r="Q4917" s="43"/>
      <c r="R4917" s="43"/>
      <c r="S4917" s="43"/>
      <c r="T4917" s="43"/>
      <c r="U4917" s="43"/>
      <c r="V4917" s="43"/>
      <c r="W4917" s="43"/>
      <c r="X4917" s="43"/>
      <c r="Y4917" s="43"/>
      <c r="Z4917" s="43"/>
      <c r="AA4917" s="43"/>
      <c r="AB4917" s="43"/>
      <c r="AC4917" s="43"/>
      <c r="AD4917" s="43"/>
      <c r="AE4917" s="43"/>
      <c r="AF4917" s="43"/>
      <c r="AG4917" s="43"/>
      <c r="AH4917" s="43"/>
      <c r="AI4917" s="43"/>
      <c r="AJ4917" s="43"/>
      <c r="AK4917" s="43"/>
      <c r="AL4917" s="43"/>
      <c r="AM4917" s="43"/>
      <c r="AN4917" s="43"/>
      <c r="AO4917" s="43"/>
      <c r="AP4917" s="43"/>
      <c r="AQ4917" s="43"/>
      <c r="AR4917" s="43"/>
      <c r="AS4917" s="43"/>
      <c r="AT4917" s="43"/>
      <c r="AU4917" s="43"/>
      <c r="AV4917" s="43"/>
    </row>
    <row r="4918" spans="1:48">
      <c r="A4918" s="175"/>
      <c r="B4918" s="173" t="s">
        <v>663</v>
      </c>
      <c r="C4918" s="173" t="s">
        <v>652</v>
      </c>
      <c r="D4918" s="1604"/>
      <c r="E4918" s="2251" t="s">
        <v>1930</v>
      </c>
      <c r="F4918" s="370">
        <v>1210</v>
      </c>
      <c r="G4918" s="1424" t="s">
        <v>663</v>
      </c>
      <c r="H4918" s="2592"/>
      <c r="I4918" s="2592">
        <v>20716.546331250003</v>
      </c>
      <c r="J4918" s="2636"/>
      <c r="K4918" s="2623"/>
      <c r="L4918" s="2592"/>
      <c r="M4918" s="2592">
        <v>21959.539111125006</v>
      </c>
      <c r="N4918" s="2847"/>
      <c r="O4918" s="86"/>
      <c r="P4918" s="1817" t="e">
        <f>INDEX(#REF!,MATCH(F4918,#REF!,0),2)</f>
        <v>#REF!</v>
      </c>
      <c r="Q4918" s="43"/>
      <c r="R4918" s="43"/>
      <c r="S4918" s="43"/>
      <c r="T4918" s="43"/>
      <c r="U4918" s="43"/>
      <c r="V4918" s="43"/>
      <c r="W4918" s="43"/>
      <c r="X4918" s="43"/>
      <c r="Y4918" s="43"/>
      <c r="Z4918" s="43"/>
      <c r="AA4918" s="43"/>
      <c r="AB4918" s="43"/>
      <c r="AC4918" s="43"/>
      <c r="AD4918" s="43"/>
      <c r="AE4918" s="43"/>
      <c r="AF4918" s="43"/>
      <c r="AG4918" s="43"/>
      <c r="AH4918" s="43"/>
      <c r="AI4918" s="43"/>
      <c r="AJ4918" s="43"/>
      <c r="AK4918" s="43"/>
      <c r="AL4918" s="43"/>
      <c r="AM4918" s="43"/>
      <c r="AN4918" s="43"/>
      <c r="AO4918" s="43"/>
      <c r="AP4918" s="43"/>
      <c r="AQ4918" s="43"/>
      <c r="AR4918" s="43"/>
      <c r="AS4918" s="43"/>
      <c r="AT4918" s="43"/>
      <c r="AU4918" s="43"/>
      <c r="AV4918" s="43"/>
    </row>
    <row r="4919" spans="1:48" ht="33.75">
      <c r="A4919" s="175"/>
      <c r="B4919" s="173" t="s">
        <v>663</v>
      </c>
      <c r="C4919" s="173" t="s">
        <v>652</v>
      </c>
      <c r="D4919" s="1604"/>
      <c r="E4919" s="2251" t="s">
        <v>1930</v>
      </c>
      <c r="F4919" s="370">
        <v>1210</v>
      </c>
      <c r="G4919" s="1425" t="s">
        <v>1852</v>
      </c>
      <c r="H4919" s="2592"/>
      <c r="I4919" s="2592"/>
      <c r="J4919" s="2636"/>
      <c r="K4919" s="2623"/>
      <c r="L4919" s="2592"/>
      <c r="M4919" s="2592"/>
      <c r="N4919" s="2847"/>
      <c r="O4919" s="86"/>
      <c r="P4919" s="1817" t="e">
        <f>INDEX(#REF!,MATCH(F4919,#REF!,0),2)</f>
        <v>#REF!</v>
      </c>
      <c r="Q4919" s="1779"/>
      <c r="R4919" s="1779"/>
      <c r="S4919" s="1779"/>
      <c r="T4919" s="1779"/>
      <c r="U4919" s="1779"/>
      <c r="V4919" s="1779"/>
      <c r="W4919" s="43"/>
      <c r="X4919" s="1779"/>
      <c r="Y4919" s="1779"/>
      <c r="Z4919" s="1779"/>
      <c r="AA4919" s="1779"/>
      <c r="AB4919" s="1779"/>
      <c r="AC4919" s="1779"/>
      <c r="AD4919" s="1779"/>
      <c r="AE4919" s="1779"/>
      <c r="AF4919" s="1779"/>
      <c r="AG4919" s="1779"/>
      <c r="AH4919" s="1779"/>
      <c r="AI4919" s="1779"/>
      <c r="AJ4919" s="1779"/>
      <c r="AK4919" s="1779"/>
      <c r="AL4919" s="1779"/>
      <c r="AM4919" s="1779"/>
      <c r="AN4919" s="1779"/>
      <c r="AO4919" s="1779"/>
      <c r="AP4919" s="1779"/>
      <c r="AQ4919" s="1779"/>
      <c r="AR4919" s="1779"/>
      <c r="AS4919" s="1779"/>
      <c r="AT4919" s="1779"/>
      <c r="AU4919" s="1779"/>
      <c r="AV4919" s="1779"/>
    </row>
    <row r="4920" spans="1:48" ht="33.75">
      <c r="A4920" s="771"/>
      <c r="B4920" s="173" t="s">
        <v>663</v>
      </c>
      <c r="C4920" s="173" t="s">
        <v>652</v>
      </c>
      <c r="D4920" s="1604"/>
      <c r="E4920" s="2251" t="s">
        <v>1930</v>
      </c>
      <c r="F4920" s="370">
        <v>1210</v>
      </c>
      <c r="G4920" s="1427" t="s">
        <v>1983</v>
      </c>
      <c r="H4920" s="2597"/>
      <c r="I4920" s="2597"/>
      <c r="J4920" s="2638"/>
      <c r="K4920" s="722"/>
      <c r="L4920" s="2597"/>
      <c r="M4920" s="2597"/>
      <c r="N4920" s="2847"/>
      <c r="O4920" s="86"/>
      <c r="P4920" s="1817" t="e">
        <f>INDEX(#REF!,MATCH(F4920,#REF!,0),2)</f>
        <v>#REF!</v>
      </c>
      <c r="Q4920" s="1779"/>
      <c r="R4920" s="1779"/>
      <c r="S4920" s="1779"/>
      <c r="T4920" s="1779"/>
      <c r="U4920" s="1779"/>
      <c r="V4920" s="1779"/>
      <c r="W4920" s="43"/>
      <c r="X4920" s="1779"/>
      <c r="Y4920" s="1779"/>
      <c r="Z4920" s="1779"/>
      <c r="AA4920" s="1779"/>
      <c r="AB4920" s="1779"/>
      <c r="AC4920" s="1779"/>
      <c r="AD4920" s="1779"/>
      <c r="AE4920" s="1779"/>
      <c r="AF4920" s="1779"/>
      <c r="AG4920" s="1779"/>
      <c r="AH4920" s="1779"/>
      <c r="AI4920" s="1779"/>
      <c r="AJ4920" s="1779"/>
      <c r="AK4920" s="1779"/>
      <c r="AL4920" s="1779"/>
      <c r="AM4920" s="1779"/>
      <c r="AN4920" s="1779"/>
      <c r="AO4920" s="1779"/>
      <c r="AP4920" s="1779"/>
      <c r="AQ4920" s="1779"/>
      <c r="AR4920" s="1779"/>
      <c r="AS4920" s="1779"/>
      <c r="AT4920" s="1779"/>
      <c r="AU4920" s="1779"/>
      <c r="AV4920" s="1779"/>
    </row>
    <row r="4921" spans="1:48" ht="22.5">
      <c r="A4921" s="176"/>
      <c r="B4921" s="170" t="s">
        <v>663</v>
      </c>
      <c r="C4921" s="170" t="s">
        <v>652</v>
      </c>
      <c r="D4921" s="1603">
        <v>670</v>
      </c>
      <c r="E4921" s="2252" t="s">
        <v>1930</v>
      </c>
      <c r="F4921" s="171">
        <v>1221</v>
      </c>
      <c r="G4921" s="1423" t="s">
        <v>295</v>
      </c>
      <c r="H4921" s="2604">
        <v>4514.0945437500004</v>
      </c>
      <c r="I4921" s="2604"/>
      <c r="J4921" s="2635"/>
      <c r="K4921" s="2623"/>
      <c r="L4921" s="2604">
        <v>4784.9402163750001</v>
      </c>
      <c r="M4921" s="2604"/>
      <c r="N4921" s="2847"/>
      <c r="O4921" s="86"/>
      <c r="P4921" s="1817" t="e">
        <f>INDEX(#REF!,MATCH(F4921,#REF!,0),2)</f>
        <v>#REF!</v>
      </c>
      <c r="Q4921" s="1779"/>
      <c r="R4921" s="1779"/>
      <c r="S4921" s="1779"/>
      <c r="T4921" s="1779"/>
      <c r="U4921" s="1779"/>
      <c r="V4921" s="1779"/>
      <c r="W4921" s="43"/>
      <c r="X4921" s="1779"/>
      <c r="Y4921" s="1779"/>
      <c r="Z4921" s="1779"/>
      <c r="AA4921" s="1779"/>
      <c r="AB4921" s="1779"/>
      <c r="AC4921" s="1779"/>
      <c r="AD4921" s="1779"/>
      <c r="AE4921" s="1779"/>
      <c r="AF4921" s="1779"/>
      <c r="AG4921" s="1779"/>
      <c r="AH4921" s="1779"/>
      <c r="AI4921" s="1779"/>
      <c r="AJ4921" s="1779"/>
      <c r="AK4921" s="1779"/>
      <c r="AL4921" s="1779"/>
      <c r="AM4921" s="1779"/>
      <c r="AN4921" s="1779"/>
      <c r="AO4921" s="1779"/>
      <c r="AP4921" s="1779"/>
      <c r="AQ4921" s="1779"/>
      <c r="AR4921" s="1779"/>
      <c r="AS4921" s="1779"/>
      <c r="AT4921" s="1779"/>
      <c r="AU4921" s="1779"/>
      <c r="AV4921" s="1779"/>
    </row>
    <row r="4922" spans="1:48">
      <c r="A4922" s="175"/>
      <c r="B4922" s="173" t="s">
        <v>663</v>
      </c>
      <c r="C4922" s="173" t="s">
        <v>652</v>
      </c>
      <c r="D4922" s="1604"/>
      <c r="E4922" s="2251" t="s">
        <v>1930</v>
      </c>
      <c r="F4922" s="370">
        <v>1221</v>
      </c>
      <c r="G4922" s="1424"/>
      <c r="H4922" s="2592"/>
      <c r="I4922" s="2592">
        <v>4514.0945437500004</v>
      </c>
      <c r="J4922" s="2636"/>
      <c r="K4922" s="2623"/>
      <c r="L4922" s="2592"/>
      <c r="M4922" s="2592">
        <v>4784.9402163750001</v>
      </c>
      <c r="N4922" s="2847"/>
      <c r="O4922" s="86"/>
      <c r="P4922" s="1817" t="e">
        <f>INDEX(#REF!,MATCH(F4922,#REF!,0),2)</f>
        <v>#REF!</v>
      </c>
      <c r="Q4922" s="1779"/>
      <c r="R4922" s="1779"/>
      <c r="S4922" s="1779"/>
      <c r="T4922" s="1779"/>
      <c r="U4922" s="1779"/>
      <c r="V4922" s="1779"/>
      <c r="W4922" s="43"/>
      <c r="X4922" s="1779"/>
      <c r="Y4922" s="1779"/>
      <c r="Z4922" s="1779"/>
      <c r="AA4922" s="1779"/>
      <c r="AB4922" s="1779"/>
      <c r="AC4922" s="1779"/>
      <c r="AD4922" s="1779"/>
      <c r="AE4922" s="1779"/>
      <c r="AF4922" s="1779"/>
      <c r="AG4922" s="1779"/>
      <c r="AH4922" s="1779"/>
      <c r="AI4922" s="1779"/>
      <c r="AJ4922" s="1779"/>
      <c r="AK4922" s="1779"/>
      <c r="AL4922" s="1779"/>
      <c r="AM4922" s="1779"/>
      <c r="AN4922" s="1779"/>
      <c r="AO4922" s="1779"/>
      <c r="AP4922" s="1779"/>
      <c r="AQ4922" s="1779"/>
      <c r="AR4922" s="1779"/>
      <c r="AS4922" s="1779"/>
      <c r="AT4922" s="1779"/>
      <c r="AU4922" s="43"/>
      <c r="AV4922" s="43"/>
    </row>
    <row r="4923" spans="1:48" ht="22.5">
      <c r="A4923" s="504"/>
      <c r="B4923" s="173" t="s">
        <v>663</v>
      </c>
      <c r="C4923" s="173" t="s">
        <v>652</v>
      </c>
      <c r="D4923" s="1604"/>
      <c r="E4923" s="2251" t="s">
        <v>1930</v>
      </c>
      <c r="F4923" s="370">
        <v>1221</v>
      </c>
      <c r="G4923" s="1426" t="s">
        <v>1872</v>
      </c>
      <c r="H4923" s="2592"/>
      <c r="I4923" s="2592"/>
      <c r="J4923" s="2636"/>
      <c r="K4923" s="2623"/>
      <c r="L4923" s="2592"/>
      <c r="M4923" s="2592"/>
      <c r="N4923" s="2847"/>
      <c r="O4923" s="86"/>
      <c r="P4923" s="1817" t="e">
        <f>INDEX(#REF!,MATCH(F4923,#REF!,0),2)</f>
        <v>#REF!</v>
      </c>
      <c r="Q4923" s="1779"/>
      <c r="R4923" s="1779"/>
      <c r="S4923" s="1779"/>
      <c r="T4923" s="1779"/>
      <c r="U4923" s="1779"/>
      <c r="V4923" s="1779"/>
      <c r="W4923" s="43"/>
      <c r="X4923" s="1779"/>
      <c r="Y4923" s="1779"/>
      <c r="Z4923" s="1779"/>
      <c r="AA4923" s="1779"/>
      <c r="AB4923" s="1779"/>
      <c r="AC4923" s="1779"/>
      <c r="AD4923" s="1779"/>
      <c r="AE4923" s="1779"/>
      <c r="AF4923" s="1779"/>
      <c r="AG4923" s="1779"/>
      <c r="AH4923" s="1779"/>
      <c r="AI4923" s="1779"/>
      <c r="AJ4923" s="1779"/>
      <c r="AK4923" s="1779"/>
      <c r="AL4923" s="1779"/>
      <c r="AM4923" s="1779"/>
      <c r="AN4923" s="1779"/>
      <c r="AO4923" s="1779"/>
      <c r="AP4923" s="1779"/>
      <c r="AQ4923" s="1779"/>
      <c r="AR4923" s="1779"/>
      <c r="AS4923" s="1779"/>
      <c r="AT4923" s="1779"/>
      <c r="AU4923" s="1779"/>
      <c r="AV4923" s="1779"/>
    </row>
    <row r="4924" spans="1:48">
      <c r="A4924" s="971"/>
      <c r="B4924" s="170" t="s">
        <v>1248</v>
      </c>
      <c r="C4924" s="170" t="s">
        <v>652</v>
      </c>
      <c r="D4924" s="1603">
        <v>670</v>
      </c>
      <c r="E4924" s="2252" t="s">
        <v>1930</v>
      </c>
      <c r="F4924" s="540">
        <v>1228</v>
      </c>
      <c r="G4924" s="730" t="s">
        <v>263</v>
      </c>
      <c r="H4924" s="2611">
        <v>913</v>
      </c>
      <c r="I4924" s="2611"/>
      <c r="J4924" s="2639"/>
      <c r="K4924" s="2626"/>
      <c r="L4924" s="2611">
        <v>952</v>
      </c>
      <c r="M4924" s="2598"/>
      <c r="N4924" s="2847"/>
      <c r="O4924" s="86"/>
      <c r="P4924" s="1817" t="e">
        <f>INDEX(#REF!,MATCH(F4924,#REF!,0),2)</f>
        <v>#REF!</v>
      </c>
      <c r="Q4924" s="1779"/>
      <c r="R4924" s="1779"/>
      <c r="S4924" s="1779"/>
      <c r="T4924" s="1779"/>
      <c r="U4924" s="1779"/>
      <c r="V4924" s="1779"/>
      <c r="W4924" s="43"/>
      <c r="X4924" s="1779"/>
      <c r="Y4924" s="1779"/>
      <c r="Z4924" s="1779"/>
      <c r="AA4924" s="1779"/>
      <c r="AB4924" s="1779"/>
      <c r="AC4924" s="1779"/>
      <c r="AD4924" s="1779"/>
      <c r="AE4924" s="1779"/>
      <c r="AF4924" s="1779"/>
      <c r="AG4924" s="1779"/>
      <c r="AH4924" s="1779"/>
      <c r="AI4924" s="1779"/>
      <c r="AJ4924" s="1779"/>
      <c r="AK4924" s="1779"/>
      <c r="AL4924" s="1779"/>
      <c r="AM4924" s="1779"/>
      <c r="AN4924" s="1779"/>
      <c r="AO4924" s="1779"/>
      <c r="AP4924" s="1779"/>
      <c r="AQ4924" s="1779"/>
      <c r="AR4924" s="1779"/>
      <c r="AS4924" s="1779"/>
      <c r="AT4924" s="1779"/>
      <c r="AU4924" s="1779"/>
      <c r="AV4924" s="1779"/>
    </row>
    <row r="4925" spans="1:48">
      <c r="A4925" s="521"/>
      <c r="B4925" s="992" t="s">
        <v>1248</v>
      </c>
      <c r="C4925" s="992" t="s">
        <v>652</v>
      </c>
      <c r="D4925" s="1590"/>
      <c r="E4925" s="2224" t="s">
        <v>1930</v>
      </c>
      <c r="F4925" s="505">
        <v>1228</v>
      </c>
      <c r="G4925" s="1054" t="s">
        <v>647</v>
      </c>
      <c r="H4925" s="2592"/>
      <c r="I4925" s="2592"/>
      <c r="J4925" s="2592"/>
      <c r="K4925" s="2627"/>
      <c r="L4925" s="2594"/>
      <c r="M4925" s="2594"/>
      <c r="N4925" s="2847"/>
      <c r="O4925" s="86"/>
      <c r="P4925" s="1817" t="e">
        <f>INDEX(#REF!,MATCH(F4925,#REF!,0),2)</f>
        <v>#REF!</v>
      </c>
      <c r="Q4925" s="1779"/>
      <c r="R4925" s="1779"/>
      <c r="S4925" s="1779"/>
      <c r="T4925" s="1779"/>
      <c r="U4925" s="1779"/>
      <c r="V4925" s="1779"/>
      <c r="W4925" s="43"/>
      <c r="X4925" s="1779"/>
      <c r="Y4925" s="1779"/>
      <c r="Z4925" s="1779"/>
      <c r="AA4925" s="1779"/>
      <c r="AB4925" s="1779"/>
      <c r="AC4925" s="1779"/>
      <c r="AD4925" s="1779"/>
      <c r="AE4925" s="1779"/>
      <c r="AF4925" s="1779"/>
      <c r="AG4925" s="1779"/>
      <c r="AH4925" s="1779"/>
      <c r="AI4925" s="1779"/>
      <c r="AJ4925" s="1779"/>
      <c r="AK4925" s="1779"/>
      <c r="AL4925" s="1779"/>
      <c r="AM4925" s="1779"/>
      <c r="AN4925" s="1779"/>
      <c r="AO4925" s="1779"/>
      <c r="AP4925" s="1779"/>
      <c r="AQ4925" s="1779"/>
      <c r="AR4925" s="1779"/>
      <c r="AS4925" s="1779"/>
      <c r="AT4925" s="1779"/>
      <c r="AU4925" s="1779"/>
      <c r="AV4925" s="1779"/>
    </row>
    <row r="4926" spans="1:48">
      <c r="A4926" s="521"/>
      <c r="B4926" s="992" t="s">
        <v>1248</v>
      </c>
      <c r="C4926" s="992" t="s">
        <v>652</v>
      </c>
      <c r="D4926" s="1590"/>
      <c r="E4926" s="2224" t="s">
        <v>1930</v>
      </c>
      <c r="F4926" s="505">
        <v>1228</v>
      </c>
      <c r="G4926" s="1430" t="s">
        <v>732</v>
      </c>
      <c r="H4926" s="2592"/>
      <c r="I4926" s="2592">
        <v>238</v>
      </c>
      <c r="J4926" s="2636"/>
      <c r="K4926" s="2627"/>
      <c r="L4926" s="2594"/>
      <c r="M4926" s="2592">
        <v>238</v>
      </c>
      <c r="N4926" s="2847"/>
      <c r="O4926" s="86"/>
      <c r="P4926" s="1817" t="e">
        <f>INDEX(#REF!,MATCH(F4926,#REF!,0),2)</f>
        <v>#REF!</v>
      </c>
      <c r="Q4926" s="1779"/>
      <c r="R4926" s="1779"/>
      <c r="S4926" s="1779"/>
      <c r="T4926" s="1779"/>
      <c r="U4926" s="1779"/>
      <c r="V4926" s="1779"/>
      <c r="W4926" s="43"/>
      <c r="X4926" s="1779"/>
      <c r="Y4926" s="1779"/>
      <c r="Z4926" s="1779"/>
      <c r="AA4926" s="1779"/>
      <c r="AB4926" s="1779"/>
      <c r="AC4926" s="1779"/>
      <c r="AD4926" s="1779"/>
      <c r="AE4926" s="1779"/>
      <c r="AF4926" s="1779"/>
      <c r="AG4926" s="1779"/>
      <c r="AH4926" s="1779"/>
      <c r="AI4926" s="1779"/>
      <c r="AJ4926" s="1779"/>
      <c r="AK4926" s="1779"/>
      <c r="AL4926" s="1779"/>
      <c r="AM4926" s="1779"/>
      <c r="AN4926" s="1779"/>
      <c r="AO4926" s="1779"/>
      <c r="AP4926" s="1779"/>
      <c r="AQ4926" s="1779"/>
      <c r="AR4926" s="1779"/>
      <c r="AS4926" s="1779"/>
      <c r="AT4926" s="1779"/>
      <c r="AU4926" s="1779"/>
      <c r="AV4926" s="1779"/>
    </row>
    <row r="4927" spans="1:48">
      <c r="A4927" s="521"/>
      <c r="B4927" s="992" t="s">
        <v>1248</v>
      </c>
      <c r="C4927" s="992" t="s">
        <v>652</v>
      </c>
      <c r="D4927" s="1590"/>
      <c r="E4927" s="2224" t="s">
        <v>1930</v>
      </c>
      <c r="F4927" s="505">
        <v>1228</v>
      </c>
      <c r="G4927" s="1430" t="s">
        <v>849</v>
      </c>
      <c r="H4927" s="2592"/>
      <c r="I4927" s="2592">
        <v>238</v>
      </c>
      <c r="J4927" s="2636"/>
      <c r="K4927" s="2627"/>
      <c r="L4927" s="2594"/>
      <c r="M4927" s="2592">
        <v>238</v>
      </c>
      <c r="N4927" s="2847"/>
      <c r="O4927" s="86"/>
      <c r="P4927" s="1817" t="e">
        <f>INDEX(#REF!,MATCH(F4927,#REF!,0),2)</f>
        <v>#REF!</v>
      </c>
      <c r="Q4927" s="1779"/>
      <c r="R4927" s="1779"/>
      <c r="S4927" s="1779"/>
      <c r="T4927" s="1779"/>
      <c r="U4927" s="1779"/>
      <c r="V4927" s="1779"/>
      <c r="W4927" s="43"/>
      <c r="X4927" s="1779"/>
      <c r="Y4927" s="1779"/>
      <c r="Z4927" s="1779"/>
      <c r="AA4927" s="1779"/>
      <c r="AB4927" s="1779"/>
      <c r="AC4927" s="1779"/>
      <c r="AD4927" s="1779"/>
      <c r="AE4927" s="1779"/>
      <c r="AF4927" s="1779"/>
      <c r="AG4927" s="1779"/>
      <c r="AH4927" s="1779"/>
      <c r="AI4927" s="1779"/>
      <c r="AJ4927" s="1779"/>
      <c r="AK4927" s="1779"/>
      <c r="AL4927" s="1779"/>
      <c r="AM4927" s="1779"/>
      <c r="AN4927" s="1779"/>
      <c r="AO4927" s="1779"/>
      <c r="AP4927" s="1779"/>
      <c r="AQ4927" s="1779"/>
      <c r="AR4927" s="1779"/>
      <c r="AS4927" s="1779"/>
      <c r="AT4927" s="1779"/>
      <c r="AU4927" s="1779"/>
      <c r="AV4927" s="1779"/>
    </row>
    <row r="4928" spans="1:48">
      <c r="A4928" s="1119"/>
      <c r="B4928" s="992" t="s">
        <v>1248</v>
      </c>
      <c r="C4928" s="992" t="s">
        <v>652</v>
      </c>
      <c r="D4928" s="1590"/>
      <c r="E4928" s="2224" t="s">
        <v>1930</v>
      </c>
      <c r="F4928" s="505">
        <v>1228</v>
      </c>
      <c r="G4928" s="1430" t="s">
        <v>2138</v>
      </c>
      <c r="H4928" s="2592"/>
      <c r="I4928" s="2592">
        <v>238</v>
      </c>
      <c r="J4928" s="2636"/>
      <c r="K4928" s="2627"/>
      <c r="L4928" s="2594"/>
      <c r="M4928" s="2592">
        <v>238</v>
      </c>
      <c r="N4928" s="2847"/>
      <c r="O4928" s="86"/>
      <c r="P4928" s="1817" t="e">
        <f>INDEX(#REF!,MATCH(F4928,#REF!,0),2)</f>
        <v>#REF!</v>
      </c>
      <c r="Q4928" s="1779"/>
      <c r="R4928" s="1779"/>
      <c r="S4928" s="1779"/>
      <c r="T4928" s="1779"/>
      <c r="U4928" s="1779"/>
      <c r="V4928" s="1779"/>
      <c r="W4928" s="43"/>
      <c r="X4928" s="1779"/>
      <c r="Y4928" s="1779"/>
      <c r="Z4928" s="1779"/>
      <c r="AA4928" s="1779"/>
      <c r="AB4928" s="1779"/>
      <c r="AC4928" s="1779"/>
      <c r="AD4928" s="1779"/>
      <c r="AE4928" s="1779"/>
      <c r="AF4928" s="1779"/>
      <c r="AG4928" s="1779"/>
      <c r="AH4928" s="1779"/>
      <c r="AI4928" s="1779"/>
      <c r="AJ4928" s="1779"/>
      <c r="AK4928" s="1779"/>
      <c r="AL4928" s="1779"/>
      <c r="AM4928" s="1779"/>
      <c r="AN4928" s="1779"/>
      <c r="AO4928" s="1779"/>
      <c r="AP4928" s="1779"/>
      <c r="AQ4928" s="1779"/>
      <c r="AR4928" s="1779"/>
      <c r="AS4928" s="1779"/>
      <c r="AT4928" s="1779"/>
      <c r="AU4928" s="1779"/>
      <c r="AV4928" s="1779"/>
    </row>
    <row r="4929" spans="1:48">
      <c r="A4929" s="1119"/>
      <c r="B4929" s="992" t="s">
        <v>1248</v>
      </c>
      <c r="C4929" s="992" t="s">
        <v>652</v>
      </c>
      <c r="D4929" s="1590"/>
      <c r="E4929" s="2224" t="s">
        <v>1930</v>
      </c>
      <c r="F4929" s="505">
        <v>1228</v>
      </c>
      <c r="G4929" s="1430" t="s">
        <v>2139</v>
      </c>
      <c r="H4929" s="2592"/>
      <c r="I4929" s="2592">
        <v>238</v>
      </c>
      <c r="J4929" s="2636"/>
      <c r="K4929" s="2627"/>
      <c r="L4929" s="2594"/>
      <c r="M4929" s="2592">
        <v>238</v>
      </c>
      <c r="N4929" s="2847"/>
      <c r="O4929" s="86"/>
      <c r="P4929" s="1817" t="e">
        <f>INDEX(#REF!,MATCH(F4929,#REF!,0),2)</f>
        <v>#REF!</v>
      </c>
      <c r="Q4929" s="1779"/>
      <c r="R4929" s="1779"/>
      <c r="S4929" s="1779"/>
      <c r="T4929" s="1779"/>
      <c r="U4929" s="1779"/>
      <c r="V4929" s="1779"/>
      <c r="W4929" s="43"/>
      <c r="X4929" s="1779"/>
      <c r="Y4929" s="1779"/>
      <c r="Z4929" s="1779"/>
      <c r="AA4929" s="1779"/>
      <c r="AB4929" s="1779"/>
      <c r="AC4929" s="1779"/>
      <c r="AD4929" s="1779"/>
      <c r="AE4929" s="1779"/>
      <c r="AF4929" s="1779"/>
      <c r="AG4929" s="1779"/>
      <c r="AH4929" s="1779"/>
      <c r="AI4929" s="1779"/>
      <c r="AJ4929" s="1779"/>
      <c r="AK4929" s="1779"/>
      <c r="AL4929" s="1779"/>
      <c r="AM4929" s="1779"/>
      <c r="AN4929" s="1779"/>
      <c r="AO4929" s="1779"/>
      <c r="AP4929" s="1779"/>
      <c r="AQ4929" s="1779"/>
      <c r="AR4929" s="1779"/>
      <c r="AS4929" s="1779"/>
      <c r="AT4929" s="1779"/>
      <c r="AU4929" s="1779"/>
      <c r="AV4929" s="1779"/>
    </row>
    <row r="4930" spans="1:48" ht="102" customHeight="1">
      <c r="A4930" s="1897"/>
      <c r="B4930" s="992" t="s">
        <v>1248</v>
      </c>
      <c r="C4930" s="992" t="s">
        <v>652</v>
      </c>
      <c r="D4930" s="1590"/>
      <c r="E4930" s="2224" t="s">
        <v>1930</v>
      </c>
      <c r="F4930" s="505">
        <v>1228</v>
      </c>
      <c r="G4930" s="1430" t="s">
        <v>3181</v>
      </c>
      <c r="H4930" s="2592"/>
      <c r="I4930" s="2592">
        <v>-39</v>
      </c>
      <c r="J4930" s="2636"/>
      <c r="K4930" s="2627"/>
      <c r="L4930" s="2594"/>
      <c r="M4930" s="2594"/>
      <c r="N4930" s="2847"/>
      <c r="O4930" s="86"/>
      <c r="P4930" s="1817" t="e">
        <f>INDEX(#REF!,MATCH(F4930,#REF!,0),2)</f>
        <v>#REF!</v>
      </c>
      <c r="Q4930" s="1779"/>
      <c r="R4930" s="1779"/>
      <c r="S4930" s="1779"/>
      <c r="T4930" s="1779"/>
      <c r="U4930" s="1779"/>
      <c r="V4930" s="1779"/>
      <c r="W4930" s="43"/>
      <c r="X4930" s="1779"/>
      <c r="Y4930" s="1779"/>
      <c r="Z4930" s="1779"/>
      <c r="AA4930" s="1779"/>
      <c r="AB4930" s="1779"/>
      <c r="AC4930" s="1779"/>
      <c r="AD4930" s="1779"/>
      <c r="AE4930" s="1779"/>
      <c r="AF4930" s="1779"/>
      <c r="AG4930" s="1779"/>
      <c r="AH4930" s="1779"/>
      <c r="AI4930" s="1779"/>
      <c r="AJ4930" s="1779"/>
      <c r="AK4930" s="1779"/>
      <c r="AL4930" s="1779"/>
      <c r="AM4930" s="1779"/>
      <c r="AN4930" s="1779"/>
      <c r="AO4930" s="1779"/>
      <c r="AP4930" s="1779"/>
      <c r="AQ4930" s="1779"/>
      <c r="AR4930" s="1779"/>
      <c r="AS4930" s="1779"/>
      <c r="AT4930" s="1779"/>
      <c r="AU4930" s="1779"/>
      <c r="AV4930" s="1779"/>
    </row>
    <row r="4931" spans="1:48" ht="102" customHeight="1">
      <c r="A4931" s="971"/>
      <c r="B4931" s="506" t="s">
        <v>1248</v>
      </c>
      <c r="C4931" s="506" t="s">
        <v>505</v>
      </c>
      <c r="D4931" s="1589">
        <v>670</v>
      </c>
      <c r="E4931" s="2223" t="s">
        <v>1930</v>
      </c>
      <c r="F4931" s="540">
        <v>2210</v>
      </c>
      <c r="G4931" s="730" t="s">
        <v>879</v>
      </c>
      <c r="H4931" s="2611">
        <v>1876</v>
      </c>
      <c r="I4931" s="2611"/>
      <c r="J4931" s="2639"/>
      <c r="K4931" s="2626"/>
      <c r="L4931" s="2611">
        <v>1876</v>
      </c>
      <c r="M4931" s="2611"/>
      <c r="N4931" s="2847"/>
      <c r="O4931" s="86"/>
      <c r="P4931" s="1817" t="e">
        <f>INDEX(#REF!,MATCH(F4931,#REF!,0),2)</f>
        <v>#REF!</v>
      </c>
      <c r="Q4931" s="1779"/>
      <c r="R4931" s="1779"/>
      <c r="S4931" s="1779"/>
      <c r="T4931" s="1779"/>
      <c r="U4931" s="1779"/>
      <c r="V4931" s="1779"/>
      <c r="W4931" s="43"/>
      <c r="X4931" s="1779"/>
      <c r="Y4931" s="1779"/>
      <c r="Z4931" s="1779"/>
      <c r="AA4931" s="1779"/>
      <c r="AB4931" s="1779"/>
      <c r="AC4931" s="1779"/>
      <c r="AD4931" s="1779"/>
      <c r="AE4931" s="1779"/>
      <c r="AF4931" s="1779"/>
      <c r="AG4931" s="1779"/>
      <c r="AH4931" s="1779"/>
      <c r="AI4931" s="1779"/>
      <c r="AJ4931" s="1779"/>
      <c r="AK4931" s="1779"/>
      <c r="AL4931" s="1779"/>
      <c r="AM4931" s="1779"/>
      <c r="AN4931" s="1779"/>
      <c r="AO4931" s="1779"/>
      <c r="AP4931" s="1779"/>
      <c r="AQ4931" s="1779"/>
      <c r="AR4931" s="1779"/>
      <c r="AS4931" s="1779"/>
      <c r="AT4931" s="1779"/>
      <c r="AU4931" s="1779"/>
      <c r="AV4931" s="1779"/>
    </row>
    <row r="4932" spans="1:48" ht="102" customHeight="1">
      <c r="A4932" s="1000" t="s">
        <v>1583</v>
      </c>
      <c r="B4932" s="992" t="s">
        <v>1248</v>
      </c>
      <c r="C4932" s="992" t="s">
        <v>505</v>
      </c>
      <c r="D4932" s="1620"/>
      <c r="E4932" s="2246" t="s">
        <v>1930</v>
      </c>
      <c r="F4932" s="1011">
        <v>2210</v>
      </c>
      <c r="G4932" s="1430" t="s">
        <v>472</v>
      </c>
      <c r="H4932" s="2592"/>
      <c r="I4932" s="2592">
        <v>1300</v>
      </c>
      <c r="J4932" s="2636"/>
      <c r="K4932" s="2623"/>
      <c r="L4932" s="2592"/>
      <c r="M4932" s="2592">
        <v>1300</v>
      </c>
      <c r="N4932" s="2847" t="s">
        <v>3332</v>
      </c>
      <c r="O4932" s="86"/>
      <c r="P4932" s="1817" t="e">
        <f>INDEX(#REF!,MATCH(F4932,#REF!,0),2)</f>
        <v>#REF!</v>
      </c>
      <c r="Q4932" s="1779"/>
      <c r="R4932" s="1779"/>
      <c r="S4932" s="1779"/>
      <c r="T4932" s="1779"/>
      <c r="U4932" s="1779"/>
      <c r="V4932" s="1779"/>
      <c r="W4932" s="43"/>
      <c r="X4932" s="1779"/>
      <c r="Y4932" s="1779"/>
      <c r="Z4932" s="1779"/>
      <c r="AA4932" s="1779"/>
      <c r="AB4932" s="1779"/>
      <c r="AC4932" s="1779"/>
      <c r="AD4932" s="1779"/>
      <c r="AE4932" s="1779"/>
      <c r="AF4932" s="1779"/>
      <c r="AG4932" s="1779"/>
      <c r="AH4932" s="1779"/>
      <c r="AI4932" s="1779"/>
      <c r="AJ4932" s="1779"/>
      <c r="AK4932" s="1779"/>
      <c r="AL4932" s="1779"/>
      <c r="AM4932" s="1779"/>
      <c r="AN4932" s="1779"/>
      <c r="AO4932" s="1779"/>
      <c r="AP4932" s="1779"/>
      <c r="AQ4932" s="1779"/>
      <c r="AR4932" s="1779"/>
      <c r="AS4932" s="1779"/>
      <c r="AT4932" s="1779"/>
      <c r="AU4932" s="1779"/>
      <c r="AV4932" s="1779"/>
    </row>
    <row r="4933" spans="1:48" ht="51" customHeight="1">
      <c r="A4933" s="1000"/>
      <c r="B4933" s="992" t="s">
        <v>1248</v>
      </c>
      <c r="C4933" s="992" t="s">
        <v>505</v>
      </c>
      <c r="D4933" s="1620"/>
      <c r="E4933" s="2246" t="s">
        <v>1930</v>
      </c>
      <c r="F4933" s="1011">
        <v>2210</v>
      </c>
      <c r="G4933" s="1430" t="s">
        <v>3490</v>
      </c>
      <c r="H4933" s="2592"/>
      <c r="I4933" s="2592">
        <v>576</v>
      </c>
      <c r="J4933" s="2636"/>
      <c r="K4933" s="2623"/>
      <c r="L4933" s="2592"/>
      <c r="M4933" s="2592">
        <v>576</v>
      </c>
      <c r="N4933" s="2847"/>
      <c r="O4933" s="86"/>
      <c r="P4933" s="1817" t="e">
        <f>INDEX(#REF!,MATCH(F4933,#REF!,0),2)</f>
        <v>#REF!</v>
      </c>
      <c r="Q4933" s="43"/>
      <c r="R4933" s="43"/>
      <c r="S4933" s="43"/>
      <c r="T4933" s="43"/>
      <c r="U4933" s="43"/>
      <c r="V4933" s="43"/>
      <c r="W4933" s="43"/>
      <c r="X4933" s="43"/>
      <c r="Y4933" s="43"/>
      <c r="Z4933" s="43"/>
      <c r="AA4933" s="43"/>
      <c r="AB4933" s="43"/>
      <c r="AC4933" s="43"/>
      <c r="AD4933" s="43"/>
      <c r="AE4933" s="43"/>
      <c r="AF4933" s="43"/>
      <c r="AG4933" s="43"/>
      <c r="AH4933" s="43"/>
      <c r="AI4933" s="43"/>
      <c r="AJ4933" s="43"/>
      <c r="AK4933" s="43"/>
      <c r="AL4933" s="43"/>
      <c r="AM4933" s="43"/>
      <c r="AN4933" s="43"/>
      <c r="AO4933" s="43"/>
      <c r="AP4933" s="43"/>
      <c r="AQ4933" s="43"/>
      <c r="AR4933" s="43"/>
      <c r="AS4933" s="43"/>
      <c r="AT4933" s="43"/>
      <c r="AU4933" s="43"/>
      <c r="AV4933" s="43"/>
    </row>
    <row r="4934" spans="1:48" ht="51" customHeight="1">
      <c r="A4934" s="1914"/>
      <c r="B4934" s="506" t="s">
        <v>1248</v>
      </c>
      <c r="C4934" s="506" t="s">
        <v>505</v>
      </c>
      <c r="D4934" s="1589">
        <v>670</v>
      </c>
      <c r="E4934" s="2223" t="s">
        <v>1930</v>
      </c>
      <c r="F4934" s="540">
        <v>2234</v>
      </c>
      <c r="G4934" s="730" t="s">
        <v>3492</v>
      </c>
      <c r="H4934" s="2611">
        <v>39</v>
      </c>
      <c r="I4934" s="2611"/>
      <c r="J4934" s="2639"/>
      <c r="K4934" s="2626"/>
      <c r="L4934" s="2611">
        <v>39</v>
      </c>
      <c r="M4934" s="2611"/>
      <c r="N4934" s="2847"/>
      <c r="O4934" s="86"/>
      <c r="P4934" s="1817" t="e">
        <f>INDEX(#REF!,MATCH(F4934,#REF!,0),2)</f>
        <v>#REF!</v>
      </c>
      <c r="Q4934" s="43"/>
      <c r="R4934" s="43"/>
      <c r="S4934" s="43"/>
      <c r="T4934" s="43"/>
      <c r="U4934" s="43"/>
      <c r="V4934" s="43"/>
      <c r="W4934" s="43"/>
      <c r="X4934" s="43"/>
      <c r="Y4934" s="43"/>
      <c r="Z4934" s="43"/>
      <c r="AA4934" s="43"/>
      <c r="AB4934" s="43"/>
      <c r="AC4934" s="43"/>
      <c r="AD4934" s="43"/>
      <c r="AE4934" s="43"/>
      <c r="AF4934" s="43"/>
      <c r="AG4934" s="43"/>
      <c r="AH4934" s="43"/>
      <c r="AI4934" s="43"/>
      <c r="AJ4934" s="43"/>
      <c r="AK4934" s="43"/>
      <c r="AL4934" s="43"/>
      <c r="AM4934" s="43"/>
      <c r="AN4934" s="43"/>
      <c r="AO4934" s="43"/>
      <c r="AP4934" s="43"/>
      <c r="AQ4934" s="43"/>
      <c r="AR4934" s="43"/>
      <c r="AS4934" s="43"/>
      <c r="AT4934" s="43"/>
      <c r="AU4934" s="43"/>
      <c r="AV4934" s="43"/>
    </row>
    <row r="4935" spans="1:48" s="1799" customFormat="1" ht="51" customHeight="1">
      <c r="A4935" s="1914"/>
      <c r="B4935" s="992" t="s">
        <v>1248</v>
      </c>
      <c r="C4935" s="992" t="s">
        <v>505</v>
      </c>
      <c r="D4935" s="1620"/>
      <c r="E4935" s="2246" t="s">
        <v>1930</v>
      </c>
      <c r="F4935" s="1011">
        <v>2234</v>
      </c>
      <c r="G4935" s="1430" t="s">
        <v>3181</v>
      </c>
      <c r="H4935" s="2592"/>
      <c r="I4935" s="2592">
        <v>39</v>
      </c>
      <c r="J4935" s="2636"/>
      <c r="K4935" s="2623"/>
      <c r="L4935" s="2592"/>
      <c r="M4935" s="2592">
        <v>39</v>
      </c>
      <c r="N4935" s="2847" t="s">
        <v>3491</v>
      </c>
      <c r="O4935" s="86"/>
      <c r="P4935" s="1817" t="e">
        <f>INDEX(#REF!,MATCH(F4935,#REF!,0),2)</f>
        <v>#REF!</v>
      </c>
      <c r="Q4935" s="1798"/>
      <c r="R4935" s="1798"/>
      <c r="S4935" s="1798"/>
      <c r="T4935" s="1798"/>
      <c r="U4935" s="1798"/>
      <c r="V4935" s="1798"/>
      <c r="W4935" s="1798"/>
      <c r="X4935" s="1798"/>
      <c r="Y4935" s="1798"/>
      <c r="Z4935" s="1798"/>
      <c r="AA4935" s="1798"/>
      <c r="AB4935" s="1798"/>
      <c r="AC4935" s="1798"/>
      <c r="AD4935" s="1798"/>
      <c r="AE4935" s="1798"/>
      <c r="AF4935" s="1798"/>
      <c r="AG4935" s="1798"/>
      <c r="AH4935" s="1798"/>
      <c r="AI4935" s="1798"/>
      <c r="AJ4935" s="1798"/>
      <c r="AK4935" s="1801"/>
      <c r="AL4935" s="1801"/>
      <c r="AM4935" s="1801"/>
      <c r="AN4935" s="1801"/>
      <c r="AO4935" s="1801"/>
      <c r="AP4935" s="1801"/>
      <c r="AQ4935" s="1801"/>
      <c r="AR4935" s="1801"/>
      <c r="AS4935" s="1801"/>
      <c r="AT4935" s="1801"/>
      <c r="AU4935" s="1801"/>
      <c r="AV4935" s="1801"/>
    </row>
    <row r="4936" spans="1:48" s="1799" customFormat="1" ht="11.25">
      <c r="A4936" s="1914"/>
      <c r="B4936" s="506" t="s">
        <v>1248</v>
      </c>
      <c r="C4936" s="506" t="s">
        <v>505</v>
      </c>
      <c r="D4936" s="1589">
        <v>670</v>
      </c>
      <c r="E4936" s="2223" t="s">
        <v>1930</v>
      </c>
      <c r="F4936" s="540">
        <v>2235</v>
      </c>
      <c r="G4936" s="730" t="s">
        <v>2431</v>
      </c>
      <c r="H4936" s="2611">
        <v>320</v>
      </c>
      <c r="I4936" s="2611"/>
      <c r="J4936" s="2639"/>
      <c r="K4936" s="2626"/>
      <c r="L4936" s="2611">
        <v>320</v>
      </c>
      <c r="M4936" s="2611"/>
      <c r="N4936" s="2847"/>
      <c r="O4936" s="86"/>
      <c r="P4936" s="1817" t="e">
        <f>INDEX(#REF!,MATCH(F4936,#REF!,0),2)</f>
        <v>#REF!</v>
      </c>
      <c r="Q4936" s="1798"/>
      <c r="R4936" s="1798"/>
      <c r="S4936" s="1798"/>
      <c r="T4936" s="1798"/>
      <c r="U4936" s="1798"/>
      <c r="V4936" s="1798"/>
      <c r="W4936" s="1798"/>
      <c r="X4936" s="1798"/>
      <c r="Y4936" s="1798"/>
      <c r="Z4936" s="1798"/>
      <c r="AA4936" s="1798"/>
      <c r="AB4936" s="1798"/>
      <c r="AC4936" s="1798"/>
      <c r="AD4936" s="1798"/>
      <c r="AE4936" s="1798"/>
      <c r="AF4936" s="1798"/>
      <c r="AG4936" s="1798"/>
      <c r="AH4936" s="1798"/>
      <c r="AI4936" s="1798"/>
      <c r="AJ4936" s="1798"/>
      <c r="AK4936" s="1801"/>
      <c r="AL4936" s="1801"/>
      <c r="AM4936" s="1801"/>
      <c r="AN4936" s="1801"/>
      <c r="AO4936" s="1801"/>
      <c r="AP4936" s="1801"/>
      <c r="AQ4936" s="1801"/>
      <c r="AR4936" s="1801"/>
      <c r="AS4936" s="1801"/>
      <c r="AT4936" s="1801"/>
      <c r="AU4936" s="1801"/>
      <c r="AV4936" s="1801"/>
    </row>
    <row r="4937" spans="1:48" s="1799" customFormat="1" ht="11.25">
      <c r="A4937" s="1914"/>
      <c r="B4937" s="992" t="s">
        <v>1248</v>
      </c>
      <c r="C4937" s="992" t="s">
        <v>505</v>
      </c>
      <c r="D4937" s="1620"/>
      <c r="E4937" s="2246" t="s">
        <v>1930</v>
      </c>
      <c r="F4937" s="1011">
        <v>2235</v>
      </c>
      <c r="G4937" s="1054" t="s">
        <v>3495</v>
      </c>
      <c r="H4937" s="2592"/>
      <c r="I4937" s="2592">
        <v>320</v>
      </c>
      <c r="J4937" s="2636"/>
      <c r="K4937" s="2623"/>
      <c r="L4937" s="2592"/>
      <c r="M4937" s="2592">
        <v>320</v>
      </c>
      <c r="N4937" s="2847"/>
      <c r="O4937" s="86"/>
      <c r="P4937" s="1817" t="e">
        <f>INDEX(#REF!,MATCH(F4937,#REF!,0),2)</f>
        <v>#REF!</v>
      </c>
      <c r="Q4937" s="1798"/>
      <c r="R4937" s="1798"/>
      <c r="S4937" s="1798"/>
      <c r="T4937" s="1798"/>
      <c r="U4937" s="1798"/>
      <c r="V4937" s="1798"/>
      <c r="W4937" s="1798"/>
      <c r="X4937" s="1798"/>
      <c r="Y4937" s="1798"/>
      <c r="Z4937" s="1798"/>
      <c r="AA4937" s="1798"/>
      <c r="AB4937" s="1798"/>
      <c r="AC4937" s="1798"/>
      <c r="AD4937" s="1798"/>
      <c r="AE4937" s="1798"/>
      <c r="AF4937" s="1798"/>
      <c r="AG4937" s="1798"/>
      <c r="AH4937" s="1798"/>
      <c r="AI4937" s="1798"/>
      <c r="AJ4937" s="1798"/>
      <c r="AK4937" s="1801"/>
      <c r="AL4937" s="1801"/>
      <c r="AM4937" s="1801"/>
      <c r="AN4937" s="1801"/>
      <c r="AO4937" s="1801"/>
      <c r="AP4937" s="1801"/>
      <c r="AQ4937" s="1801"/>
      <c r="AR4937" s="1801"/>
      <c r="AS4937" s="1801"/>
      <c r="AT4937" s="1801"/>
      <c r="AU4937" s="1801"/>
      <c r="AV4937" s="1801"/>
    </row>
    <row r="4938" spans="1:48" ht="33.75">
      <c r="A4938" s="971"/>
      <c r="B4938" s="506" t="s">
        <v>1248</v>
      </c>
      <c r="C4938" s="506" t="s">
        <v>505</v>
      </c>
      <c r="D4938" s="1589">
        <v>670</v>
      </c>
      <c r="E4938" s="2223" t="s">
        <v>1930</v>
      </c>
      <c r="F4938" s="540">
        <v>2239</v>
      </c>
      <c r="G4938" s="730" t="s">
        <v>237</v>
      </c>
      <c r="H4938" s="2611">
        <v>34033</v>
      </c>
      <c r="I4938" s="2611"/>
      <c r="J4938" s="2639"/>
      <c r="K4938" s="2626"/>
      <c r="L4938" s="2611">
        <v>29897</v>
      </c>
      <c r="M4938" s="2598"/>
      <c r="N4938" s="2847"/>
      <c r="O4938" s="86"/>
      <c r="P4938" s="1817" t="e">
        <f>INDEX(#REF!,MATCH(F4938,#REF!,0),2)</f>
        <v>#REF!</v>
      </c>
      <c r="Q4938" s="1779"/>
      <c r="R4938" s="1779"/>
      <c r="S4938" s="1779"/>
      <c r="T4938" s="1779"/>
      <c r="U4938" s="1779"/>
      <c r="V4938" s="1779"/>
      <c r="W4938" s="43"/>
      <c r="X4938" s="1779"/>
      <c r="Y4938" s="1779"/>
      <c r="Z4938" s="1779"/>
      <c r="AA4938" s="1779"/>
      <c r="AB4938" s="1779"/>
      <c r="AC4938" s="1779"/>
      <c r="AD4938" s="1779"/>
      <c r="AE4938" s="1779"/>
      <c r="AF4938" s="1779"/>
      <c r="AG4938" s="1779"/>
      <c r="AH4938" s="1779"/>
      <c r="AI4938" s="1779"/>
      <c r="AJ4938" s="1779"/>
      <c r="AK4938" s="1779"/>
      <c r="AL4938" s="1779"/>
      <c r="AM4938" s="1779"/>
      <c r="AN4938" s="1779"/>
      <c r="AO4938" s="1779"/>
      <c r="AP4938" s="1779"/>
      <c r="AQ4938" s="1779"/>
      <c r="AR4938" s="1779"/>
      <c r="AS4938" s="1779"/>
      <c r="AT4938" s="1779"/>
      <c r="AU4938" s="1779"/>
      <c r="AV4938" s="1779"/>
    </row>
    <row r="4939" spans="1:48">
      <c r="A4939" s="521" t="s">
        <v>1583</v>
      </c>
      <c r="B4939" s="412" t="s">
        <v>1248</v>
      </c>
      <c r="C4939" s="412" t="s">
        <v>505</v>
      </c>
      <c r="D4939" s="1590"/>
      <c r="E4939" s="2224" t="s">
        <v>1930</v>
      </c>
      <c r="F4939" s="505">
        <v>2239</v>
      </c>
      <c r="G4939" s="556" t="s">
        <v>3493</v>
      </c>
      <c r="H4939" s="2613"/>
      <c r="I4939" s="2613">
        <v>500</v>
      </c>
      <c r="J4939" s="2636"/>
      <c r="K4939" s="2628"/>
      <c r="L4939" s="2612"/>
      <c r="M4939" s="2613">
        <v>500</v>
      </c>
      <c r="N4939" s="2847"/>
      <c r="O4939" s="86"/>
      <c r="P4939" s="1817" t="e">
        <f>INDEX(#REF!,MATCH(F4939,#REF!,0),2)</f>
        <v>#REF!</v>
      </c>
      <c r="Q4939" s="1779"/>
      <c r="R4939" s="1779"/>
      <c r="S4939" s="1779"/>
      <c r="T4939" s="1779"/>
      <c r="U4939" s="1779"/>
      <c r="V4939" s="1779"/>
      <c r="W4939" s="43"/>
      <c r="X4939" s="1779"/>
      <c r="Y4939" s="1779"/>
      <c r="Z4939" s="1779"/>
      <c r="AA4939" s="1779"/>
      <c r="AB4939" s="1779"/>
      <c r="AC4939" s="1779"/>
      <c r="AD4939" s="1779"/>
      <c r="AE4939" s="1779"/>
      <c r="AF4939" s="1779"/>
      <c r="AG4939" s="1779"/>
      <c r="AH4939" s="1779"/>
      <c r="AI4939" s="1779"/>
      <c r="AJ4939" s="1779"/>
      <c r="AK4939" s="1779"/>
      <c r="AL4939" s="1779"/>
      <c r="AM4939" s="1779"/>
      <c r="AN4939" s="1779"/>
      <c r="AO4939" s="1779"/>
      <c r="AP4939" s="1779"/>
      <c r="AQ4939" s="1779"/>
      <c r="AR4939" s="1779"/>
      <c r="AS4939" s="1779"/>
      <c r="AT4939" s="1779"/>
      <c r="AU4939" s="1779"/>
      <c r="AV4939" s="1779"/>
    </row>
    <row r="4940" spans="1:48">
      <c r="A4940" s="521" t="s">
        <v>1583</v>
      </c>
      <c r="B4940" s="412" t="s">
        <v>1248</v>
      </c>
      <c r="C4940" s="412" t="s">
        <v>505</v>
      </c>
      <c r="D4940" s="1590"/>
      <c r="E4940" s="2224" t="s">
        <v>1930</v>
      </c>
      <c r="F4940" s="505">
        <v>2239</v>
      </c>
      <c r="G4940" s="556" t="s">
        <v>1074</v>
      </c>
      <c r="H4940" s="2592"/>
      <c r="I4940" s="2640">
        <v>432</v>
      </c>
      <c r="J4940" s="2636"/>
      <c r="K4940" s="2629"/>
      <c r="L4940" s="2594"/>
      <c r="M4940" s="2614"/>
      <c r="N4940" s="2847" t="s">
        <v>3494</v>
      </c>
      <c r="O4940" s="86"/>
      <c r="P4940" s="1817" t="e">
        <f>INDEX(#REF!,MATCH(F4940,#REF!,0),2)</f>
        <v>#REF!</v>
      </c>
      <c r="Q4940" s="43"/>
      <c r="R4940" s="43"/>
      <c r="S4940" s="43"/>
      <c r="T4940" s="43"/>
      <c r="U4940" s="43"/>
      <c r="V4940" s="43"/>
      <c r="W4940" s="43"/>
      <c r="X4940" s="43"/>
      <c r="Y4940" s="43"/>
      <c r="Z4940" s="43"/>
      <c r="AA4940" s="43"/>
      <c r="AB4940" s="43"/>
      <c r="AC4940" s="43"/>
      <c r="AD4940" s="43"/>
      <c r="AE4940" s="43"/>
      <c r="AF4940" s="43"/>
      <c r="AG4940" s="43"/>
      <c r="AH4940" s="43"/>
      <c r="AI4940" s="43"/>
      <c r="AJ4940" s="43"/>
      <c r="AK4940" s="43"/>
      <c r="AL4940" s="43"/>
      <c r="AM4940" s="43"/>
      <c r="AN4940" s="43"/>
      <c r="AO4940" s="43"/>
      <c r="AP4940" s="43"/>
      <c r="AQ4940" s="43"/>
      <c r="AR4940" s="43"/>
      <c r="AS4940" s="43"/>
      <c r="AT4940" s="43"/>
      <c r="AU4940" s="43"/>
      <c r="AV4940" s="43"/>
    </row>
    <row r="4941" spans="1:48">
      <c r="A4941" s="1394"/>
      <c r="B4941" s="412" t="s">
        <v>1248</v>
      </c>
      <c r="C4941" s="412" t="s">
        <v>507</v>
      </c>
      <c r="D4941" s="1590"/>
      <c r="E4941" s="2224" t="s">
        <v>1930</v>
      </c>
      <c r="F4941" s="505">
        <v>2239</v>
      </c>
      <c r="G4941" s="1054" t="s">
        <v>1985</v>
      </c>
      <c r="H4941" s="2592"/>
      <c r="I4941" s="2592">
        <v>300</v>
      </c>
      <c r="J4941" s="2636"/>
      <c r="K4941" s="2627"/>
      <c r="L4941" s="2594"/>
      <c r="M4941" s="2613">
        <v>150</v>
      </c>
      <c r="N4941" s="2847" t="s">
        <v>3496</v>
      </c>
      <c r="O4941" s="86"/>
      <c r="P4941" s="1817" t="e">
        <f>INDEX(#REF!,MATCH(F4941,#REF!,0),2)</f>
        <v>#REF!</v>
      </c>
      <c r="Q4941" s="1779"/>
      <c r="R4941" s="1779"/>
      <c r="S4941" s="1779"/>
      <c r="T4941" s="1779"/>
      <c r="U4941" s="1779"/>
      <c r="V4941" s="1779"/>
      <c r="W4941" s="43"/>
      <c r="X4941" s="1779"/>
      <c r="Y4941" s="1779"/>
      <c r="Z4941" s="1779"/>
      <c r="AA4941" s="1779"/>
      <c r="AB4941" s="1779"/>
      <c r="AC4941" s="1779"/>
      <c r="AD4941" s="1779"/>
      <c r="AE4941" s="1779"/>
      <c r="AF4941" s="1779"/>
      <c r="AG4941" s="1779"/>
      <c r="AH4941" s="1779"/>
      <c r="AI4941" s="1779"/>
      <c r="AJ4941" s="1779"/>
      <c r="AL4941" s="1779"/>
      <c r="AM4941" s="1779"/>
      <c r="AN4941" s="1779"/>
      <c r="AO4941" s="1779"/>
      <c r="AP4941" s="1779"/>
      <c r="AQ4941" s="1779"/>
      <c r="AR4941" s="1779"/>
      <c r="AS4941" s="1779"/>
      <c r="AT4941" s="1779"/>
      <c r="AU4941" s="1779"/>
      <c r="AV4941" s="1779"/>
    </row>
    <row r="4942" spans="1:48" ht="56.25">
      <c r="A4942" s="521" t="s">
        <v>1584</v>
      </c>
      <c r="B4942" s="412" t="s">
        <v>1248</v>
      </c>
      <c r="C4942" s="412" t="s">
        <v>507</v>
      </c>
      <c r="D4942" s="1590"/>
      <c r="E4942" s="2224" t="s">
        <v>1930</v>
      </c>
      <c r="F4942" s="505">
        <v>2239</v>
      </c>
      <c r="G4942" s="1431" t="s">
        <v>2591</v>
      </c>
      <c r="H4942" s="2613"/>
      <c r="I4942" s="2613">
        <v>3500</v>
      </c>
      <c r="J4942" s="2636"/>
      <c r="K4942" s="2628"/>
      <c r="L4942" s="2612"/>
      <c r="M4942" s="2613">
        <v>3500</v>
      </c>
      <c r="N4942" s="2847"/>
      <c r="O4942" s="86"/>
      <c r="P4942" s="1817" t="e">
        <f>INDEX(#REF!,MATCH(F4942,#REF!,0),2)</f>
        <v>#REF!</v>
      </c>
      <c r="Q4942" s="43"/>
      <c r="R4942" s="43"/>
      <c r="S4942" s="43"/>
      <c r="T4942" s="43"/>
      <c r="U4942" s="43"/>
      <c r="V4942" s="43"/>
      <c r="W4942" s="43"/>
      <c r="X4942" s="43"/>
      <c r="Y4942" s="43"/>
      <c r="Z4942" s="43"/>
      <c r="AA4942" s="43"/>
      <c r="AB4942" s="43"/>
      <c r="AC4942" s="43"/>
      <c r="AD4942" s="43"/>
      <c r="AE4942" s="43"/>
      <c r="AF4942" s="43"/>
      <c r="AG4942" s="43"/>
      <c r="AH4942" s="43"/>
      <c r="AI4942" s="43"/>
      <c r="AJ4942" s="43"/>
      <c r="AK4942" s="43"/>
      <c r="AL4942" s="43"/>
      <c r="AM4942" s="43"/>
      <c r="AN4942" s="43"/>
      <c r="AO4942" s="43"/>
      <c r="AP4942" s="43"/>
      <c r="AQ4942" s="43"/>
      <c r="AR4942" s="43"/>
      <c r="AS4942" s="43"/>
      <c r="AT4942" s="43"/>
      <c r="AU4942" s="43"/>
      <c r="AV4942" s="43"/>
    </row>
    <row r="4943" spans="1:48" ht="22.5">
      <c r="A4943" s="521" t="s">
        <v>1584</v>
      </c>
      <c r="B4943" s="412" t="s">
        <v>1248</v>
      </c>
      <c r="C4943" s="412" t="s">
        <v>507</v>
      </c>
      <c r="D4943" s="1590"/>
      <c r="E4943" s="2224" t="s">
        <v>1930</v>
      </c>
      <c r="F4943" s="505">
        <v>2239</v>
      </c>
      <c r="G4943" s="1431" t="s">
        <v>2592</v>
      </c>
      <c r="H4943" s="2613"/>
      <c r="I4943" s="2613">
        <v>550</v>
      </c>
      <c r="J4943" s="2636"/>
      <c r="K4943" s="2628"/>
      <c r="L4943" s="2612"/>
      <c r="M4943" s="2613">
        <v>550</v>
      </c>
      <c r="N4943" s="2847"/>
      <c r="O4943" s="86"/>
      <c r="P4943" s="1817" t="e">
        <f>INDEX(#REF!,MATCH(F4943,#REF!,0),2)</f>
        <v>#REF!</v>
      </c>
      <c r="Q4943" s="43"/>
      <c r="R4943" s="43"/>
      <c r="S4943" s="43"/>
      <c r="T4943" s="43"/>
      <c r="U4943" s="43"/>
      <c r="V4943" s="43"/>
      <c r="W4943" s="43"/>
      <c r="X4943" s="43"/>
      <c r="Y4943" s="43"/>
      <c r="Z4943" s="43"/>
      <c r="AA4943" s="43"/>
      <c r="AB4943" s="43"/>
      <c r="AC4943" s="43"/>
      <c r="AD4943" s="43"/>
      <c r="AE4943" s="43"/>
      <c r="AF4943" s="43"/>
      <c r="AG4943" s="43"/>
      <c r="AH4943" s="43"/>
      <c r="AI4943" s="43"/>
      <c r="AJ4943" s="43"/>
      <c r="AK4943" s="4"/>
      <c r="AL4943" s="4"/>
      <c r="AM4943" s="4"/>
      <c r="AN4943" s="4"/>
      <c r="AO4943" s="4"/>
      <c r="AP4943" s="4"/>
      <c r="AQ4943" s="4"/>
      <c r="AR4943" s="4"/>
      <c r="AS4943" s="4"/>
      <c r="AT4943" s="4"/>
      <c r="AU4943" s="4"/>
      <c r="AV4943" s="4"/>
    </row>
    <row r="4944" spans="1:48" ht="33.75">
      <c r="A4944" s="521" t="s">
        <v>1584</v>
      </c>
      <c r="B4944" s="412" t="s">
        <v>1248</v>
      </c>
      <c r="C4944" s="412" t="s">
        <v>507</v>
      </c>
      <c r="D4944" s="1590"/>
      <c r="E4944" s="2224" t="s">
        <v>1930</v>
      </c>
      <c r="F4944" s="505">
        <v>2239</v>
      </c>
      <c r="G4944" s="1431" t="s">
        <v>2593</v>
      </c>
      <c r="H4944" s="2613"/>
      <c r="I4944" s="2613">
        <v>900</v>
      </c>
      <c r="J4944" s="2636"/>
      <c r="K4944" s="2628"/>
      <c r="L4944" s="2612"/>
      <c r="M4944" s="2613">
        <v>900</v>
      </c>
      <c r="N4944" s="2847"/>
      <c r="O4944" s="86"/>
      <c r="P4944" s="1817" t="e">
        <f>INDEX(#REF!,MATCH(F4944,#REF!,0),2)</f>
        <v>#REF!</v>
      </c>
      <c r="Q4944" s="43"/>
      <c r="R4944" s="43"/>
      <c r="S4944" s="43"/>
      <c r="T4944" s="43"/>
      <c r="U4944" s="43"/>
      <c r="V4944" s="43"/>
      <c r="W4944" s="43"/>
      <c r="X4944" s="43"/>
      <c r="Y4944" s="43"/>
      <c r="Z4944" s="43"/>
      <c r="AA4944" s="43"/>
      <c r="AB4944" s="43"/>
      <c r="AC4944" s="43"/>
      <c r="AD4944" s="43"/>
      <c r="AE4944" s="43"/>
      <c r="AF4944" s="43"/>
      <c r="AG4944" s="43"/>
      <c r="AH4944" s="43"/>
      <c r="AI4944" s="43"/>
      <c r="AJ4944" s="43"/>
      <c r="AK4944" s="43"/>
      <c r="AL4944" s="43"/>
      <c r="AM4944" s="43"/>
      <c r="AN4944" s="43"/>
      <c r="AO4944" s="43"/>
      <c r="AP4944" s="43"/>
      <c r="AQ4944" s="43"/>
      <c r="AR4944" s="43"/>
      <c r="AS4944" s="43"/>
      <c r="AT4944" s="43"/>
      <c r="AU4944" s="43"/>
      <c r="AV4944" s="43"/>
    </row>
    <row r="4945" spans="1:48" ht="45">
      <c r="A4945" s="1119"/>
      <c r="B4945" s="412" t="s">
        <v>1248</v>
      </c>
      <c r="C4945" s="412" t="s">
        <v>507</v>
      </c>
      <c r="D4945" s="1590"/>
      <c r="E4945" s="2224" t="s">
        <v>1930</v>
      </c>
      <c r="F4945" s="505">
        <v>2239</v>
      </c>
      <c r="G4945" s="1431" t="s">
        <v>2140</v>
      </c>
      <c r="H4945" s="2613"/>
      <c r="I4945" s="2613">
        <v>4400</v>
      </c>
      <c r="J4945" s="2636"/>
      <c r="K4945" s="2628"/>
      <c r="L4945" s="2612"/>
      <c r="M4945" s="2613">
        <v>4400</v>
      </c>
      <c r="N4945" s="2847"/>
      <c r="O4945" s="86"/>
      <c r="P4945" s="1817" t="e">
        <f>INDEX(#REF!,MATCH(F4945,#REF!,0),2)</f>
        <v>#REF!</v>
      </c>
      <c r="Q4945" s="43"/>
      <c r="R4945" s="43"/>
      <c r="S4945" s="43"/>
      <c r="T4945" s="43"/>
      <c r="U4945" s="43"/>
      <c r="V4945" s="43"/>
      <c r="W4945" s="43"/>
      <c r="X4945" s="43"/>
      <c r="Y4945" s="43"/>
      <c r="Z4945" s="43"/>
      <c r="AA4945" s="43"/>
      <c r="AB4945" s="43"/>
      <c r="AC4945" s="43"/>
      <c r="AD4945" s="43"/>
      <c r="AE4945" s="43"/>
      <c r="AF4945" s="43"/>
      <c r="AG4945" s="43"/>
      <c r="AH4945" s="43"/>
      <c r="AI4945" s="43"/>
      <c r="AJ4945" s="43"/>
      <c r="AK4945" s="43"/>
      <c r="AL4945" s="43"/>
      <c r="AM4945" s="43"/>
      <c r="AN4945" s="43"/>
      <c r="AO4945" s="43"/>
      <c r="AP4945" s="43"/>
      <c r="AQ4945" s="43"/>
      <c r="AR4945" s="43"/>
      <c r="AS4945" s="43"/>
      <c r="AT4945" s="43"/>
      <c r="AU4945" s="43"/>
      <c r="AV4945" s="43"/>
    </row>
    <row r="4946" spans="1:48" ht="90">
      <c r="A4946" s="521" t="s">
        <v>1584</v>
      </c>
      <c r="B4946" s="412" t="s">
        <v>1248</v>
      </c>
      <c r="C4946" s="412" t="s">
        <v>507</v>
      </c>
      <c r="D4946" s="1590"/>
      <c r="E4946" s="2224" t="s">
        <v>1930</v>
      </c>
      <c r="F4946" s="505">
        <v>2239</v>
      </c>
      <c r="G4946" s="2609" t="s">
        <v>3497</v>
      </c>
      <c r="H4946" s="2613"/>
      <c r="I4946" s="2613">
        <v>4840</v>
      </c>
      <c r="J4946" s="2636"/>
      <c r="K4946" s="2628"/>
      <c r="L4946" s="2612"/>
      <c r="M4946" s="2613">
        <v>7787</v>
      </c>
      <c r="N4946" s="2847" t="s">
        <v>3498</v>
      </c>
      <c r="O4946" s="86"/>
      <c r="P4946" s="1817" t="e">
        <f>INDEX(#REF!,MATCH(F4946,#REF!,0),2)</f>
        <v>#REF!</v>
      </c>
      <c r="Q4946" s="43"/>
      <c r="R4946" s="43"/>
      <c r="S4946" s="43"/>
      <c r="T4946" s="43"/>
      <c r="U4946" s="43"/>
      <c r="V4946" s="43"/>
      <c r="W4946" s="43"/>
      <c r="X4946" s="43"/>
      <c r="Y4946" s="43"/>
      <c r="Z4946" s="43"/>
      <c r="AA4946" s="43"/>
      <c r="AB4946" s="43"/>
      <c r="AC4946" s="43"/>
      <c r="AD4946" s="43"/>
      <c r="AE4946" s="43"/>
      <c r="AF4946" s="43"/>
      <c r="AG4946" s="43"/>
      <c r="AH4946" s="43"/>
      <c r="AI4946" s="43"/>
      <c r="AJ4946" s="43"/>
      <c r="AK4946" s="43"/>
      <c r="AL4946" s="43"/>
      <c r="AM4946" s="43"/>
      <c r="AN4946" s="43"/>
      <c r="AO4946" s="43"/>
      <c r="AP4946" s="43"/>
      <c r="AQ4946" s="43"/>
      <c r="AR4946" s="43"/>
      <c r="AS4946" s="43"/>
      <c r="AT4946" s="43"/>
      <c r="AU4946" s="43"/>
      <c r="AV4946" s="43"/>
    </row>
    <row r="4947" spans="1:48" ht="56.25">
      <c r="A4947" s="1897"/>
      <c r="B4947" s="412" t="s">
        <v>1248</v>
      </c>
      <c r="C4947" s="412" t="s">
        <v>507</v>
      </c>
      <c r="D4947" s="1590"/>
      <c r="E4947" s="2224" t="s">
        <v>1930</v>
      </c>
      <c r="F4947" s="505">
        <v>2239</v>
      </c>
      <c r="G4947" s="2609" t="s">
        <v>3499</v>
      </c>
      <c r="H4947" s="2613"/>
      <c r="I4947" s="2613">
        <v>12000</v>
      </c>
      <c r="J4947" s="2636"/>
      <c r="K4947" s="2628"/>
      <c r="L4947" s="2612"/>
      <c r="M4947" s="2613">
        <v>6000</v>
      </c>
      <c r="N4947" s="2847"/>
      <c r="O4947" s="86"/>
      <c r="P4947" s="1817" t="e">
        <f>INDEX(#REF!,MATCH(F4947,#REF!,0),2)</f>
        <v>#REF!</v>
      </c>
      <c r="Q4947" s="43"/>
      <c r="R4947" s="43"/>
      <c r="S4947" s="43"/>
      <c r="T4947" s="43"/>
      <c r="U4947" s="43"/>
      <c r="V4947" s="43"/>
      <c r="W4947" s="43"/>
      <c r="X4947" s="43"/>
      <c r="Y4947" s="43"/>
      <c r="Z4947" s="43"/>
      <c r="AA4947" s="43"/>
      <c r="AB4947" s="43"/>
      <c r="AC4947" s="43"/>
      <c r="AD4947" s="43"/>
      <c r="AE4947" s="43"/>
      <c r="AF4947" s="43"/>
      <c r="AG4947" s="43"/>
      <c r="AH4947" s="43"/>
      <c r="AI4947" s="43"/>
      <c r="AJ4947" s="43"/>
      <c r="AK4947" s="43"/>
      <c r="AL4947" s="43"/>
      <c r="AM4947" s="43"/>
      <c r="AN4947" s="43"/>
      <c r="AO4947" s="43"/>
      <c r="AP4947" s="43"/>
      <c r="AQ4947" s="43"/>
      <c r="AR4947" s="43"/>
      <c r="AS4947" s="43"/>
      <c r="AT4947" s="43"/>
      <c r="AU4947" s="43"/>
      <c r="AV4947" s="43"/>
    </row>
    <row r="4948" spans="1:48" ht="45">
      <c r="A4948" s="1855"/>
      <c r="B4948" s="412" t="s">
        <v>1248</v>
      </c>
      <c r="C4948" s="412" t="s">
        <v>507</v>
      </c>
      <c r="D4948" s="1590"/>
      <c r="E4948" s="2224" t="s">
        <v>1930</v>
      </c>
      <c r="F4948" s="505">
        <v>2239</v>
      </c>
      <c r="G4948" s="2609" t="s">
        <v>2594</v>
      </c>
      <c r="H4948" s="2613"/>
      <c r="I4948" s="2613">
        <v>1590</v>
      </c>
      <c r="J4948" s="2636"/>
      <c r="K4948" s="2628"/>
      <c r="L4948" s="2612"/>
      <c r="M4948" s="2615">
        <v>1590</v>
      </c>
      <c r="N4948" s="2847" t="s">
        <v>3500</v>
      </c>
      <c r="O4948" s="86"/>
      <c r="P4948" s="1817" t="e">
        <f>INDEX(#REF!,MATCH(F4948,#REF!,0),2)</f>
        <v>#REF!</v>
      </c>
      <c r="Q4948" s="43"/>
      <c r="R4948" s="43"/>
      <c r="S4948" s="43"/>
      <c r="T4948" s="43"/>
      <c r="U4948" s="43"/>
      <c r="V4948" s="43"/>
      <c r="W4948" s="43"/>
      <c r="X4948" s="43"/>
      <c r="Y4948" s="43"/>
      <c r="Z4948" s="43"/>
      <c r="AA4948" s="43"/>
      <c r="AB4948" s="43"/>
      <c r="AC4948" s="43"/>
      <c r="AD4948" s="43"/>
      <c r="AE4948" s="43"/>
      <c r="AF4948" s="43"/>
      <c r="AG4948" s="43"/>
      <c r="AH4948" s="43"/>
      <c r="AI4948" s="43"/>
      <c r="AJ4948" s="43"/>
      <c r="AK4948" s="43"/>
      <c r="AL4948" s="43"/>
      <c r="AM4948" s="43"/>
      <c r="AN4948" s="43"/>
      <c r="AO4948" s="43"/>
      <c r="AP4948" s="43"/>
      <c r="AQ4948" s="43"/>
      <c r="AR4948" s="43"/>
      <c r="AS4948" s="43"/>
      <c r="AT4948" s="43"/>
      <c r="AU4948" s="43"/>
      <c r="AV4948" s="43"/>
    </row>
    <row r="4949" spans="1:48" ht="102" customHeight="1">
      <c r="A4949" s="1855"/>
      <c r="B4949" s="412" t="s">
        <v>1248</v>
      </c>
      <c r="C4949" s="412" t="s">
        <v>507</v>
      </c>
      <c r="D4949" s="1590"/>
      <c r="E4949" s="2224" t="s">
        <v>1930</v>
      </c>
      <c r="F4949" s="505">
        <v>2239</v>
      </c>
      <c r="G4949" s="2609" t="s">
        <v>3501</v>
      </c>
      <c r="H4949" s="2613"/>
      <c r="I4949" s="2613">
        <v>3500</v>
      </c>
      <c r="J4949" s="2636"/>
      <c r="K4949" s="2628"/>
      <c r="L4949" s="2612"/>
      <c r="M4949" s="2613">
        <v>2400</v>
      </c>
      <c r="N4949" s="2847"/>
      <c r="O4949" s="86"/>
      <c r="P4949" s="1817" t="e">
        <f>INDEX(#REF!,MATCH(F4949,#REF!,0),2)</f>
        <v>#REF!</v>
      </c>
      <c r="Q4949" s="43"/>
      <c r="R4949" s="43"/>
      <c r="S4949" s="43"/>
      <c r="T4949" s="43"/>
      <c r="U4949" s="43"/>
      <c r="V4949" s="43"/>
      <c r="W4949" s="43"/>
      <c r="X4949" s="43"/>
      <c r="Y4949" s="43"/>
      <c r="Z4949" s="43"/>
      <c r="AA4949" s="43"/>
      <c r="AB4949" s="43"/>
      <c r="AC4949" s="43"/>
      <c r="AD4949" s="43"/>
      <c r="AE4949" s="43"/>
      <c r="AF4949" s="43"/>
      <c r="AG4949" s="43"/>
      <c r="AH4949" s="43"/>
      <c r="AI4949" s="43"/>
      <c r="AJ4949" s="43"/>
      <c r="AK4949" s="43"/>
      <c r="AL4949" s="43"/>
      <c r="AM4949" s="43"/>
      <c r="AN4949" s="43"/>
      <c r="AO4949" s="43"/>
      <c r="AP4949" s="43"/>
      <c r="AQ4949" s="43"/>
      <c r="AR4949" s="43"/>
      <c r="AS4949" s="43"/>
      <c r="AT4949" s="43"/>
      <c r="AU4949" s="43"/>
      <c r="AV4949" s="43"/>
    </row>
    <row r="4950" spans="1:48" ht="22.5">
      <c r="A4950" s="521" t="s">
        <v>1584</v>
      </c>
      <c r="B4950" s="412" t="s">
        <v>1248</v>
      </c>
      <c r="C4950" s="412" t="s">
        <v>507</v>
      </c>
      <c r="D4950" s="1590"/>
      <c r="E4950" s="2224" t="s">
        <v>1930</v>
      </c>
      <c r="F4950" s="505">
        <v>2239</v>
      </c>
      <c r="G4950" s="556" t="s">
        <v>2656</v>
      </c>
      <c r="H4950" s="2613"/>
      <c r="I4950" s="2613">
        <v>520</v>
      </c>
      <c r="J4950" s="2636"/>
      <c r="K4950" s="2628"/>
      <c r="L4950" s="2612"/>
      <c r="M4950" s="2613">
        <v>520</v>
      </c>
      <c r="N4950" s="2847"/>
      <c r="O4950" s="86"/>
      <c r="P4950" s="1817" t="e">
        <f>INDEX(#REF!,MATCH(F4950,#REF!,0),2)</f>
        <v>#REF!</v>
      </c>
      <c r="Q4950" s="43"/>
      <c r="R4950" s="43"/>
      <c r="S4950" s="43"/>
      <c r="T4950" s="43"/>
      <c r="U4950" s="43"/>
      <c r="V4950" s="43"/>
      <c r="W4950" s="43"/>
      <c r="X4950" s="43"/>
      <c r="Y4950" s="43"/>
      <c r="Z4950" s="43"/>
      <c r="AA4950" s="43"/>
      <c r="AB4950" s="43"/>
      <c r="AC4950" s="43"/>
      <c r="AD4950" s="43"/>
      <c r="AE4950" s="43"/>
      <c r="AF4950" s="43"/>
      <c r="AG4950" s="43"/>
      <c r="AH4950" s="43"/>
      <c r="AI4950" s="43"/>
      <c r="AJ4950" s="43"/>
      <c r="AK4950" s="43"/>
      <c r="AL4950" s="43"/>
      <c r="AM4950" s="43"/>
      <c r="AN4950" s="43"/>
      <c r="AO4950" s="43"/>
      <c r="AP4950" s="43"/>
      <c r="AQ4950" s="43"/>
      <c r="AR4950" s="43"/>
      <c r="AS4950" s="43"/>
      <c r="AT4950" s="43"/>
      <c r="AU4950" s="43"/>
      <c r="AV4950" s="43"/>
    </row>
    <row r="4951" spans="1:48" ht="22.5">
      <c r="A4951" s="1119"/>
      <c r="B4951" s="412" t="s">
        <v>1248</v>
      </c>
      <c r="C4951" s="412" t="s">
        <v>507</v>
      </c>
      <c r="D4951" s="1590"/>
      <c r="E4951" s="2224" t="s">
        <v>1930</v>
      </c>
      <c r="F4951" s="505">
        <v>2239</v>
      </c>
      <c r="G4951" s="2610" t="s">
        <v>3502</v>
      </c>
      <c r="H4951" s="2613"/>
      <c r="I4951" s="2613">
        <v>500</v>
      </c>
      <c r="J4951" s="2636"/>
      <c r="K4951" s="2628"/>
      <c r="L4951" s="2612"/>
      <c r="M4951" s="2613">
        <v>200</v>
      </c>
      <c r="N4951" s="2847"/>
      <c r="O4951" s="86"/>
      <c r="P4951" s="1817" t="e">
        <f>INDEX(#REF!,MATCH(F4951,#REF!,0),2)</f>
        <v>#REF!</v>
      </c>
      <c r="Q4951" s="43"/>
      <c r="R4951" s="43"/>
      <c r="S4951" s="43"/>
      <c r="T4951" s="43"/>
      <c r="U4951" s="43"/>
      <c r="V4951" s="43"/>
      <c r="W4951" s="43"/>
      <c r="X4951" s="43"/>
      <c r="Y4951" s="43"/>
      <c r="Z4951" s="43"/>
      <c r="AA4951" s="43"/>
      <c r="AB4951" s="43"/>
      <c r="AC4951" s="43"/>
      <c r="AD4951" s="43"/>
      <c r="AE4951" s="43"/>
      <c r="AF4951" s="43"/>
      <c r="AG4951" s="43"/>
      <c r="AH4951" s="43"/>
      <c r="AI4951" s="43"/>
      <c r="AJ4951" s="43"/>
      <c r="AK4951" s="43"/>
      <c r="AL4951" s="43"/>
      <c r="AM4951" s="43"/>
      <c r="AN4951" s="43"/>
      <c r="AO4951" s="43"/>
      <c r="AP4951" s="43"/>
      <c r="AQ4951" s="43"/>
      <c r="AR4951" s="43"/>
      <c r="AS4951" s="43"/>
      <c r="AT4951" s="43"/>
      <c r="AU4951" s="43"/>
      <c r="AV4951" s="43"/>
    </row>
    <row r="4952" spans="1:48" ht="51" customHeight="1">
      <c r="A4952" s="521" t="s">
        <v>1584</v>
      </c>
      <c r="B4952" s="412" t="s">
        <v>1248</v>
      </c>
      <c r="C4952" s="412" t="s">
        <v>507</v>
      </c>
      <c r="D4952" s="1590"/>
      <c r="E4952" s="2224" t="s">
        <v>1930</v>
      </c>
      <c r="F4952" s="505">
        <v>2239</v>
      </c>
      <c r="G4952" s="2610" t="s">
        <v>2141</v>
      </c>
      <c r="H4952" s="2613"/>
      <c r="I4952" s="2613">
        <v>1100</v>
      </c>
      <c r="J4952" s="2636"/>
      <c r="K4952" s="2628"/>
      <c r="L4952" s="2612"/>
      <c r="M4952" s="2613">
        <v>1100</v>
      </c>
      <c r="N4952" s="2847"/>
      <c r="O4952" s="86"/>
      <c r="P4952" s="1817" t="e">
        <f>INDEX(#REF!,MATCH(F4952,#REF!,0),2)</f>
        <v>#REF!</v>
      </c>
      <c r="Q4952" s="1779"/>
      <c r="R4952" s="1779"/>
      <c r="S4952" s="1779"/>
      <c r="T4952" s="1779"/>
      <c r="U4952" s="1779"/>
      <c r="V4952" s="1779"/>
      <c r="W4952" s="43"/>
      <c r="X4952" s="1779"/>
      <c r="Y4952" s="1779"/>
      <c r="Z4952" s="1779"/>
      <c r="AA4952" s="1779"/>
      <c r="AB4952" s="1779"/>
      <c r="AC4952" s="1779"/>
      <c r="AD4952" s="1779"/>
      <c r="AE4952" s="1779"/>
      <c r="AF4952" s="1779"/>
      <c r="AG4952" s="1779"/>
      <c r="AH4952" s="1779"/>
      <c r="AI4952" s="1779"/>
      <c r="AJ4952" s="1779"/>
      <c r="AK4952" s="1779"/>
      <c r="AL4952" s="1779"/>
      <c r="AM4952" s="1779"/>
      <c r="AN4952" s="1779"/>
      <c r="AO4952" s="1779"/>
      <c r="AP4952" s="1779"/>
      <c r="AQ4952" s="1779"/>
      <c r="AR4952" s="1779"/>
      <c r="AS4952" s="1779"/>
      <c r="AT4952" s="1779"/>
      <c r="AU4952" s="1779"/>
      <c r="AV4952" s="1779"/>
    </row>
    <row r="4953" spans="1:48">
      <c r="A4953" s="1897"/>
      <c r="B4953" s="412" t="s">
        <v>1248</v>
      </c>
      <c r="C4953" s="412" t="s">
        <v>507</v>
      </c>
      <c r="D4953" s="1590"/>
      <c r="E4953" s="2224" t="s">
        <v>1930</v>
      </c>
      <c r="F4953" s="505">
        <v>2239</v>
      </c>
      <c r="G4953" s="1886" t="s">
        <v>2655</v>
      </c>
      <c r="H4953" s="2613"/>
      <c r="I4953" s="2613">
        <v>300</v>
      </c>
      <c r="J4953" s="2636"/>
      <c r="K4953" s="2628"/>
      <c r="L4953" s="2612"/>
      <c r="M4953" s="2613">
        <v>300</v>
      </c>
      <c r="N4953" s="2847"/>
      <c r="O4953" s="86"/>
      <c r="P4953" s="1817" t="e">
        <f>INDEX(#REF!,MATCH(F4953,#REF!,0),2)</f>
        <v>#REF!</v>
      </c>
      <c r="Q4953" s="43"/>
      <c r="R4953" s="43"/>
      <c r="S4953" s="43"/>
      <c r="T4953" s="43"/>
      <c r="U4953" s="43"/>
      <c r="V4953" s="43"/>
      <c r="W4953" s="43"/>
      <c r="X4953" s="43"/>
      <c r="Y4953" s="43"/>
      <c r="Z4953" s="43"/>
      <c r="AA4953" s="43"/>
      <c r="AB4953" s="43"/>
      <c r="AC4953" s="43"/>
      <c r="AD4953" s="43"/>
      <c r="AE4953" s="43"/>
      <c r="AF4953" s="43"/>
      <c r="AG4953" s="43"/>
      <c r="AH4953" s="43"/>
      <c r="AI4953" s="43"/>
      <c r="AJ4953" s="43"/>
      <c r="AK4953" s="43"/>
      <c r="AL4953" s="43"/>
      <c r="AM4953" s="43"/>
      <c r="AN4953" s="43"/>
      <c r="AO4953" s="43"/>
      <c r="AP4953" s="43"/>
      <c r="AQ4953" s="43"/>
      <c r="AR4953" s="43"/>
      <c r="AS4953" s="43"/>
      <c r="AT4953" s="43"/>
      <c r="AU4953" s="43"/>
      <c r="AV4953" s="43"/>
    </row>
    <row r="4954" spans="1:48">
      <c r="A4954" s="521"/>
      <c r="B4954" s="412" t="s">
        <v>1248</v>
      </c>
      <c r="C4954" s="412" t="s">
        <v>505</v>
      </c>
      <c r="D4954" s="1591"/>
      <c r="E4954" s="2266" t="s">
        <v>1930</v>
      </c>
      <c r="F4954" s="505">
        <v>2239</v>
      </c>
      <c r="G4954" s="1432" t="s">
        <v>3182</v>
      </c>
      <c r="H4954" s="2592"/>
      <c r="I4954" s="2592">
        <v>-99</v>
      </c>
      <c r="J4954" s="2636"/>
      <c r="K4954" s="2629"/>
      <c r="L4954" s="2594"/>
      <c r="M4954" s="2594"/>
      <c r="N4954" s="2847"/>
      <c r="O4954" s="86"/>
      <c r="P4954" s="1817" t="e">
        <f>INDEX(#REF!,MATCH(F4954,#REF!,0),2)</f>
        <v>#REF!</v>
      </c>
      <c r="Q4954" s="43"/>
      <c r="R4954" s="43"/>
      <c r="S4954" s="43"/>
      <c r="T4954" s="43"/>
      <c r="U4954" s="43"/>
      <c r="V4954" s="43"/>
      <c r="W4954" s="43"/>
      <c r="X4954" s="43"/>
      <c r="Y4954" s="43"/>
      <c r="Z4954" s="43"/>
      <c r="AA4954" s="43"/>
      <c r="AB4954" s="43"/>
      <c r="AC4954" s="43"/>
      <c r="AD4954" s="43"/>
      <c r="AE4954" s="43"/>
      <c r="AF4954" s="43"/>
      <c r="AG4954" s="43"/>
      <c r="AH4954" s="43"/>
      <c r="AI4954" s="43"/>
      <c r="AJ4954" s="43"/>
      <c r="AK4954" s="43"/>
      <c r="AL4954" s="43"/>
      <c r="AM4954" s="43"/>
      <c r="AN4954" s="43"/>
      <c r="AO4954" s="43"/>
      <c r="AP4954" s="43"/>
      <c r="AQ4954" s="43"/>
      <c r="AR4954" s="43"/>
      <c r="AS4954" s="43"/>
      <c r="AT4954" s="43"/>
      <c r="AU4954" s="43"/>
      <c r="AV4954" s="43"/>
    </row>
    <row r="4955" spans="1:48">
      <c r="A4955" s="1897"/>
      <c r="B4955" s="412" t="s">
        <v>1248</v>
      </c>
      <c r="C4955" s="412" t="s">
        <v>505</v>
      </c>
      <c r="D4955" s="1591"/>
      <c r="E4955" s="2266" t="s">
        <v>1930</v>
      </c>
      <c r="F4955" s="505">
        <v>2239</v>
      </c>
      <c r="G4955" s="1432" t="s">
        <v>3183</v>
      </c>
      <c r="H4955" s="2592"/>
      <c r="I4955" s="2592">
        <v>-300</v>
      </c>
      <c r="J4955" s="2636"/>
      <c r="K4955" s="2629"/>
      <c r="L4955" s="2594"/>
      <c r="M4955" s="2594"/>
      <c r="N4955" s="2847"/>
      <c r="O4955" s="86"/>
      <c r="P4955" s="1817" t="e">
        <f>INDEX(#REF!,MATCH(F4955,#REF!,0),2)</f>
        <v>#REF!</v>
      </c>
      <c r="Q4955" s="1779"/>
      <c r="R4955" s="1779"/>
      <c r="S4955" s="1779"/>
      <c r="T4955" s="1779"/>
      <c r="U4955" s="1779"/>
      <c r="V4955" s="1779"/>
      <c r="W4955" s="43"/>
      <c r="X4955" s="1779"/>
      <c r="Y4955" s="1779"/>
      <c r="Z4955" s="1779"/>
      <c r="AA4955" s="1779"/>
      <c r="AB4955" s="1779"/>
      <c r="AC4955" s="1779"/>
      <c r="AD4955" s="1779"/>
      <c r="AE4955" s="1779"/>
      <c r="AF4955" s="1779"/>
      <c r="AG4955" s="1779"/>
      <c r="AH4955" s="1779"/>
      <c r="AI4955" s="1779"/>
      <c r="AJ4955" s="1779"/>
      <c r="AK4955" s="1779"/>
      <c r="AL4955" s="1779"/>
      <c r="AM4955" s="1779"/>
      <c r="AN4955" s="1779"/>
      <c r="AO4955" s="1779"/>
      <c r="AP4955" s="1779"/>
      <c r="AQ4955" s="1779"/>
      <c r="AR4955" s="1779"/>
      <c r="AS4955" s="1779"/>
      <c r="AT4955" s="1779"/>
      <c r="AU4955" s="1779"/>
    </row>
    <row r="4956" spans="1:48">
      <c r="A4956" s="1897"/>
      <c r="B4956" s="412" t="s">
        <v>1248</v>
      </c>
      <c r="C4956" s="412" t="s">
        <v>505</v>
      </c>
      <c r="D4956" s="1591"/>
      <c r="E4956" s="2266" t="s">
        <v>1930</v>
      </c>
      <c r="F4956" s="505">
        <v>2239</v>
      </c>
      <c r="G4956" s="1898" t="s">
        <v>3306</v>
      </c>
      <c r="H4956" s="2592"/>
      <c r="I4956" s="2592">
        <v>-500</v>
      </c>
      <c r="J4956" s="2636"/>
      <c r="K4956" s="2629"/>
      <c r="L4956" s="2594"/>
      <c r="M4956" s="2594"/>
      <c r="N4956" s="2847"/>
      <c r="O4956" s="86"/>
      <c r="P4956" s="1817" t="e">
        <f>INDEX(#REF!,MATCH(F4956,#REF!,0),2)</f>
        <v>#REF!</v>
      </c>
      <c r="Q4956" s="43"/>
      <c r="R4956" s="43"/>
      <c r="S4956" s="43"/>
      <c r="T4956" s="43"/>
      <c r="U4956" s="43"/>
      <c r="V4956" s="43"/>
      <c r="W4956" s="43"/>
      <c r="X4956" s="43"/>
      <c r="Y4956" s="43"/>
      <c r="Z4956" s="43"/>
      <c r="AA4956" s="43"/>
      <c r="AB4956" s="43"/>
      <c r="AC4956" s="43"/>
      <c r="AD4956" s="43"/>
      <c r="AE4956" s="43"/>
      <c r="AF4956" s="43"/>
      <c r="AG4956" s="43"/>
      <c r="AH4956" s="43"/>
      <c r="AI4956" s="43"/>
      <c r="AJ4956" s="43"/>
      <c r="AK4956" s="43"/>
      <c r="AL4956" s="43"/>
      <c r="AM4956" s="43"/>
      <c r="AN4956" s="43"/>
      <c r="AO4956" s="43"/>
      <c r="AP4956" s="43"/>
      <c r="AQ4956" s="43"/>
      <c r="AR4956" s="43"/>
      <c r="AS4956" s="43"/>
      <c r="AT4956" s="43"/>
      <c r="AU4956" s="43"/>
      <c r="AV4956" s="43"/>
    </row>
    <row r="4957" spans="1:48" ht="33.75">
      <c r="A4957" s="971"/>
      <c r="B4957" s="775" t="s">
        <v>1249</v>
      </c>
      <c r="C4957" s="506" t="s">
        <v>570</v>
      </c>
      <c r="D4957" s="1603">
        <v>670</v>
      </c>
      <c r="E4957" s="2252" t="s">
        <v>1930</v>
      </c>
      <c r="F4957" s="540">
        <v>2239</v>
      </c>
      <c r="G4957" s="730" t="s">
        <v>237</v>
      </c>
      <c r="H4957" s="2611">
        <v>0</v>
      </c>
      <c r="I4957" s="2611"/>
      <c r="J4957" s="2611"/>
      <c r="K4957" s="2626"/>
      <c r="L4957" s="2598">
        <v>0</v>
      </c>
      <c r="M4957" s="2598"/>
      <c r="N4957" s="2847"/>
      <c r="O4957" s="86"/>
      <c r="P4957" s="1817" t="e">
        <f>INDEX(#REF!,MATCH(F4957,#REF!,0),2)</f>
        <v>#REF!</v>
      </c>
      <c r="Q4957" s="1569"/>
      <c r="R4957" s="1569"/>
      <c r="S4957" s="1569"/>
      <c r="T4957" s="1569"/>
      <c r="U4957" s="1569"/>
      <c r="V4957" s="1569"/>
      <c r="W4957" s="43"/>
      <c r="X4957" s="1569"/>
      <c r="Y4957" s="1569"/>
      <c r="Z4957" s="1569"/>
      <c r="AA4957" s="1569"/>
      <c r="AB4957" s="1569"/>
      <c r="AC4957" s="1569"/>
      <c r="AD4957" s="1569"/>
      <c r="AE4957" s="1569"/>
      <c r="AF4957" s="1569"/>
      <c r="AG4957" s="1569"/>
      <c r="AH4957" s="1569"/>
      <c r="AI4957" s="1569"/>
      <c r="AJ4957" s="1569"/>
      <c r="AK4957" s="1569"/>
      <c r="AL4957" s="1569"/>
      <c r="AM4957" s="1569"/>
      <c r="AN4957" s="1569"/>
      <c r="AO4957" s="1569"/>
      <c r="AP4957" s="1569"/>
      <c r="AQ4957" s="1569"/>
      <c r="AR4957" s="1569"/>
      <c r="AS4957" s="1569"/>
      <c r="AT4957" s="1569"/>
      <c r="AU4957" s="1569"/>
      <c r="AV4957" s="1569"/>
    </row>
    <row r="4958" spans="1:48">
      <c r="A4958" s="521" t="s">
        <v>1584</v>
      </c>
      <c r="B4958" s="412" t="s">
        <v>1249</v>
      </c>
      <c r="C4958" s="412" t="s">
        <v>570</v>
      </c>
      <c r="D4958" s="1590"/>
      <c r="E4958" s="2224" t="s">
        <v>1930</v>
      </c>
      <c r="F4958" s="505">
        <v>2239</v>
      </c>
      <c r="G4958" s="1431"/>
      <c r="H4958" s="2613"/>
      <c r="I4958" s="2613"/>
      <c r="J4958" s="2636"/>
      <c r="K4958" s="2628"/>
      <c r="L4958" s="2612"/>
      <c r="M4958" s="2612"/>
      <c r="N4958" s="2847"/>
      <c r="O4958" s="86"/>
      <c r="P4958" s="1817" t="e">
        <f>INDEX(#REF!,MATCH(F4958,#REF!,0),2)</f>
        <v>#REF!</v>
      </c>
      <c r="Q4958" s="1569"/>
      <c r="R4958" s="1569"/>
      <c r="S4958" s="1569"/>
      <c r="T4958" s="1569"/>
      <c r="U4958" s="1569"/>
      <c r="V4958" s="1569"/>
      <c r="W4958" s="43"/>
      <c r="X4958" s="1569"/>
      <c r="Y4958" s="1569"/>
      <c r="Z4958" s="1569"/>
      <c r="AA4958" s="1569"/>
      <c r="AB4958" s="1569"/>
      <c r="AC4958" s="1569"/>
      <c r="AD4958" s="1569"/>
      <c r="AE4958" s="1569"/>
      <c r="AF4958" s="1569"/>
      <c r="AG4958" s="1569"/>
      <c r="AH4958" s="1569"/>
      <c r="AI4958" s="1569"/>
      <c r="AJ4958" s="1569"/>
      <c r="AK4958" s="1569"/>
      <c r="AL4958" s="1569"/>
      <c r="AM4958" s="1569"/>
      <c r="AN4958" s="1569"/>
      <c r="AO4958" s="1569"/>
      <c r="AP4958" s="1569"/>
      <c r="AQ4958" s="1569"/>
      <c r="AR4958" s="1569"/>
      <c r="AS4958" s="1569"/>
      <c r="AT4958" s="1569"/>
      <c r="AU4958" s="1569"/>
      <c r="AV4958" s="1569"/>
    </row>
    <row r="4959" spans="1:48" ht="22.5">
      <c r="A4959" s="971"/>
      <c r="B4959" s="506" t="s">
        <v>1248</v>
      </c>
      <c r="C4959" s="506" t="s">
        <v>505</v>
      </c>
      <c r="D4959" s="1589">
        <v>670</v>
      </c>
      <c r="E4959" s="2223" t="s">
        <v>1930</v>
      </c>
      <c r="F4959" s="540">
        <v>2243</v>
      </c>
      <c r="G4959" s="730" t="s">
        <v>329</v>
      </c>
      <c r="H4959" s="2611">
        <v>300</v>
      </c>
      <c r="I4959" s="2611"/>
      <c r="J4959" s="2639"/>
      <c r="K4959" s="2626"/>
      <c r="L4959" s="2611">
        <v>300</v>
      </c>
      <c r="M4959" s="2611"/>
      <c r="N4959" s="2847"/>
      <c r="O4959" s="86"/>
      <c r="P4959" s="1817" t="e">
        <f>INDEX(#REF!,MATCH(F4959,#REF!,0),2)</f>
        <v>#REF!</v>
      </c>
      <c r="Q4959" s="43"/>
      <c r="R4959" s="43"/>
      <c r="S4959" s="43"/>
      <c r="T4959" s="43"/>
      <c r="U4959" s="43"/>
      <c r="V4959" s="43"/>
      <c r="W4959" s="43"/>
      <c r="X4959" s="43"/>
      <c r="Y4959" s="43"/>
      <c r="Z4959" s="43"/>
      <c r="AA4959" s="43"/>
      <c r="AB4959" s="43"/>
      <c r="AC4959" s="43"/>
      <c r="AD4959" s="43"/>
      <c r="AE4959" s="43"/>
      <c r="AF4959" s="43"/>
      <c r="AG4959" s="43"/>
      <c r="AH4959" s="43"/>
      <c r="AI4959" s="43"/>
      <c r="AJ4959" s="43"/>
      <c r="AK4959" s="43"/>
      <c r="AL4959" s="43"/>
      <c r="AM4959" s="43"/>
      <c r="AN4959" s="43"/>
      <c r="AO4959" s="43"/>
      <c r="AP4959" s="43"/>
      <c r="AQ4959" s="43"/>
      <c r="AR4959" s="43"/>
      <c r="AS4959" s="43"/>
      <c r="AT4959" s="43"/>
      <c r="AU4959" s="43"/>
      <c r="AV4959" s="43"/>
    </row>
    <row r="4960" spans="1:48">
      <c r="A4960" s="521"/>
      <c r="B4960" s="412" t="s">
        <v>1248</v>
      </c>
      <c r="C4960" s="412" t="s">
        <v>505</v>
      </c>
      <c r="D4960" s="1590"/>
      <c r="E4960" s="2224" t="s">
        <v>1930</v>
      </c>
      <c r="F4960" s="505">
        <v>2243</v>
      </c>
      <c r="G4960" s="1054" t="s">
        <v>731</v>
      </c>
      <c r="H4960" s="2597"/>
      <c r="I4960" s="2597">
        <v>300</v>
      </c>
      <c r="J4960" s="2638"/>
      <c r="K4960" s="2630"/>
      <c r="L4960" s="2597"/>
      <c r="M4960" s="2597">
        <v>300</v>
      </c>
      <c r="N4960" s="2847"/>
      <c r="O4960" s="86"/>
      <c r="P4960" s="1817" t="e">
        <f>INDEX(#REF!,MATCH(F4960,#REF!,0),2)</f>
        <v>#REF!</v>
      </c>
      <c r="Q4960" s="43"/>
      <c r="R4960" s="43"/>
      <c r="S4960" s="43"/>
      <c r="T4960" s="43"/>
      <c r="U4960" s="43"/>
      <c r="V4960" s="43"/>
      <c r="W4960" s="43"/>
      <c r="X4960" s="43"/>
      <c r="Y4960" s="43"/>
      <c r="Z4960" s="43"/>
      <c r="AA4960" s="43"/>
      <c r="AB4960" s="43"/>
      <c r="AC4960" s="43"/>
      <c r="AD4960" s="43"/>
      <c r="AE4960" s="43"/>
      <c r="AF4960" s="43"/>
      <c r="AG4960" s="43"/>
      <c r="AH4960" s="43"/>
      <c r="AI4960" s="43"/>
      <c r="AJ4960" s="43"/>
      <c r="AK4960" s="43"/>
      <c r="AL4960" s="43"/>
      <c r="AM4960" s="43"/>
      <c r="AN4960" s="43"/>
      <c r="AO4960" s="43"/>
      <c r="AP4960" s="43"/>
      <c r="AQ4960" s="43"/>
      <c r="AR4960" s="43"/>
      <c r="AS4960" s="43"/>
      <c r="AT4960" s="43"/>
      <c r="AU4960" s="43"/>
      <c r="AV4960" s="43"/>
    </row>
    <row r="4961" spans="1:48">
      <c r="A4961" s="971"/>
      <c r="B4961" s="506" t="s">
        <v>1248</v>
      </c>
      <c r="C4961" s="506" t="s">
        <v>505</v>
      </c>
      <c r="D4961" s="1589">
        <v>670</v>
      </c>
      <c r="E4961" s="2223" t="s">
        <v>1930</v>
      </c>
      <c r="F4961" s="540">
        <v>2250</v>
      </c>
      <c r="G4961" s="730" t="s">
        <v>1254</v>
      </c>
      <c r="H4961" s="2611">
        <v>450</v>
      </c>
      <c r="I4961" s="2611"/>
      <c r="J4961" s="2639"/>
      <c r="K4961" s="2626"/>
      <c r="L4961" s="2611">
        <v>0</v>
      </c>
      <c r="M4961" s="2611"/>
      <c r="N4961" s="2847"/>
      <c r="O4961" s="86"/>
      <c r="P4961" s="1817" t="e">
        <f>INDEX(#REF!,MATCH(F4961,#REF!,0),2)</f>
        <v>#REF!</v>
      </c>
      <c r="Q4961" s="43"/>
      <c r="R4961" s="43"/>
      <c r="S4961" s="43"/>
      <c r="T4961" s="43"/>
      <c r="U4961" s="43"/>
      <c r="V4961" s="43"/>
      <c r="W4961" s="43"/>
      <c r="X4961" s="43"/>
      <c r="Y4961" s="43"/>
      <c r="Z4961" s="43"/>
      <c r="AA4961" s="43"/>
      <c r="AB4961" s="43"/>
      <c r="AC4961" s="43"/>
      <c r="AD4961" s="43"/>
      <c r="AE4961" s="43"/>
      <c r="AF4961" s="43"/>
      <c r="AG4961" s="43"/>
      <c r="AH4961" s="43"/>
      <c r="AI4961" s="43"/>
      <c r="AJ4961" s="43"/>
      <c r="AK4961" s="43"/>
      <c r="AL4961" s="43"/>
      <c r="AM4961" s="43"/>
      <c r="AN4961" s="43"/>
      <c r="AO4961" s="43"/>
      <c r="AP4961" s="43"/>
      <c r="AQ4961" s="43"/>
      <c r="AR4961" s="43"/>
      <c r="AS4961" s="43"/>
      <c r="AT4961" s="43"/>
      <c r="AU4961" s="43"/>
      <c r="AV4961" s="43"/>
    </row>
    <row r="4962" spans="1:48">
      <c r="A4962" s="521" t="s">
        <v>5741</v>
      </c>
      <c r="B4962" s="412" t="s">
        <v>1248</v>
      </c>
      <c r="C4962" s="412" t="s">
        <v>505</v>
      </c>
      <c r="D4962" s="1590"/>
      <c r="E4962" s="2224" t="s">
        <v>1930</v>
      </c>
      <c r="F4962" s="505">
        <v>2250</v>
      </c>
      <c r="G4962" s="2610" t="s">
        <v>3506</v>
      </c>
      <c r="H4962" s="2597"/>
      <c r="I4962" s="2597">
        <v>450</v>
      </c>
      <c r="J4962" s="2638"/>
      <c r="K4962" s="2634"/>
      <c r="L4962" s="2600"/>
      <c r="M4962" s="1576">
        <v>0</v>
      </c>
      <c r="N4962" s="241" t="s">
        <v>5744</v>
      </c>
      <c r="O4962" s="86"/>
      <c r="P4962" s="1817" t="e">
        <f>INDEX(#REF!,MATCH(F4962,#REF!,0),2)</f>
        <v>#REF!</v>
      </c>
      <c r="Q4962" s="43"/>
      <c r="R4962" s="43"/>
      <c r="S4962" s="43"/>
      <c r="T4962" s="43"/>
      <c r="U4962" s="43"/>
      <c r="V4962" s="43"/>
      <c r="W4962" s="43"/>
      <c r="X4962" s="43"/>
      <c r="Y4962" s="43"/>
      <c r="Z4962" s="43"/>
      <c r="AA4962" s="43"/>
      <c r="AB4962" s="43"/>
      <c r="AC4962" s="43"/>
      <c r="AD4962" s="43"/>
      <c r="AE4962" s="43"/>
      <c r="AF4962" s="43"/>
      <c r="AG4962" s="43"/>
      <c r="AH4962" s="43"/>
      <c r="AI4962" s="43"/>
      <c r="AJ4962" s="43"/>
      <c r="AK4962" s="43"/>
      <c r="AL4962" s="43"/>
      <c r="AM4962" s="43"/>
      <c r="AN4962" s="43"/>
      <c r="AO4962" s="43"/>
      <c r="AP4962" s="43"/>
      <c r="AQ4962" s="43"/>
      <c r="AR4962" s="43"/>
      <c r="AS4962" s="43"/>
      <c r="AT4962" s="43"/>
      <c r="AU4962" s="43"/>
      <c r="AV4962" s="43"/>
    </row>
    <row r="4963" spans="1:48">
      <c r="A4963" s="971"/>
      <c r="B4963" s="506" t="s">
        <v>1248</v>
      </c>
      <c r="C4963" s="506" t="s">
        <v>507</v>
      </c>
      <c r="D4963" s="1603">
        <v>670</v>
      </c>
      <c r="E4963" s="2223" t="s">
        <v>1930</v>
      </c>
      <c r="F4963" s="540">
        <v>2261</v>
      </c>
      <c r="G4963" s="730" t="s">
        <v>330</v>
      </c>
      <c r="H4963" s="2611">
        <v>399</v>
      </c>
      <c r="I4963" s="2616"/>
      <c r="J4963" s="2639"/>
      <c r="K4963" s="2626"/>
      <c r="L4963" s="2611">
        <v>399</v>
      </c>
      <c r="M4963" s="2616"/>
      <c r="N4963" s="2847"/>
      <c r="O4963" s="86"/>
      <c r="P4963" s="1817" t="e">
        <f>INDEX(#REF!,MATCH(F4963,#REF!,0),2)</f>
        <v>#REF!</v>
      </c>
      <c r="Q4963" s="43"/>
      <c r="R4963" s="43"/>
      <c r="S4963" s="43"/>
      <c r="T4963" s="43"/>
      <c r="U4963" s="43"/>
      <c r="V4963" s="43"/>
      <c r="W4963" s="43"/>
      <c r="X4963" s="43"/>
      <c r="Y4963" s="43"/>
      <c r="Z4963" s="43"/>
      <c r="AA4963" s="43"/>
      <c r="AB4963" s="43"/>
      <c r="AC4963" s="43"/>
      <c r="AD4963" s="43"/>
      <c r="AE4963" s="43"/>
      <c r="AF4963" s="43"/>
      <c r="AG4963" s="43"/>
      <c r="AH4963" s="43"/>
      <c r="AI4963" s="43"/>
      <c r="AJ4963" s="43"/>
      <c r="AK4963" s="43"/>
      <c r="AL4963" s="43"/>
      <c r="AM4963" s="43"/>
      <c r="AN4963" s="43"/>
      <c r="AO4963" s="43"/>
      <c r="AP4963" s="43"/>
      <c r="AQ4963" s="43"/>
      <c r="AR4963" s="43"/>
      <c r="AS4963" s="43"/>
      <c r="AT4963" s="43"/>
      <c r="AU4963" s="43"/>
      <c r="AV4963" s="43"/>
    </row>
    <row r="4964" spans="1:48" ht="22.5">
      <c r="A4964" s="521"/>
      <c r="B4964" s="412" t="s">
        <v>1248</v>
      </c>
      <c r="C4964" s="412" t="s">
        <v>507</v>
      </c>
      <c r="D4964" s="1590"/>
      <c r="E4964" s="2224" t="s">
        <v>1930</v>
      </c>
      <c r="F4964" s="505">
        <v>2261</v>
      </c>
      <c r="G4964" s="1054" t="s">
        <v>1666</v>
      </c>
      <c r="H4964" s="2617"/>
      <c r="I4964" s="2592">
        <v>399</v>
      </c>
      <c r="J4964" s="2636"/>
      <c r="K4964" s="2627"/>
      <c r="L4964" s="2617"/>
      <c r="M4964" s="2592">
        <v>399</v>
      </c>
      <c r="N4964" s="2847"/>
      <c r="O4964" s="86"/>
      <c r="P4964" s="1817" t="e">
        <f>INDEX(#REF!,MATCH(F4964,#REF!,0),2)</f>
        <v>#REF!</v>
      </c>
      <c r="Q4964" s="43"/>
      <c r="R4964" s="43"/>
      <c r="S4964" s="43"/>
      <c r="T4964" s="43"/>
      <c r="U4964" s="43"/>
      <c r="V4964" s="43"/>
      <c r="W4964" s="43"/>
      <c r="X4964" s="43"/>
      <c r="Y4964" s="43"/>
      <c r="Z4964" s="43"/>
      <c r="AA4964" s="43"/>
      <c r="AB4964" s="43"/>
      <c r="AC4964" s="43"/>
      <c r="AD4964" s="43"/>
      <c r="AE4964" s="43"/>
      <c r="AF4964" s="43"/>
      <c r="AG4964" s="43"/>
      <c r="AH4964" s="43"/>
      <c r="AI4964" s="43"/>
      <c r="AJ4964" s="43"/>
      <c r="AK4964" s="43"/>
      <c r="AL4964" s="43"/>
      <c r="AM4964" s="43"/>
      <c r="AN4964" s="43"/>
      <c r="AO4964" s="4"/>
      <c r="AP4964" s="4"/>
      <c r="AQ4964" s="4"/>
      <c r="AR4964" s="4"/>
      <c r="AS4964" s="4"/>
      <c r="AT4964" s="4"/>
      <c r="AU4964" s="4"/>
      <c r="AV4964" s="4"/>
    </row>
    <row r="4965" spans="1:48">
      <c r="A4965" s="971"/>
      <c r="B4965" s="506" t="s">
        <v>1248</v>
      </c>
      <c r="C4965" s="506" t="s">
        <v>507</v>
      </c>
      <c r="D4965" s="1603">
        <v>670</v>
      </c>
      <c r="E4965" s="2223" t="s">
        <v>1930</v>
      </c>
      <c r="F4965" s="540">
        <v>2263</v>
      </c>
      <c r="G4965" s="730" t="s">
        <v>400</v>
      </c>
      <c r="H4965" s="2611">
        <v>930</v>
      </c>
      <c r="I4965" s="2616"/>
      <c r="J4965" s="2639"/>
      <c r="K4965" s="2626"/>
      <c r="L4965" s="2611">
        <v>930</v>
      </c>
      <c r="M4965" s="2599"/>
      <c r="N4965" s="2847"/>
      <c r="O4965" s="86"/>
      <c r="P4965" s="1817" t="e">
        <f>INDEX(#REF!,MATCH(F4965,#REF!,0),2)</f>
        <v>#REF!</v>
      </c>
      <c r="Q4965" s="4"/>
      <c r="R4965" s="4"/>
      <c r="S4965" s="4"/>
      <c r="T4965" s="4"/>
      <c r="U4965" s="4"/>
      <c r="V4965" s="4"/>
      <c r="W4965" s="4"/>
      <c r="X4965" s="4"/>
      <c r="Y4965" s="4"/>
      <c r="Z4965" s="4"/>
      <c r="AA4965" s="4"/>
      <c r="AB4965" s="4"/>
      <c r="AC4965" s="4"/>
      <c r="AD4965" s="4"/>
      <c r="AE4965" s="4"/>
      <c r="AF4965" s="4"/>
      <c r="AG4965" s="4"/>
      <c r="AH4965" s="4"/>
      <c r="AI4965" s="4"/>
      <c r="AJ4965" s="4"/>
      <c r="AK4965" s="4"/>
      <c r="AL4965" s="4"/>
      <c r="AM4965" s="4"/>
      <c r="AN4965" s="4"/>
      <c r="AO4965" s="4"/>
      <c r="AP4965" s="4"/>
      <c r="AQ4965" s="4"/>
      <c r="AR4965" s="4"/>
      <c r="AS4965" s="4"/>
      <c r="AT4965" s="4"/>
      <c r="AU4965" s="4"/>
      <c r="AV4965" s="4"/>
    </row>
    <row r="4966" spans="1:48" s="1799" customFormat="1" ht="56.25">
      <c r="A4966" s="521"/>
      <c r="B4966" s="412" t="s">
        <v>1248</v>
      </c>
      <c r="C4966" s="412" t="s">
        <v>507</v>
      </c>
      <c r="D4966" s="1590"/>
      <c r="E4966" s="2224" t="s">
        <v>1930</v>
      </c>
      <c r="F4966" s="505">
        <v>2263</v>
      </c>
      <c r="G4966" s="1054" t="s">
        <v>2153</v>
      </c>
      <c r="H4966" s="2617"/>
      <c r="I4966" s="2592">
        <v>200</v>
      </c>
      <c r="J4966" s="2636"/>
      <c r="K4966" s="2627"/>
      <c r="L4966" s="2618"/>
      <c r="M4966" s="2592">
        <v>200</v>
      </c>
      <c r="N4966" s="2847"/>
      <c r="O4966" s="86"/>
      <c r="P4966" s="1817" t="e">
        <f>INDEX(#REF!,MATCH(F4966,#REF!,0),2)</f>
        <v>#REF!</v>
      </c>
      <c r="Q4966" s="1798"/>
      <c r="R4966" s="1798"/>
      <c r="S4966" s="1798"/>
      <c r="T4966" s="1798"/>
      <c r="U4966" s="1798"/>
      <c r="V4966" s="1798"/>
      <c r="W4966" s="1798"/>
      <c r="X4966" s="1798"/>
      <c r="Y4966" s="1798"/>
      <c r="Z4966" s="1798"/>
      <c r="AA4966" s="1798"/>
      <c r="AB4966" s="1798"/>
      <c r="AC4966" s="1798"/>
      <c r="AD4966" s="1798"/>
      <c r="AE4966" s="1798"/>
      <c r="AF4966" s="1798"/>
      <c r="AG4966" s="1798"/>
      <c r="AH4966" s="1798"/>
      <c r="AI4966" s="1798"/>
      <c r="AJ4966" s="1798"/>
      <c r="AK4966" s="1798"/>
      <c r="AL4966" s="1798"/>
      <c r="AM4966" s="1798"/>
      <c r="AN4966" s="1798"/>
      <c r="AO4966" s="1798"/>
      <c r="AP4966" s="1798"/>
      <c r="AQ4966" s="1798"/>
      <c r="AR4966" s="1798"/>
      <c r="AS4966" s="1798"/>
      <c r="AT4966" s="1798"/>
      <c r="AU4966" s="1798"/>
      <c r="AV4966" s="1798"/>
    </row>
    <row r="4967" spans="1:48" s="1799" customFormat="1" ht="22.5">
      <c r="A4967" s="521"/>
      <c r="B4967" s="412" t="s">
        <v>1248</v>
      </c>
      <c r="C4967" s="412" t="s">
        <v>507</v>
      </c>
      <c r="D4967" s="1590"/>
      <c r="E4967" s="2224" t="s">
        <v>1930</v>
      </c>
      <c r="F4967" s="505">
        <v>2263</v>
      </c>
      <c r="G4967" s="1054" t="s">
        <v>3503</v>
      </c>
      <c r="H4967" s="2617"/>
      <c r="I4967" s="2592">
        <v>631</v>
      </c>
      <c r="J4967" s="2636"/>
      <c r="K4967" s="2627"/>
      <c r="L4967" s="2618"/>
      <c r="M4967" s="2592">
        <v>730</v>
      </c>
      <c r="N4967" s="2847"/>
      <c r="O4967" s="86"/>
      <c r="P4967" s="1817" t="e">
        <f>INDEX(#REF!,MATCH(F4967,#REF!,0),2)</f>
        <v>#REF!</v>
      </c>
      <c r="Q4967" s="1798"/>
      <c r="R4967" s="1798"/>
      <c r="S4967" s="1798"/>
      <c r="T4967" s="1798"/>
      <c r="U4967" s="1798"/>
      <c r="V4967" s="1798"/>
      <c r="W4967" s="1798"/>
      <c r="X4967" s="1798"/>
      <c r="Y4967" s="1798"/>
      <c r="Z4967" s="1798"/>
      <c r="AA4967" s="1798"/>
      <c r="AB4967" s="1798"/>
      <c r="AC4967" s="1798"/>
      <c r="AD4967" s="1798"/>
      <c r="AE4967" s="1798"/>
      <c r="AF4967" s="1798"/>
      <c r="AG4967" s="1798"/>
      <c r="AH4967" s="1798"/>
      <c r="AI4967" s="1798"/>
      <c r="AJ4967" s="1798"/>
      <c r="AK4967" s="1798"/>
      <c r="AL4967" s="1798"/>
      <c r="AM4967" s="1798"/>
      <c r="AN4967" s="1798"/>
      <c r="AO4967" s="1798"/>
      <c r="AP4967" s="1798"/>
      <c r="AQ4967" s="1798"/>
      <c r="AR4967" s="1798"/>
      <c r="AS4967" s="1798"/>
      <c r="AT4967" s="1798"/>
      <c r="AU4967" s="1798"/>
      <c r="AV4967" s="1798"/>
    </row>
    <row r="4968" spans="1:48" s="1799" customFormat="1">
      <c r="A4968" s="1394"/>
      <c r="B4968" s="412" t="s">
        <v>1248</v>
      </c>
      <c r="C4968" s="412" t="s">
        <v>507</v>
      </c>
      <c r="D4968" s="1590"/>
      <c r="E4968" s="2224" t="s">
        <v>1930</v>
      </c>
      <c r="F4968" s="505">
        <v>2263</v>
      </c>
      <c r="G4968" s="1433" t="s">
        <v>3182</v>
      </c>
      <c r="H4968" s="2617"/>
      <c r="I4968" s="2592">
        <v>99</v>
      </c>
      <c r="J4968" s="2636"/>
      <c r="K4968" s="2627"/>
      <c r="L4968" s="2618"/>
      <c r="M4968" s="2618"/>
      <c r="N4968" s="2847"/>
      <c r="O4968" s="86"/>
      <c r="P4968" s="1817" t="e">
        <f>INDEX(#REF!,MATCH(F4968,#REF!,0),2)</f>
        <v>#REF!</v>
      </c>
      <c r="Q4968" s="1798"/>
      <c r="R4968" s="1798"/>
      <c r="S4968" s="1798"/>
      <c r="T4968" s="1798"/>
      <c r="U4968" s="1798"/>
      <c r="V4968" s="1798"/>
      <c r="W4968" s="1798"/>
      <c r="X4968" s="1798"/>
      <c r="Y4968" s="1798"/>
      <c r="Z4968" s="1798"/>
      <c r="AA4968" s="1798"/>
      <c r="AB4968" s="1798"/>
      <c r="AC4968" s="1798"/>
      <c r="AD4968" s="1798"/>
      <c r="AE4968" s="1798"/>
      <c r="AF4968" s="1798"/>
      <c r="AG4968" s="1798"/>
      <c r="AH4968" s="1798"/>
      <c r="AI4968" s="1798"/>
      <c r="AJ4968" s="1798"/>
      <c r="AK4968" s="1798"/>
      <c r="AL4968" s="1798"/>
      <c r="AM4968" s="1798"/>
      <c r="AN4968" s="1798"/>
      <c r="AO4968" s="1798"/>
      <c r="AP4968" s="1798"/>
      <c r="AQ4968" s="1798"/>
      <c r="AR4968" s="1798"/>
      <c r="AS4968" s="1798"/>
      <c r="AT4968" s="1798"/>
      <c r="AU4968" s="1798"/>
      <c r="AV4968" s="1798"/>
    </row>
    <row r="4969" spans="1:48" s="1799" customFormat="1">
      <c r="A4969" s="971"/>
      <c r="B4969" s="506" t="s">
        <v>1248</v>
      </c>
      <c r="C4969" s="506" t="s">
        <v>507</v>
      </c>
      <c r="D4969" s="1603">
        <v>670</v>
      </c>
      <c r="E4969" s="2252" t="s">
        <v>1930</v>
      </c>
      <c r="F4969" s="540">
        <v>2264</v>
      </c>
      <c r="G4969" s="730" t="s">
        <v>240</v>
      </c>
      <c r="H4969" s="2611">
        <v>380</v>
      </c>
      <c r="I4969" s="2616"/>
      <c r="J4969" s="2639"/>
      <c r="K4969" s="2626"/>
      <c r="L4969" s="2611">
        <v>0</v>
      </c>
      <c r="M4969" s="2599"/>
      <c r="N4969" s="2847"/>
      <c r="O4969" s="86"/>
      <c r="P4969" s="1817" t="e">
        <f>INDEX(#REF!,MATCH(F4969,#REF!,0),2)</f>
        <v>#REF!</v>
      </c>
      <c r="Q4969" s="1798"/>
      <c r="R4969" s="1798"/>
      <c r="S4969" s="1798"/>
      <c r="T4969" s="1798"/>
      <c r="U4969" s="1798"/>
      <c r="V4969" s="1798"/>
      <c r="W4969" s="1798"/>
      <c r="X4969" s="1798"/>
      <c r="Y4969" s="1798"/>
      <c r="Z4969" s="1798"/>
      <c r="AA4969" s="1798"/>
      <c r="AB4969" s="1798"/>
      <c r="AC4969" s="1798"/>
      <c r="AD4969" s="1798"/>
      <c r="AE4969" s="1798"/>
      <c r="AF4969" s="1798"/>
      <c r="AG4969" s="1798"/>
      <c r="AH4969" s="1798"/>
      <c r="AI4969" s="1798"/>
      <c r="AJ4969" s="1798"/>
      <c r="AK4969" s="1801"/>
      <c r="AL4969" s="1801"/>
      <c r="AM4969" s="1801"/>
      <c r="AN4969" s="1801"/>
      <c r="AO4969" s="1801"/>
      <c r="AP4969" s="1801"/>
      <c r="AQ4969" s="1801"/>
      <c r="AR4969" s="1801"/>
      <c r="AS4969" s="1801"/>
      <c r="AT4969" s="1801"/>
      <c r="AU4969" s="1801"/>
      <c r="AV4969" s="1801"/>
    </row>
    <row r="4970" spans="1:48" s="1799" customFormat="1" ht="11.25">
      <c r="A4970" s="521"/>
      <c r="B4970" s="412" t="s">
        <v>1248</v>
      </c>
      <c r="C4970" s="412" t="s">
        <v>507</v>
      </c>
      <c r="D4970" s="1590"/>
      <c r="E4970" s="2224" t="s">
        <v>1930</v>
      </c>
      <c r="F4970" s="505">
        <v>2264</v>
      </c>
      <c r="G4970" s="1431" t="s">
        <v>2142</v>
      </c>
      <c r="H4970" s="2592"/>
      <c r="I4970" s="2592">
        <v>380</v>
      </c>
      <c r="J4970" s="2636"/>
      <c r="K4970" s="2629"/>
      <c r="L4970" s="2594"/>
      <c r="M4970" s="2594"/>
      <c r="N4970" s="2847" t="s">
        <v>3494</v>
      </c>
      <c r="O4970" s="86"/>
      <c r="P4970" s="1817" t="e">
        <f>INDEX(#REF!,MATCH(F4970,#REF!,0),2)</f>
        <v>#REF!</v>
      </c>
      <c r="Q4970" s="1798"/>
      <c r="R4970" s="1798"/>
      <c r="S4970" s="1798"/>
      <c r="T4970" s="1798"/>
      <c r="U4970" s="1798"/>
      <c r="V4970" s="1798"/>
      <c r="W4970" s="1798"/>
      <c r="X4970" s="1798"/>
      <c r="Y4970" s="1798"/>
      <c r="Z4970" s="1798"/>
      <c r="AA4970" s="1798"/>
      <c r="AB4970" s="1798"/>
      <c r="AC4970" s="1798"/>
      <c r="AD4970" s="1798"/>
      <c r="AE4970" s="1798"/>
      <c r="AF4970" s="1798"/>
      <c r="AG4970" s="1798"/>
      <c r="AH4970" s="1798"/>
      <c r="AI4970" s="1798"/>
      <c r="AJ4970" s="1798"/>
      <c r="AK4970" s="1801"/>
      <c r="AL4970" s="1801"/>
      <c r="AM4970" s="1801"/>
      <c r="AN4970" s="1801"/>
      <c r="AO4970" s="1801"/>
      <c r="AP4970" s="1801"/>
      <c r="AQ4970" s="1801"/>
      <c r="AR4970" s="1801"/>
      <c r="AS4970" s="1801"/>
      <c r="AT4970" s="1801"/>
      <c r="AU4970" s="1801"/>
      <c r="AV4970" s="1801"/>
    </row>
    <row r="4971" spans="1:48" s="1799" customFormat="1" ht="11.25">
      <c r="A4971" s="971"/>
      <c r="B4971" s="506" t="s">
        <v>1248</v>
      </c>
      <c r="C4971" s="506" t="s">
        <v>505</v>
      </c>
      <c r="D4971" s="1603">
        <v>670</v>
      </c>
      <c r="E4971" s="2252" t="s">
        <v>1930</v>
      </c>
      <c r="F4971" s="540">
        <v>2311</v>
      </c>
      <c r="G4971" s="730" t="s">
        <v>426</v>
      </c>
      <c r="H4971" s="2611">
        <v>750</v>
      </c>
      <c r="I4971" s="2611"/>
      <c r="J4971" s="2639"/>
      <c r="K4971" s="2626"/>
      <c r="L4971" s="2611">
        <v>750</v>
      </c>
      <c r="M4971" s="2611"/>
      <c r="N4971" s="2847"/>
      <c r="O4971" s="86"/>
      <c r="P4971" s="1817"/>
      <c r="Q4971" s="1798"/>
      <c r="R4971" s="1798"/>
      <c r="S4971" s="1798"/>
      <c r="T4971" s="1798"/>
      <c r="U4971" s="1798"/>
      <c r="V4971" s="1798"/>
      <c r="W4971" s="1798"/>
      <c r="X4971" s="1798"/>
      <c r="Y4971" s="1798"/>
      <c r="Z4971" s="1798"/>
      <c r="AA4971" s="1798"/>
      <c r="AB4971" s="1798"/>
      <c r="AC4971" s="1798"/>
      <c r="AD4971" s="1798"/>
      <c r="AE4971" s="1798"/>
      <c r="AF4971" s="1798"/>
      <c r="AG4971" s="1798"/>
      <c r="AH4971" s="1798"/>
      <c r="AI4971" s="1798"/>
      <c r="AJ4971" s="1798"/>
      <c r="AK4971" s="1801"/>
      <c r="AL4971" s="1801"/>
      <c r="AM4971" s="1801"/>
      <c r="AN4971" s="1801"/>
      <c r="AO4971" s="1801"/>
      <c r="AP4971" s="1801"/>
      <c r="AQ4971" s="1801"/>
      <c r="AR4971" s="1801"/>
      <c r="AS4971" s="1801"/>
      <c r="AT4971" s="1801"/>
      <c r="AU4971" s="1801"/>
      <c r="AV4971" s="1801"/>
    </row>
    <row r="4972" spans="1:48" s="1799" customFormat="1" ht="11.25">
      <c r="A4972" s="521"/>
      <c r="B4972" s="412" t="s">
        <v>1248</v>
      </c>
      <c r="C4972" s="412" t="s">
        <v>505</v>
      </c>
      <c r="D4972" s="1590"/>
      <c r="E4972" s="2224" t="s">
        <v>1930</v>
      </c>
      <c r="F4972" s="505">
        <v>2311</v>
      </c>
      <c r="G4972" s="1054" t="s">
        <v>362</v>
      </c>
      <c r="H4972" s="2592"/>
      <c r="I4972" s="2592">
        <v>500</v>
      </c>
      <c r="J4972" s="2636"/>
      <c r="K4972" s="2627"/>
      <c r="L4972" s="2592"/>
      <c r="M4972" s="2592">
        <v>500</v>
      </c>
      <c r="N4972" s="2847"/>
      <c r="O4972" s="86"/>
      <c r="P4972" s="1817" t="e">
        <f>INDEX(#REF!,MATCH(F4972,#REF!,0),2)</f>
        <v>#REF!</v>
      </c>
      <c r="Q4972" s="1798"/>
      <c r="R4972" s="1798"/>
      <c r="S4972" s="1798"/>
      <c r="T4972" s="1798"/>
      <c r="U4972" s="1798"/>
      <c r="V4972" s="1798"/>
      <c r="W4972" s="1798"/>
      <c r="X4972" s="1798"/>
      <c r="Y4972" s="1798"/>
      <c r="Z4972" s="1798"/>
      <c r="AA4972" s="1798"/>
      <c r="AB4972" s="1798"/>
      <c r="AC4972" s="1798"/>
      <c r="AD4972" s="1798"/>
      <c r="AE4972" s="1798"/>
      <c r="AF4972" s="1798"/>
      <c r="AG4972" s="1798"/>
      <c r="AH4972" s="1798"/>
      <c r="AI4972" s="1798"/>
      <c r="AJ4972" s="1798"/>
      <c r="AK4972" s="1798"/>
      <c r="AL4972" s="1798"/>
      <c r="AM4972" s="1798"/>
      <c r="AN4972" s="1798"/>
      <c r="AO4972" s="1798"/>
      <c r="AP4972" s="1798"/>
      <c r="AQ4972" s="1798"/>
      <c r="AR4972" s="1798"/>
      <c r="AS4972" s="1798"/>
      <c r="AT4972" s="1798"/>
      <c r="AU4972" s="1798"/>
      <c r="AV4972" s="1798"/>
    </row>
    <row r="4973" spans="1:48">
      <c r="A4973" s="521"/>
      <c r="B4973" s="412" t="s">
        <v>1248</v>
      </c>
      <c r="C4973" s="412" t="s">
        <v>505</v>
      </c>
      <c r="D4973" s="1590"/>
      <c r="E4973" s="2224" t="s">
        <v>1930</v>
      </c>
      <c r="F4973" s="505">
        <v>2311</v>
      </c>
      <c r="G4973" s="1054" t="s">
        <v>2589</v>
      </c>
      <c r="H4973" s="2592"/>
      <c r="I4973" s="2592">
        <v>200</v>
      </c>
      <c r="J4973" s="2636"/>
      <c r="K4973" s="2627"/>
      <c r="L4973" s="2592"/>
      <c r="M4973" s="2592">
        <v>200</v>
      </c>
      <c r="N4973" s="2847"/>
      <c r="O4973" s="86"/>
      <c r="P4973" s="1817" t="e">
        <f>INDEX(#REF!,MATCH(F4973,#REF!,0),2)</f>
        <v>#REF!</v>
      </c>
      <c r="Q4973" s="43"/>
      <c r="R4973" s="43"/>
      <c r="S4973" s="43"/>
      <c r="T4973" s="43"/>
      <c r="U4973" s="43"/>
      <c r="V4973" s="43"/>
      <c r="W4973" s="43"/>
      <c r="X4973" s="43"/>
      <c r="Y4973" s="43"/>
      <c r="Z4973" s="43"/>
      <c r="AA4973" s="43"/>
      <c r="AB4973" s="43"/>
      <c r="AC4973" s="43"/>
      <c r="AD4973" s="43"/>
      <c r="AE4973" s="43"/>
      <c r="AF4973" s="43"/>
      <c r="AG4973" s="43"/>
      <c r="AH4973" s="43"/>
      <c r="AI4973" s="43"/>
      <c r="AJ4973" s="43"/>
      <c r="AK4973" s="4"/>
      <c r="AL4973" s="4"/>
      <c r="AM4973" s="4"/>
      <c r="AN4973" s="4"/>
      <c r="AO4973" s="4"/>
      <c r="AP4973" s="4"/>
      <c r="AQ4973" s="4"/>
      <c r="AR4973" s="4"/>
      <c r="AS4973" s="4"/>
      <c r="AT4973" s="4"/>
      <c r="AU4973" s="4"/>
      <c r="AV4973" s="4"/>
    </row>
    <row r="4974" spans="1:48">
      <c r="A4974" s="521"/>
      <c r="B4974" s="412" t="s">
        <v>1248</v>
      </c>
      <c r="C4974" s="412" t="s">
        <v>505</v>
      </c>
      <c r="D4974" s="1590"/>
      <c r="E4974" s="2224" t="s">
        <v>1930</v>
      </c>
      <c r="F4974" s="505">
        <v>2311</v>
      </c>
      <c r="G4974" s="1054" t="s">
        <v>602</v>
      </c>
      <c r="H4974" s="2592"/>
      <c r="I4974" s="2592"/>
      <c r="J4974" s="2641"/>
      <c r="K4974" s="2627"/>
      <c r="L4974" s="2592"/>
      <c r="M4974" s="2592"/>
      <c r="N4974" s="2847"/>
      <c r="O4974" s="86"/>
      <c r="P4974" s="1817" t="e">
        <f>INDEX(#REF!,MATCH(F4974,#REF!,0),2)</f>
        <v>#REF!</v>
      </c>
      <c r="Q4974" s="43"/>
      <c r="R4974" s="43"/>
      <c r="S4974" s="43"/>
      <c r="T4974" s="43"/>
      <c r="U4974" s="43"/>
      <c r="V4974" s="43"/>
      <c r="W4974" s="43"/>
      <c r="X4974" s="43"/>
      <c r="Y4974" s="43"/>
      <c r="Z4974" s="43"/>
      <c r="AA4974" s="43"/>
      <c r="AB4974" s="43"/>
      <c r="AC4974" s="43"/>
      <c r="AD4974" s="43"/>
      <c r="AE4974" s="43"/>
      <c r="AF4974" s="43"/>
      <c r="AG4974" s="43"/>
      <c r="AH4974" s="4"/>
      <c r="AI4974" s="4"/>
      <c r="AJ4974" s="4"/>
      <c r="AK4974" s="4"/>
      <c r="AL4974" s="4"/>
      <c r="AM4974" s="4"/>
      <c r="AN4974" s="4"/>
      <c r="AO4974" s="4"/>
      <c r="AP4974" s="4"/>
      <c r="AQ4974" s="4"/>
      <c r="AR4974" s="4"/>
      <c r="AS4974" s="4"/>
      <c r="AT4974" s="4"/>
      <c r="AU4974" s="4"/>
      <c r="AV4974" s="4"/>
    </row>
    <row r="4975" spans="1:48">
      <c r="A4975" s="521"/>
      <c r="B4975" s="412" t="s">
        <v>1248</v>
      </c>
      <c r="C4975" s="412" t="s">
        <v>505</v>
      </c>
      <c r="D4975" s="1590"/>
      <c r="E4975" s="2224" t="s">
        <v>1930</v>
      </c>
      <c r="F4975" s="505">
        <v>2311</v>
      </c>
      <c r="G4975" s="1054" t="s">
        <v>2590</v>
      </c>
      <c r="H4975" s="2592"/>
      <c r="I4975" s="2592">
        <v>50</v>
      </c>
      <c r="J4975" s="2636"/>
      <c r="K4975" s="2627"/>
      <c r="L4975" s="2592"/>
      <c r="M4975" s="2592">
        <v>50</v>
      </c>
      <c r="N4975" s="2847"/>
      <c r="O4975" s="86"/>
      <c r="P4975" s="1817" t="e">
        <f>INDEX(#REF!,MATCH(F4975,#REF!,0),2)</f>
        <v>#REF!</v>
      </c>
      <c r="Q4975" s="43"/>
      <c r="R4975" s="43"/>
      <c r="S4975" s="43"/>
      <c r="T4975" s="43"/>
      <c r="U4975" s="43"/>
      <c r="V4975" s="43"/>
      <c r="W4975" s="43"/>
      <c r="X4975" s="43"/>
      <c r="Y4975" s="43"/>
      <c r="Z4975" s="43"/>
      <c r="AA4975" s="43"/>
      <c r="AB4975" s="43"/>
      <c r="AC4975" s="43"/>
      <c r="AD4975" s="43"/>
      <c r="AE4975" s="43"/>
      <c r="AF4975" s="43"/>
      <c r="AG4975" s="43"/>
      <c r="AH4975" s="4"/>
      <c r="AI4975" s="4"/>
      <c r="AJ4975" s="4"/>
      <c r="AK4975" s="4"/>
      <c r="AL4975" s="4"/>
      <c r="AM4975" s="4"/>
      <c r="AN4975" s="4"/>
      <c r="AO4975" s="4"/>
      <c r="AP4975" s="4"/>
      <c r="AQ4975" s="4"/>
      <c r="AR4975" s="4"/>
      <c r="AS4975" s="4"/>
      <c r="AT4975" s="4"/>
      <c r="AU4975" s="4"/>
      <c r="AV4975" s="4"/>
    </row>
    <row r="4976" spans="1:48">
      <c r="A4976" s="544"/>
      <c r="B4976" s="506" t="s">
        <v>1248</v>
      </c>
      <c r="C4976" s="506" t="s">
        <v>721</v>
      </c>
      <c r="D4976" s="1603">
        <v>670</v>
      </c>
      <c r="E4976" s="2252" t="s">
        <v>1930</v>
      </c>
      <c r="F4976" s="540">
        <v>2312</v>
      </c>
      <c r="G4976" s="730" t="s">
        <v>249</v>
      </c>
      <c r="H4976" s="2619">
        <v>0</v>
      </c>
      <c r="I4976" s="2619"/>
      <c r="J4976" s="2642"/>
      <c r="K4976" s="2631"/>
      <c r="L4976" s="2619">
        <v>0</v>
      </c>
      <c r="M4976" s="2620"/>
      <c r="N4976" s="2847"/>
      <c r="O4976" s="86"/>
      <c r="P4976" s="1817" t="e">
        <f>INDEX(#REF!,MATCH(F4976,#REF!,0),2)</f>
        <v>#REF!</v>
      </c>
      <c r="Q4976" s="43"/>
      <c r="R4976" s="43"/>
      <c r="S4976" s="43"/>
      <c r="T4976" s="43"/>
      <c r="U4976" s="43"/>
      <c r="V4976" s="43"/>
      <c r="W4976" s="43"/>
      <c r="X4976" s="43"/>
      <c r="Y4976" s="43"/>
      <c r="Z4976" s="43"/>
      <c r="AA4976" s="43"/>
      <c r="AB4976" s="43"/>
      <c r="AC4976" s="43"/>
      <c r="AD4976" s="43"/>
      <c r="AE4976" s="43"/>
      <c r="AF4976" s="43"/>
      <c r="AG4976" s="43"/>
      <c r="AH4976" s="43"/>
      <c r="AI4976" s="43"/>
      <c r="AJ4976" s="43"/>
      <c r="AK4976" s="43"/>
      <c r="AL4976" s="43"/>
      <c r="AM4976" s="43"/>
      <c r="AN4976" s="43"/>
      <c r="AO4976" s="43"/>
      <c r="AP4976" s="43"/>
      <c r="AQ4976" s="43"/>
      <c r="AR4976" s="43"/>
      <c r="AS4976" s="43"/>
      <c r="AT4976" s="43"/>
      <c r="AU4976" s="43"/>
      <c r="AV4976" s="43"/>
    </row>
    <row r="4977" spans="1:48">
      <c r="A4977" s="515"/>
      <c r="B4977" s="412" t="s">
        <v>1248</v>
      </c>
      <c r="C4977" s="412" t="s">
        <v>721</v>
      </c>
      <c r="D4977" s="1590"/>
      <c r="E4977" s="2224" t="s">
        <v>1930</v>
      </c>
      <c r="F4977" s="505">
        <v>2312</v>
      </c>
      <c r="G4977" s="1054" t="s">
        <v>3504</v>
      </c>
      <c r="H4977" s="2595"/>
      <c r="I4977" s="2595"/>
      <c r="J4977" s="2643"/>
      <c r="K4977" s="2631"/>
      <c r="L4977" s="2621"/>
      <c r="M4977" s="2621"/>
      <c r="N4977" s="2847"/>
      <c r="O4977" s="86"/>
      <c r="P4977" s="1817" t="e">
        <f>INDEX(#REF!,MATCH(F4977,#REF!,0),2)</f>
        <v>#REF!</v>
      </c>
      <c r="Q4977" s="43"/>
      <c r="R4977" s="43"/>
      <c r="S4977" s="43"/>
      <c r="T4977" s="43"/>
      <c r="U4977" s="43"/>
      <c r="V4977" s="43"/>
      <c r="W4977" s="43"/>
      <c r="X4977" s="43"/>
      <c r="Y4977" s="43"/>
      <c r="Z4977" s="43"/>
      <c r="AA4977" s="43"/>
      <c r="AB4977" s="43"/>
      <c r="AC4977" s="43"/>
      <c r="AD4977" s="43"/>
      <c r="AE4977" s="43"/>
      <c r="AF4977" s="43"/>
      <c r="AG4977" s="43"/>
      <c r="AH4977" s="43"/>
      <c r="AI4977" s="43"/>
      <c r="AJ4977" s="43"/>
      <c r="AK4977" s="43"/>
      <c r="AL4977" s="43"/>
      <c r="AM4977" s="43"/>
      <c r="AN4977" s="43"/>
      <c r="AO4977" s="43"/>
      <c r="AP4977" s="43"/>
      <c r="AQ4977" s="43"/>
      <c r="AR4977" s="43"/>
      <c r="AS4977" s="43"/>
      <c r="AT4977" s="43"/>
      <c r="AU4977" s="43"/>
      <c r="AV4977" s="43"/>
    </row>
    <row r="4978" spans="1:48">
      <c r="A4978" s="971"/>
      <c r="B4978" s="506" t="s">
        <v>1248</v>
      </c>
      <c r="C4978" s="506" t="s">
        <v>505</v>
      </c>
      <c r="D4978" s="1603">
        <v>670</v>
      </c>
      <c r="E4978" s="2252" t="s">
        <v>1930</v>
      </c>
      <c r="F4978" s="540">
        <v>2322</v>
      </c>
      <c r="G4978" s="730" t="s">
        <v>289</v>
      </c>
      <c r="H4978" s="2611">
        <v>3774</v>
      </c>
      <c r="I4978" s="2611"/>
      <c r="J4978" s="2639"/>
      <c r="K4978" s="2626"/>
      <c r="L4978" s="2611">
        <v>3474</v>
      </c>
      <c r="M4978" s="2611"/>
      <c r="N4978" s="2847"/>
      <c r="O4978" s="86"/>
      <c r="P4978" s="1817" t="e">
        <f>INDEX(#REF!,MATCH(F4978,#REF!,0),2)</f>
        <v>#REF!</v>
      </c>
      <c r="Q4978" s="2559"/>
      <c r="R4978" s="2559"/>
      <c r="S4978" s="2559"/>
      <c r="T4978" s="2559"/>
      <c r="U4978" s="2559"/>
      <c r="V4978" s="2559"/>
      <c r="W4978" s="2559"/>
      <c r="X4978" s="43"/>
    </row>
    <row r="4979" spans="1:48">
      <c r="A4979" s="1120"/>
      <c r="B4979" s="529" t="s">
        <v>1248</v>
      </c>
      <c r="C4979" s="529" t="s">
        <v>505</v>
      </c>
      <c r="D4979" s="1590"/>
      <c r="E4979" s="2224" t="s">
        <v>1930</v>
      </c>
      <c r="F4979" s="724">
        <v>2322</v>
      </c>
      <c r="G4979" s="2610" t="s">
        <v>2143</v>
      </c>
      <c r="H4979" s="2622"/>
      <c r="I4979" s="2622">
        <v>1110</v>
      </c>
      <c r="J4979" s="2644"/>
      <c r="K4979" s="2632"/>
      <c r="L4979" s="2622"/>
      <c r="M4979" s="4413">
        <v>960</v>
      </c>
      <c r="N4979" s="241" t="s">
        <v>5156</v>
      </c>
      <c r="O4979" s="86"/>
      <c r="P4979" s="1817" t="e">
        <f>INDEX(#REF!,MATCH(F4979,#REF!,0),2)</f>
        <v>#REF!</v>
      </c>
      <c r="Q4979" s="2560"/>
      <c r="R4979" s="2560"/>
      <c r="S4979" s="2560"/>
      <c r="T4979" s="2560"/>
      <c r="U4979" s="2560"/>
      <c r="V4979" s="2560"/>
      <c r="W4979" s="2560"/>
      <c r="X4979" s="2561"/>
    </row>
    <row r="4980" spans="1:48" ht="22.5">
      <c r="A4980" s="1120"/>
      <c r="B4980" s="529" t="s">
        <v>1248</v>
      </c>
      <c r="C4980" s="529" t="s">
        <v>505</v>
      </c>
      <c r="D4980" s="1590"/>
      <c r="E4980" s="2224" t="s">
        <v>1930</v>
      </c>
      <c r="F4980" s="724">
        <v>2322</v>
      </c>
      <c r="G4980" s="2610" t="s">
        <v>2144</v>
      </c>
      <c r="H4980" s="2622"/>
      <c r="I4980" s="2622">
        <v>888</v>
      </c>
      <c r="J4980" s="2644"/>
      <c r="K4980" s="2632"/>
      <c r="L4980" s="2622"/>
      <c r="M4980" s="4413">
        <v>838</v>
      </c>
      <c r="N4980" s="241" t="s">
        <v>5156</v>
      </c>
      <c r="O4980" s="2559"/>
      <c r="P4980" s="1817" t="e">
        <f>INDEX(#REF!,MATCH(F4980,#REF!,0),2)</f>
        <v>#REF!</v>
      </c>
      <c r="Q4980" s="2560"/>
      <c r="R4980" s="2560"/>
      <c r="S4980" s="2560"/>
      <c r="T4980" s="2560"/>
      <c r="U4980" s="2560"/>
      <c r="V4980" s="2560"/>
      <c r="W4980" s="2560"/>
      <c r="X4980" s="2561"/>
    </row>
    <row r="4981" spans="1:48" ht="22.5">
      <c r="A4981" s="1120"/>
      <c r="B4981" s="529" t="s">
        <v>1248</v>
      </c>
      <c r="C4981" s="529" t="s">
        <v>505</v>
      </c>
      <c r="D4981" s="1590"/>
      <c r="E4981" s="2224" t="s">
        <v>1930</v>
      </c>
      <c r="F4981" s="724">
        <v>2322</v>
      </c>
      <c r="G4981" s="2610" t="s">
        <v>2145</v>
      </c>
      <c r="H4981" s="2622"/>
      <c r="I4981" s="2622">
        <v>888</v>
      </c>
      <c r="J4981" s="2644"/>
      <c r="K4981" s="2632"/>
      <c r="L4981" s="2622"/>
      <c r="M4981" s="4413">
        <v>838</v>
      </c>
      <c r="N4981" s="241" t="s">
        <v>5156</v>
      </c>
      <c r="O4981" s="2560"/>
      <c r="P4981" s="1817" t="e">
        <f>INDEX(#REF!,MATCH(F4981,#REF!,0),2)</f>
        <v>#REF!</v>
      </c>
      <c r="Q4981" s="2560"/>
      <c r="R4981" s="2560"/>
      <c r="S4981" s="2560"/>
      <c r="T4981" s="2560"/>
      <c r="U4981" s="2560"/>
      <c r="V4981" s="2560"/>
      <c r="W4981" s="2560"/>
      <c r="X4981" s="2561"/>
    </row>
    <row r="4982" spans="1:48" ht="22.5">
      <c r="A4982" s="1121"/>
      <c r="B4982" s="529" t="s">
        <v>1248</v>
      </c>
      <c r="C4982" s="529" t="s">
        <v>505</v>
      </c>
      <c r="D4982" s="1590"/>
      <c r="E4982" s="2224" t="s">
        <v>1930</v>
      </c>
      <c r="F4982" s="724">
        <v>2322</v>
      </c>
      <c r="G4982" s="2610" t="s">
        <v>2146</v>
      </c>
      <c r="H4982" s="2622"/>
      <c r="I4982" s="2622">
        <v>888</v>
      </c>
      <c r="J4982" s="2644"/>
      <c r="K4982" s="2632"/>
      <c r="L4982" s="2622"/>
      <c r="M4982" s="4413">
        <v>838</v>
      </c>
      <c r="N4982" s="241" t="s">
        <v>5156</v>
      </c>
      <c r="O4982" s="2560"/>
      <c r="P4982" s="1817" t="e">
        <f>INDEX(#REF!,MATCH(F4982,#REF!,0),2)</f>
        <v>#REF!</v>
      </c>
      <c r="Q4982" s="2560"/>
      <c r="R4982" s="2560"/>
      <c r="S4982" s="2560"/>
      <c r="T4982" s="2560"/>
      <c r="U4982" s="2560"/>
      <c r="V4982" s="2560"/>
      <c r="W4982" s="2560"/>
      <c r="X4982" s="2561"/>
    </row>
    <row r="4983" spans="1:48">
      <c r="A4983" s="506"/>
      <c r="B4983" s="506" t="s">
        <v>1248</v>
      </c>
      <c r="C4983" s="506" t="s">
        <v>507</v>
      </c>
      <c r="D4983" s="1589">
        <v>670</v>
      </c>
      <c r="E4983" s="2223" t="s">
        <v>1930</v>
      </c>
      <c r="F4983" s="540">
        <v>2350</v>
      </c>
      <c r="G4983" s="730" t="s">
        <v>1984</v>
      </c>
      <c r="H4983" s="2619">
        <v>0</v>
      </c>
      <c r="I4983" s="2619"/>
      <c r="J4983" s="2642"/>
      <c r="K4983" s="2629"/>
      <c r="L4983" s="2620">
        <v>0</v>
      </c>
      <c r="M4983" s="2620"/>
      <c r="N4983" s="2847"/>
      <c r="O4983" s="2560"/>
      <c r="P4983" s="1817" t="e">
        <f>INDEX(#REF!,MATCH(F4983,#REF!,0),2)</f>
        <v>#REF!</v>
      </c>
      <c r="Q4983" s="2559"/>
      <c r="R4983" s="2559"/>
      <c r="S4983" s="2559"/>
      <c r="T4983" s="2559"/>
      <c r="U4983" s="2559"/>
      <c r="V4983" s="2559"/>
      <c r="W4983" s="2559"/>
      <c r="X4983" s="43"/>
    </row>
    <row r="4984" spans="1:48">
      <c r="A4984" s="412"/>
      <c r="B4984" s="412" t="s">
        <v>1248</v>
      </c>
      <c r="C4984" s="412" t="s">
        <v>507</v>
      </c>
      <c r="D4984" s="1591"/>
      <c r="E4984" s="2266" t="s">
        <v>1930</v>
      </c>
      <c r="F4984" s="505">
        <v>2350</v>
      </c>
      <c r="G4984" s="1433"/>
      <c r="H4984" s="2595"/>
      <c r="I4984" s="2595"/>
      <c r="J4984" s="2643"/>
      <c r="K4984" s="2629"/>
      <c r="L4984" s="2621"/>
      <c r="M4984" s="2621"/>
      <c r="N4984" s="2847"/>
      <c r="O4984" s="2560"/>
      <c r="P4984" s="1817"/>
      <c r="Q4984" s="2560"/>
      <c r="R4984" s="2560"/>
      <c r="S4984" s="2560"/>
      <c r="T4984" s="2560"/>
      <c r="U4984" s="2560"/>
      <c r="V4984" s="2560"/>
      <c r="W4984" s="2560"/>
      <c r="X4984" s="2561"/>
    </row>
    <row r="4985" spans="1:48">
      <c r="A4985" s="971"/>
      <c r="B4985" s="506" t="s">
        <v>1248</v>
      </c>
      <c r="C4985" s="506" t="s">
        <v>505</v>
      </c>
      <c r="D4985" s="1589">
        <v>670</v>
      </c>
      <c r="E4985" s="2223" t="s">
        <v>1930</v>
      </c>
      <c r="F4985" s="540">
        <v>2390</v>
      </c>
      <c r="G4985" s="730" t="s">
        <v>253</v>
      </c>
      <c r="H4985" s="2611">
        <v>300</v>
      </c>
      <c r="I4985" s="2611"/>
      <c r="J4985" s="2611"/>
      <c r="K4985" s="2626"/>
      <c r="L4985" s="2611">
        <v>300</v>
      </c>
      <c r="M4985" s="2611"/>
      <c r="N4985" s="2847"/>
      <c r="O4985" s="2559"/>
      <c r="P4985" s="1817" t="e">
        <f>INDEX(#REF!,MATCH(F4985,#REF!,0),2)</f>
        <v>#REF!</v>
      </c>
      <c r="Q4985" s="2559"/>
      <c r="R4985" s="2559"/>
      <c r="S4985" s="2559"/>
      <c r="T4985" s="2559"/>
      <c r="U4985" s="2559"/>
      <c r="V4985" s="2559"/>
      <c r="W4985" s="2559"/>
      <c r="X4985" s="43"/>
    </row>
    <row r="4986" spans="1:48" ht="22.5">
      <c r="A4986" s="521"/>
      <c r="B4986" s="412" t="s">
        <v>1248</v>
      </c>
      <c r="C4986" s="412" t="s">
        <v>505</v>
      </c>
      <c r="D4986" s="1591"/>
      <c r="E4986" s="2266" t="s">
        <v>1930</v>
      </c>
      <c r="F4986" s="505">
        <v>2390</v>
      </c>
      <c r="G4986" s="1431" t="s">
        <v>2147</v>
      </c>
      <c r="H4986" s="2592"/>
      <c r="I4986" s="2592">
        <v>300</v>
      </c>
      <c r="J4986" s="2592"/>
      <c r="K4986" s="2633"/>
      <c r="L4986" s="2592"/>
      <c r="M4986" s="2592">
        <v>300</v>
      </c>
      <c r="N4986" s="2847"/>
      <c r="O4986" s="2560"/>
      <c r="P4986" s="1817" t="e">
        <f>INDEX(#REF!,MATCH(F4986,#REF!,0),2)</f>
        <v>#REF!</v>
      </c>
      <c r="Q4986" s="2560"/>
      <c r="R4986" s="2560"/>
      <c r="S4986" s="2560"/>
      <c r="T4986" s="2560"/>
      <c r="U4986" s="2560"/>
      <c r="V4986" s="2560"/>
      <c r="W4986" s="2560"/>
      <c r="X4986" s="2561"/>
    </row>
    <row r="4987" spans="1:48" ht="22.5">
      <c r="A4987" s="971"/>
      <c r="B4987" s="506" t="s">
        <v>1248</v>
      </c>
      <c r="C4987" s="506" t="s">
        <v>507</v>
      </c>
      <c r="D4987" s="1589">
        <v>670</v>
      </c>
      <c r="E4987" s="2223" t="s">
        <v>1930</v>
      </c>
      <c r="F4987" s="540">
        <v>2519</v>
      </c>
      <c r="G4987" s="730" t="s">
        <v>1256</v>
      </c>
      <c r="H4987" s="2611">
        <v>800</v>
      </c>
      <c r="I4987" s="2611"/>
      <c r="J4987" s="2639"/>
      <c r="K4987" s="2626"/>
      <c r="L4987" s="2611">
        <v>800</v>
      </c>
      <c r="M4987" s="2611"/>
      <c r="N4987" s="2847"/>
      <c r="O4987" s="2559"/>
      <c r="P4987" s="1817" t="e">
        <f>INDEX(#REF!,MATCH(F4987,#REF!,0),2)</f>
        <v>#REF!</v>
      </c>
      <c r="Q4987" s="2560"/>
      <c r="R4987" s="2560"/>
      <c r="S4987" s="2560"/>
      <c r="T4987" s="2560"/>
      <c r="U4987" s="2560"/>
      <c r="V4987" s="2560"/>
      <c r="W4987" s="2560"/>
      <c r="X4987" s="2561"/>
    </row>
    <row r="4988" spans="1:48">
      <c r="A4988" s="521"/>
      <c r="B4988" s="412" t="s">
        <v>1248</v>
      </c>
      <c r="C4988" s="412" t="s">
        <v>505</v>
      </c>
      <c r="D4988" s="1591"/>
      <c r="E4988" s="2266" t="s">
        <v>1930</v>
      </c>
      <c r="F4988" s="505">
        <v>2519</v>
      </c>
      <c r="G4988" s="1432" t="s">
        <v>3505</v>
      </c>
      <c r="H4988" s="2592"/>
      <c r="I4988" s="2592"/>
      <c r="J4988" s="2636"/>
      <c r="K4988" s="2629"/>
      <c r="L4988" s="2592"/>
      <c r="M4988" s="2592">
        <v>800</v>
      </c>
      <c r="N4988" s="2847"/>
      <c r="O4988" s="2560"/>
      <c r="P4988" s="1817" t="e">
        <f>INDEX(#REF!,MATCH(F4988,#REF!,0),2)</f>
        <v>#REF!</v>
      </c>
      <c r="Q4988" s="2559"/>
      <c r="R4988" s="2559"/>
      <c r="S4988" s="2559"/>
      <c r="T4988" s="2559"/>
      <c r="U4988" s="2559"/>
      <c r="V4988" s="2559"/>
      <c r="W4988" s="2559"/>
      <c r="X4988" s="43"/>
    </row>
    <row r="4989" spans="1:48">
      <c r="A4989" s="521"/>
      <c r="B4989" s="412" t="s">
        <v>1248</v>
      </c>
      <c r="C4989" s="412" t="s">
        <v>505</v>
      </c>
      <c r="D4989" s="1591"/>
      <c r="E4989" s="2266" t="s">
        <v>1930</v>
      </c>
      <c r="F4989" s="505">
        <v>2519</v>
      </c>
      <c r="G4989" s="1432" t="s">
        <v>3183</v>
      </c>
      <c r="H4989" s="2592"/>
      <c r="I4989" s="2592">
        <v>300</v>
      </c>
      <c r="J4989" s="2636"/>
      <c r="K4989" s="2629"/>
      <c r="L4989" s="2594"/>
      <c r="M4989" s="2594"/>
      <c r="N4989" s="2847"/>
      <c r="O4989" s="2560"/>
      <c r="P4989" s="1817"/>
      <c r="Q4989" s="2560"/>
      <c r="R4989" s="2560"/>
      <c r="S4989" s="2560"/>
      <c r="T4989" s="2560"/>
      <c r="U4989" s="2560"/>
      <c r="V4989" s="2560"/>
      <c r="W4989" s="2560"/>
      <c r="X4989" s="2561"/>
    </row>
    <row r="4990" spans="1:48">
      <c r="A4990" s="1897"/>
      <c r="B4990" s="412" t="s">
        <v>1248</v>
      </c>
      <c r="C4990" s="412" t="s">
        <v>505</v>
      </c>
      <c r="D4990" s="1591"/>
      <c r="E4990" s="2266" t="s">
        <v>1930</v>
      </c>
      <c r="F4990" s="505">
        <v>2519</v>
      </c>
      <c r="G4990" s="1432" t="s">
        <v>3307</v>
      </c>
      <c r="H4990" s="2592"/>
      <c r="I4990" s="2592">
        <v>500</v>
      </c>
      <c r="J4990" s="2636"/>
      <c r="K4990" s="2629"/>
      <c r="L4990" s="2594"/>
      <c r="M4990" s="2594"/>
      <c r="N4990" s="2847"/>
      <c r="O4990" s="2559"/>
      <c r="P4990" s="1817" t="e">
        <f>INDEX(#REF!,MATCH(F4990,#REF!,0),2)</f>
        <v>#REF!</v>
      </c>
      <c r="Q4990" s="2559"/>
      <c r="R4990" s="2559"/>
      <c r="S4990" s="2559"/>
      <c r="T4990" s="2559"/>
      <c r="U4990" s="2559"/>
      <c r="V4990" s="2559"/>
      <c r="W4990" s="2559"/>
      <c r="X4990" s="43"/>
    </row>
    <row r="4991" spans="1:48">
      <c r="A4991" s="971"/>
      <c r="B4991" s="506" t="s">
        <v>1248</v>
      </c>
      <c r="C4991" s="506" t="s">
        <v>505</v>
      </c>
      <c r="D4991" s="1603">
        <v>670</v>
      </c>
      <c r="E4991" s="2252" t="s">
        <v>1930</v>
      </c>
      <c r="F4991" s="540">
        <v>5120</v>
      </c>
      <c r="G4991" s="730" t="s">
        <v>255</v>
      </c>
      <c r="H4991" s="2611"/>
      <c r="I4991" s="2611"/>
      <c r="J4991" s="2639">
        <v>0</v>
      </c>
      <c r="K4991" s="2626"/>
      <c r="L4991" s="2611">
        <v>0</v>
      </c>
      <c r="M4991" s="2598"/>
      <c r="N4991" s="2847"/>
      <c r="O4991" s="2560"/>
      <c r="P4991" s="1817" t="e">
        <f>INDEX(#REF!,MATCH(F4991,#REF!,0),2)</f>
        <v>#REF!</v>
      </c>
      <c r="Q4991" s="2560"/>
      <c r="R4991" s="2560"/>
      <c r="S4991" s="2560"/>
      <c r="T4991" s="2560"/>
      <c r="U4991" s="2560"/>
      <c r="V4991" s="2560"/>
      <c r="W4991" s="2560"/>
      <c r="X4991" s="2561"/>
    </row>
    <row r="4992" spans="1:48">
      <c r="A4992" s="521"/>
      <c r="B4992" s="412" t="s">
        <v>1248</v>
      </c>
      <c r="C4992" s="412" t="s">
        <v>505</v>
      </c>
      <c r="D4992" s="1590"/>
      <c r="E4992" s="2224" t="s">
        <v>1930</v>
      </c>
      <c r="F4992" s="505">
        <v>5120</v>
      </c>
      <c r="G4992" s="2610" t="s">
        <v>3506</v>
      </c>
      <c r="H4992" s="2597"/>
      <c r="I4992" s="2597"/>
      <c r="J4992" s="2638"/>
      <c r="K4992" s="2634"/>
      <c r="L4992" s="2600"/>
      <c r="M4992" s="1576"/>
      <c r="N4992" s="2396" t="s">
        <v>2578</v>
      </c>
      <c r="O4992" s="2559"/>
      <c r="P4992" s="1817" t="e">
        <f>INDEX(#REF!,MATCH(F4992,#REF!,0),2)</f>
        <v>#REF!</v>
      </c>
      <c r="Q4992" s="2559"/>
      <c r="R4992" s="2559"/>
      <c r="S4992" s="2559"/>
      <c r="T4992" s="2559"/>
      <c r="U4992" s="2559"/>
      <c r="V4992" s="2559"/>
      <c r="W4992" s="2559"/>
      <c r="X4992" s="43"/>
    </row>
    <row r="4993" spans="1:24">
      <c r="A4993" s="971"/>
      <c r="B4993" s="506" t="s">
        <v>1249</v>
      </c>
      <c r="C4993" s="506" t="s">
        <v>510</v>
      </c>
      <c r="D4993" s="1603">
        <v>670</v>
      </c>
      <c r="E4993" s="2252" t="s">
        <v>1930</v>
      </c>
      <c r="F4993" s="617">
        <v>5214</v>
      </c>
      <c r="G4993" s="1434" t="s">
        <v>5336</v>
      </c>
      <c r="H4993" s="2611">
        <v>232064</v>
      </c>
      <c r="I4993" s="2611"/>
      <c r="J4993" s="2639"/>
      <c r="K4993" s="2626"/>
      <c r="L4993" s="2611">
        <v>0</v>
      </c>
      <c r="M4993" s="2611"/>
      <c r="N4993" s="2847"/>
      <c r="O4993" s="2560"/>
      <c r="P4993" s="1817" t="e">
        <f>INDEX(#REF!,MATCH(F4993,#REF!,0),2)</f>
        <v>#REF!</v>
      </c>
      <c r="Q4993" s="2560"/>
      <c r="R4993" s="2560"/>
      <c r="S4993" s="2560"/>
      <c r="T4993" s="2560"/>
      <c r="U4993" s="2560"/>
      <c r="V4993" s="2560"/>
      <c r="W4993" s="2560"/>
      <c r="X4993" s="2561"/>
    </row>
    <row r="4994" spans="1:24" ht="33.75">
      <c r="A4994" s="521" t="s">
        <v>1583</v>
      </c>
      <c r="B4994" s="412" t="s">
        <v>1249</v>
      </c>
      <c r="C4994" s="412" t="s">
        <v>510</v>
      </c>
      <c r="D4994" s="1590"/>
      <c r="E4994" s="2224" t="s">
        <v>1930</v>
      </c>
      <c r="F4994" s="505">
        <v>5214</v>
      </c>
      <c r="G4994" s="448" t="s">
        <v>5300</v>
      </c>
      <c r="H4994" s="2592"/>
      <c r="I4994" s="2592">
        <v>232064</v>
      </c>
      <c r="J4994" s="2592"/>
      <c r="K4994" s="2633"/>
      <c r="L4994" s="2592"/>
      <c r="M4994" s="2592">
        <v>0</v>
      </c>
      <c r="N4994" s="2847"/>
      <c r="O4994" s="2559"/>
      <c r="P4994" s="1817" t="e">
        <f>INDEX(#REF!,MATCH(F4994,#REF!,0),2)</f>
        <v>#REF!</v>
      </c>
      <c r="Q4994" s="2559"/>
      <c r="R4994" s="2559"/>
      <c r="S4994" s="2559"/>
      <c r="T4994" s="2559"/>
      <c r="U4994" s="2559"/>
      <c r="V4994" s="2559"/>
      <c r="W4994" s="2559"/>
      <c r="X4994" s="43"/>
    </row>
    <row r="4995" spans="1:24">
      <c r="A4995" s="971"/>
      <c r="B4995" s="506" t="s">
        <v>1249</v>
      </c>
      <c r="C4995" s="506" t="s">
        <v>534</v>
      </c>
      <c r="D4995" s="1589">
        <v>670</v>
      </c>
      <c r="E4995" s="2223" t="s">
        <v>1930</v>
      </c>
      <c r="F4995" s="540">
        <v>5238</v>
      </c>
      <c r="G4995" s="730" t="s">
        <v>257</v>
      </c>
      <c r="H4995" s="2611">
        <v>0</v>
      </c>
      <c r="I4995" s="2611"/>
      <c r="J4995" s="2639"/>
      <c r="K4995" s="2626"/>
      <c r="L4995" s="2611">
        <v>0</v>
      </c>
      <c r="M4995" s="2611"/>
      <c r="N4995" s="2847"/>
      <c r="O4995" s="2560"/>
      <c r="P4995" s="1817" t="e">
        <f>INDEX(#REF!,MATCH(F4995,#REF!,0),2)</f>
        <v>#REF!</v>
      </c>
      <c r="Q4995" s="2560"/>
      <c r="R4995" s="2560"/>
      <c r="S4995" s="2560"/>
      <c r="T4995" s="2560"/>
      <c r="U4995" s="2560"/>
      <c r="V4995" s="2560"/>
      <c r="W4995" s="2560"/>
      <c r="X4995" s="2561"/>
    </row>
    <row r="4996" spans="1:24">
      <c r="A4996" s="1119"/>
      <c r="B4996" s="412" t="s">
        <v>1249</v>
      </c>
      <c r="C4996" s="412" t="s">
        <v>534</v>
      </c>
      <c r="D4996" s="1590"/>
      <c r="E4996" s="2246" t="s">
        <v>1930</v>
      </c>
      <c r="F4996" s="505">
        <v>5238</v>
      </c>
      <c r="G4996" s="1435"/>
      <c r="H4996" s="2597"/>
      <c r="I4996" s="2645"/>
      <c r="J4996" s="2638"/>
      <c r="K4996" s="2630"/>
      <c r="L4996" s="2597"/>
      <c r="M4996" s="2597"/>
      <c r="N4996" s="2847"/>
      <c r="O4996" s="2559"/>
      <c r="P4996" s="1817" t="e">
        <f>INDEX(#REF!,MATCH(F4996,#REF!,0),2)</f>
        <v>#REF!</v>
      </c>
      <c r="Q4996" s="2560"/>
      <c r="R4996" s="2560"/>
      <c r="S4996" s="2560"/>
      <c r="T4996" s="2560"/>
      <c r="U4996" s="2560"/>
      <c r="V4996" s="2560"/>
      <c r="W4996" s="2560"/>
      <c r="X4996" s="2561"/>
    </row>
    <row r="4997" spans="1:24" ht="33.75">
      <c r="B4997" s="4174" t="s">
        <v>663</v>
      </c>
      <c r="C4997" s="4174"/>
      <c r="D4997" s="4174"/>
      <c r="E4997" s="4174" t="s">
        <v>1133</v>
      </c>
      <c r="F4997" s="4174">
        <v>1119</v>
      </c>
      <c r="G4997" s="4175" t="s">
        <v>1253</v>
      </c>
      <c r="H4997" s="4176">
        <v>1370091</v>
      </c>
      <c r="I4997" s="4176"/>
      <c r="J4997" s="4176">
        <v>1104021</v>
      </c>
      <c r="K4997" s="1948"/>
      <c r="L4997" s="4176">
        <v>1575133.1500000001</v>
      </c>
      <c r="M4997" s="4176"/>
      <c r="N4997" s="2846" t="s">
        <v>5801</v>
      </c>
      <c r="O4997" s="2560"/>
      <c r="P4997" s="1817" t="e">
        <f>INDEX(#REF!,MATCH(F4997,#REF!,0),2)</f>
        <v>#REF!</v>
      </c>
      <c r="Q4997" s="2560"/>
      <c r="R4997" s="2560"/>
      <c r="S4997" s="2560"/>
      <c r="T4997" s="2560"/>
      <c r="U4997" s="2560"/>
      <c r="V4997" s="2560"/>
      <c r="W4997" s="2560"/>
      <c r="X4997" s="2561"/>
    </row>
    <row r="4998" spans="1:24">
      <c r="B4998" s="4177" t="s">
        <v>663</v>
      </c>
      <c r="C4998" s="4177"/>
      <c r="D4998" s="4177"/>
      <c r="E4998" s="4177" t="s">
        <v>1133</v>
      </c>
      <c r="F4998" s="4177">
        <v>1119</v>
      </c>
      <c r="G4998" s="4178" t="s">
        <v>1253</v>
      </c>
      <c r="H4998" s="4179"/>
      <c r="I4998" s="4179">
        <v>1382360.7599999998</v>
      </c>
      <c r="J4998" s="4179"/>
      <c r="K4998" s="1950"/>
      <c r="L4998" s="4179"/>
      <c r="M4998" s="4179">
        <v>1575133.1500000001</v>
      </c>
      <c r="N4998" s="2847"/>
      <c r="O4998" s="2560"/>
      <c r="P4998" s="1817" t="e">
        <f>INDEX(#REF!,MATCH(F4998,#REF!,0),2)</f>
        <v>#REF!</v>
      </c>
      <c r="Q4998" s="2559"/>
      <c r="R4998" s="2559"/>
      <c r="S4998" s="2559"/>
      <c r="T4998" s="2559"/>
      <c r="U4998" s="2559"/>
      <c r="V4998" s="2559"/>
      <c r="W4998" s="2559"/>
      <c r="X4998" s="43"/>
    </row>
    <row r="4999" spans="1:24">
      <c r="B4999" s="4174" t="s">
        <v>663</v>
      </c>
      <c r="C4999" s="4174"/>
      <c r="D4999" s="4174"/>
      <c r="E4999" s="4174" t="s">
        <v>1133</v>
      </c>
      <c r="F4999" s="4174">
        <v>1141</v>
      </c>
      <c r="G4999" s="4175" t="s">
        <v>268</v>
      </c>
      <c r="H4999" s="4176">
        <v>8000</v>
      </c>
      <c r="I4999" s="4176"/>
      <c r="J4999" s="4176">
        <v>5120</v>
      </c>
      <c r="K4999" s="1950"/>
      <c r="L4999" s="4176">
        <v>8000</v>
      </c>
      <c r="M4999" s="4176"/>
      <c r="N4999" s="2847"/>
      <c r="O4999" s="2560"/>
      <c r="P4999" s="1817" t="e">
        <f>INDEX(#REF!,MATCH(F4999,#REF!,0),2)</f>
        <v>#REF!</v>
      </c>
      <c r="Q4999" s="2560"/>
      <c r="R4999" s="2560"/>
      <c r="S4999" s="2560"/>
      <c r="T4999" s="2560"/>
      <c r="U4999" s="2560"/>
      <c r="V4999" s="2560"/>
      <c r="W4999" s="2560"/>
      <c r="X4999" s="2561"/>
    </row>
    <row r="5000" spans="1:24">
      <c r="B5000" s="4177" t="s">
        <v>663</v>
      </c>
      <c r="C5000" s="4177"/>
      <c r="D5000" s="4177"/>
      <c r="E5000" s="4177" t="s">
        <v>1133</v>
      </c>
      <c r="F5000" s="4177">
        <v>1141</v>
      </c>
      <c r="G5000" s="4178" t="s">
        <v>268</v>
      </c>
      <c r="H5000" s="4179"/>
      <c r="I5000" s="4179">
        <v>8000</v>
      </c>
      <c r="J5000" s="4179"/>
      <c r="K5000" s="1950"/>
      <c r="L5000" s="4179"/>
      <c r="M5000" s="4179">
        <v>8000</v>
      </c>
      <c r="N5000" s="2847"/>
      <c r="O5000" s="2559"/>
      <c r="P5000" s="1817" t="e">
        <f>INDEX(#REF!,MATCH(F5000,#REF!,0),2)</f>
        <v>#REF!</v>
      </c>
      <c r="Q5000" s="2559"/>
      <c r="R5000" s="2559"/>
      <c r="S5000" s="2559"/>
      <c r="T5000" s="2559"/>
      <c r="U5000" s="2559"/>
      <c r="V5000" s="2559"/>
      <c r="W5000" s="2559"/>
      <c r="X5000" s="43"/>
    </row>
    <row r="5001" spans="1:24">
      <c r="B5001" s="4174" t="s">
        <v>663</v>
      </c>
      <c r="C5001" s="4174"/>
      <c r="D5001" s="4174"/>
      <c r="E5001" s="4174" t="s">
        <v>1133</v>
      </c>
      <c r="F5001" s="4174">
        <v>1142</v>
      </c>
      <c r="G5001" s="4175" t="s">
        <v>2696</v>
      </c>
      <c r="H5001" s="4176">
        <v>66005</v>
      </c>
      <c r="I5001" s="4176"/>
      <c r="J5001" s="4176">
        <v>64161</v>
      </c>
      <c r="K5001" s="4042"/>
      <c r="L5001" s="4176">
        <v>77037</v>
      </c>
      <c r="M5001" s="4176"/>
      <c r="N5001" s="2847"/>
      <c r="O5001" s="2560"/>
      <c r="P5001" s="1817" t="e">
        <f>INDEX(#REF!,MATCH(F5001,#REF!,0),2)</f>
        <v>#REF!</v>
      </c>
      <c r="Q5001" s="2560"/>
      <c r="R5001" s="2560"/>
      <c r="S5001" s="2560"/>
      <c r="T5001" s="2560"/>
      <c r="U5001" s="2560"/>
      <c r="V5001" s="2560"/>
      <c r="W5001" s="2560"/>
      <c r="X5001" s="2561"/>
    </row>
    <row r="5002" spans="1:24">
      <c r="B5002" s="4177" t="s">
        <v>663</v>
      </c>
      <c r="C5002" s="4177"/>
      <c r="D5002" s="4177"/>
      <c r="E5002" s="4177" t="s">
        <v>1133</v>
      </c>
      <c r="F5002" s="4177">
        <v>1142</v>
      </c>
      <c r="G5002" s="4178" t="s">
        <v>2696</v>
      </c>
      <c r="H5002" s="4179"/>
      <c r="I5002" s="4179">
        <v>51645</v>
      </c>
      <c r="J5002" s="4179"/>
      <c r="K5002" s="1948"/>
      <c r="L5002" s="4179"/>
      <c r="M5002" s="4179">
        <v>77037</v>
      </c>
      <c r="N5002" s="2847"/>
      <c r="O5002" s="2559"/>
      <c r="P5002" s="1817" t="e">
        <f>INDEX(#REF!,MATCH(F5002,#REF!,0),2)</f>
        <v>#REF!</v>
      </c>
      <c r="Q5002" s="2559"/>
      <c r="R5002" s="2559"/>
      <c r="S5002" s="2559"/>
      <c r="T5002" s="2559"/>
      <c r="U5002" s="2559"/>
      <c r="V5002" s="2559"/>
      <c r="W5002" s="2559"/>
      <c r="X5002" s="43"/>
    </row>
    <row r="5003" spans="1:24">
      <c r="B5003" s="4174" t="s">
        <v>663</v>
      </c>
      <c r="C5003" s="4174"/>
      <c r="D5003" s="4174"/>
      <c r="E5003" s="4174" t="s">
        <v>1133</v>
      </c>
      <c r="F5003" s="4174">
        <v>1147</v>
      </c>
      <c r="G5003" s="4175" t="s">
        <v>2012</v>
      </c>
      <c r="H5003" s="4176">
        <v>134902</v>
      </c>
      <c r="I5003" s="4176"/>
      <c r="J5003" s="4176">
        <v>45249</v>
      </c>
      <c r="K5003" s="1950"/>
      <c r="L5003" s="4176">
        <v>169011.87549999999</v>
      </c>
      <c r="M5003" s="4176"/>
      <c r="N5003" s="2847"/>
      <c r="O5003" s="2560"/>
      <c r="P5003" s="1817" t="e">
        <f>INDEX(#REF!,MATCH(F5003,#REF!,0),2)</f>
        <v>#REF!</v>
      </c>
      <c r="Q5003" s="2560"/>
      <c r="R5003" s="2560"/>
      <c r="S5003" s="2560"/>
      <c r="T5003" s="2560"/>
      <c r="U5003" s="2560"/>
      <c r="V5003" s="2560"/>
      <c r="W5003" s="2560"/>
      <c r="X5003" s="2561"/>
    </row>
    <row r="5004" spans="1:24">
      <c r="B5004" s="4177" t="s">
        <v>663</v>
      </c>
      <c r="C5004" s="4177"/>
      <c r="D5004" s="4177"/>
      <c r="E5004" s="4177" t="s">
        <v>1133</v>
      </c>
      <c r="F5004" s="4177">
        <v>1147</v>
      </c>
      <c r="G5004" s="4178" t="s">
        <v>226</v>
      </c>
      <c r="H5004" s="4179"/>
      <c r="I5004" s="4179">
        <v>133002.51</v>
      </c>
      <c r="J5004" s="4179"/>
      <c r="K5004" s="1948"/>
      <c r="L5004" s="4179"/>
      <c r="M5004" s="4179">
        <v>169011.87549999999</v>
      </c>
      <c r="N5004" s="2847"/>
      <c r="O5004" s="2559"/>
      <c r="P5004" s="1817" t="e">
        <f>INDEX(#REF!,MATCH(F5004,#REF!,0),2)</f>
        <v>#REF!</v>
      </c>
      <c r="Q5004" s="2559"/>
      <c r="R5004" s="2559"/>
      <c r="S5004" s="2559"/>
      <c r="T5004" s="2559"/>
      <c r="U5004" s="2559"/>
      <c r="V5004" s="2559"/>
      <c r="W5004" s="2559"/>
      <c r="X5004" s="43"/>
    </row>
    <row r="5005" spans="1:24">
      <c r="B5005" s="4174" t="s">
        <v>663</v>
      </c>
      <c r="C5005" s="4174"/>
      <c r="D5005" s="4174"/>
      <c r="E5005" s="4174" t="s">
        <v>1133</v>
      </c>
      <c r="F5005" s="4174">
        <v>1148</v>
      </c>
      <c r="G5005" s="4175" t="s">
        <v>2697</v>
      </c>
      <c r="H5005" s="4176">
        <v>1510</v>
      </c>
      <c r="I5005" s="4176"/>
      <c r="J5005" s="4176">
        <v>1222</v>
      </c>
      <c r="K5005" s="1950"/>
      <c r="L5005" s="4176">
        <v>3900</v>
      </c>
      <c r="M5005" s="4176"/>
      <c r="N5005" s="2847"/>
      <c r="O5005" s="2560"/>
      <c r="P5005" s="1817" t="e">
        <f>INDEX(#REF!,MATCH(F5005,#REF!,0),2)</f>
        <v>#REF!</v>
      </c>
      <c r="Q5005" s="2560"/>
      <c r="R5005" s="2560"/>
      <c r="S5005" s="2560"/>
      <c r="T5005" s="2560"/>
      <c r="U5005" s="2560"/>
      <c r="V5005" s="2560"/>
      <c r="W5005" s="2560"/>
      <c r="X5005" s="2561"/>
    </row>
    <row r="5006" spans="1:24">
      <c r="B5006" s="4177" t="s">
        <v>663</v>
      </c>
      <c r="C5006" s="4177"/>
      <c r="D5006" s="4177"/>
      <c r="E5006" s="4177" t="s">
        <v>1133</v>
      </c>
      <c r="F5006" s="4177">
        <v>1148</v>
      </c>
      <c r="G5006" s="4178" t="s">
        <v>2697</v>
      </c>
      <c r="H5006" s="4179"/>
      <c r="I5006" s="4179">
        <v>910</v>
      </c>
      <c r="J5006" s="4179"/>
      <c r="K5006" s="4042"/>
      <c r="L5006" s="4179"/>
      <c r="M5006" s="4179">
        <v>3900</v>
      </c>
      <c r="N5006" s="2847"/>
      <c r="O5006" s="2559"/>
      <c r="P5006" s="1817" t="e">
        <f>INDEX(#REF!,MATCH(F5006,#REF!,0),2)</f>
        <v>#REF!</v>
      </c>
      <c r="Q5006" s="2560"/>
      <c r="R5006" s="2560"/>
      <c r="S5006" s="2560"/>
      <c r="T5006" s="2560"/>
      <c r="U5006" s="2560"/>
      <c r="V5006" s="2560"/>
      <c r="W5006" s="2560"/>
      <c r="X5006" s="1538"/>
    </row>
    <row r="5007" spans="1:24" ht="22.5">
      <c r="B5007" s="4174" t="s">
        <v>663</v>
      </c>
      <c r="C5007" s="4174"/>
      <c r="D5007" s="4174"/>
      <c r="E5007" s="4174" t="s">
        <v>1133</v>
      </c>
      <c r="F5007" s="4174">
        <v>1150</v>
      </c>
      <c r="G5007" s="4175" t="s">
        <v>625</v>
      </c>
      <c r="H5007" s="4176">
        <v>81509</v>
      </c>
      <c r="I5007" s="4176"/>
      <c r="J5007" s="4176">
        <v>30853</v>
      </c>
      <c r="K5007" s="1948"/>
      <c r="L5007" s="4176">
        <v>91023.260000000009</v>
      </c>
      <c r="M5007" s="4176"/>
      <c r="N5007" s="2847"/>
      <c r="O5007" s="2560"/>
      <c r="P5007" s="1817" t="e">
        <f>INDEX(#REF!,MATCH(F5007,#REF!,0),2)</f>
        <v>#REF!</v>
      </c>
      <c r="Q5007" s="2560"/>
      <c r="R5007" s="2560"/>
      <c r="S5007" s="2560"/>
      <c r="T5007" s="2560"/>
      <c r="U5007" s="2560"/>
      <c r="V5007" s="2560"/>
      <c r="W5007" s="2560"/>
      <c r="X5007" s="2561"/>
    </row>
    <row r="5008" spans="1:24" ht="22.5">
      <c r="B5008" s="4177" t="s">
        <v>663</v>
      </c>
      <c r="C5008" s="4177"/>
      <c r="D5008" s="4177"/>
      <c r="E5008" s="4177" t="s">
        <v>1133</v>
      </c>
      <c r="F5008" s="4177">
        <v>1150</v>
      </c>
      <c r="G5008" s="4178" t="s">
        <v>625</v>
      </c>
      <c r="H5008" s="4179"/>
      <c r="I5008" s="4179">
        <v>85298.6</v>
      </c>
      <c r="J5008" s="4179"/>
      <c r="K5008" s="1950"/>
      <c r="L5008" s="4179"/>
      <c r="M5008" s="4179">
        <v>91023.260000000009</v>
      </c>
      <c r="N5008" s="2846" t="s">
        <v>5504</v>
      </c>
      <c r="O5008" s="2560"/>
      <c r="P5008" s="1817" t="e">
        <f>INDEX(#REF!,MATCH(F5008,#REF!,0),2)</f>
        <v>#REF!</v>
      </c>
      <c r="Q5008" s="2560"/>
      <c r="R5008" s="2560"/>
      <c r="S5008" s="2560"/>
      <c r="T5008" s="2560"/>
      <c r="U5008" s="2560"/>
      <c r="V5008" s="2560"/>
      <c r="W5008" s="2560"/>
      <c r="X5008" s="2561"/>
    </row>
    <row r="5009" spans="2:24">
      <c r="B5009" s="4174" t="s">
        <v>663</v>
      </c>
      <c r="C5009" s="4174"/>
      <c r="D5009" s="4174"/>
      <c r="E5009" s="4174" t="s">
        <v>1133</v>
      </c>
      <c r="F5009" s="4174">
        <v>1210</v>
      </c>
      <c r="G5009" s="4175" t="s">
        <v>228</v>
      </c>
      <c r="H5009" s="4176">
        <v>408638.21613299998</v>
      </c>
      <c r="I5009" s="4176"/>
      <c r="J5009" s="4176">
        <v>300519</v>
      </c>
      <c r="K5009" s="1948"/>
      <c r="L5009" s="4176">
        <v>474319.60319695005</v>
      </c>
      <c r="M5009" s="4176"/>
      <c r="N5009" s="2847"/>
      <c r="O5009" s="2560"/>
      <c r="P5009" s="1817" t="e">
        <f>INDEX(#REF!,MATCH(F5009,#REF!,0),2)</f>
        <v>#REF!</v>
      </c>
      <c r="Q5009" s="2560"/>
      <c r="R5009" s="2560"/>
      <c r="S5009" s="2560"/>
      <c r="T5009" s="2560"/>
      <c r="U5009" s="2560"/>
      <c r="V5009" s="2560"/>
      <c r="W5009" s="2560"/>
      <c r="X5009" s="2561"/>
    </row>
    <row r="5010" spans="2:24">
      <c r="B5010" s="4177" t="s">
        <v>663</v>
      </c>
      <c r="C5010" s="4177"/>
      <c r="D5010" s="4177"/>
      <c r="E5010" s="4177" t="s">
        <v>1133</v>
      </c>
      <c r="F5010" s="4177">
        <v>1210</v>
      </c>
      <c r="G5010" s="4178" t="s">
        <v>228</v>
      </c>
      <c r="H5010" s="4179"/>
      <c r="I5010" s="4179">
        <v>408638.21613299998</v>
      </c>
      <c r="J5010" s="4179"/>
      <c r="K5010" s="1950"/>
      <c r="L5010" s="4179"/>
      <c r="M5010" s="4179">
        <v>474319.60319695005</v>
      </c>
      <c r="N5010" s="2847"/>
      <c r="O5010" s="2560"/>
      <c r="P5010" s="1817" t="e">
        <f>INDEX(#REF!,MATCH(F5010,#REF!,0),2)</f>
        <v>#REF!</v>
      </c>
      <c r="Q5010" s="1907"/>
      <c r="R5010" s="1907"/>
      <c r="S5010" s="1907"/>
      <c r="T5010" s="1907"/>
      <c r="U5010" s="1907"/>
      <c r="V5010" s="1907"/>
      <c r="W5010" s="1907"/>
      <c r="X5010" s="1538"/>
    </row>
    <row r="5011" spans="2:24" ht="22.5">
      <c r="B5011" s="4174" t="s">
        <v>663</v>
      </c>
      <c r="C5011" s="4174"/>
      <c r="D5011" s="4174"/>
      <c r="E5011" s="4174" t="s">
        <v>1133</v>
      </c>
      <c r="F5011" s="4174">
        <v>1221</v>
      </c>
      <c r="G5011" s="4175" t="s">
        <v>2698</v>
      </c>
      <c r="H5011" s="4176">
        <v>71035</v>
      </c>
      <c r="I5011" s="4176"/>
      <c r="J5011" s="4176">
        <v>56356</v>
      </c>
      <c r="K5011" s="1948"/>
      <c r="L5011" s="4176">
        <v>86575.524999999994</v>
      </c>
      <c r="M5011" s="4176"/>
      <c r="N5011" s="2847"/>
      <c r="O5011" s="2560"/>
      <c r="P5011" s="1817"/>
      <c r="Q5011" s="1907"/>
      <c r="R5011" s="1907"/>
      <c r="S5011" s="1907"/>
      <c r="T5011" s="1907"/>
      <c r="U5011" s="1907"/>
      <c r="V5011" s="1907"/>
      <c r="W5011" s="1907"/>
      <c r="X5011" s="1538"/>
    </row>
    <row r="5012" spans="2:24" ht="22.5">
      <c r="B5012" s="4177" t="s">
        <v>663</v>
      </c>
      <c r="C5012" s="4177"/>
      <c r="D5012" s="4177"/>
      <c r="E5012" s="4177" t="s">
        <v>1133</v>
      </c>
      <c r="F5012" s="4177">
        <v>1221</v>
      </c>
      <c r="G5012" s="4178" t="s">
        <v>2698</v>
      </c>
      <c r="H5012" s="4179"/>
      <c r="I5012" s="4179">
        <v>71035</v>
      </c>
      <c r="J5012" s="4179"/>
      <c r="K5012" s="1950"/>
      <c r="L5012" s="4179"/>
      <c r="M5012" s="4179">
        <v>86575.524999999994</v>
      </c>
      <c r="N5012" s="2846"/>
      <c r="O5012" s="1907"/>
      <c r="P5012" s="1817" t="e">
        <f>INDEX(#REF!,MATCH(F5012,#REF!,0),2)</f>
        <v>#REF!</v>
      </c>
      <c r="Q5012" s="2560"/>
      <c r="R5012" s="2560"/>
      <c r="S5012" s="2560"/>
      <c r="T5012" s="2560"/>
      <c r="U5012" s="2560"/>
      <c r="V5012" s="2560"/>
      <c r="W5012" s="2560"/>
      <c r="X5012" s="2561"/>
    </row>
    <row r="5013" spans="2:24" ht="22.5">
      <c r="B5013" s="4174" t="s">
        <v>663</v>
      </c>
      <c r="C5013" s="4174"/>
      <c r="D5013" s="4174"/>
      <c r="E5013" s="4174" t="s">
        <v>1133</v>
      </c>
      <c r="F5013" s="4174">
        <v>1227</v>
      </c>
      <c r="G5013" s="4175" t="s">
        <v>1257</v>
      </c>
      <c r="H5013" s="4176">
        <v>21613</v>
      </c>
      <c r="I5013" s="4176"/>
      <c r="J5013" s="4176"/>
      <c r="K5013" s="1948"/>
      <c r="L5013" s="4176">
        <v>28500</v>
      </c>
      <c r="M5013" s="4176"/>
      <c r="N5013" s="2847"/>
      <c r="O5013" s="1907"/>
      <c r="P5013" s="1817"/>
      <c r="Q5013" s="2560"/>
      <c r="R5013" s="2560"/>
      <c r="S5013" s="2560"/>
      <c r="T5013" s="2560"/>
      <c r="U5013" s="2560"/>
      <c r="V5013" s="2560"/>
      <c r="W5013" s="2560"/>
      <c r="X5013" s="2561"/>
    </row>
    <row r="5014" spans="2:24" ht="22.5">
      <c r="B5014" s="4177" t="s">
        <v>663</v>
      </c>
      <c r="C5014" s="4177"/>
      <c r="D5014" s="4177"/>
      <c r="E5014" s="4177" t="s">
        <v>1133</v>
      </c>
      <c r="F5014" s="4177">
        <v>1227</v>
      </c>
      <c r="G5014" s="4178" t="s">
        <v>1257</v>
      </c>
      <c r="H5014" s="4179"/>
      <c r="I5014" s="4179">
        <v>21798</v>
      </c>
      <c r="J5014" s="4179"/>
      <c r="K5014" s="1950"/>
      <c r="L5014" s="4179"/>
      <c r="M5014" s="4179">
        <v>28500</v>
      </c>
      <c r="N5014" s="2847"/>
      <c r="O5014" s="2560"/>
      <c r="P5014" s="1817" t="e">
        <f>INDEX(#REF!,MATCH(F5014,#REF!,0),2)</f>
        <v>#REF!</v>
      </c>
      <c r="Q5014" s="1907"/>
      <c r="R5014" s="1907"/>
      <c r="S5014" s="1907"/>
      <c r="T5014" s="1907"/>
      <c r="U5014" s="1907"/>
      <c r="V5014" s="1907"/>
      <c r="W5014" s="1907"/>
      <c r="X5014" s="1907"/>
    </row>
    <row r="5015" spans="2:24" ht="20.45" customHeight="1">
      <c r="B5015" s="4174" t="s">
        <v>663</v>
      </c>
      <c r="C5015" s="4174"/>
      <c r="D5015" s="4174"/>
      <c r="E5015" s="4174" t="s">
        <v>1133</v>
      </c>
      <c r="F5015" s="4174">
        <v>1228</v>
      </c>
      <c r="G5015" s="4175" t="s">
        <v>2699</v>
      </c>
      <c r="H5015" s="4176">
        <v>11621</v>
      </c>
      <c r="I5015" s="4176"/>
      <c r="J5015" s="4176">
        <v>6473</v>
      </c>
      <c r="K5015" s="1950"/>
      <c r="L5015" s="4176">
        <v>14421</v>
      </c>
      <c r="M5015" s="4176"/>
      <c r="N5015" s="2847"/>
      <c r="O5015" s="2560"/>
      <c r="P5015" s="1817"/>
      <c r="Q5015" s="2560"/>
      <c r="R5015" s="2560"/>
      <c r="S5015" s="2560"/>
      <c r="T5015" s="2560"/>
      <c r="U5015" s="2560"/>
      <c r="V5015" s="2560"/>
      <c r="W5015" s="2560"/>
      <c r="X5015" s="1569"/>
    </row>
    <row r="5016" spans="2:24">
      <c r="B5016" s="4177" t="s">
        <v>663</v>
      </c>
      <c r="C5016" s="4177"/>
      <c r="D5016" s="4177"/>
      <c r="E5016" s="4177" t="s">
        <v>1133</v>
      </c>
      <c r="F5016" s="4177">
        <v>1228</v>
      </c>
      <c r="G5016" s="4178" t="s">
        <v>2700</v>
      </c>
      <c r="H5016" s="4179"/>
      <c r="I5016" s="4179">
        <v>14421</v>
      </c>
      <c r="J5016" s="4179"/>
      <c r="K5016" s="1950"/>
      <c r="L5016" s="4179"/>
      <c r="M5016" s="4179">
        <v>14421</v>
      </c>
      <c r="N5016" s="2847"/>
      <c r="O5016" s="1907"/>
      <c r="P5016" s="1817" t="e">
        <f>INDEX(#REF!,MATCH(F5016,#REF!,0),2)</f>
        <v>#REF!</v>
      </c>
      <c r="Q5016" s="2560"/>
      <c r="R5016" s="2560"/>
      <c r="S5016" s="2560"/>
      <c r="T5016" s="2560"/>
      <c r="U5016" s="2560"/>
      <c r="V5016" s="2560"/>
      <c r="W5016" s="2560"/>
      <c r="X5016" s="1569"/>
    </row>
    <row r="5017" spans="2:24">
      <c r="B5017" s="4174" t="s">
        <v>1248</v>
      </c>
      <c r="C5017" s="4174"/>
      <c r="D5017" s="4174"/>
      <c r="E5017" s="4174" t="s">
        <v>1133</v>
      </c>
      <c r="F5017" s="4174">
        <v>2111</v>
      </c>
      <c r="G5017" s="4175" t="s">
        <v>2701</v>
      </c>
      <c r="H5017" s="4176">
        <v>285</v>
      </c>
      <c r="I5017" s="4176"/>
      <c r="J5017" s="4176"/>
      <c r="K5017" s="1948"/>
      <c r="L5017" s="4176">
        <v>85</v>
      </c>
      <c r="M5017" s="4176"/>
      <c r="N5017" s="2847"/>
      <c r="O5017" s="2560"/>
      <c r="P5017" s="1817" t="e">
        <f>INDEX(#REF!,MATCH(F5017,#REF!,0),2)</f>
        <v>#REF!</v>
      </c>
      <c r="Q5017" s="2560"/>
      <c r="R5017" s="2560"/>
      <c r="S5017" s="2560"/>
      <c r="T5017" s="2560"/>
      <c r="U5017" s="2560"/>
      <c r="V5017" s="2560"/>
      <c r="W5017" s="2560"/>
      <c r="X5017" s="1569"/>
    </row>
    <row r="5018" spans="2:24">
      <c r="B5018" s="4177" t="s">
        <v>1248</v>
      </c>
      <c r="C5018" s="4177"/>
      <c r="D5018" s="4177"/>
      <c r="E5018" s="4177" t="s">
        <v>1133</v>
      </c>
      <c r="F5018" s="4177">
        <v>2111</v>
      </c>
      <c r="G5018" s="4178" t="s">
        <v>2701</v>
      </c>
      <c r="H5018" s="4179"/>
      <c r="I5018" s="4179">
        <v>85</v>
      </c>
      <c r="J5018" s="4179"/>
      <c r="K5018" s="1950"/>
      <c r="L5018" s="4179"/>
      <c r="M5018" s="4179">
        <v>85</v>
      </c>
      <c r="N5018" s="2847"/>
      <c r="O5018" s="2560"/>
      <c r="P5018" s="1817" t="e">
        <f>INDEX(#REF!,MATCH(F5018,#REF!,0),2)</f>
        <v>#REF!</v>
      </c>
      <c r="Q5018" s="2560"/>
      <c r="R5018" s="2560"/>
      <c r="S5018" s="2560"/>
      <c r="T5018" s="2560"/>
      <c r="U5018" s="2560"/>
      <c r="V5018" s="2560"/>
      <c r="W5018" s="2560"/>
      <c r="X5018" s="1569"/>
    </row>
    <row r="5019" spans="2:24">
      <c r="B5019" s="4174" t="s">
        <v>1248</v>
      </c>
      <c r="C5019" s="4174"/>
      <c r="D5019" s="4174"/>
      <c r="E5019" s="4174" t="s">
        <v>1133</v>
      </c>
      <c r="F5019" s="4174">
        <v>2121</v>
      </c>
      <c r="G5019" s="4175" t="s">
        <v>2702</v>
      </c>
      <c r="H5019" s="4176">
        <v>925</v>
      </c>
      <c r="I5019" s="4176"/>
      <c r="J5019" s="4176">
        <v>30</v>
      </c>
      <c r="K5019" s="1948"/>
      <c r="L5019" s="4176">
        <v>925</v>
      </c>
      <c r="M5019" s="4176"/>
      <c r="N5019" s="2847"/>
      <c r="O5019" s="2560"/>
      <c r="P5019" s="1817" t="e">
        <f>INDEX(#REF!,MATCH(F5019,#REF!,0),2)</f>
        <v>#REF!</v>
      </c>
      <c r="Q5019" s="2560"/>
      <c r="R5019" s="2560"/>
      <c r="S5019" s="2560"/>
      <c r="T5019" s="2560"/>
      <c r="U5019" s="2560"/>
      <c r="V5019" s="2560"/>
      <c r="W5019" s="2560"/>
      <c r="X5019" s="1569"/>
    </row>
    <row r="5020" spans="2:24">
      <c r="B5020" s="4177" t="s">
        <v>1248</v>
      </c>
      <c r="C5020" s="4177"/>
      <c r="D5020" s="4177"/>
      <c r="E5020" s="4177" t="s">
        <v>1133</v>
      </c>
      <c r="F5020" s="4177">
        <v>2121</v>
      </c>
      <c r="G5020" s="4178" t="s">
        <v>2702</v>
      </c>
      <c r="H5020" s="4179"/>
      <c r="I5020" s="4179">
        <v>925</v>
      </c>
      <c r="J5020" s="4179"/>
      <c r="K5020" s="1950"/>
      <c r="L5020" s="4179"/>
      <c r="M5020" s="4179">
        <v>925</v>
      </c>
      <c r="N5020" s="2847"/>
      <c r="O5020" s="2560"/>
      <c r="P5020" s="1817"/>
      <c r="Q5020" s="2560"/>
      <c r="R5020" s="2560"/>
      <c r="S5020" s="2560"/>
      <c r="T5020" s="2560"/>
      <c r="U5020" s="2560"/>
      <c r="V5020" s="2560"/>
      <c r="W5020" s="2560"/>
      <c r="X5020" s="1569"/>
    </row>
    <row r="5021" spans="2:24">
      <c r="B5021" s="4174" t="s">
        <v>1248</v>
      </c>
      <c r="C5021" s="4174"/>
      <c r="D5021" s="4174"/>
      <c r="E5021" s="4174" t="s">
        <v>1133</v>
      </c>
      <c r="F5021" s="4174">
        <v>2122</v>
      </c>
      <c r="G5021" s="4175" t="s">
        <v>2703</v>
      </c>
      <c r="H5021" s="4176">
        <v>650</v>
      </c>
      <c r="I5021" s="4176"/>
      <c r="J5021" s="4176"/>
      <c r="K5021" s="1948"/>
      <c r="L5021" s="4176">
        <v>650</v>
      </c>
      <c r="M5021" s="4176"/>
      <c r="N5021" s="2847"/>
      <c r="O5021" s="2560"/>
      <c r="P5021" s="1817"/>
      <c r="Q5021" s="2560"/>
      <c r="R5021" s="2560"/>
      <c r="S5021" s="2560"/>
      <c r="T5021" s="2560"/>
      <c r="U5021" s="2560"/>
      <c r="V5021" s="2560"/>
      <c r="W5021" s="2560"/>
      <c r="X5021" s="1569"/>
    </row>
    <row r="5022" spans="2:24">
      <c r="B5022" s="4177" t="s">
        <v>1248</v>
      </c>
      <c r="C5022" s="4177"/>
      <c r="D5022" s="4177"/>
      <c r="E5022" s="4177" t="s">
        <v>1133</v>
      </c>
      <c r="F5022" s="4177">
        <v>2122</v>
      </c>
      <c r="G5022" s="4178" t="s">
        <v>2703</v>
      </c>
      <c r="H5022" s="4179"/>
      <c r="I5022" s="4179">
        <v>650</v>
      </c>
      <c r="J5022" s="4179"/>
      <c r="K5022" s="1950"/>
      <c r="L5022" s="4179"/>
      <c r="M5022" s="4179">
        <v>650</v>
      </c>
      <c r="N5022" s="2847"/>
      <c r="O5022" s="2560"/>
      <c r="P5022" s="1817" t="e">
        <f>INDEX(#REF!,MATCH(F5022,#REF!,0),2)</f>
        <v>#REF!</v>
      </c>
      <c r="Q5022" s="1907"/>
      <c r="R5022" s="1907"/>
      <c r="S5022" s="1907"/>
      <c r="T5022" s="1907"/>
      <c r="U5022" s="1907"/>
      <c r="V5022" s="1907"/>
      <c r="W5022" s="1907"/>
      <c r="X5022" s="152"/>
    </row>
    <row r="5023" spans="2:24">
      <c r="B5023" s="4174" t="s">
        <v>1248</v>
      </c>
      <c r="C5023" s="4174"/>
      <c r="D5023" s="4174"/>
      <c r="E5023" s="4174" t="s">
        <v>1133</v>
      </c>
      <c r="F5023" s="4174">
        <v>2210</v>
      </c>
      <c r="G5023" s="4175" t="s">
        <v>2704</v>
      </c>
      <c r="H5023" s="4176">
        <v>6208</v>
      </c>
      <c r="I5023" s="4176"/>
      <c r="J5023" s="4176">
        <v>4169</v>
      </c>
      <c r="K5023" s="1948"/>
      <c r="L5023" s="4176">
        <v>7370</v>
      </c>
      <c r="M5023" s="4176"/>
      <c r="N5023" s="2847"/>
      <c r="O5023" s="2560"/>
      <c r="P5023" s="1817"/>
      <c r="Q5023" s="2562"/>
      <c r="R5023" s="2562"/>
      <c r="S5023" s="2562"/>
      <c r="T5023" s="2562"/>
      <c r="U5023" s="2562"/>
      <c r="V5023" s="2562"/>
      <c r="W5023" s="2562"/>
      <c r="X5023" s="1569"/>
    </row>
    <row r="5024" spans="2:24">
      <c r="B5024" s="4177" t="s">
        <v>1248</v>
      </c>
      <c r="C5024" s="4177"/>
      <c r="D5024" s="4177"/>
      <c r="E5024" s="4177" t="s">
        <v>1133</v>
      </c>
      <c r="F5024" s="4177">
        <v>2210</v>
      </c>
      <c r="G5024" s="4178" t="s">
        <v>5802</v>
      </c>
      <c r="H5024" s="4179"/>
      <c r="I5024" s="4179">
        <v>3895</v>
      </c>
      <c r="J5024" s="4179"/>
      <c r="K5024" s="1950"/>
      <c r="L5024" s="4179"/>
      <c r="M5024" s="4179">
        <v>6270</v>
      </c>
      <c r="N5024" s="2847"/>
      <c r="O5024" s="1907"/>
      <c r="P5024" s="1817" t="e">
        <f>INDEX(#REF!,MATCH(F5024,#REF!,0),2)</f>
        <v>#REF!</v>
      </c>
      <c r="Q5024" s="2562"/>
      <c r="R5024" s="2562"/>
      <c r="S5024" s="2562"/>
      <c r="T5024" s="2562"/>
      <c r="U5024" s="2562"/>
      <c r="V5024" s="2562"/>
      <c r="W5024" s="2562"/>
      <c r="X5024" s="1569"/>
    </row>
    <row r="5025" spans="2:24">
      <c r="B5025" s="4177" t="s">
        <v>1248</v>
      </c>
      <c r="C5025" s="4177"/>
      <c r="D5025" s="4177"/>
      <c r="E5025" s="4177" t="s">
        <v>1133</v>
      </c>
      <c r="F5025" s="4177">
        <v>2210</v>
      </c>
      <c r="G5025" s="4178" t="s">
        <v>2705</v>
      </c>
      <c r="H5025" s="4179"/>
      <c r="I5025" s="4179">
        <v>160</v>
      </c>
      <c r="J5025" s="4179"/>
      <c r="K5025" s="1950"/>
      <c r="L5025" s="4179"/>
      <c r="M5025" s="4179">
        <v>180</v>
      </c>
      <c r="N5025" s="2847"/>
      <c r="O5025" s="2562"/>
      <c r="P5025" s="1817" t="e">
        <f>INDEX(#REF!,MATCH(F5025,#REF!,0),2)</f>
        <v>#REF!</v>
      </c>
      <c r="Q5025" s="1907"/>
      <c r="R5025" s="1907"/>
      <c r="S5025" s="1907"/>
      <c r="T5025" s="1907"/>
      <c r="U5025" s="1907"/>
      <c r="V5025" s="1907"/>
      <c r="W5025" s="1907"/>
      <c r="X5025" s="152"/>
    </row>
    <row r="5026" spans="2:24" ht="22.5">
      <c r="B5026" s="4177" t="s">
        <v>1248</v>
      </c>
      <c r="C5026" s="4177"/>
      <c r="D5026" s="4177"/>
      <c r="E5026" s="4177" t="s">
        <v>1133</v>
      </c>
      <c r="F5026" s="4177">
        <v>2210</v>
      </c>
      <c r="G5026" s="4178" t="s">
        <v>5803</v>
      </c>
      <c r="H5026" s="4179"/>
      <c r="I5026" s="4179">
        <v>702</v>
      </c>
      <c r="J5026" s="4179"/>
      <c r="K5026" s="1950"/>
      <c r="L5026" s="4179"/>
      <c r="M5026" s="4179">
        <v>512</v>
      </c>
      <c r="N5026" s="2847"/>
      <c r="O5026" s="2562"/>
      <c r="P5026" s="1817" t="e">
        <f>INDEX(#REF!,MATCH(F5026,#REF!,0),2)</f>
        <v>#REF!</v>
      </c>
      <c r="Q5026" s="2559"/>
      <c r="R5026" s="2559"/>
      <c r="S5026" s="2559"/>
      <c r="T5026" s="2559"/>
      <c r="U5026" s="2559"/>
      <c r="V5026" s="2559"/>
      <c r="W5026" s="2559"/>
      <c r="X5026" s="152"/>
    </row>
    <row r="5027" spans="2:24" ht="22.5">
      <c r="B5027" s="4177" t="s">
        <v>1248</v>
      </c>
      <c r="C5027" s="4177"/>
      <c r="D5027" s="4177"/>
      <c r="E5027" s="4177" t="s">
        <v>1133</v>
      </c>
      <c r="F5027" s="4177">
        <v>2210</v>
      </c>
      <c r="G5027" s="4178" t="s">
        <v>2706</v>
      </c>
      <c r="H5027" s="4179"/>
      <c r="I5027" s="4179">
        <v>408</v>
      </c>
      <c r="J5027" s="4179"/>
      <c r="K5027" s="1950"/>
      <c r="L5027" s="4179"/>
      <c r="M5027" s="4179">
        <v>408</v>
      </c>
      <c r="N5027" s="2847"/>
      <c r="O5027" s="1907"/>
      <c r="P5027" s="1817" t="e">
        <f>INDEX(#REF!,MATCH(F5027,#REF!,0),2)</f>
        <v>#REF!</v>
      </c>
      <c r="Q5027" s="2562"/>
      <c r="R5027" s="2562"/>
      <c r="S5027" s="2562"/>
      <c r="T5027" s="2562"/>
      <c r="U5027" s="2562"/>
      <c r="V5027" s="2562"/>
      <c r="W5027" s="2562"/>
      <c r="X5027" s="1569"/>
    </row>
    <row r="5028" spans="2:24">
      <c r="B5028" s="4180" t="s">
        <v>1248</v>
      </c>
      <c r="C5028" s="4180"/>
      <c r="D5028" s="4180"/>
      <c r="E5028" s="4180" t="s">
        <v>1133</v>
      </c>
      <c r="F5028" s="4180">
        <v>2221</v>
      </c>
      <c r="G5028" s="4175" t="s">
        <v>288</v>
      </c>
      <c r="H5028" s="4181">
        <v>185000</v>
      </c>
      <c r="I5028" s="4181"/>
      <c r="J5028" s="4181">
        <v>89353</v>
      </c>
      <c r="K5028" s="4042"/>
      <c r="L5028" s="4181">
        <v>130000</v>
      </c>
      <c r="M5028" s="4181"/>
      <c r="N5028" s="2847"/>
      <c r="O5028" s="2559"/>
      <c r="P5028" s="1817" t="e">
        <f>INDEX(#REF!,MATCH(F5028,#REF!,0),2)</f>
        <v>#REF!</v>
      </c>
      <c r="Q5028" s="2559"/>
      <c r="R5028" s="2559"/>
      <c r="S5028" s="2559"/>
      <c r="T5028" s="2559"/>
      <c r="U5028" s="2559"/>
      <c r="V5028" s="2559"/>
      <c r="W5028" s="2559"/>
      <c r="X5028" s="152"/>
    </row>
    <row r="5029" spans="2:24" ht="45">
      <c r="B5029" s="4177" t="s">
        <v>1248</v>
      </c>
      <c r="C5029" s="4177"/>
      <c r="D5029" s="4177"/>
      <c r="E5029" s="4177" t="s">
        <v>1133</v>
      </c>
      <c r="F5029" s="4177">
        <v>2221</v>
      </c>
      <c r="G5029" s="4178" t="s">
        <v>5804</v>
      </c>
      <c r="H5029" s="4179"/>
      <c r="I5029" s="4182">
        <v>285000</v>
      </c>
      <c r="J5029" s="4179"/>
      <c r="K5029" s="1950"/>
      <c r="L5029" s="4179"/>
      <c r="M5029" s="4307">
        <v>130000</v>
      </c>
      <c r="N5029" s="2561" t="s">
        <v>6041</v>
      </c>
      <c r="O5029" s="2562"/>
      <c r="P5029" s="1817" t="e">
        <f>INDEX(#REF!,MATCH(F5029,#REF!,0),2)</f>
        <v>#REF!</v>
      </c>
      <c r="Q5029" s="2562"/>
      <c r="R5029" s="2562"/>
      <c r="S5029" s="2562"/>
      <c r="T5029" s="2562"/>
      <c r="U5029" s="2562"/>
      <c r="V5029" s="2562"/>
      <c r="W5029" s="2562"/>
      <c r="X5029" s="1569"/>
    </row>
    <row r="5030" spans="2:24">
      <c r="B5030" s="4177" t="s">
        <v>1248</v>
      </c>
      <c r="C5030" s="4177"/>
      <c r="D5030" s="4177"/>
      <c r="E5030" s="4177" t="s">
        <v>1133</v>
      </c>
      <c r="F5030" s="4177">
        <v>2221</v>
      </c>
      <c r="G5030" s="4178" t="s">
        <v>6079</v>
      </c>
      <c r="H5030" s="4179"/>
      <c r="I5030" s="4182">
        <v>-100000</v>
      </c>
      <c r="J5030" s="4179"/>
      <c r="K5030" s="4203"/>
      <c r="L5030" s="4179"/>
      <c r="M5030" s="4307"/>
      <c r="N5030" s="2561"/>
      <c r="O5030" s="2559"/>
      <c r="P5030" s="1817" t="e">
        <f>INDEX(#REF!,MATCH(F5030,#REF!,0),2)</f>
        <v>#REF!</v>
      </c>
      <c r="Q5030" s="2562"/>
      <c r="R5030" s="2562"/>
      <c r="S5030" s="2562"/>
      <c r="T5030" s="2562"/>
      <c r="U5030" s="2562"/>
      <c r="V5030" s="2562"/>
      <c r="W5030" s="2562"/>
      <c r="X5030" s="1569"/>
    </row>
    <row r="5031" spans="2:24">
      <c r="B5031" s="4180" t="s">
        <v>1248</v>
      </c>
      <c r="C5031" s="4180"/>
      <c r="D5031" s="4180"/>
      <c r="E5031" s="4180" t="s">
        <v>1133</v>
      </c>
      <c r="F5031" s="4180">
        <v>2222</v>
      </c>
      <c r="G5031" s="4183" t="s">
        <v>272</v>
      </c>
      <c r="H5031" s="4181">
        <v>12585</v>
      </c>
      <c r="I5031" s="4181"/>
      <c r="J5031" s="4181">
        <v>5579</v>
      </c>
      <c r="K5031" s="1950"/>
      <c r="L5031" s="4181">
        <v>8000</v>
      </c>
      <c r="M5031" s="4181"/>
      <c r="N5031" s="2396"/>
      <c r="O5031" s="2562"/>
      <c r="P5031" s="1817" t="e">
        <f>INDEX(#REF!,MATCH(F5031,#REF!,0),2)</f>
        <v>#REF!</v>
      </c>
      <c r="Q5031" s="2562"/>
      <c r="R5031" s="2562"/>
      <c r="S5031" s="2562"/>
      <c r="T5031" s="2562"/>
      <c r="U5031" s="2562"/>
      <c r="V5031" s="2562"/>
      <c r="W5031" s="2562"/>
      <c r="X5031" s="1569"/>
    </row>
    <row r="5032" spans="2:24" ht="33.75">
      <c r="B5032" s="4177" t="s">
        <v>1248</v>
      </c>
      <c r="C5032" s="4177"/>
      <c r="D5032" s="4177"/>
      <c r="E5032" s="4177" t="s">
        <v>1133</v>
      </c>
      <c r="F5032" s="4177">
        <v>2222</v>
      </c>
      <c r="G5032" s="4178" t="s">
        <v>5505</v>
      </c>
      <c r="H5032" s="4179"/>
      <c r="I5032" s="4179">
        <v>13265</v>
      </c>
      <c r="J5032" s="4179"/>
      <c r="K5032" s="4042"/>
      <c r="L5032" s="4179"/>
      <c r="M5032" s="4179">
        <v>8000</v>
      </c>
      <c r="N5032" s="2396"/>
      <c r="O5032" s="2562"/>
      <c r="P5032" s="1817" t="e">
        <f>INDEX(#REF!,MATCH(F5032,#REF!,0),2)</f>
        <v>#REF!</v>
      </c>
      <c r="Q5032" s="2562"/>
      <c r="R5032" s="2562"/>
      <c r="S5032" s="2562"/>
      <c r="T5032" s="2562"/>
      <c r="U5032" s="2562"/>
      <c r="V5032" s="2562"/>
      <c r="W5032" s="2562"/>
      <c r="X5032" s="1569"/>
    </row>
    <row r="5033" spans="2:24">
      <c r="B5033" s="4180" t="s">
        <v>1248</v>
      </c>
      <c r="C5033" s="4180"/>
      <c r="D5033" s="4180"/>
      <c r="E5033" s="4180" t="s">
        <v>1133</v>
      </c>
      <c r="F5033" s="4180">
        <v>2223</v>
      </c>
      <c r="G5033" s="4183" t="s">
        <v>273</v>
      </c>
      <c r="H5033" s="4181">
        <v>447375</v>
      </c>
      <c r="I5033" s="4181"/>
      <c r="J5033" s="4181">
        <v>239873</v>
      </c>
      <c r="K5033" s="1950"/>
      <c r="L5033" s="4181">
        <v>491000</v>
      </c>
      <c r="M5033" s="4181"/>
      <c r="N5033" s="2847" t="s">
        <v>5506</v>
      </c>
      <c r="O5033" s="2562"/>
      <c r="P5033" s="1817" t="e">
        <f>INDEX(#REF!,MATCH(F5033,#REF!,0),2)</f>
        <v>#REF!</v>
      </c>
      <c r="Q5033" s="2560"/>
      <c r="R5033" s="2560"/>
      <c r="S5033" s="2560"/>
      <c r="T5033" s="2560"/>
      <c r="U5033" s="2560"/>
      <c r="V5033" s="2560"/>
      <c r="W5033" s="2560"/>
      <c r="X5033" s="1569"/>
    </row>
    <row r="5034" spans="2:24">
      <c r="B5034" s="4177" t="s">
        <v>1248</v>
      </c>
      <c r="C5034" s="4177"/>
      <c r="D5034" s="4177"/>
      <c r="E5034" s="4177" t="s">
        <v>1133</v>
      </c>
      <c r="F5034" s="4177">
        <v>2223</v>
      </c>
      <c r="G5034" s="4178" t="s">
        <v>5805</v>
      </c>
      <c r="H5034" s="4179"/>
      <c r="I5034" s="4182">
        <v>380000</v>
      </c>
      <c r="J5034" s="4179"/>
      <c r="K5034" s="1950"/>
      <c r="L5034" s="4179"/>
      <c r="M5034" s="4179">
        <v>300000</v>
      </c>
      <c r="N5034" s="2847" t="s">
        <v>5808</v>
      </c>
      <c r="O5034" s="2562"/>
      <c r="P5034" s="1817" t="e">
        <f>INDEX(#REF!,MATCH(F5034,#REF!,0),2)</f>
        <v>#REF!</v>
      </c>
      <c r="Q5034" s="2560"/>
      <c r="R5034" s="2560"/>
      <c r="S5034" s="2560"/>
      <c r="T5034" s="2560"/>
      <c r="U5034" s="2560"/>
      <c r="V5034" s="2560"/>
      <c r="W5034" s="2560"/>
      <c r="X5034" s="1569"/>
    </row>
    <row r="5035" spans="2:24" ht="22.5">
      <c r="B5035" s="4177" t="s">
        <v>1248</v>
      </c>
      <c r="C5035" s="4177"/>
      <c r="D5035" s="4177"/>
      <c r="E5035" s="4177" t="s">
        <v>1133</v>
      </c>
      <c r="F5035" s="4177">
        <v>2223</v>
      </c>
      <c r="G5035" s="4178" t="s">
        <v>2707</v>
      </c>
      <c r="H5035" s="4179"/>
      <c r="I5035" s="4182">
        <v>130000</v>
      </c>
      <c r="J5035" s="4179"/>
      <c r="K5035" s="1950"/>
      <c r="L5035" s="4179"/>
      <c r="M5035" s="4216">
        <v>61000</v>
      </c>
      <c r="N5035" s="2847"/>
      <c r="O5035" s="2560"/>
      <c r="P5035" s="1817" t="e">
        <f>INDEX(#REF!,MATCH(F5035,#REF!,0),2)</f>
        <v>#REF!</v>
      </c>
      <c r="Q5035" s="2560"/>
      <c r="R5035" s="2560"/>
      <c r="S5035" s="2560"/>
      <c r="T5035" s="2560"/>
      <c r="U5035" s="2560"/>
      <c r="V5035" s="2560"/>
      <c r="W5035" s="2560"/>
      <c r="X5035" s="1569"/>
    </row>
    <row r="5036" spans="2:24" ht="67.5">
      <c r="B5036" s="4177" t="s">
        <v>1248</v>
      </c>
      <c r="C5036" s="4177"/>
      <c r="D5036" s="4177"/>
      <c r="E5036" s="4177" t="s">
        <v>1133</v>
      </c>
      <c r="F5036" s="4177">
        <v>2223</v>
      </c>
      <c r="G5036" s="4178" t="s">
        <v>5507</v>
      </c>
      <c r="H5036" s="4179"/>
      <c r="I5036" s="4182">
        <v>220000</v>
      </c>
      <c r="J5036" s="4179"/>
      <c r="K5036" s="1950"/>
      <c r="L5036" s="4179"/>
      <c r="M5036" s="4179">
        <v>130000</v>
      </c>
      <c r="N5036" s="2847"/>
      <c r="O5036" s="2560"/>
      <c r="P5036" s="1817" t="e">
        <f>INDEX(#REF!,MATCH(F5036,#REF!,0),2)</f>
        <v>#REF!</v>
      </c>
      <c r="Q5036" s="2560"/>
      <c r="R5036" s="2560"/>
      <c r="S5036" s="2560"/>
      <c r="T5036" s="2560"/>
      <c r="U5036" s="2560"/>
      <c r="V5036" s="2560"/>
      <c r="W5036" s="2560"/>
      <c r="X5036" s="1569"/>
    </row>
    <row r="5037" spans="2:24">
      <c r="B5037" s="4177" t="s">
        <v>1248</v>
      </c>
      <c r="C5037" s="4177"/>
      <c r="D5037" s="4177"/>
      <c r="E5037" s="4177" t="s">
        <v>1133</v>
      </c>
      <c r="F5037" s="4177">
        <v>2223</v>
      </c>
      <c r="G5037" s="4178" t="s">
        <v>6079</v>
      </c>
      <c r="H5037" s="4179"/>
      <c r="I5037" s="4182">
        <v>-280000</v>
      </c>
      <c r="J5037" s="4179"/>
      <c r="K5037" s="4203"/>
      <c r="L5037" s="4179"/>
      <c r="M5037" s="4179"/>
      <c r="N5037" s="2847"/>
      <c r="O5037" s="2560"/>
      <c r="P5037" s="1817" t="e">
        <f>INDEX(#REF!,MATCH(F5037,#REF!,0),2)</f>
        <v>#REF!</v>
      </c>
      <c r="Q5037" s="2560"/>
      <c r="R5037" s="2560"/>
      <c r="S5037" s="2560"/>
      <c r="T5037" s="2560"/>
      <c r="U5037" s="2560"/>
      <c r="V5037" s="2560"/>
      <c r="W5037" s="2560"/>
      <c r="X5037" s="1569"/>
    </row>
    <row r="5038" spans="2:24" ht="33.75">
      <c r="B5038" s="4177" t="s">
        <v>1248</v>
      </c>
      <c r="C5038" s="4177"/>
      <c r="D5038" s="4177"/>
      <c r="E5038" s="4177" t="s">
        <v>1133</v>
      </c>
      <c r="F5038" s="4177">
        <v>2223</v>
      </c>
      <c r="G5038" s="4178" t="s">
        <v>6082</v>
      </c>
      <c r="H5038" s="4179"/>
      <c r="I5038" s="4182">
        <v>-2625</v>
      </c>
      <c r="J5038" s="4179"/>
      <c r="K5038" s="4203"/>
      <c r="L5038" s="4179"/>
      <c r="M5038" s="4179"/>
      <c r="N5038" s="2847"/>
      <c r="O5038" s="2560"/>
      <c r="P5038" s="1817" t="e">
        <f>INDEX(#REF!,MATCH(F5038,#REF!,0),2)</f>
        <v>#REF!</v>
      </c>
      <c r="Q5038" s="2560"/>
      <c r="R5038" s="2560"/>
      <c r="S5038" s="2560"/>
      <c r="T5038" s="2560"/>
      <c r="U5038" s="2560"/>
      <c r="V5038" s="2560"/>
      <c r="W5038" s="2560"/>
      <c r="X5038" s="1569"/>
    </row>
    <row r="5039" spans="2:24" ht="33.75">
      <c r="B5039" s="4174" t="s">
        <v>1248</v>
      </c>
      <c r="C5039" s="4174"/>
      <c r="D5039" s="4174"/>
      <c r="E5039" s="4174" t="s">
        <v>1133</v>
      </c>
      <c r="F5039" s="4174">
        <v>2224</v>
      </c>
      <c r="G5039" s="4175" t="s">
        <v>274</v>
      </c>
      <c r="H5039" s="4181">
        <v>123445</v>
      </c>
      <c r="I5039" s="4181"/>
      <c r="J5039" s="4181">
        <v>69589</v>
      </c>
      <c r="K5039" s="1950"/>
      <c r="L5039" s="4181">
        <v>100000</v>
      </c>
      <c r="M5039" s="4181"/>
      <c r="N5039" s="2847"/>
      <c r="O5039" s="2560"/>
      <c r="P5039" s="1817" t="e">
        <f>INDEX(#REF!,MATCH(F5039,#REF!,0),2)</f>
        <v>#REF!</v>
      </c>
      <c r="Q5039" s="2559"/>
      <c r="R5039" s="2559"/>
      <c r="S5039" s="2559"/>
      <c r="T5039" s="2559"/>
      <c r="U5039" s="2559"/>
      <c r="V5039" s="2559"/>
      <c r="W5039" s="2559"/>
      <c r="X5039" s="152"/>
    </row>
    <row r="5040" spans="2:24" ht="22.5">
      <c r="B5040" s="4177" t="s">
        <v>1248</v>
      </c>
      <c r="C5040" s="4177"/>
      <c r="D5040" s="4177"/>
      <c r="E5040" s="4177" t="s">
        <v>1133</v>
      </c>
      <c r="F5040" s="4177">
        <v>2224</v>
      </c>
      <c r="G5040" s="4178" t="s">
        <v>2708</v>
      </c>
      <c r="H5040" s="4184"/>
      <c r="I5040" s="4184">
        <v>40000</v>
      </c>
      <c r="J5040" s="4184"/>
      <c r="K5040" s="4042"/>
      <c r="L5040" s="4184"/>
      <c r="M5040" s="4308">
        <v>25000</v>
      </c>
      <c r="N5040" s="2847"/>
      <c r="O5040" s="2560"/>
      <c r="P5040" s="1817"/>
      <c r="Q5040" s="2562"/>
      <c r="R5040" s="2562"/>
      <c r="S5040" s="2562"/>
      <c r="T5040" s="2562"/>
      <c r="U5040" s="2562"/>
      <c r="V5040" s="2562"/>
      <c r="W5040" s="2562"/>
      <c r="X5040" s="1569"/>
    </row>
    <row r="5041" spans="2:24" ht="33.75">
      <c r="B5041" s="4177" t="s">
        <v>1248</v>
      </c>
      <c r="C5041" s="4177"/>
      <c r="D5041" s="4177"/>
      <c r="E5041" s="4177" t="s">
        <v>1133</v>
      </c>
      <c r="F5041" s="4177">
        <v>2224</v>
      </c>
      <c r="G5041" s="4178" t="s">
        <v>5806</v>
      </c>
      <c r="H5041" s="4184"/>
      <c r="I5041" s="4184">
        <v>75000</v>
      </c>
      <c r="J5041" s="4184"/>
      <c r="K5041" s="1951"/>
      <c r="L5041" s="4184"/>
      <c r="M5041" s="4184">
        <v>75000</v>
      </c>
      <c r="N5041" s="3506" t="s">
        <v>5809</v>
      </c>
      <c r="O5041" s="2559"/>
      <c r="P5041" s="1817" t="e">
        <f>INDEX(#REF!,MATCH(F5041,#REF!,0),2)</f>
        <v>#REF!</v>
      </c>
      <c r="Q5041" s="2562"/>
      <c r="R5041" s="2562"/>
      <c r="S5041" s="2562"/>
      <c r="T5041" s="2562"/>
      <c r="U5041" s="2562"/>
      <c r="V5041" s="2562"/>
      <c r="W5041" s="2562"/>
      <c r="X5041" s="1569"/>
    </row>
    <row r="5042" spans="2:24">
      <c r="B5042" s="4174" t="s">
        <v>1248</v>
      </c>
      <c r="C5042" s="4174"/>
      <c r="D5042" s="4174"/>
      <c r="E5042" s="4174" t="s">
        <v>1133</v>
      </c>
      <c r="F5042" s="4174">
        <v>2229</v>
      </c>
      <c r="G5042" s="4175" t="s">
        <v>471</v>
      </c>
      <c r="H5042" s="4181">
        <v>4434</v>
      </c>
      <c r="I5042" s="4181"/>
      <c r="J5042" s="4176">
        <v>3010</v>
      </c>
      <c r="K5042" s="1952"/>
      <c r="L5042" s="4176">
        <v>3900</v>
      </c>
      <c r="M5042" s="4181"/>
      <c r="N5042" s="2847"/>
      <c r="O5042" s="2562"/>
      <c r="P5042" s="1817" t="e">
        <f>INDEX(#REF!,MATCH(F5042,#REF!,0),2)</f>
        <v>#REF!</v>
      </c>
      <c r="Q5042" s="2562"/>
      <c r="R5042" s="2562"/>
      <c r="S5042" s="2562"/>
      <c r="T5042" s="2562"/>
      <c r="U5042" s="2562"/>
      <c r="V5042" s="2562"/>
      <c r="W5042" s="2562"/>
      <c r="X5042" s="1569"/>
    </row>
    <row r="5043" spans="2:24" ht="33.75">
      <c r="B5043" s="4177" t="s">
        <v>1248</v>
      </c>
      <c r="C5043" s="4177"/>
      <c r="D5043" s="4177"/>
      <c r="E5043" s="4177" t="s">
        <v>1133</v>
      </c>
      <c r="F5043" s="4177">
        <v>2229</v>
      </c>
      <c r="G5043" s="4178" t="s">
        <v>5807</v>
      </c>
      <c r="H5043" s="4184"/>
      <c r="I5043" s="4184">
        <v>2234</v>
      </c>
      <c r="J5043" s="4184"/>
      <c r="K5043" s="1952"/>
      <c r="L5043" s="4184"/>
      <c r="M5043" s="4307">
        <v>2900</v>
      </c>
      <c r="N5043" s="2396" t="s">
        <v>5689</v>
      </c>
      <c r="O5043" s="2562"/>
      <c r="P5043" s="1817" t="e">
        <f>INDEX(#REF!,MATCH(F5043,#REF!,0),2)</f>
        <v>#REF!</v>
      </c>
      <c r="Q5043" s="2559"/>
      <c r="R5043" s="2559"/>
      <c r="S5043" s="2559"/>
      <c r="T5043" s="2559"/>
      <c r="U5043" s="2559"/>
      <c r="V5043" s="2559"/>
      <c r="W5043" s="2559"/>
      <c r="X5043" s="152"/>
    </row>
    <row r="5044" spans="2:24" ht="22.5">
      <c r="B5044" s="4177" t="s">
        <v>1248</v>
      </c>
      <c r="C5044" s="4177"/>
      <c r="D5044" s="4177"/>
      <c r="E5044" s="4177" t="s">
        <v>1133</v>
      </c>
      <c r="F5044" s="4177">
        <v>2229</v>
      </c>
      <c r="G5044" s="4178" t="s">
        <v>2709</v>
      </c>
      <c r="H5044" s="4184"/>
      <c r="I5044" s="4184">
        <v>1000</v>
      </c>
      <c r="J5044" s="4184"/>
      <c r="K5044" s="1951"/>
      <c r="L5044" s="4184"/>
      <c r="M5044" s="4184">
        <v>1000</v>
      </c>
      <c r="N5044" s="2847"/>
      <c r="O5044" s="2562"/>
      <c r="P5044" s="1817" t="e">
        <f>INDEX(#REF!,MATCH(F5044,#REF!,0),2)</f>
        <v>#REF!</v>
      </c>
      <c r="Q5044" s="2562"/>
      <c r="R5044" s="2562"/>
      <c r="S5044" s="2562"/>
      <c r="T5044" s="2562"/>
      <c r="U5044" s="2562"/>
      <c r="V5044" s="2562"/>
      <c r="W5044" s="2562"/>
      <c r="X5044" s="1569"/>
    </row>
    <row r="5045" spans="2:24">
      <c r="B5045" s="4174" t="s">
        <v>1249</v>
      </c>
      <c r="C5045" s="4174"/>
      <c r="D5045" s="4174"/>
      <c r="E5045" s="4174" t="s">
        <v>1133</v>
      </c>
      <c r="F5045" s="4174">
        <v>2232</v>
      </c>
      <c r="G5045" s="4175" t="s">
        <v>2710</v>
      </c>
      <c r="H5045" s="4176"/>
      <c r="I5045" s="4176"/>
      <c r="J5045" s="4176"/>
      <c r="K5045" s="1948"/>
      <c r="L5045" s="4176">
        <v>20000</v>
      </c>
      <c r="M5045" s="4176"/>
      <c r="N5045" s="3506"/>
      <c r="O5045" s="2559"/>
      <c r="P5045" s="1817" t="e">
        <f>INDEX(#REF!,MATCH(F5045,#REF!,0),2)</f>
        <v>#REF!</v>
      </c>
      <c r="Q5045" s="2562"/>
      <c r="R5045" s="2562"/>
      <c r="S5045" s="2562"/>
      <c r="T5045" s="2562"/>
      <c r="U5045" s="2562"/>
      <c r="V5045" s="2562"/>
      <c r="W5045" s="2562"/>
      <c r="X5045" s="1569"/>
    </row>
    <row r="5046" spans="2:24" ht="22.5">
      <c r="B5046" s="4177" t="s">
        <v>1249</v>
      </c>
      <c r="C5046" s="4177"/>
      <c r="D5046" s="4177"/>
      <c r="E5046" s="4177" t="s">
        <v>1133</v>
      </c>
      <c r="F5046" s="4177">
        <v>2232</v>
      </c>
      <c r="G5046" s="4178" t="s">
        <v>5810</v>
      </c>
      <c r="H5046" s="4184"/>
      <c r="I5046" s="4184"/>
      <c r="J5046" s="4184"/>
      <c r="K5046" s="1952"/>
      <c r="L5046" s="4184"/>
      <c r="M5046" s="4184">
        <v>20000</v>
      </c>
      <c r="N5046" s="2847"/>
      <c r="O5046" s="2562"/>
      <c r="P5046" s="1817" t="e">
        <f>INDEX(#REF!,MATCH(F5046,#REF!,0),2)</f>
        <v>#REF!</v>
      </c>
      <c r="Q5046" s="2562"/>
      <c r="R5046" s="2562"/>
      <c r="S5046" s="2562"/>
      <c r="T5046" s="2562"/>
      <c r="U5046" s="2562"/>
      <c r="V5046" s="2562"/>
      <c r="W5046" s="2562"/>
      <c r="X5046" s="1569"/>
    </row>
    <row r="5047" spans="2:24">
      <c r="B5047" s="4174" t="s">
        <v>1248</v>
      </c>
      <c r="C5047" s="4174"/>
      <c r="D5047" s="4174"/>
      <c r="E5047" s="4174" t="s">
        <v>1133</v>
      </c>
      <c r="F5047" s="4174">
        <v>2232</v>
      </c>
      <c r="G5047" s="4175" t="s">
        <v>2710</v>
      </c>
      <c r="H5047" s="4176">
        <v>17983</v>
      </c>
      <c r="I5047" s="4176"/>
      <c r="J5047" s="4176">
        <v>12243</v>
      </c>
      <c r="K5047" s="1948"/>
      <c r="L5047" s="4176">
        <v>24608.333333333336</v>
      </c>
      <c r="M5047" s="4176"/>
      <c r="N5047" s="3506"/>
      <c r="O5047" s="2562"/>
      <c r="P5047" s="1817" t="e">
        <f>INDEX(#REF!,MATCH(F5047,#REF!,0),2)</f>
        <v>#REF!</v>
      </c>
      <c r="Q5047" s="2559"/>
      <c r="R5047" s="2559"/>
      <c r="S5047" s="2559"/>
      <c r="T5047" s="2559"/>
      <c r="U5047" s="2559"/>
      <c r="V5047" s="2559"/>
      <c r="W5047" s="2559"/>
      <c r="X5047" s="1569"/>
    </row>
    <row r="5048" spans="2:24">
      <c r="B5048" s="4177" t="s">
        <v>1248</v>
      </c>
      <c r="C5048" s="4177"/>
      <c r="D5048" s="4177"/>
      <c r="E5048" s="4177" t="s">
        <v>1133</v>
      </c>
      <c r="F5048" s="4177">
        <v>2232</v>
      </c>
      <c r="G5048" s="4178" t="s">
        <v>2711</v>
      </c>
      <c r="H5048" s="4184"/>
      <c r="I5048" s="4184">
        <v>570</v>
      </c>
      <c r="J5048" s="4184"/>
      <c r="K5048" s="1952"/>
      <c r="L5048" s="4184"/>
      <c r="M5048" s="4184">
        <v>570</v>
      </c>
      <c r="N5048" s="2847"/>
      <c r="O5048" s="2562"/>
      <c r="P5048" s="1817" t="e">
        <f>INDEX(#REF!,MATCH(F5048,#REF!,0),2)</f>
        <v>#REF!</v>
      </c>
      <c r="Q5048" s="2562"/>
      <c r="R5048" s="2562"/>
      <c r="S5048" s="2562"/>
      <c r="T5048" s="2562"/>
      <c r="U5048" s="2562"/>
      <c r="V5048" s="2562"/>
      <c r="W5048" s="2562"/>
      <c r="X5048" s="1569"/>
    </row>
    <row r="5049" spans="2:24" ht="22.5">
      <c r="B5049" s="4177" t="s">
        <v>1248</v>
      </c>
      <c r="C5049" s="4177"/>
      <c r="D5049" s="4177"/>
      <c r="E5049" s="4177" t="s">
        <v>1133</v>
      </c>
      <c r="F5049" s="4177">
        <v>2232</v>
      </c>
      <c r="G5049" s="4185" t="s">
        <v>2712</v>
      </c>
      <c r="H5049" s="4184"/>
      <c r="I5049" s="4184">
        <v>855</v>
      </c>
      <c r="J5049" s="4184"/>
      <c r="K5049" s="1952"/>
      <c r="L5049" s="4184"/>
      <c r="M5049" s="4184">
        <v>855</v>
      </c>
      <c r="N5049" s="2847"/>
      <c r="O5049" s="2559"/>
      <c r="P5049" s="1817" t="e">
        <f>INDEX(#REF!,MATCH(F5049,#REF!,0),2)</f>
        <v>#REF!</v>
      </c>
      <c r="Q5049" s="2562"/>
      <c r="R5049" s="2562"/>
      <c r="S5049" s="2562"/>
      <c r="T5049" s="2562"/>
      <c r="U5049" s="2562"/>
      <c r="V5049" s="2562"/>
      <c r="W5049" s="2562"/>
      <c r="X5049" s="1569"/>
    </row>
    <row r="5050" spans="2:24" ht="22.5">
      <c r="B5050" s="4177" t="s">
        <v>1248</v>
      </c>
      <c r="C5050" s="4177"/>
      <c r="D5050" s="4177"/>
      <c r="E5050" s="4177" t="s">
        <v>1133</v>
      </c>
      <c r="F5050" s="4177">
        <v>2232</v>
      </c>
      <c r="G5050" s="4185" t="s">
        <v>2713</v>
      </c>
      <c r="H5050" s="4184"/>
      <c r="I5050" s="4184">
        <v>950</v>
      </c>
      <c r="J5050" s="4184"/>
      <c r="K5050" s="1952"/>
      <c r="L5050" s="4184"/>
      <c r="M5050" s="4184">
        <v>0</v>
      </c>
      <c r="N5050" s="2846"/>
      <c r="O5050" s="2562"/>
      <c r="P5050" s="1817" t="e">
        <f>INDEX(#REF!,MATCH(F5050,#REF!,0),2)</f>
        <v>#REF!</v>
      </c>
      <c r="Q5050" s="2559"/>
      <c r="R5050" s="2559"/>
      <c r="S5050" s="2559"/>
      <c r="T5050" s="2559"/>
      <c r="U5050" s="2559"/>
      <c r="V5050" s="2559"/>
      <c r="W5050" s="2559"/>
      <c r="X5050" s="1569"/>
    </row>
    <row r="5051" spans="2:24" ht="45">
      <c r="B5051" s="4177" t="s">
        <v>1248</v>
      </c>
      <c r="C5051" s="4177"/>
      <c r="D5051" s="4177"/>
      <c r="E5051" s="4177" t="s">
        <v>1133</v>
      </c>
      <c r="F5051" s="4177">
        <v>2232</v>
      </c>
      <c r="G5051" s="4185" t="s">
        <v>2714</v>
      </c>
      <c r="H5051" s="4184"/>
      <c r="I5051" s="4184">
        <v>1200</v>
      </c>
      <c r="J5051" s="4184"/>
      <c r="K5051" s="1952"/>
      <c r="L5051" s="4184"/>
      <c r="M5051" s="4215">
        <v>2333.3333333333335</v>
      </c>
      <c r="N5051" s="2846" t="s">
        <v>5811</v>
      </c>
      <c r="O5051" s="2562"/>
      <c r="P5051" s="1817" t="e">
        <f>INDEX(#REF!,MATCH(F5051,#REF!,0),2)</f>
        <v>#REF!</v>
      </c>
      <c r="Q5051" s="2562"/>
      <c r="R5051" s="2562"/>
      <c r="S5051" s="2562"/>
      <c r="T5051" s="2562"/>
      <c r="U5051" s="2562"/>
      <c r="V5051" s="2562"/>
      <c r="W5051" s="2560"/>
      <c r="X5051" s="1569"/>
    </row>
    <row r="5052" spans="2:24" ht="22.5">
      <c r="B5052" s="4177" t="s">
        <v>1248</v>
      </c>
      <c r="C5052" s="4177"/>
      <c r="D5052" s="4177"/>
      <c r="E5052" s="4177" t="s">
        <v>1133</v>
      </c>
      <c r="F5052" s="4177">
        <v>2232</v>
      </c>
      <c r="G5052" s="4185" t="s">
        <v>2715</v>
      </c>
      <c r="H5052" s="4184"/>
      <c r="I5052" s="4184">
        <v>1500</v>
      </c>
      <c r="J5052" s="4184"/>
      <c r="K5052" s="1950"/>
      <c r="L5052" s="4184"/>
      <c r="M5052" s="4215">
        <v>0</v>
      </c>
      <c r="N5052" s="2396"/>
      <c r="O5052" s="2559"/>
      <c r="P5052" s="1817" t="e">
        <f>INDEX(#REF!,MATCH(F5052,#REF!,0),2)</f>
        <v>#REF!</v>
      </c>
      <c r="Q5052" s="2559"/>
      <c r="R5052" s="2559"/>
      <c r="S5052" s="2559"/>
      <c r="T5052" s="2559"/>
      <c r="U5052" s="2559"/>
      <c r="V5052" s="2559"/>
      <c r="W5052" s="2559"/>
      <c r="X5052" s="152"/>
    </row>
    <row r="5053" spans="2:24">
      <c r="B5053" s="4177" t="s">
        <v>1248</v>
      </c>
      <c r="C5053" s="4177"/>
      <c r="D5053" s="4177"/>
      <c r="E5053" s="4177" t="s">
        <v>1133</v>
      </c>
      <c r="F5053" s="4177">
        <v>2232</v>
      </c>
      <c r="G5053" s="4185" t="s">
        <v>5509</v>
      </c>
      <c r="H5053" s="4184"/>
      <c r="I5053" s="4184"/>
      <c r="J5053" s="4184"/>
      <c r="K5053" s="1950"/>
      <c r="L5053" s="4184"/>
      <c r="M5053" s="4184">
        <v>5000</v>
      </c>
      <c r="N5053" s="2847"/>
      <c r="O5053" s="2562"/>
      <c r="P5053" s="1817" t="e">
        <f>INDEX(#REF!,MATCH(F5053,#REF!,0),2)</f>
        <v>#REF!</v>
      </c>
      <c r="Q5053" s="2560"/>
      <c r="R5053" s="2560"/>
      <c r="S5053" s="2560"/>
      <c r="T5053" s="2560"/>
      <c r="U5053" s="2560"/>
      <c r="V5053" s="2560"/>
      <c r="W5053" s="2560"/>
      <c r="X5053" s="1569"/>
    </row>
    <row r="5054" spans="2:24" ht="22.5">
      <c r="B5054" s="4177" t="s">
        <v>1248</v>
      </c>
      <c r="C5054" s="4177"/>
      <c r="D5054" s="4177"/>
      <c r="E5054" s="4177" t="s">
        <v>1133</v>
      </c>
      <c r="F5054" s="4177">
        <v>2232</v>
      </c>
      <c r="G5054" s="4185" t="s">
        <v>2771</v>
      </c>
      <c r="H5054" s="4184"/>
      <c r="I5054" s="4184"/>
      <c r="J5054" s="4184"/>
      <c r="K5054" s="1950"/>
      <c r="L5054" s="4184"/>
      <c r="M5054" s="4184">
        <v>950</v>
      </c>
      <c r="N5054" s="2847"/>
      <c r="O5054" s="2559"/>
      <c r="P5054" s="1817" t="e">
        <f>INDEX(#REF!,MATCH(F5054,#REF!,0),2)</f>
        <v>#REF!</v>
      </c>
      <c r="Q5054" s="2562"/>
      <c r="R5054" s="2562"/>
      <c r="S5054" s="2562"/>
      <c r="T5054" s="2562"/>
      <c r="U5054" s="2562"/>
      <c r="V5054" s="2562"/>
      <c r="W5054" s="2562"/>
      <c r="X5054" s="1569"/>
    </row>
    <row r="5055" spans="2:24">
      <c r="B5055" s="4177" t="s">
        <v>1248</v>
      </c>
      <c r="C5055" s="4177"/>
      <c r="D5055" s="4177"/>
      <c r="E5055" s="4177" t="s">
        <v>1133</v>
      </c>
      <c r="F5055" s="4177">
        <v>2232</v>
      </c>
      <c r="G5055" s="4186" t="s">
        <v>5508</v>
      </c>
      <c r="H5055" s="4185"/>
      <c r="I5055" s="4179">
        <v>1400</v>
      </c>
      <c r="J5055" s="4179"/>
      <c r="K5055" s="1950"/>
      <c r="L5055" s="4179"/>
      <c r="M5055" s="4307">
        <v>0</v>
      </c>
      <c r="N5055" s="1569" t="s">
        <v>6046</v>
      </c>
      <c r="O5055" s="2560"/>
      <c r="P5055" s="1817" t="e">
        <f>INDEX(#REF!,MATCH(F5055,#REF!,0),2)</f>
        <v>#REF!</v>
      </c>
      <c r="Q5055" s="2562"/>
      <c r="R5055" s="2562"/>
      <c r="S5055" s="2562"/>
      <c r="T5055" s="2562"/>
      <c r="U5055" s="2562"/>
      <c r="V5055" s="2562"/>
      <c r="W5055" s="2562"/>
      <c r="X5055" s="1569"/>
    </row>
    <row r="5056" spans="2:24">
      <c r="B5056" s="4177" t="s">
        <v>1248</v>
      </c>
      <c r="C5056" s="4177"/>
      <c r="D5056" s="4177"/>
      <c r="E5056" s="4177" t="s">
        <v>1133</v>
      </c>
      <c r="F5056" s="4177">
        <v>2232</v>
      </c>
      <c r="G5056" s="4186" t="s">
        <v>5510</v>
      </c>
      <c r="H5056" s="4185"/>
      <c r="I5056" s="4179"/>
      <c r="J5056" s="4179"/>
      <c r="K5056" s="1950"/>
      <c r="L5056" s="4179"/>
      <c r="M5056" s="4179">
        <v>9900</v>
      </c>
      <c r="N5056" s="2847" t="s">
        <v>5813</v>
      </c>
      <c r="O5056" s="2562"/>
      <c r="P5056" s="1817" t="e">
        <f>INDEX(#REF!,MATCH(F5056,#REF!,0),2)</f>
        <v>#REF!</v>
      </c>
      <c r="Q5056" s="2562"/>
      <c r="R5056" s="2562"/>
      <c r="S5056" s="2562"/>
      <c r="T5056" s="2562"/>
      <c r="U5056" s="2562"/>
      <c r="V5056" s="2562"/>
      <c r="W5056" s="2562"/>
      <c r="X5056" s="1569"/>
    </row>
    <row r="5057" spans="2:24">
      <c r="B5057" s="4177" t="s">
        <v>1248</v>
      </c>
      <c r="C5057" s="4177"/>
      <c r="D5057" s="4177"/>
      <c r="E5057" s="4177" t="s">
        <v>1133</v>
      </c>
      <c r="F5057" s="4177">
        <v>2232</v>
      </c>
      <c r="G5057" s="4186" t="s">
        <v>5511</v>
      </c>
      <c r="H5057" s="4185"/>
      <c r="I5057" s="4179"/>
      <c r="J5057" s="4179"/>
      <c r="K5057" s="4042"/>
      <c r="L5057" s="4179"/>
      <c r="M5057" s="4179">
        <v>5000</v>
      </c>
      <c r="N5057" s="2847" t="s">
        <v>5812</v>
      </c>
      <c r="O5057" s="2562"/>
      <c r="P5057" s="1817" t="e">
        <f>INDEX(#REF!,MATCH(F5057,#REF!,0),2)</f>
        <v>#REF!</v>
      </c>
      <c r="Q5057" s="2562"/>
      <c r="R5057" s="2562"/>
      <c r="S5057" s="2562"/>
      <c r="T5057" s="2562"/>
      <c r="U5057" s="2562"/>
      <c r="V5057" s="2562"/>
      <c r="W5057" s="2562"/>
      <c r="X5057" s="1569"/>
    </row>
    <row r="5058" spans="2:24">
      <c r="B5058" s="4174" t="s">
        <v>1248</v>
      </c>
      <c r="C5058" s="4174"/>
      <c r="D5058" s="4174"/>
      <c r="E5058" s="4174" t="s">
        <v>1133</v>
      </c>
      <c r="F5058" s="4174">
        <v>2233</v>
      </c>
      <c r="G5058" s="4175" t="s">
        <v>618</v>
      </c>
      <c r="H5058" s="4176">
        <v>5157</v>
      </c>
      <c r="I5058" s="4176"/>
      <c r="J5058" s="4176">
        <v>3360</v>
      </c>
      <c r="K5058" s="1948"/>
      <c r="L5058" s="4176">
        <v>4820</v>
      </c>
      <c r="M5058" s="4176"/>
      <c r="N5058" s="2847"/>
      <c r="O5058" s="2562"/>
      <c r="P5058" s="1817" t="e">
        <f>INDEX(#REF!,MATCH(F5058,#REF!,0),2)</f>
        <v>#REF!</v>
      </c>
      <c r="Q5058" s="2559"/>
      <c r="R5058" s="2559"/>
      <c r="S5058" s="2559"/>
      <c r="T5058" s="2559"/>
      <c r="U5058" s="2559"/>
      <c r="V5058" s="2559"/>
      <c r="W5058" s="2559"/>
      <c r="X5058" s="152"/>
    </row>
    <row r="5059" spans="2:24">
      <c r="B5059" s="4177" t="s">
        <v>1248</v>
      </c>
      <c r="C5059" s="4177"/>
      <c r="D5059" s="4177"/>
      <c r="E5059" s="4177" t="s">
        <v>1133</v>
      </c>
      <c r="F5059" s="4177">
        <v>2233</v>
      </c>
      <c r="G5059" s="4178" t="s">
        <v>2716</v>
      </c>
      <c r="H5059" s="4184"/>
      <c r="I5059" s="4184">
        <v>1355</v>
      </c>
      <c r="J5059" s="4184"/>
      <c r="K5059" s="1952"/>
      <c r="L5059" s="4184"/>
      <c r="M5059" s="4184">
        <v>1000</v>
      </c>
      <c r="N5059" s="2847"/>
      <c r="O5059" s="2562"/>
      <c r="P5059" s="1817" t="e">
        <f>INDEX(#REF!,MATCH(F5059,#REF!,0),2)</f>
        <v>#REF!</v>
      </c>
      <c r="Q5059" s="1569"/>
      <c r="R5059" s="1569"/>
      <c r="S5059" s="1569"/>
      <c r="T5059" s="2560"/>
      <c r="U5059" s="2560"/>
      <c r="V5059" s="2560"/>
      <c r="W5059" s="2560"/>
      <c r="X5059" s="1569"/>
    </row>
    <row r="5060" spans="2:24">
      <c r="B5060" s="4177" t="s">
        <v>1248</v>
      </c>
      <c r="C5060" s="4177"/>
      <c r="D5060" s="4177"/>
      <c r="E5060" s="4177" t="s">
        <v>1133</v>
      </c>
      <c r="F5060" s="4177">
        <v>2233</v>
      </c>
      <c r="G5060" s="4184" t="s">
        <v>2717</v>
      </c>
      <c r="H5060" s="4184"/>
      <c r="I5060" s="4184">
        <v>1320</v>
      </c>
      <c r="J5060" s="4184"/>
      <c r="K5060" s="1952"/>
      <c r="L5060" s="4184"/>
      <c r="M5060" s="4184">
        <v>1320</v>
      </c>
      <c r="N5060" s="2847"/>
      <c r="O5060" s="2559"/>
      <c r="P5060" s="1817" t="e">
        <f>INDEX(#REF!,MATCH(F5060,#REF!,0),2)</f>
        <v>#REF!</v>
      </c>
      <c r="Q5060" s="2560"/>
      <c r="R5060" s="2560"/>
      <c r="S5060" s="2560"/>
      <c r="T5060" s="2560"/>
      <c r="U5060" s="2560"/>
      <c r="V5060" s="2560"/>
      <c r="W5060" s="2560"/>
      <c r="X5060" s="1569"/>
    </row>
    <row r="5061" spans="2:24" ht="22.5">
      <c r="B5061" s="4177" t="s">
        <v>1248</v>
      </c>
      <c r="C5061" s="4177"/>
      <c r="D5061" s="4177"/>
      <c r="E5061" s="4177" t="s">
        <v>1133</v>
      </c>
      <c r="F5061" s="4177">
        <v>2233</v>
      </c>
      <c r="G5061" s="4178" t="s">
        <v>2718</v>
      </c>
      <c r="H5061" s="4184"/>
      <c r="I5061" s="4184">
        <v>2250</v>
      </c>
      <c r="J5061" s="4184"/>
      <c r="K5061" s="1952"/>
      <c r="L5061" s="4184"/>
      <c r="M5061" s="4179">
        <v>2500</v>
      </c>
      <c r="N5061" s="2847"/>
      <c r="O5061" s="1569"/>
      <c r="P5061" s="1817" t="e">
        <f>INDEX(#REF!,MATCH(F5061,#REF!,0),2)</f>
        <v>#REF!</v>
      </c>
      <c r="Q5061" s="2560"/>
      <c r="R5061" s="2560"/>
      <c r="S5061" s="2560"/>
      <c r="T5061" s="2560"/>
      <c r="U5061" s="2560"/>
      <c r="V5061" s="2560"/>
      <c r="W5061" s="2560"/>
      <c r="X5061" s="1569"/>
    </row>
    <row r="5062" spans="2:24" ht="22.5">
      <c r="B5062" s="4174" t="s">
        <v>1248</v>
      </c>
      <c r="C5062" s="4174"/>
      <c r="D5062" s="4174"/>
      <c r="E5062" s="4174" t="s">
        <v>1133</v>
      </c>
      <c r="F5062" s="4174">
        <v>2234</v>
      </c>
      <c r="G5062" s="4175" t="s">
        <v>375</v>
      </c>
      <c r="H5062" s="4176">
        <v>1399</v>
      </c>
      <c r="I5062" s="4176"/>
      <c r="J5062" s="4176">
        <v>363</v>
      </c>
      <c r="K5062" s="1948"/>
      <c r="L5062" s="4176">
        <v>2985</v>
      </c>
      <c r="M5062" s="4176"/>
      <c r="N5062" s="2847"/>
      <c r="O5062" s="2560"/>
      <c r="P5062" s="1817" t="e">
        <f>INDEX(#REF!,MATCH(F5062,#REF!,0),2)</f>
        <v>#REF!</v>
      </c>
      <c r="Q5062" s="2560"/>
      <c r="R5062" s="2560"/>
      <c r="S5062" s="2560"/>
      <c r="T5062" s="2560"/>
      <c r="U5062" s="2560"/>
      <c r="V5062" s="2560"/>
      <c r="W5062" s="2560"/>
      <c r="X5062" s="1569"/>
    </row>
    <row r="5063" spans="2:24" ht="56.25">
      <c r="B5063" s="4177" t="s">
        <v>1248</v>
      </c>
      <c r="C5063" s="4177"/>
      <c r="D5063" s="4177"/>
      <c r="E5063" s="4177" t="s">
        <v>1133</v>
      </c>
      <c r="F5063" s="4177">
        <v>2234</v>
      </c>
      <c r="G5063" s="4178" t="s">
        <v>5512</v>
      </c>
      <c r="H5063" s="4184"/>
      <c r="I5063" s="4184">
        <v>0</v>
      </c>
      <c r="J5063" s="4184"/>
      <c r="K5063" s="1952"/>
      <c r="L5063" s="4184"/>
      <c r="M5063" s="4184">
        <v>1935</v>
      </c>
      <c r="N5063" s="2396" t="s">
        <v>5690</v>
      </c>
      <c r="O5063" s="2560"/>
      <c r="P5063" s="1817" t="e">
        <f>INDEX(#REF!,MATCH(F5063,#REF!,0),2)</f>
        <v>#REF!</v>
      </c>
      <c r="Q5063" s="2560"/>
      <c r="R5063" s="2560"/>
      <c r="S5063" s="2560"/>
      <c r="T5063" s="2560"/>
      <c r="U5063" s="2560"/>
      <c r="V5063" s="2560"/>
      <c r="W5063" s="2560"/>
      <c r="X5063" s="1569"/>
    </row>
    <row r="5064" spans="2:24" ht="22.5">
      <c r="B5064" s="4177" t="s">
        <v>1248</v>
      </c>
      <c r="C5064" s="4177"/>
      <c r="D5064" s="4177"/>
      <c r="E5064" s="4177" t="s">
        <v>1133</v>
      </c>
      <c r="F5064" s="4177">
        <v>2234</v>
      </c>
      <c r="G5064" s="4178" t="s">
        <v>2719</v>
      </c>
      <c r="H5064" s="4184"/>
      <c r="I5064" s="4184">
        <v>1750</v>
      </c>
      <c r="J5064" s="4184"/>
      <c r="K5064" s="1952"/>
      <c r="L5064" s="4184"/>
      <c r="M5064" s="4184">
        <v>1050</v>
      </c>
      <c r="N5064" s="2847" t="s">
        <v>5815</v>
      </c>
      <c r="O5064" s="2560"/>
      <c r="P5064" s="1817" t="e">
        <f>INDEX(#REF!,MATCH(F5064,#REF!,0),2)</f>
        <v>#REF!</v>
      </c>
      <c r="Q5064" s="2560"/>
      <c r="R5064" s="2560"/>
      <c r="S5064" s="2560"/>
      <c r="T5064" s="2560"/>
      <c r="U5064" s="2560"/>
      <c r="V5064" s="2560"/>
      <c r="W5064" s="2560"/>
      <c r="X5064" s="1569"/>
    </row>
    <row r="5065" spans="2:24">
      <c r="B5065" s="4177" t="s">
        <v>1248</v>
      </c>
      <c r="C5065" s="4177"/>
      <c r="D5065" s="4177"/>
      <c r="E5065" s="4177" t="s">
        <v>1133</v>
      </c>
      <c r="F5065" s="4177">
        <v>2234</v>
      </c>
      <c r="G5065" s="4178" t="s">
        <v>2720</v>
      </c>
      <c r="H5065" s="4184"/>
      <c r="I5065" s="4184">
        <v>80</v>
      </c>
      <c r="J5065" s="4184"/>
      <c r="K5065" s="1952"/>
      <c r="L5065" s="4184"/>
      <c r="M5065" s="4184">
        <v>0</v>
      </c>
      <c r="N5065" s="2847"/>
      <c r="O5065" s="2560"/>
      <c r="P5065" s="1817" t="e">
        <f>INDEX(#REF!,MATCH(F5065,#REF!,0),2)</f>
        <v>#REF!</v>
      </c>
      <c r="Q5065" s="1569"/>
      <c r="R5065" s="1569"/>
      <c r="S5065" s="1569"/>
      <c r="T5065" s="2560"/>
      <c r="U5065" s="2560"/>
      <c r="V5065" s="2560"/>
      <c r="W5065" s="2560"/>
      <c r="X5065" s="1569"/>
    </row>
    <row r="5066" spans="2:24">
      <c r="B5066" s="4174" t="s">
        <v>1248</v>
      </c>
      <c r="C5066" s="4174"/>
      <c r="D5066" s="4174"/>
      <c r="E5066" s="4174" t="s">
        <v>1133</v>
      </c>
      <c r="F5066" s="4174">
        <v>2235</v>
      </c>
      <c r="G5066" s="4175" t="s">
        <v>1202</v>
      </c>
      <c r="H5066" s="4176">
        <v>6447</v>
      </c>
      <c r="I5066" s="4176"/>
      <c r="J5066" s="4176">
        <v>3381</v>
      </c>
      <c r="K5066" s="1948"/>
      <c r="L5066" s="4176">
        <v>6050</v>
      </c>
      <c r="M5066" s="4176"/>
      <c r="N5066" s="2847"/>
      <c r="O5066" s="2560"/>
      <c r="P5066" s="1817" t="e">
        <f>INDEX(#REF!,MATCH(F5066,#REF!,0),2)</f>
        <v>#REF!</v>
      </c>
      <c r="Q5066" s="2560"/>
      <c r="R5066" s="2560"/>
      <c r="S5066" s="2560"/>
      <c r="T5066" s="2560"/>
      <c r="U5066" s="2560"/>
      <c r="V5066" s="2560"/>
      <c r="W5066" s="2560"/>
      <c r="X5066" s="1569"/>
    </row>
    <row r="5067" spans="2:24">
      <c r="B5067" s="4177" t="s">
        <v>1248</v>
      </c>
      <c r="C5067" s="4177"/>
      <c r="D5067" s="4177"/>
      <c r="E5067" s="4177" t="s">
        <v>1133</v>
      </c>
      <c r="F5067" s="4177">
        <v>2235</v>
      </c>
      <c r="G5067" s="4184" t="s">
        <v>2721</v>
      </c>
      <c r="H5067" s="4184"/>
      <c r="I5067" s="4184">
        <v>6447</v>
      </c>
      <c r="J5067" s="4184"/>
      <c r="K5067" s="1952"/>
      <c r="L5067" s="4184"/>
      <c r="M5067" s="4184">
        <v>6050</v>
      </c>
      <c r="N5067" s="2847" t="s">
        <v>5816</v>
      </c>
      <c r="O5067" s="1569"/>
      <c r="P5067" s="1817" t="e">
        <f>INDEX(#REF!,MATCH(F5067,#REF!,0),2)</f>
        <v>#REF!</v>
      </c>
      <c r="Q5067" s="2560"/>
      <c r="R5067" s="2560"/>
      <c r="S5067" s="2560"/>
      <c r="T5067" s="2560"/>
      <c r="U5067" s="2560"/>
      <c r="V5067" s="2560"/>
      <c r="W5067" s="2560"/>
      <c r="X5067" s="1569"/>
    </row>
    <row r="5068" spans="2:24">
      <c r="B5068" s="4174" t="s">
        <v>1248</v>
      </c>
      <c r="C5068" s="4174"/>
      <c r="D5068" s="4174"/>
      <c r="E5068" s="4174" t="s">
        <v>1133</v>
      </c>
      <c r="F5068" s="4174">
        <v>2236</v>
      </c>
      <c r="G5068" s="4175" t="s">
        <v>2722</v>
      </c>
      <c r="H5068" s="4176">
        <v>350</v>
      </c>
      <c r="I5068" s="4176"/>
      <c r="J5068" s="4176">
        <v>305</v>
      </c>
      <c r="K5068" s="1952"/>
      <c r="L5068" s="4176">
        <v>500</v>
      </c>
      <c r="M5068" s="4176"/>
      <c r="N5068" s="2847">
        <v>677</v>
      </c>
      <c r="O5068" s="2560"/>
      <c r="P5068" s="1817" t="e">
        <f>INDEX(#REF!,MATCH(F5068,#REF!,0),2)</f>
        <v>#REF!</v>
      </c>
      <c r="Q5068" s="2560"/>
      <c r="R5068" s="2560"/>
      <c r="S5068" s="2560"/>
      <c r="T5068" s="2560"/>
      <c r="U5068" s="2560"/>
      <c r="V5068" s="2560"/>
      <c r="W5068" s="2560"/>
      <c r="X5068" s="1569"/>
    </row>
    <row r="5069" spans="2:24" ht="33.75">
      <c r="B5069" s="4177" t="s">
        <v>1248</v>
      </c>
      <c r="C5069" s="4177"/>
      <c r="D5069" s="4177"/>
      <c r="E5069" s="4177" t="s">
        <v>1133</v>
      </c>
      <c r="F5069" s="4177">
        <v>2236</v>
      </c>
      <c r="G5069" s="4178" t="s">
        <v>2723</v>
      </c>
      <c r="H5069" s="4184"/>
      <c r="I5069" s="4184">
        <v>350</v>
      </c>
      <c r="J5069" s="4184"/>
      <c r="K5069" s="1948"/>
      <c r="L5069" s="4184"/>
      <c r="M5069" s="4184">
        <v>500</v>
      </c>
      <c r="N5069" s="2396" t="s">
        <v>5691</v>
      </c>
      <c r="O5069" s="2560"/>
      <c r="P5069" s="1817" t="e">
        <f>INDEX(#REF!,MATCH(F5069,#REF!,0),2)</f>
        <v>#REF!</v>
      </c>
      <c r="Q5069" s="2560"/>
      <c r="R5069" s="2560"/>
      <c r="S5069" s="2560"/>
      <c r="T5069" s="2560"/>
      <c r="U5069" s="2560"/>
      <c r="V5069" s="2560"/>
      <c r="W5069" s="2560"/>
      <c r="X5069" s="1569"/>
    </row>
    <row r="5070" spans="2:24" ht="22.5">
      <c r="B5070" s="4174" t="s">
        <v>1248</v>
      </c>
      <c r="C5070" s="4174"/>
      <c r="D5070" s="4174"/>
      <c r="E5070" s="4174" t="s">
        <v>1133</v>
      </c>
      <c r="F5070" s="4174">
        <v>2239</v>
      </c>
      <c r="G5070" s="4175" t="s">
        <v>2724</v>
      </c>
      <c r="H5070" s="4176">
        <v>4529</v>
      </c>
      <c r="I5070" s="4176"/>
      <c r="J5070" s="4176">
        <v>4470</v>
      </c>
      <c r="K5070" s="1952"/>
      <c r="L5070" s="4176">
        <v>13120</v>
      </c>
      <c r="M5070" s="4176"/>
      <c r="N5070" s="2396"/>
      <c r="O5070" s="2560"/>
      <c r="P5070" s="1817" t="e">
        <f>INDEX(#REF!,MATCH(F5070,#REF!,0),2)</f>
        <v>#REF!</v>
      </c>
      <c r="Q5070" s="2560"/>
      <c r="R5070" s="2560"/>
      <c r="S5070" s="2560"/>
      <c r="T5070" s="2560"/>
      <c r="U5070" s="2560"/>
      <c r="V5070" s="2560"/>
      <c r="W5070" s="2560"/>
      <c r="X5070" s="1569"/>
    </row>
    <row r="5071" spans="2:24">
      <c r="B5071" s="4177" t="s">
        <v>1248</v>
      </c>
      <c r="C5071" s="4177"/>
      <c r="D5071" s="4177"/>
      <c r="E5071" s="4177" t="s">
        <v>1133</v>
      </c>
      <c r="F5071" s="4177">
        <v>2239</v>
      </c>
      <c r="G5071" s="4178" t="s">
        <v>2725</v>
      </c>
      <c r="H5071" s="4179"/>
      <c r="I5071" s="4179">
        <v>436</v>
      </c>
      <c r="J5071" s="4179"/>
      <c r="K5071" s="1948"/>
      <c r="L5071" s="4179"/>
      <c r="M5071" s="4179">
        <v>440</v>
      </c>
      <c r="N5071" s="2847"/>
      <c r="O5071" s="2560"/>
      <c r="P5071" s="1817" t="e">
        <f>INDEX(#REF!,MATCH(F5071,#REF!,0),2)</f>
        <v>#REF!</v>
      </c>
      <c r="Q5071" s="2560"/>
      <c r="R5071" s="2560"/>
      <c r="S5071" s="2560"/>
      <c r="T5071" s="2560"/>
      <c r="U5071" s="2560"/>
      <c r="V5071" s="2560"/>
      <c r="W5071" s="2560"/>
      <c r="X5071" s="1569"/>
    </row>
    <row r="5072" spans="2:24">
      <c r="B5072" s="4177" t="s">
        <v>1248</v>
      </c>
      <c r="C5072" s="4177"/>
      <c r="D5072" s="4177"/>
      <c r="E5072" s="4177" t="s">
        <v>1133</v>
      </c>
      <c r="F5072" s="4177">
        <v>2239</v>
      </c>
      <c r="G5072" s="4178" t="s">
        <v>5814</v>
      </c>
      <c r="H5072" s="4184"/>
      <c r="I5072" s="4184">
        <v>1000</v>
      </c>
      <c r="J5072" s="4184"/>
      <c r="K5072" s="1950"/>
      <c r="L5072" s="4184"/>
      <c r="M5072" s="4179">
        <v>1000</v>
      </c>
      <c r="N5072" s="2847">
        <v>136</v>
      </c>
      <c r="O5072" s="2560"/>
      <c r="P5072" s="1817" t="e">
        <f>INDEX(#REF!,MATCH(F5072,#REF!,0),2)</f>
        <v>#REF!</v>
      </c>
      <c r="Q5072" s="2560"/>
      <c r="R5072" s="2560"/>
      <c r="S5072" s="2560"/>
      <c r="T5072" s="2560"/>
      <c r="U5072" s="2560"/>
      <c r="V5072" s="2560"/>
      <c r="W5072" s="2560"/>
      <c r="X5072" s="1569"/>
    </row>
    <row r="5073" spans="2:24">
      <c r="B5073" s="4177" t="s">
        <v>1248</v>
      </c>
      <c r="C5073" s="4177"/>
      <c r="D5073" s="4177"/>
      <c r="E5073" s="4177" t="s">
        <v>1133</v>
      </c>
      <c r="F5073" s="4177">
        <v>2239</v>
      </c>
      <c r="G5073" s="4178" t="s">
        <v>2726</v>
      </c>
      <c r="H5073" s="4184"/>
      <c r="I5073" s="4184">
        <v>200</v>
      </c>
      <c r="J5073" s="4184"/>
      <c r="K5073" s="1952"/>
      <c r="L5073" s="4184"/>
      <c r="M5073" s="4179">
        <v>200</v>
      </c>
      <c r="N5073" s="2847"/>
      <c r="O5073" s="2560"/>
      <c r="P5073" s="1817" t="e">
        <f>INDEX(#REF!,MATCH(F5073,#REF!,0),2)</f>
        <v>#REF!</v>
      </c>
      <c r="Q5073" s="2560"/>
      <c r="R5073" s="2560"/>
      <c r="S5073" s="2560"/>
      <c r="T5073" s="2560"/>
      <c r="U5073" s="2560"/>
      <c r="V5073" s="2560"/>
      <c r="W5073" s="2560"/>
      <c r="X5073" s="1569"/>
    </row>
    <row r="5074" spans="2:24" ht="22.5">
      <c r="B5074" s="4177" t="s">
        <v>1248</v>
      </c>
      <c r="C5074" s="4177"/>
      <c r="D5074" s="4177"/>
      <c r="E5074" s="4177" t="s">
        <v>1133</v>
      </c>
      <c r="F5074" s="4177">
        <v>2239</v>
      </c>
      <c r="G5074" s="4187" t="s">
        <v>2727</v>
      </c>
      <c r="H5074" s="4184"/>
      <c r="I5074" s="4184">
        <v>360</v>
      </c>
      <c r="J5074" s="4184"/>
      <c r="K5074" s="1952"/>
      <c r="L5074" s="4184"/>
      <c r="M5074" s="4179">
        <v>180</v>
      </c>
      <c r="N5074" s="2847"/>
      <c r="O5074" s="2560"/>
      <c r="P5074" s="1817" t="e">
        <f>INDEX(#REF!,MATCH(F5074,#REF!,0),2)</f>
        <v>#REF!</v>
      </c>
      <c r="Q5074" s="2560"/>
      <c r="R5074" s="2560"/>
      <c r="S5074" s="2560"/>
      <c r="T5074" s="2560"/>
      <c r="U5074" s="2560"/>
      <c r="V5074" s="2560"/>
      <c r="W5074" s="2560"/>
      <c r="X5074" s="1569"/>
    </row>
    <row r="5075" spans="2:24">
      <c r="B5075" s="4177" t="s">
        <v>1248</v>
      </c>
      <c r="C5075" s="4177"/>
      <c r="D5075" s="4177"/>
      <c r="E5075" s="4177" t="s">
        <v>1133</v>
      </c>
      <c r="F5075" s="4177">
        <v>2239</v>
      </c>
      <c r="G5075" s="4188" t="s">
        <v>5513</v>
      </c>
      <c r="H5075" s="4184"/>
      <c r="I5075" s="4184"/>
      <c r="J5075" s="4184"/>
      <c r="K5075" s="1952"/>
      <c r="L5075" s="4184"/>
      <c r="M5075" s="4179">
        <v>1300</v>
      </c>
      <c r="N5075" s="2847"/>
      <c r="O5075" s="2560"/>
      <c r="P5075" s="1817" t="e">
        <f>INDEX(#REF!,MATCH(F5075,#REF!,0),2)</f>
        <v>#REF!</v>
      </c>
      <c r="Q5075" s="2560"/>
      <c r="R5075" s="2560"/>
      <c r="S5075" s="2560"/>
      <c r="T5075" s="2560"/>
      <c r="U5075" s="2560"/>
      <c r="V5075" s="2560"/>
      <c r="W5075" s="2560"/>
      <c r="X5075" s="1569"/>
    </row>
    <row r="5076" spans="2:24">
      <c r="B5076" s="4177" t="s">
        <v>1248</v>
      </c>
      <c r="C5076" s="4177"/>
      <c r="D5076" s="4177"/>
      <c r="E5076" s="4177" t="s">
        <v>1133</v>
      </c>
      <c r="F5076" s="4177">
        <v>2239</v>
      </c>
      <c r="G5076" s="3120" t="s">
        <v>5910</v>
      </c>
      <c r="H5076" s="4184"/>
      <c r="I5076" s="4184"/>
      <c r="J5076" s="4184"/>
      <c r="K5076" s="1952"/>
      <c r="L5076" s="4184"/>
      <c r="M5076" s="4179">
        <v>10000</v>
      </c>
      <c r="N5076" s="2847"/>
      <c r="O5076" s="2560"/>
      <c r="P5076" s="1817" t="e">
        <f>INDEX(#REF!,MATCH(F5076,#REF!,0),2)</f>
        <v>#REF!</v>
      </c>
      <c r="Q5076" s="2560"/>
      <c r="R5076" s="2560"/>
      <c r="S5076" s="2560"/>
      <c r="T5076" s="2560"/>
      <c r="U5076" s="2560"/>
      <c r="V5076" s="2560"/>
      <c r="W5076" s="2560"/>
      <c r="X5076" s="1569"/>
    </row>
    <row r="5077" spans="2:24">
      <c r="B5077" s="4174" t="s">
        <v>1248</v>
      </c>
      <c r="C5077" s="4174"/>
      <c r="D5077" s="4174"/>
      <c r="E5077" s="4174" t="s">
        <v>1133</v>
      </c>
      <c r="F5077" s="4174">
        <v>2241</v>
      </c>
      <c r="G5077" s="4175" t="s">
        <v>276</v>
      </c>
      <c r="H5077" s="4176">
        <v>133114</v>
      </c>
      <c r="I5077" s="4176"/>
      <c r="J5077" s="4176">
        <v>72949</v>
      </c>
      <c r="K5077" s="1948"/>
      <c r="L5077" s="4176">
        <v>21200</v>
      </c>
      <c r="M5077" s="4176"/>
      <c r="N5077" s="152"/>
      <c r="O5077" s="2560"/>
      <c r="P5077" s="1817" t="e">
        <f>INDEX(#REF!,MATCH(F5077,#REF!,0),2)</f>
        <v>#REF!</v>
      </c>
      <c r="Q5077" s="2560"/>
      <c r="R5077" s="2560"/>
      <c r="S5077" s="2560"/>
      <c r="T5077" s="2560"/>
      <c r="U5077" s="2560"/>
      <c r="V5077" s="2560"/>
      <c r="W5077" s="2560"/>
      <c r="X5077" s="1569"/>
    </row>
    <row r="5078" spans="2:24">
      <c r="B5078" s="4177" t="s">
        <v>1248</v>
      </c>
      <c r="C5078" s="4177"/>
      <c r="D5078" s="4177"/>
      <c r="E5078" s="4177" t="s">
        <v>1133</v>
      </c>
      <c r="F5078" s="4177">
        <v>2241</v>
      </c>
      <c r="G5078" s="4189" t="s">
        <v>2728</v>
      </c>
      <c r="H5078" s="4189"/>
      <c r="I5078" s="4189">
        <v>6000</v>
      </c>
      <c r="J5078" s="4189"/>
      <c r="K5078" s="1948"/>
      <c r="L5078" s="4189"/>
      <c r="M5078" s="4179">
        <v>0</v>
      </c>
      <c r="N5078" s="1569"/>
      <c r="O5078" s="2560"/>
      <c r="P5078" s="1817" t="e">
        <f>INDEX(#REF!,MATCH(F5078,#REF!,0),2)</f>
        <v>#REF!</v>
      </c>
      <c r="Q5078" s="2560"/>
      <c r="R5078" s="2560"/>
      <c r="S5078" s="2560"/>
      <c r="T5078" s="2560"/>
      <c r="U5078" s="2560"/>
      <c r="V5078" s="2560"/>
      <c r="W5078" s="2560"/>
      <c r="X5078" s="1569"/>
    </row>
    <row r="5079" spans="2:24">
      <c r="B5079" s="4177" t="s">
        <v>1248</v>
      </c>
      <c r="C5079" s="4177"/>
      <c r="D5079" s="4177"/>
      <c r="E5079" s="4177" t="s">
        <v>1133</v>
      </c>
      <c r="F5079" s="4177">
        <v>2241</v>
      </c>
      <c r="G5079" s="4179" t="s">
        <v>2729</v>
      </c>
      <c r="H5079" s="4179"/>
      <c r="I5079" s="4179">
        <v>4500</v>
      </c>
      <c r="J5079" s="4179"/>
      <c r="K5079" s="1950"/>
      <c r="L5079" s="4179"/>
      <c r="M5079" s="4179">
        <v>0</v>
      </c>
      <c r="N5079" s="1569"/>
      <c r="O5079" s="2560"/>
      <c r="P5079" s="1817" t="e">
        <f>INDEX(#REF!,MATCH(F5079,#REF!,0),2)</f>
        <v>#REF!</v>
      </c>
      <c r="Q5079" s="2559"/>
      <c r="R5079" s="2559"/>
      <c r="S5079" s="2559"/>
      <c r="T5079" s="2559"/>
      <c r="U5079" s="2559"/>
      <c r="V5079" s="2559"/>
      <c r="W5079" s="2559"/>
      <c r="X5079" s="152"/>
    </row>
    <row r="5080" spans="2:24">
      <c r="B5080" s="4177" t="s">
        <v>1248</v>
      </c>
      <c r="C5080" s="4177"/>
      <c r="D5080" s="4177"/>
      <c r="E5080" s="4177" t="s">
        <v>1133</v>
      </c>
      <c r="F5080" s="4177">
        <v>2241</v>
      </c>
      <c r="G5080" s="4179" t="s">
        <v>2730</v>
      </c>
      <c r="H5080" s="4179"/>
      <c r="I5080" s="4179">
        <v>6800</v>
      </c>
      <c r="J5080" s="4179"/>
      <c r="K5080" s="1950"/>
      <c r="L5080" s="4179"/>
      <c r="M5080" s="4179">
        <v>0</v>
      </c>
      <c r="N5080" s="1569"/>
      <c r="O5080" s="2560"/>
      <c r="P5080" s="1817" t="e">
        <f>INDEX(#REF!,MATCH(F5080,#REF!,0),2)</f>
        <v>#REF!</v>
      </c>
      <c r="Q5080" s="2559"/>
      <c r="R5080" s="2559"/>
      <c r="S5080" s="2559"/>
      <c r="T5080" s="2559"/>
      <c r="U5080" s="2559"/>
      <c r="V5080" s="2559"/>
      <c r="W5080" s="2559"/>
      <c r="X5080" s="152"/>
    </row>
    <row r="5081" spans="2:24">
      <c r="B5081" s="4177" t="s">
        <v>1248</v>
      </c>
      <c r="C5081" s="4177"/>
      <c r="D5081" s="4177"/>
      <c r="E5081" s="4177" t="s">
        <v>1133</v>
      </c>
      <c r="F5081" s="4177">
        <v>2241</v>
      </c>
      <c r="G5081" s="4179" t="s">
        <v>2731</v>
      </c>
      <c r="H5081" s="4179"/>
      <c r="I5081" s="4179">
        <v>1300</v>
      </c>
      <c r="J5081" s="4179"/>
      <c r="K5081" s="1950"/>
      <c r="L5081" s="4179"/>
      <c r="M5081" s="4179">
        <v>0</v>
      </c>
      <c r="N5081" s="1569"/>
      <c r="O5081" s="2559"/>
      <c r="P5081" s="1817" t="e">
        <f>INDEX(#REF!,MATCH(F5081,#REF!,0),2)</f>
        <v>#REF!</v>
      </c>
      <c r="Q5081" s="2560"/>
      <c r="R5081" s="2560"/>
      <c r="S5081" s="2560"/>
      <c r="T5081" s="2560"/>
      <c r="U5081" s="2560"/>
      <c r="V5081" s="2560"/>
      <c r="W5081" s="2560"/>
      <c r="X5081" s="1569"/>
    </row>
    <row r="5082" spans="2:24" ht="33.75">
      <c r="B5082" s="4177" t="s">
        <v>1248</v>
      </c>
      <c r="C5082" s="4177"/>
      <c r="D5082" s="4177"/>
      <c r="E5082" s="4177" t="s">
        <v>1133</v>
      </c>
      <c r="F5082" s="4177">
        <v>2241</v>
      </c>
      <c r="G5082" s="4187" t="s">
        <v>2732</v>
      </c>
      <c r="H5082" s="4179"/>
      <c r="I5082" s="4179">
        <v>4900</v>
      </c>
      <c r="J5082" s="4179"/>
      <c r="K5082" s="1950"/>
      <c r="L5082" s="4179"/>
      <c r="M5082" s="4179">
        <v>0</v>
      </c>
      <c r="N5082" s="1569"/>
      <c r="O5082" s="2559"/>
      <c r="P5082" s="1817" t="e">
        <f>INDEX(#REF!,MATCH(F5082,#REF!,0),2)</f>
        <v>#REF!</v>
      </c>
      <c r="Q5082" s="2560"/>
      <c r="R5082" s="2560"/>
      <c r="S5082" s="2560"/>
      <c r="T5082" s="2560"/>
      <c r="U5082" s="2560"/>
      <c r="V5082" s="2560"/>
      <c r="W5082" s="2560"/>
      <c r="X5082" s="1569"/>
    </row>
    <row r="5083" spans="2:24" ht="22.5">
      <c r="B5083" s="4177" t="s">
        <v>1248</v>
      </c>
      <c r="C5083" s="4177"/>
      <c r="D5083" s="4177"/>
      <c r="E5083" s="4177" t="s">
        <v>1133</v>
      </c>
      <c r="F5083" s="4177">
        <v>2241</v>
      </c>
      <c r="G5083" s="4187" t="s">
        <v>2733</v>
      </c>
      <c r="H5083" s="4179"/>
      <c r="I5083" s="4179">
        <v>4400</v>
      </c>
      <c r="J5083" s="4179"/>
      <c r="K5083" s="1950"/>
      <c r="L5083" s="4179"/>
      <c r="M5083" s="4179">
        <v>0</v>
      </c>
      <c r="N5083" s="1569"/>
      <c r="O5083" s="2560"/>
      <c r="P5083" s="1817" t="e">
        <f>INDEX(#REF!,MATCH(F5083,#REF!,0),2)</f>
        <v>#REF!</v>
      </c>
      <c r="Q5083" s="2560"/>
      <c r="R5083" s="2560"/>
      <c r="S5083" s="2560"/>
      <c r="T5083" s="2560"/>
      <c r="U5083" s="2560"/>
      <c r="V5083" s="2560"/>
      <c r="W5083" s="2560"/>
      <c r="X5083" s="1569"/>
    </row>
    <row r="5084" spans="2:24" ht="45">
      <c r="B5084" s="4177" t="s">
        <v>1248</v>
      </c>
      <c r="C5084" s="4177"/>
      <c r="D5084" s="4177"/>
      <c r="E5084" s="4177" t="s">
        <v>1133</v>
      </c>
      <c r="F5084" s="4177">
        <v>2241</v>
      </c>
      <c r="G5084" s="4187" t="s">
        <v>2734</v>
      </c>
      <c r="H5084" s="4179"/>
      <c r="I5084" s="4179">
        <v>1250</v>
      </c>
      <c r="J5084" s="4179"/>
      <c r="K5084" s="1948"/>
      <c r="L5084" s="4179"/>
      <c r="M5084" s="4179">
        <v>0</v>
      </c>
      <c r="N5084" s="1569"/>
      <c r="O5084" s="2560"/>
      <c r="P5084" s="1817" t="e">
        <f>INDEX(#REF!,MATCH(F5084,#REF!,0),2)</f>
        <v>#REF!</v>
      </c>
      <c r="Q5084" s="2560"/>
      <c r="R5084" s="2560"/>
      <c r="S5084" s="2560"/>
      <c r="T5084" s="2560"/>
      <c r="U5084" s="2560"/>
      <c r="V5084" s="2560"/>
      <c r="W5084" s="2560"/>
      <c r="X5084" s="1569"/>
    </row>
    <row r="5085" spans="2:24" ht="33.75">
      <c r="B5085" s="4177" t="s">
        <v>1248</v>
      </c>
      <c r="C5085" s="4177"/>
      <c r="D5085" s="4177"/>
      <c r="E5085" s="4177" t="s">
        <v>1133</v>
      </c>
      <c r="F5085" s="4177">
        <v>2241</v>
      </c>
      <c r="G5085" s="4187" t="s">
        <v>2735</v>
      </c>
      <c r="H5085" s="4179"/>
      <c r="I5085" s="4179">
        <v>2800</v>
      </c>
      <c r="J5085" s="4179"/>
      <c r="K5085" s="1950"/>
      <c r="L5085" s="4179"/>
      <c r="M5085" s="4179">
        <v>0</v>
      </c>
      <c r="N5085" s="1569"/>
      <c r="O5085" s="2560"/>
      <c r="P5085" s="1817" t="e">
        <f>INDEX(#REF!,MATCH(F5085,#REF!,0),2)</f>
        <v>#REF!</v>
      </c>
      <c r="Q5085" s="2560"/>
      <c r="R5085" s="2560"/>
      <c r="S5085" s="2560"/>
      <c r="T5085" s="2560"/>
      <c r="U5085" s="2560"/>
      <c r="V5085" s="2560"/>
      <c r="W5085" s="2560"/>
      <c r="X5085" s="1569"/>
    </row>
    <row r="5086" spans="2:24" ht="22.5">
      <c r="B5086" s="4177" t="s">
        <v>1248</v>
      </c>
      <c r="C5086" s="4177"/>
      <c r="D5086" s="4177"/>
      <c r="E5086" s="4177" t="s">
        <v>1133</v>
      </c>
      <c r="F5086" s="4177">
        <v>2241</v>
      </c>
      <c r="G5086" s="4187" t="s">
        <v>2736</v>
      </c>
      <c r="H5086" s="4179"/>
      <c r="I5086" s="4179">
        <v>400</v>
      </c>
      <c r="J5086" s="4179"/>
      <c r="K5086" s="1950"/>
      <c r="L5086" s="4179"/>
      <c r="M5086" s="4179">
        <v>0</v>
      </c>
      <c r="N5086" s="1569"/>
      <c r="O5086" s="2560"/>
      <c r="P5086" s="1817" t="e">
        <f>INDEX(#REF!,MATCH(F5086,#REF!,0),2)</f>
        <v>#REF!</v>
      </c>
      <c r="Q5086" s="2559"/>
      <c r="R5086" s="2559"/>
      <c r="S5086" s="2559"/>
      <c r="T5086" s="2559"/>
      <c r="U5086" s="2559"/>
      <c r="V5086" s="2559"/>
      <c r="W5086" s="2559"/>
      <c r="X5086" s="152"/>
    </row>
    <row r="5087" spans="2:24" ht="43.9" customHeight="1">
      <c r="B5087" s="4177" t="s">
        <v>1248</v>
      </c>
      <c r="C5087" s="4177"/>
      <c r="D5087" s="4177"/>
      <c r="E5087" s="4177" t="s">
        <v>1133</v>
      </c>
      <c r="F5087" s="4177">
        <v>2241</v>
      </c>
      <c r="G5087" s="4187" t="s">
        <v>5514</v>
      </c>
      <c r="H5087" s="4179"/>
      <c r="I5087" s="4179"/>
      <c r="J5087" s="4179"/>
      <c r="K5087" s="1950"/>
      <c r="L5087" s="4179"/>
      <c r="M5087" s="4179">
        <v>1800</v>
      </c>
      <c r="N5087" s="4190" t="s">
        <v>5822</v>
      </c>
      <c r="O5087" s="2560"/>
      <c r="P5087" s="1817" t="e">
        <f>INDEX(#REF!,MATCH(F5087,#REF!,0),2)</f>
        <v>#REF!</v>
      </c>
      <c r="Q5087" s="2560"/>
      <c r="R5087" s="2560"/>
      <c r="S5087" s="2560"/>
      <c r="T5087" s="2560"/>
      <c r="U5087" s="2560"/>
      <c r="V5087" s="2560"/>
      <c r="W5087" s="2560"/>
      <c r="X5087" s="1569"/>
    </row>
    <row r="5088" spans="2:24" ht="43.9" customHeight="1">
      <c r="B5088" s="4177" t="s">
        <v>1248</v>
      </c>
      <c r="C5088" s="4177"/>
      <c r="D5088" s="4177"/>
      <c r="E5088" s="4177" t="s">
        <v>1133</v>
      </c>
      <c r="F5088" s="4177">
        <v>2241</v>
      </c>
      <c r="G5088" s="4187" t="s">
        <v>5516</v>
      </c>
      <c r="H5088" s="4179"/>
      <c r="I5088" s="4179"/>
      <c r="J5088" s="4179"/>
      <c r="K5088" s="1950"/>
      <c r="L5088" s="4179"/>
      <c r="M5088" s="4179">
        <v>400</v>
      </c>
      <c r="N5088" s="4191" t="s">
        <v>5824</v>
      </c>
      <c r="O5088" s="2559"/>
      <c r="P5088" s="1817" t="e">
        <f>INDEX(#REF!,MATCH(F5088,#REF!,0),2)</f>
        <v>#REF!</v>
      </c>
      <c r="Q5088" s="2560"/>
      <c r="R5088" s="2560"/>
      <c r="S5088" s="2560"/>
      <c r="T5088" s="2560"/>
      <c r="U5088" s="2560"/>
      <c r="V5088" s="2560"/>
      <c r="W5088" s="2560"/>
      <c r="X5088" s="1569"/>
    </row>
    <row r="5089" spans="2:24" ht="22.5">
      <c r="B5089" s="4177" t="s">
        <v>1248</v>
      </c>
      <c r="C5089" s="4177"/>
      <c r="D5089" s="4177"/>
      <c r="E5089" s="4177" t="s">
        <v>1133</v>
      </c>
      <c r="F5089" s="4177">
        <v>2241</v>
      </c>
      <c r="G5089" s="4187" t="s">
        <v>5517</v>
      </c>
      <c r="H5089" s="4179"/>
      <c r="I5089" s="4179"/>
      <c r="J5089" s="4179"/>
      <c r="K5089" s="1950"/>
      <c r="L5089" s="4179"/>
      <c r="M5089" s="4179">
        <v>1500</v>
      </c>
      <c r="N5089" s="4190" t="s">
        <v>5825</v>
      </c>
      <c r="O5089" s="2560"/>
      <c r="P5089" s="1817" t="e">
        <f>INDEX(#REF!,MATCH(F5089,#REF!,0),2)</f>
        <v>#REF!</v>
      </c>
      <c r="Q5089" s="2563"/>
      <c r="R5089" s="2560"/>
      <c r="S5089" s="2560"/>
      <c r="T5089" s="2560"/>
      <c r="U5089" s="2560"/>
      <c r="V5089" s="2560"/>
      <c r="W5089" s="2560"/>
      <c r="X5089" s="1569"/>
    </row>
    <row r="5090" spans="2:24" ht="25.9" customHeight="1">
      <c r="B5090" s="4177" t="s">
        <v>1248</v>
      </c>
      <c r="C5090" s="4177"/>
      <c r="D5090" s="4177"/>
      <c r="E5090" s="4177" t="s">
        <v>1133</v>
      </c>
      <c r="F5090" s="4177">
        <v>2241</v>
      </c>
      <c r="G5090" s="4187" t="s">
        <v>5518</v>
      </c>
      <c r="H5090" s="4179"/>
      <c r="I5090" s="4179"/>
      <c r="J5090" s="4179"/>
      <c r="K5090" s="1950"/>
      <c r="L5090" s="4179"/>
      <c r="M5090" s="4179">
        <v>11500</v>
      </c>
      <c r="N5090" s="4190" t="s">
        <v>5826</v>
      </c>
      <c r="O5090" s="2560"/>
      <c r="P5090" s="1817"/>
      <c r="Q5090" s="2563"/>
      <c r="R5090" s="2560"/>
      <c r="S5090" s="2560"/>
      <c r="T5090" s="2560"/>
      <c r="U5090" s="2560"/>
      <c r="V5090" s="2560"/>
      <c r="W5090" s="2560"/>
      <c r="X5090" s="1569"/>
    </row>
    <row r="5091" spans="2:24" ht="22.5">
      <c r="B5091" s="4177" t="s">
        <v>1248</v>
      </c>
      <c r="C5091" s="4177"/>
      <c r="D5091" s="4177"/>
      <c r="E5091" s="4177" t="s">
        <v>1133</v>
      </c>
      <c r="F5091" s="4177">
        <v>2241</v>
      </c>
      <c r="G5091" s="4178" t="s">
        <v>5521</v>
      </c>
      <c r="H5091" s="4179"/>
      <c r="I5091" s="4179"/>
      <c r="J5091" s="4179"/>
      <c r="K5091" s="1950"/>
      <c r="L5091" s="4179"/>
      <c r="M5091" s="4179">
        <v>6000</v>
      </c>
      <c r="N5091" s="4190" t="s">
        <v>5828</v>
      </c>
      <c r="O5091" s="2560"/>
      <c r="P5091" s="1817" t="e">
        <f>INDEX(#REF!,MATCH(F5091,#REF!,0),2)</f>
        <v>#REF!</v>
      </c>
      <c r="Q5091" s="2563"/>
      <c r="R5091" s="2560"/>
      <c r="S5091" s="2560"/>
      <c r="T5091" s="2560"/>
      <c r="U5091" s="2560"/>
      <c r="V5091" s="2560"/>
      <c r="W5091" s="2560"/>
      <c r="X5091" s="1569"/>
    </row>
    <row r="5092" spans="2:24">
      <c r="B5092" s="4177" t="s">
        <v>1248</v>
      </c>
      <c r="C5092" s="4177"/>
      <c r="D5092" s="4177"/>
      <c r="E5092" s="4177" t="s">
        <v>1133</v>
      </c>
      <c r="F5092" s="4177">
        <v>2241</v>
      </c>
      <c r="G5092" s="4179" t="s">
        <v>2737</v>
      </c>
      <c r="H5092" s="4179"/>
      <c r="I5092" s="4179">
        <v>1500</v>
      </c>
      <c r="J5092" s="4179"/>
      <c r="K5092" s="1950"/>
      <c r="L5092" s="4179"/>
      <c r="M5092" s="4179">
        <v>0</v>
      </c>
      <c r="N5092" s="1569"/>
      <c r="O5092" s="2560"/>
      <c r="P5092" s="1817" t="e">
        <f>INDEX(#REF!,MATCH(F5092,#REF!,0),2)</f>
        <v>#REF!</v>
      </c>
      <c r="Q5092" s="2563"/>
      <c r="R5092" s="2560"/>
      <c r="S5092" s="2560"/>
      <c r="T5092" s="2560"/>
      <c r="U5092" s="2560"/>
      <c r="V5092" s="2560"/>
      <c r="W5092" s="2560"/>
      <c r="X5092" s="1569"/>
    </row>
    <row r="5093" spans="2:24">
      <c r="B5093" s="4177" t="s">
        <v>1248</v>
      </c>
      <c r="C5093" s="4177"/>
      <c r="D5093" s="4177"/>
      <c r="E5093" s="4177" t="s">
        <v>1133</v>
      </c>
      <c r="F5093" s="4177">
        <v>2241</v>
      </c>
      <c r="G5093" s="4179" t="s">
        <v>2738</v>
      </c>
      <c r="H5093" s="4179"/>
      <c r="I5093" s="4179">
        <v>500</v>
      </c>
      <c r="J5093" s="4179"/>
      <c r="K5093" s="1950"/>
      <c r="L5093" s="4179"/>
      <c r="M5093" s="4179">
        <v>0</v>
      </c>
      <c r="N5093" s="1569"/>
      <c r="O5093" s="2566"/>
      <c r="P5093" s="1817" t="e">
        <f>INDEX(#REF!,MATCH(F5093,#REF!,0),2)</f>
        <v>#REF!</v>
      </c>
      <c r="Q5093" s="2563"/>
      <c r="R5093" s="2560"/>
      <c r="S5093" s="2560"/>
      <c r="T5093" s="2560"/>
      <c r="U5093" s="2560"/>
      <c r="V5093" s="2560"/>
      <c r="W5093" s="2560"/>
      <c r="X5093" s="1569"/>
    </row>
    <row r="5094" spans="2:24">
      <c r="B5094" s="4177" t="s">
        <v>1248</v>
      </c>
      <c r="C5094" s="4177"/>
      <c r="D5094" s="4177"/>
      <c r="E5094" s="4177" t="s">
        <v>1133</v>
      </c>
      <c r="F5094" s="4177">
        <v>2241</v>
      </c>
      <c r="G5094" s="4179" t="s">
        <v>2740</v>
      </c>
      <c r="H5094" s="4179"/>
      <c r="I5094" s="4179">
        <v>1500</v>
      </c>
      <c r="J5094" s="4179"/>
      <c r="K5094" s="1950"/>
      <c r="L5094" s="4179"/>
      <c r="M5094" s="4179">
        <v>0</v>
      </c>
      <c r="N5094" s="1569"/>
      <c r="O5094" s="2566"/>
      <c r="P5094" s="1817" t="e">
        <f>INDEX(#REF!,MATCH(F5094,#REF!,0),2)</f>
        <v>#REF!</v>
      </c>
      <c r="Q5094" s="2563"/>
      <c r="R5094" s="2560"/>
      <c r="S5094" s="2560"/>
      <c r="T5094" s="2560"/>
      <c r="U5094" s="2560"/>
      <c r="V5094" s="2560"/>
      <c r="W5094" s="2560"/>
      <c r="X5094" s="1569"/>
    </row>
    <row r="5095" spans="2:24">
      <c r="B5095" s="4177" t="s">
        <v>1248</v>
      </c>
      <c r="C5095" s="4177"/>
      <c r="D5095" s="4177"/>
      <c r="E5095" s="4177" t="s">
        <v>1133</v>
      </c>
      <c r="F5095" s="4177">
        <v>2241</v>
      </c>
      <c r="G5095" s="4178" t="s">
        <v>2743</v>
      </c>
      <c r="H5095" s="4179"/>
      <c r="I5095" s="4179">
        <v>7500</v>
      </c>
      <c r="J5095" s="4179"/>
      <c r="K5095" s="1950"/>
      <c r="L5095" s="4179"/>
      <c r="M5095" s="4179">
        <v>0</v>
      </c>
      <c r="N5095" s="1569"/>
      <c r="O5095" s="2566"/>
      <c r="P5095" s="1817" t="e">
        <f>INDEX(#REF!,MATCH(F5095,#REF!,0),2)</f>
        <v>#REF!</v>
      </c>
      <c r="Q5095" s="2563"/>
      <c r="R5095" s="2560"/>
      <c r="S5095" s="2560"/>
      <c r="T5095" s="2560"/>
      <c r="U5095" s="2560"/>
      <c r="V5095" s="2560"/>
      <c r="W5095" s="2560"/>
      <c r="X5095" s="1569"/>
    </row>
    <row r="5096" spans="2:24">
      <c r="B5096" s="4177" t="s">
        <v>1248</v>
      </c>
      <c r="C5096" s="4177"/>
      <c r="D5096" s="4177"/>
      <c r="E5096" s="4177" t="s">
        <v>1133</v>
      </c>
      <c r="F5096" s="4177">
        <v>2241</v>
      </c>
      <c r="G5096" s="4178" t="s">
        <v>2744</v>
      </c>
      <c r="H5096" s="4179"/>
      <c r="I5096" s="4179">
        <v>1470</v>
      </c>
      <c r="J5096" s="4179"/>
      <c r="K5096" s="1950"/>
      <c r="L5096" s="4179"/>
      <c r="M5096" s="4179">
        <v>0</v>
      </c>
      <c r="N5096" s="1569"/>
      <c r="O5096" s="2566"/>
      <c r="P5096" s="1817" t="e">
        <f>INDEX(#REF!,MATCH(F5096,#REF!,0),2)</f>
        <v>#REF!</v>
      </c>
      <c r="Q5096" s="2563"/>
      <c r="R5096" s="2560"/>
      <c r="S5096" s="2560"/>
      <c r="T5096" s="2560"/>
      <c r="U5096" s="2560"/>
      <c r="V5096" s="2560"/>
      <c r="W5096" s="2560"/>
      <c r="X5096" s="1569"/>
    </row>
    <row r="5097" spans="2:24" ht="22.5">
      <c r="B5097" s="4177" t="s">
        <v>1248</v>
      </c>
      <c r="C5097" s="4177"/>
      <c r="D5097" s="4177"/>
      <c r="E5097" s="4177" t="s">
        <v>1133</v>
      </c>
      <c r="F5097" s="4177">
        <v>2241</v>
      </c>
      <c r="G5097" s="4178" t="s">
        <v>5819</v>
      </c>
      <c r="H5097" s="4179"/>
      <c r="I5097" s="4179"/>
      <c r="J5097" s="4179"/>
      <c r="K5097" s="1950"/>
      <c r="L5097" s="4179"/>
      <c r="M5097" s="4179">
        <v>0</v>
      </c>
      <c r="N5097" s="1569"/>
      <c r="O5097" s="2566"/>
      <c r="P5097" s="1817" t="e">
        <f>INDEX(#REF!,MATCH(F5097,#REF!,0),2)</f>
        <v>#REF!</v>
      </c>
      <c r="Q5097" s="2563"/>
      <c r="R5097" s="2560"/>
      <c r="S5097" s="2560"/>
      <c r="T5097" s="2560"/>
      <c r="U5097" s="2560"/>
      <c r="V5097" s="2560"/>
      <c r="W5097" s="2560"/>
      <c r="X5097" s="1569"/>
    </row>
    <row r="5098" spans="2:24" ht="22.5">
      <c r="B5098" s="4177" t="s">
        <v>1248</v>
      </c>
      <c r="C5098" s="4177"/>
      <c r="D5098" s="4177"/>
      <c r="E5098" s="4177" t="s">
        <v>1133</v>
      </c>
      <c r="F5098" s="4177">
        <v>2241</v>
      </c>
      <c r="G5098" s="4178" t="s">
        <v>5820</v>
      </c>
      <c r="H5098" s="4179"/>
      <c r="I5098" s="4179">
        <v>0</v>
      </c>
      <c r="J5098" s="4179"/>
      <c r="K5098" s="1948"/>
      <c r="L5098" s="4179"/>
      <c r="M5098" s="4179">
        <v>0</v>
      </c>
      <c r="N5098" s="1569"/>
      <c r="O5098" s="2566"/>
      <c r="P5098" s="1817" t="e">
        <f>INDEX(#REF!,MATCH(F5098,#REF!,0),2)</f>
        <v>#REF!</v>
      </c>
      <c r="Q5098" s="2563"/>
      <c r="R5098" s="2560"/>
      <c r="S5098" s="2560"/>
      <c r="T5098" s="2560"/>
      <c r="U5098" s="2560"/>
      <c r="V5098" s="2560"/>
      <c r="W5098" s="2560"/>
      <c r="X5098" s="1569"/>
    </row>
    <row r="5099" spans="2:24">
      <c r="B5099" s="4174" t="s">
        <v>1249</v>
      </c>
      <c r="C5099" s="4174"/>
      <c r="D5099" s="4174"/>
      <c r="E5099" s="4174" t="s">
        <v>1133</v>
      </c>
      <c r="F5099" s="4174">
        <v>2241</v>
      </c>
      <c r="G5099" s="4175" t="s">
        <v>276</v>
      </c>
      <c r="H5099" s="4176"/>
      <c r="I5099" s="4176"/>
      <c r="J5099" s="4176"/>
      <c r="K5099" s="1948"/>
      <c r="L5099" s="4176">
        <v>76611</v>
      </c>
      <c r="M5099" s="4176"/>
      <c r="N5099" s="152"/>
      <c r="O5099" s="2566"/>
      <c r="P5099" s="1817" t="e">
        <f>INDEX(#REF!,MATCH(F5099,#REF!,0),2)</f>
        <v>#REF!</v>
      </c>
      <c r="Q5099" s="2559"/>
      <c r="R5099" s="2559"/>
      <c r="S5099" s="2559"/>
      <c r="T5099" s="2559"/>
      <c r="U5099" s="2559"/>
      <c r="V5099" s="2559"/>
      <c r="W5099" s="2559"/>
      <c r="X5099" s="152"/>
    </row>
    <row r="5100" spans="2:24" ht="22.5">
      <c r="B5100" s="4177" t="s">
        <v>1249</v>
      </c>
      <c r="C5100" s="4177"/>
      <c r="D5100" s="4177"/>
      <c r="E5100" s="4177" t="s">
        <v>1133</v>
      </c>
      <c r="F5100" s="4177">
        <v>2241</v>
      </c>
      <c r="G5100" s="4187" t="s">
        <v>5817</v>
      </c>
      <c r="H5100" s="4179"/>
      <c r="I5100" s="4179"/>
      <c r="J5100" s="4179"/>
      <c r="K5100" s="1950"/>
      <c r="L5100" s="4179"/>
      <c r="M5100" s="4179">
        <v>12000</v>
      </c>
      <c r="N5100" s="1569" t="s">
        <v>5821</v>
      </c>
      <c r="O5100" s="2566"/>
      <c r="P5100" s="1817"/>
      <c r="Q5100" s="2560"/>
      <c r="R5100" s="2560"/>
      <c r="S5100" s="2560"/>
      <c r="T5100" s="2560"/>
      <c r="U5100" s="2560"/>
      <c r="V5100" s="2560"/>
      <c r="W5100" s="2560"/>
      <c r="X5100" s="43"/>
    </row>
    <row r="5101" spans="2:24" ht="22.5">
      <c r="B5101" s="4177" t="s">
        <v>1249</v>
      </c>
      <c r="C5101" s="4177"/>
      <c r="D5101" s="4177"/>
      <c r="E5101" s="4177" t="s">
        <v>1133</v>
      </c>
      <c r="F5101" s="4177">
        <v>2241</v>
      </c>
      <c r="G5101" s="4187" t="s">
        <v>5515</v>
      </c>
      <c r="H5101" s="4179"/>
      <c r="I5101" s="4179"/>
      <c r="J5101" s="4179"/>
      <c r="K5101" s="1950"/>
      <c r="L5101" s="4179"/>
      <c r="M5101" s="4179">
        <v>5500</v>
      </c>
      <c r="N5101" s="1569" t="s">
        <v>5823</v>
      </c>
      <c r="O5101" s="2559"/>
      <c r="P5101" s="1817" t="e">
        <f>INDEX(#REF!,MATCH(F5101,#REF!,0),2)</f>
        <v>#REF!</v>
      </c>
      <c r="Q5101" s="2560"/>
      <c r="R5101" s="2560"/>
      <c r="S5101" s="2560"/>
      <c r="T5101" s="2560"/>
      <c r="U5101" s="2560"/>
      <c r="V5101" s="2560"/>
      <c r="W5101" s="2560"/>
      <c r="X5101" s="43"/>
    </row>
    <row r="5102" spans="2:24">
      <c r="B5102" s="4177" t="s">
        <v>1249</v>
      </c>
      <c r="C5102" s="4177"/>
      <c r="D5102" s="4177"/>
      <c r="E5102" s="4177" t="s">
        <v>1133</v>
      </c>
      <c r="F5102" s="4177">
        <v>2241</v>
      </c>
      <c r="G5102" s="4187" t="s">
        <v>5519</v>
      </c>
      <c r="H5102" s="4179"/>
      <c r="I5102" s="4179"/>
      <c r="J5102" s="4179"/>
      <c r="K5102" s="1950"/>
      <c r="L5102" s="4179"/>
      <c r="M5102" s="4179">
        <v>44111</v>
      </c>
      <c r="N5102" s="1569" t="s">
        <v>5827</v>
      </c>
      <c r="O5102" s="2560"/>
      <c r="P5102" s="1817" t="e">
        <f>INDEX(#REF!,MATCH(F5102,#REF!,0),2)</f>
        <v>#REF!</v>
      </c>
      <c r="Q5102" s="2560"/>
      <c r="R5102" s="2560"/>
      <c r="S5102" s="2560"/>
      <c r="T5102" s="2560"/>
      <c r="U5102" s="2560"/>
      <c r="V5102" s="2560"/>
      <c r="W5102" s="2560"/>
      <c r="X5102" s="43"/>
    </row>
    <row r="5103" spans="2:24" ht="22.5">
      <c r="B5103" s="4177" t="s">
        <v>1249</v>
      </c>
      <c r="C5103" s="4177"/>
      <c r="D5103" s="4177"/>
      <c r="E5103" s="4177" t="s">
        <v>1133</v>
      </c>
      <c r="F5103" s="4177">
        <v>2241</v>
      </c>
      <c r="G5103" s="4178" t="s">
        <v>5520</v>
      </c>
      <c r="H5103" s="4179"/>
      <c r="I5103" s="4179"/>
      <c r="J5103" s="4179"/>
      <c r="K5103" s="1950"/>
      <c r="L5103" s="4179"/>
      <c r="M5103" s="4216">
        <v>0</v>
      </c>
      <c r="N5103" s="1569" t="s">
        <v>5911</v>
      </c>
      <c r="O5103" s="2560"/>
      <c r="P5103" s="1817" t="e">
        <f>INDEX(#REF!,MATCH(F5103,#REF!,0),2)</f>
        <v>#REF!</v>
      </c>
      <c r="Q5103" s="2560"/>
      <c r="R5103" s="2560"/>
      <c r="S5103" s="2560"/>
      <c r="T5103" s="2560"/>
      <c r="U5103" s="2560"/>
      <c r="V5103" s="2560"/>
      <c r="W5103" s="2560"/>
      <c r="X5103" s="43"/>
    </row>
    <row r="5104" spans="2:24" ht="22.5">
      <c r="B5104" s="4177" t="s">
        <v>1249</v>
      </c>
      <c r="C5104" s="4177"/>
      <c r="D5104" s="4177"/>
      <c r="E5104" s="4177" t="s">
        <v>1133</v>
      </c>
      <c r="F5104" s="4177">
        <v>2241</v>
      </c>
      <c r="G5104" s="4178" t="s">
        <v>5818</v>
      </c>
      <c r="H5104" s="4179"/>
      <c r="I5104" s="4179"/>
      <c r="J5104" s="4179"/>
      <c r="K5104" s="1950"/>
      <c r="L5104" s="4179"/>
      <c r="M5104" s="4179">
        <v>15000</v>
      </c>
      <c r="N5104" s="1569" t="s">
        <v>5821</v>
      </c>
      <c r="O5104" s="2560"/>
      <c r="P5104" s="1817" t="e">
        <f>INDEX(#REF!,MATCH(F5104,#REF!,0),2)</f>
        <v>#REF!</v>
      </c>
      <c r="Q5104" s="2560"/>
      <c r="R5104" s="2560"/>
      <c r="S5104" s="2560"/>
      <c r="T5104" s="2560"/>
      <c r="U5104" s="2560"/>
      <c r="V5104" s="2560"/>
      <c r="W5104" s="2560"/>
      <c r="X5104" s="43"/>
    </row>
    <row r="5105" spans="2:24" ht="45">
      <c r="B5105" s="4174" t="s">
        <v>1248</v>
      </c>
      <c r="C5105" s="4174"/>
      <c r="D5105" s="4174"/>
      <c r="E5105" s="4174" t="s">
        <v>1133</v>
      </c>
      <c r="F5105" s="4174">
        <v>2242</v>
      </c>
      <c r="G5105" s="4175" t="s">
        <v>1194</v>
      </c>
      <c r="H5105" s="4176">
        <v>55768</v>
      </c>
      <c r="I5105" s="4176"/>
      <c r="J5105" s="4176">
        <v>37000</v>
      </c>
      <c r="K5105" s="1948"/>
      <c r="L5105" s="1947">
        <v>81620.5</v>
      </c>
      <c r="M5105" s="1762"/>
      <c r="N5105" s="2396" t="s">
        <v>5692</v>
      </c>
      <c r="O5105" s="2560"/>
      <c r="P5105" s="1817" t="e">
        <f>INDEX(#REF!,MATCH(F5105,#REF!,0),2)</f>
        <v>#REF!</v>
      </c>
      <c r="Q5105" s="2560"/>
      <c r="R5105" s="2560"/>
      <c r="S5105" s="2560"/>
      <c r="T5105" s="2560"/>
      <c r="U5105" s="2560"/>
      <c r="V5105" s="2560"/>
      <c r="W5105" s="2560"/>
      <c r="X5105" s="43"/>
    </row>
    <row r="5106" spans="2:24" ht="56.25">
      <c r="B5106" s="4177" t="s">
        <v>1248</v>
      </c>
      <c r="C5106" s="4177"/>
      <c r="D5106" s="4177"/>
      <c r="E5106" s="4177" t="s">
        <v>1133</v>
      </c>
      <c r="F5106" s="4177">
        <v>2242</v>
      </c>
      <c r="G5106" s="4178" t="s">
        <v>6043</v>
      </c>
      <c r="H5106" s="4179"/>
      <c r="I5106" s="4179">
        <v>57020</v>
      </c>
      <c r="J5106" s="4179"/>
      <c r="K5106" s="1950"/>
      <c r="L5106" s="1954"/>
      <c r="M5106" s="3649">
        <v>47020</v>
      </c>
      <c r="N5106" s="3506"/>
      <c r="O5106" s="2560"/>
      <c r="P5106" s="1817" t="e">
        <f>INDEX(#REF!,MATCH(F5106,#REF!,0),2)</f>
        <v>#REF!</v>
      </c>
      <c r="Q5106" s="2560"/>
      <c r="R5106" s="2560"/>
      <c r="S5106" s="2560"/>
      <c r="T5106" s="2560"/>
      <c r="U5106" s="2560"/>
      <c r="V5106" s="2560"/>
      <c r="W5106" s="2560"/>
      <c r="X5106" s="43"/>
    </row>
    <row r="5107" spans="2:24" ht="33.75">
      <c r="B5107" s="4177" t="s">
        <v>1248</v>
      </c>
      <c r="C5107" s="4177"/>
      <c r="D5107" s="4177"/>
      <c r="E5107" s="4177" t="s">
        <v>1133</v>
      </c>
      <c r="F5107" s="4177">
        <v>2242</v>
      </c>
      <c r="G5107" s="4178" t="s">
        <v>6083</v>
      </c>
      <c r="H5107" s="4179"/>
      <c r="I5107" s="4179">
        <v>-5826</v>
      </c>
      <c r="J5107" s="4179"/>
      <c r="K5107" s="4203"/>
      <c r="L5107" s="4182"/>
      <c r="M5107" s="3649"/>
      <c r="N5107" s="3506"/>
      <c r="O5107" s="2560"/>
      <c r="P5107" s="1817" t="e">
        <f>INDEX(#REF!,MATCH(F5107,#REF!,0),2)</f>
        <v>#REF!</v>
      </c>
      <c r="Q5107" s="2564"/>
      <c r="R5107" s="2564"/>
      <c r="S5107" s="2564"/>
      <c r="T5107" s="1783"/>
      <c r="U5107" s="1783"/>
      <c r="V5107" s="1783"/>
      <c r="W5107" s="1783"/>
      <c r="X5107" s="1783"/>
    </row>
    <row r="5108" spans="2:24" ht="22.5">
      <c r="B5108" s="4177" t="s">
        <v>1248</v>
      </c>
      <c r="C5108" s="4177"/>
      <c r="D5108" s="4177"/>
      <c r="E5108" s="4177" t="s">
        <v>1133</v>
      </c>
      <c r="F5108" s="4177">
        <v>2242</v>
      </c>
      <c r="G5108" s="4178" t="s">
        <v>2776</v>
      </c>
      <c r="H5108" s="4179"/>
      <c r="I5108" s="4179">
        <v>2550</v>
      </c>
      <c r="J5108" s="4179"/>
      <c r="K5108" s="1950"/>
      <c r="L5108" s="1954"/>
      <c r="M5108" s="3649">
        <v>3000</v>
      </c>
      <c r="N5108" s="2847"/>
      <c r="O5108" s="2560"/>
      <c r="P5108" s="1817" t="e">
        <f>INDEX(#REF!,MATCH(F5108,#REF!,0),2)</f>
        <v>#REF!</v>
      </c>
      <c r="Q5108" s="2564"/>
      <c r="R5108" s="2564"/>
      <c r="S5108" s="2564"/>
      <c r="T5108" s="1783"/>
      <c r="U5108" s="1783"/>
      <c r="V5108" s="1783"/>
      <c r="W5108" s="1783"/>
      <c r="X5108" s="1783"/>
    </row>
    <row r="5109" spans="2:24" ht="22.5">
      <c r="B5109" s="4177" t="s">
        <v>1248</v>
      </c>
      <c r="C5109" s="4177"/>
      <c r="D5109" s="4177"/>
      <c r="E5109" s="4177" t="s">
        <v>1133</v>
      </c>
      <c r="F5109" s="4177">
        <v>2242</v>
      </c>
      <c r="G5109" s="4192" t="s">
        <v>2777</v>
      </c>
      <c r="H5109" s="4179"/>
      <c r="I5109" s="4179">
        <v>1325</v>
      </c>
      <c r="J5109" s="4179"/>
      <c r="K5109" s="1950"/>
      <c r="L5109" s="1954"/>
      <c r="M5109" s="3649">
        <v>2640</v>
      </c>
      <c r="N5109" s="2847"/>
      <c r="O5109" s="2564"/>
      <c r="P5109" s="1817" t="e">
        <f>INDEX(#REF!,MATCH(F5109,#REF!,0),2)</f>
        <v>#REF!</v>
      </c>
      <c r="Q5109" s="2560"/>
      <c r="R5109" s="2560"/>
      <c r="S5109" s="2560"/>
      <c r="T5109" s="2560"/>
      <c r="U5109" s="2560"/>
      <c r="V5109" s="2560"/>
      <c r="W5109" s="2560"/>
      <c r="X5109" s="43"/>
    </row>
    <row r="5110" spans="2:24" ht="22.5">
      <c r="B5110" s="4177" t="s">
        <v>1248</v>
      </c>
      <c r="C5110" s="4177"/>
      <c r="D5110" s="4177"/>
      <c r="E5110" s="4177" t="s">
        <v>1133</v>
      </c>
      <c r="F5110" s="4177">
        <v>2242</v>
      </c>
      <c r="G5110" s="4192" t="s">
        <v>2778</v>
      </c>
      <c r="H5110" s="4179"/>
      <c r="I5110" s="4179">
        <v>2707</v>
      </c>
      <c r="J5110" s="4179"/>
      <c r="K5110" s="1950"/>
      <c r="L5110" s="2478"/>
      <c r="M5110" s="3649">
        <v>2300</v>
      </c>
      <c r="N5110" s="2847"/>
      <c r="O5110" s="2564"/>
      <c r="P5110" s="1817" t="e">
        <f>INDEX(#REF!,MATCH(F5110,#REF!,0),2)</f>
        <v>#REF!</v>
      </c>
      <c r="Q5110" s="2560"/>
      <c r="R5110" s="2560"/>
      <c r="S5110" s="2560"/>
      <c r="T5110" s="2560"/>
      <c r="U5110" s="2560"/>
      <c r="V5110" s="2560"/>
      <c r="W5110" s="2560"/>
      <c r="X5110" s="43"/>
    </row>
    <row r="5111" spans="2:24">
      <c r="B5111" s="4177" t="s">
        <v>1248</v>
      </c>
      <c r="C5111" s="4177"/>
      <c r="D5111" s="4177"/>
      <c r="E5111" s="4177" t="s">
        <v>1133</v>
      </c>
      <c r="F5111" s="4177">
        <v>2242</v>
      </c>
      <c r="G5111" s="4192" t="s">
        <v>2779</v>
      </c>
      <c r="H5111" s="4179"/>
      <c r="I5111" s="4179"/>
      <c r="J5111" s="4179"/>
      <c r="K5111" s="1950"/>
      <c r="L5111" s="2478"/>
      <c r="M5111" s="3649">
        <v>0</v>
      </c>
      <c r="N5111" s="2847"/>
      <c r="O5111" s="2560"/>
      <c r="P5111" s="1817" t="e">
        <f>INDEX(#REF!,MATCH(F5111,#REF!,0),2)</f>
        <v>#REF!</v>
      </c>
      <c r="Q5111" s="2560"/>
      <c r="R5111" s="2560"/>
      <c r="S5111" s="2560"/>
      <c r="T5111" s="2560"/>
      <c r="U5111" s="2560"/>
      <c r="V5111" s="2560"/>
      <c r="W5111" s="2560"/>
      <c r="X5111" s="43"/>
    </row>
    <row r="5112" spans="2:24">
      <c r="B5112" s="4177" t="s">
        <v>1248</v>
      </c>
      <c r="C5112" s="4177"/>
      <c r="D5112" s="4177"/>
      <c r="E5112" s="4177" t="s">
        <v>1133</v>
      </c>
      <c r="F5112" s="4177">
        <v>2242</v>
      </c>
      <c r="G5112" s="4192" t="s">
        <v>5829</v>
      </c>
      <c r="H5112" s="4179"/>
      <c r="I5112" s="4179">
        <v>0</v>
      </c>
      <c r="J5112" s="4179"/>
      <c r="K5112" s="1950"/>
      <c r="L5112" s="2478"/>
      <c r="M5112" s="3649">
        <v>0</v>
      </c>
      <c r="N5112" s="2847"/>
      <c r="O5112" s="2560"/>
      <c r="P5112" s="1817" t="e">
        <f>INDEX(#REF!,MATCH(F5112,#REF!,0),2)</f>
        <v>#REF!</v>
      </c>
      <c r="Q5112" s="2560"/>
      <c r="R5112" s="2560"/>
      <c r="S5112" s="2560"/>
      <c r="T5112" s="2560"/>
      <c r="U5112" s="2560"/>
      <c r="V5112" s="2560"/>
      <c r="W5112" s="2560"/>
      <c r="X5112" s="43"/>
    </row>
    <row r="5113" spans="2:24">
      <c r="B5113" s="4177" t="s">
        <v>1248</v>
      </c>
      <c r="C5113" s="4177"/>
      <c r="D5113" s="4177"/>
      <c r="E5113" s="4177" t="s">
        <v>1133</v>
      </c>
      <c r="F5113" s="4177">
        <v>2242</v>
      </c>
      <c r="G5113" s="4193" t="s">
        <v>2746</v>
      </c>
      <c r="H5113" s="4179"/>
      <c r="I5113" s="4179">
        <v>19706.25</v>
      </c>
      <c r="J5113" s="4179"/>
      <c r="K5113" s="1950"/>
      <c r="L5113" s="2478"/>
      <c r="M5113" s="3649">
        <v>15622</v>
      </c>
      <c r="N5113" s="2847"/>
      <c r="O5113" s="2560"/>
      <c r="P5113" s="1817" t="e">
        <f>INDEX(#REF!,MATCH(F5113,#REF!,0),2)</f>
        <v>#REF!</v>
      </c>
      <c r="Q5113" s="2560"/>
      <c r="R5113" s="2560"/>
      <c r="S5113" s="2560"/>
      <c r="T5113" s="2560"/>
      <c r="U5113" s="2560"/>
      <c r="V5113" s="2560"/>
      <c r="W5113" s="2560"/>
      <c r="X5113" s="43"/>
    </row>
    <row r="5114" spans="2:24" ht="22.5">
      <c r="B5114" s="4177" t="s">
        <v>1248</v>
      </c>
      <c r="C5114" s="4177"/>
      <c r="D5114" s="4177"/>
      <c r="E5114" s="4177" t="s">
        <v>1133</v>
      </c>
      <c r="F5114" s="4177">
        <v>2242</v>
      </c>
      <c r="G5114" s="4178" t="s">
        <v>2747</v>
      </c>
      <c r="H5114" s="4179"/>
      <c r="I5114" s="4179">
        <v>3562.5</v>
      </c>
      <c r="J5114" s="4179"/>
      <c r="K5114" s="1950"/>
      <c r="L5114" s="2478"/>
      <c r="M5114" s="3649">
        <v>3562.5</v>
      </c>
      <c r="N5114" s="2847"/>
      <c r="O5114" s="2560"/>
      <c r="P5114" s="1817" t="e">
        <f>INDEX(#REF!,MATCH(F5114,#REF!,0),2)</f>
        <v>#REF!</v>
      </c>
      <c r="Q5114" s="2560"/>
      <c r="R5114" s="2560"/>
      <c r="S5114" s="2560"/>
      <c r="T5114" s="2560"/>
      <c r="U5114" s="2560"/>
      <c r="V5114" s="2560"/>
      <c r="W5114" s="2560"/>
      <c r="X5114" s="43"/>
    </row>
    <row r="5115" spans="2:24" ht="33.75">
      <c r="B5115" s="4177" t="s">
        <v>1248</v>
      </c>
      <c r="C5115" s="4177"/>
      <c r="D5115" s="4177"/>
      <c r="E5115" s="4177" t="s">
        <v>1133</v>
      </c>
      <c r="F5115" s="4177">
        <v>2242</v>
      </c>
      <c r="G5115" s="4178" t="s">
        <v>5830</v>
      </c>
      <c r="H5115" s="4177"/>
      <c r="I5115" s="4177">
        <v>1521</v>
      </c>
      <c r="J5115" s="4177"/>
      <c r="K5115" s="1950"/>
      <c r="L5115" s="2478"/>
      <c r="M5115" s="3649">
        <v>2021</v>
      </c>
      <c r="N5115" s="2847"/>
      <c r="O5115" s="2560"/>
      <c r="P5115" s="1817" t="e">
        <f>INDEX(#REF!,MATCH(F5115,#REF!,0),2)</f>
        <v>#REF!</v>
      </c>
      <c r="Q5115" s="2560"/>
      <c r="R5115" s="2560"/>
      <c r="S5115" s="2560"/>
      <c r="T5115" s="2560"/>
      <c r="U5115" s="2560"/>
      <c r="V5115" s="2560"/>
      <c r="W5115" s="2560"/>
      <c r="X5115" s="43"/>
    </row>
    <row r="5116" spans="2:24">
      <c r="B5116" s="4177" t="s">
        <v>1248</v>
      </c>
      <c r="C5116" s="4177"/>
      <c r="D5116" s="4177"/>
      <c r="E5116" s="4177" t="s">
        <v>1133</v>
      </c>
      <c r="F5116" s="4177">
        <v>2242</v>
      </c>
      <c r="G5116" s="4186" t="s">
        <v>2748</v>
      </c>
      <c r="H5116" s="4177"/>
      <c r="I5116" s="4177">
        <v>1875</v>
      </c>
      <c r="J5116" s="4177"/>
      <c r="K5116" s="1950"/>
      <c r="L5116" s="2478"/>
      <c r="M5116" s="3649">
        <v>3555</v>
      </c>
      <c r="N5116" s="2847"/>
      <c r="O5116" s="2560"/>
      <c r="P5116" s="1817" t="e">
        <f>INDEX(#REF!,MATCH(F5116,#REF!,0),2)</f>
        <v>#REF!</v>
      </c>
      <c r="Q5116" s="2560"/>
      <c r="R5116" s="2560"/>
      <c r="S5116" s="2560"/>
      <c r="T5116" s="2560"/>
      <c r="U5116" s="2560"/>
      <c r="V5116" s="2560"/>
      <c r="W5116" s="2560"/>
      <c r="X5116" s="43"/>
    </row>
    <row r="5117" spans="2:24" ht="33.75">
      <c r="B5117" s="4177" t="s">
        <v>1248</v>
      </c>
      <c r="C5117" s="4177"/>
      <c r="D5117" s="4177"/>
      <c r="E5117" s="4177" t="s">
        <v>1133</v>
      </c>
      <c r="F5117" s="4177">
        <v>2242</v>
      </c>
      <c r="G5117" s="4178" t="s">
        <v>5831</v>
      </c>
      <c r="H5117" s="4179"/>
      <c r="I5117" s="4179">
        <v>1900</v>
      </c>
      <c r="J5117" s="4179"/>
      <c r="K5117" s="4042"/>
      <c r="L5117" s="4045"/>
      <c r="M5117" s="2565">
        <v>1900</v>
      </c>
      <c r="N5117" s="2847"/>
      <c r="O5117" s="2560"/>
      <c r="P5117" s="1817" t="e">
        <f>INDEX(#REF!,MATCH(F5117,#REF!,0),2)</f>
        <v>#REF!</v>
      </c>
      <c r="Q5117" s="2560"/>
      <c r="R5117" s="2560"/>
      <c r="S5117" s="2560"/>
      <c r="T5117" s="2560"/>
      <c r="U5117" s="2560"/>
      <c r="V5117" s="2560"/>
      <c r="W5117" s="2560"/>
      <c r="X5117" s="43"/>
    </row>
    <row r="5118" spans="2:24" ht="56.25">
      <c r="B5118" s="4174" t="s">
        <v>1248</v>
      </c>
      <c r="C5118" s="4174"/>
      <c r="D5118" s="4174"/>
      <c r="E5118" s="4174" t="s">
        <v>1133</v>
      </c>
      <c r="F5118" s="4174">
        <v>2243</v>
      </c>
      <c r="G5118" s="4175" t="s">
        <v>2749</v>
      </c>
      <c r="H5118" s="4176">
        <v>44255</v>
      </c>
      <c r="I5118" s="4176"/>
      <c r="J5118" s="4176">
        <v>27572</v>
      </c>
      <c r="K5118" s="1948"/>
      <c r="L5118" s="4176">
        <v>47336</v>
      </c>
      <c r="M5118" s="4176"/>
      <c r="N5118" s="2396" t="s">
        <v>5693</v>
      </c>
      <c r="O5118" s="2560"/>
      <c r="P5118" s="1817" t="e">
        <f>INDEX(#REF!,MATCH(F5118,#REF!,0),2)</f>
        <v>#REF!</v>
      </c>
      <c r="Q5118" s="2560"/>
      <c r="R5118" s="2560"/>
      <c r="S5118" s="2560"/>
      <c r="T5118" s="2560"/>
      <c r="U5118" s="2560"/>
      <c r="V5118" s="2560"/>
      <c r="W5118" s="2560"/>
      <c r="X5118" s="43"/>
    </row>
    <row r="5119" spans="2:24" ht="22.5">
      <c r="B5119" s="4177" t="s">
        <v>1248</v>
      </c>
      <c r="C5119" s="4177"/>
      <c r="D5119" s="4177"/>
      <c r="E5119" s="4177" t="s">
        <v>1133</v>
      </c>
      <c r="F5119" s="4177">
        <v>2243</v>
      </c>
      <c r="G5119" s="4178" t="s">
        <v>2750</v>
      </c>
      <c r="H5119" s="4179"/>
      <c r="I5119" s="4179">
        <v>10000</v>
      </c>
      <c r="J5119" s="4179"/>
      <c r="K5119" s="1950"/>
      <c r="L5119" s="4179"/>
      <c r="M5119" s="4179">
        <v>10000</v>
      </c>
      <c r="N5119" s="43"/>
      <c r="O5119" s="2560"/>
      <c r="P5119" s="1817" t="e">
        <f>INDEX(#REF!,MATCH(F5119,#REF!,0),2)</f>
        <v>#REF!</v>
      </c>
      <c r="Q5119" s="2560"/>
      <c r="R5119" s="2560"/>
      <c r="S5119" s="2560"/>
      <c r="T5119" s="2560"/>
      <c r="U5119" s="2560"/>
      <c r="V5119" s="2560"/>
      <c r="W5119" s="2560"/>
      <c r="X5119" s="43"/>
    </row>
    <row r="5120" spans="2:24" ht="33.75">
      <c r="B5120" s="4177" t="s">
        <v>1248</v>
      </c>
      <c r="C5120" s="4177"/>
      <c r="D5120" s="4177"/>
      <c r="E5120" s="4177" t="s">
        <v>1133</v>
      </c>
      <c r="F5120" s="4177">
        <v>2243</v>
      </c>
      <c r="G5120" s="4185" t="s">
        <v>2751</v>
      </c>
      <c r="H5120" s="4179"/>
      <c r="I5120" s="4179">
        <v>190</v>
      </c>
      <c r="J5120" s="4179"/>
      <c r="K5120" s="1950"/>
      <c r="L5120" s="4179"/>
      <c r="M5120" s="4179">
        <v>200</v>
      </c>
      <c r="N5120" s="43"/>
      <c r="O5120" s="2560"/>
      <c r="P5120" s="1817" t="e">
        <f>INDEX(#REF!,MATCH(F5120,#REF!,0),2)</f>
        <v>#REF!</v>
      </c>
      <c r="Q5120" s="2560"/>
      <c r="R5120" s="2560"/>
      <c r="S5120" s="2560"/>
      <c r="T5120" s="2560"/>
      <c r="U5120" s="2560"/>
      <c r="V5120" s="2560"/>
      <c r="W5120" s="2560"/>
      <c r="X5120" s="43"/>
    </row>
    <row r="5121" spans="2:24" ht="45">
      <c r="B5121" s="4177" t="s">
        <v>1248</v>
      </c>
      <c r="C5121" s="4177"/>
      <c r="D5121" s="4177"/>
      <c r="E5121" s="4177" t="s">
        <v>1133</v>
      </c>
      <c r="F5121" s="4177">
        <v>2243</v>
      </c>
      <c r="G5121" s="4185" t="s">
        <v>2752</v>
      </c>
      <c r="H5121" s="4179"/>
      <c r="I5121" s="4179">
        <v>722</v>
      </c>
      <c r="J5121" s="4179"/>
      <c r="K5121" s="1950"/>
      <c r="L5121" s="4179"/>
      <c r="M5121" s="4179">
        <v>722</v>
      </c>
      <c r="N5121" s="43"/>
      <c r="O5121" s="2560"/>
      <c r="P5121" s="1817" t="e">
        <f>INDEX(#REF!,MATCH(F5121,#REF!,0),2)</f>
        <v>#REF!</v>
      </c>
      <c r="Q5121" s="2560"/>
      <c r="R5121" s="2560"/>
      <c r="S5121" s="2560"/>
      <c r="T5121" s="2560"/>
      <c r="U5121" s="2560"/>
      <c r="V5121" s="2560"/>
      <c r="W5121" s="2560"/>
      <c r="X5121" s="43"/>
    </row>
    <row r="5122" spans="2:24" ht="33.75">
      <c r="B5122" s="4177" t="s">
        <v>1248</v>
      </c>
      <c r="C5122" s="4177"/>
      <c r="D5122" s="4177"/>
      <c r="E5122" s="4177" t="s">
        <v>1133</v>
      </c>
      <c r="F5122" s="4177">
        <v>2243</v>
      </c>
      <c r="G5122" s="4185" t="s">
        <v>5832</v>
      </c>
      <c r="H5122" s="4179"/>
      <c r="I5122" s="4179">
        <v>9917</v>
      </c>
      <c r="J5122" s="4179"/>
      <c r="K5122" s="1950"/>
      <c r="L5122" s="4179"/>
      <c r="M5122" s="4179">
        <v>9920</v>
      </c>
      <c r="N5122" s="43"/>
      <c r="O5122" s="2560"/>
      <c r="P5122" s="1817" t="e">
        <f>INDEX(#REF!,MATCH(F5122,#REF!,0),2)</f>
        <v>#REF!</v>
      </c>
      <c r="Q5122" s="2560"/>
      <c r="R5122" s="2560"/>
      <c r="S5122" s="2560"/>
      <c r="T5122" s="2560"/>
      <c r="U5122" s="2560"/>
      <c r="V5122" s="2560"/>
      <c r="W5122" s="2560"/>
      <c r="X5122" s="1569"/>
    </row>
    <row r="5123" spans="2:24" ht="45">
      <c r="B5123" s="4177" t="s">
        <v>1248</v>
      </c>
      <c r="C5123" s="4177"/>
      <c r="D5123" s="4177"/>
      <c r="E5123" s="4177" t="s">
        <v>1133</v>
      </c>
      <c r="F5123" s="4177">
        <v>2243</v>
      </c>
      <c r="G5123" s="4185" t="s">
        <v>5522</v>
      </c>
      <c r="H5123" s="4179"/>
      <c r="I5123" s="4179">
        <v>1380</v>
      </c>
      <c r="J5123" s="4179"/>
      <c r="K5123" s="1950"/>
      <c r="L5123" s="4179"/>
      <c r="M5123" s="4179">
        <v>1019</v>
      </c>
      <c r="N5123" s="43"/>
      <c r="O5123" s="2560"/>
      <c r="P5123" s="1817" t="e">
        <f>INDEX(#REF!,MATCH(F5123,#REF!,0),2)</f>
        <v>#REF!</v>
      </c>
      <c r="Q5123" s="2560"/>
      <c r="R5123" s="2560"/>
      <c r="S5123" s="2560"/>
      <c r="T5123" s="2560"/>
      <c r="U5123" s="2560"/>
      <c r="V5123" s="2560"/>
      <c r="W5123" s="2560"/>
      <c r="X5123" s="1569"/>
    </row>
    <row r="5124" spans="2:24">
      <c r="B5124" s="4177" t="s">
        <v>1248</v>
      </c>
      <c r="C5124" s="4177"/>
      <c r="D5124" s="4177"/>
      <c r="E5124" s="4177" t="s">
        <v>1133</v>
      </c>
      <c r="F5124" s="4177">
        <v>2243</v>
      </c>
      <c r="G5124" s="4178" t="s">
        <v>2754</v>
      </c>
      <c r="H5124" s="4179"/>
      <c r="I5124" s="4179">
        <v>1500</v>
      </c>
      <c r="J5124" s="4179"/>
      <c r="K5124" s="1950"/>
      <c r="L5124" s="4179"/>
      <c r="M5124" s="4179">
        <v>0</v>
      </c>
      <c r="N5124" s="43"/>
      <c r="O5124" s="2560"/>
      <c r="P5124" s="1817" t="e">
        <f>INDEX(#REF!,MATCH(F5124,#REF!,0),2)</f>
        <v>#REF!</v>
      </c>
      <c r="Q5124" s="2560"/>
      <c r="R5124" s="2560"/>
      <c r="S5124" s="2560"/>
      <c r="T5124" s="2560"/>
      <c r="U5124" s="2560"/>
      <c r="V5124" s="2560"/>
      <c r="W5124" s="2560"/>
      <c r="X5124" s="1569"/>
    </row>
    <row r="5125" spans="2:24">
      <c r="B5125" s="4177" t="s">
        <v>1248</v>
      </c>
      <c r="C5125" s="4177"/>
      <c r="D5125" s="4177"/>
      <c r="E5125" s="4177" t="s">
        <v>1133</v>
      </c>
      <c r="F5125" s="4177">
        <v>2243</v>
      </c>
      <c r="G5125" s="4178" t="s">
        <v>2755</v>
      </c>
      <c r="H5125" s="4179"/>
      <c r="I5125" s="4179">
        <v>500</v>
      </c>
      <c r="J5125" s="4179"/>
      <c r="K5125" s="1950"/>
      <c r="L5125" s="4194"/>
      <c r="M5125" s="4179">
        <v>0</v>
      </c>
      <c r="N5125" s="1783"/>
      <c r="O5125" s="2560"/>
      <c r="P5125" s="1817" t="e">
        <f>INDEX(#REF!,MATCH(F5125,#REF!,0),2)</f>
        <v>#REF!</v>
      </c>
      <c r="Q5125" s="2560"/>
      <c r="R5125" s="2560"/>
      <c r="S5125" s="2560"/>
      <c r="T5125" s="2560"/>
      <c r="U5125" s="2560"/>
      <c r="V5125" s="2560"/>
      <c r="W5125" s="2560"/>
      <c r="X5125" s="1569"/>
    </row>
    <row r="5126" spans="2:24">
      <c r="B5126" s="4177" t="s">
        <v>1248</v>
      </c>
      <c r="C5126" s="4177"/>
      <c r="D5126" s="4177"/>
      <c r="E5126" s="4177" t="s">
        <v>1133</v>
      </c>
      <c r="F5126" s="4177">
        <v>2243</v>
      </c>
      <c r="G5126" s="4178" t="s">
        <v>2756</v>
      </c>
      <c r="H5126" s="4179"/>
      <c r="I5126" s="4179">
        <v>2200</v>
      </c>
      <c r="J5126" s="4179"/>
      <c r="K5126" s="1950"/>
      <c r="L5126" s="4194"/>
      <c r="M5126" s="4179">
        <v>0</v>
      </c>
      <c r="N5126" s="1783"/>
      <c r="O5126" s="2560"/>
      <c r="P5126" s="1817" t="e">
        <f>INDEX(#REF!,MATCH(F5126,#REF!,0),2)</f>
        <v>#REF!</v>
      </c>
      <c r="Q5126" s="2560"/>
      <c r="R5126" s="2560"/>
      <c r="S5126" s="2560"/>
      <c r="T5126" s="2560"/>
      <c r="U5126" s="2560"/>
      <c r="V5126" s="2560"/>
      <c r="W5126" s="2560"/>
      <c r="X5126" s="1569"/>
    </row>
    <row r="5127" spans="2:24" ht="45">
      <c r="B5127" s="4177" t="s">
        <v>1248</v>
      </c>
      <c r="C5127" s="4177"/>
      <c r="D5127" s="4177"/>
      <c r="E5127" s="4177" t="s">
        <v>1133</v>
      </c>
      <c r="F5127" s="4177">
        <v>2243</v>
      </c>
      <c r="G5127" s="4178" t="s">
        <v>5833</v>
      </c>
      <c r="H5127" s="4179"/>
      <c r="I5127" s="4179">
        <v>1060</v>
      </c>
      <c r="J5127" s="4179"/>
      <c r="K5127" s="1950"/>
      <c r="L5127" s="4179"/>
      <c r="M5127" s="4179">
        <v>0</v>
      </c>
      <c r="N5127" s="43"/>
      <c r="O5127" s="2560"/>
      <c r="P5127" s="1817" t="e">
        <f>INDEX(#REF!,MATCH(F5127,#REF!,0),2)</f>
        <v>#REF!</v>
      </c>
      <c r="Q5127" s="2560"/>
      <c r="R5127" s="2560"/>
      <c r="S5127" s="2560"/>
      <c r="T5127" s="2560"/>
      <c r="U5127" s="2560"/>
      <c r="V5127" s="2560"/>
      <c r="W5127" s="2560"/>
      <c r="X5127" s="1569"/>
    </row>
    <row r="5128" spans="2:24" ht="22.5">
      <c r="B5128" s="4177" t="s">
        <v>1248</v>
      </c>
      <c r="C5128" s="4177"/>
      <c r="D5128" s="4177"/>
      <c r="E5128" s="4177" t="s">
        <v>1133</v>
      </c>
      <c r="F5128" s="4177">
        <v>2243</v>
      </c>
      <c r="G5128" s="4178" t="s">
        <v>2753</v>
      </c>
      <c r="H5128" s="4179"/>
      <c r="I5128" s="4179">
        <v>500</v>
      </c>
      <c r="J5128" s="4179"/>
      <c r="K5128" s="1950"/>
      <c r="L5128" s="4179"/>
      <c r="M5128" s="4179">
        <v>500</v>
      </c>
      <c r="N5128" s="43" t="s">
        <v>5839</v>
      </c>
      <c r="O5128" s="2560"/>
      <c r="P5128" s="1817" t="e">
        <f>INDEX(#REF!,MATCH(F5128,#REF!,0),2)</f>
        <v>#REF!</v>
      </c>
      <c r="Q5128" s="2560"/>
      <c r="R5128" s="2560"/>
      <c r="S5128" s="2560"/>
      <c r="T5128" s="2560"/>
      <c r="U5128" s="2560"/>
      <c r="V5128" s="2560"/>
      <c r="W5128" s="2560"/>
      <c r="X5128" s="1569"/>
    </row>
    <row r="5129" spans="2:24" ht="33.75">
      <c r="B5129" s="4177" t="s">
        <v>1248</v>
      </c>
      <c r="C5129" s="4177"/>
      <c r="D5129" s="4177"/>
      <c r="E5129" s="4177" t="s">
        <v>1133</v>
      </c>
      <c r="F5129" s="4177">
        <v>2243</v>
      </c>
      <c r="G5129" s="4178" t="s">
        <v>5834</v>
      </c>
      <c r="H5129" s="4179"/>
      <c r="I5129" s="4179">
        <v>380</v>
      </c>
      <c r="J5129" s="4179"/>
      <c r="K5129" s="1950"/>
      <c r="L5129" s="4179"/>
      <c r="M5129" s="4179">
        <v>450</v>
      </c>
      <c r="N5129" s="43" t="s">
        <v>5840</v>
      </c>
      <c r="O5129" s="2560"/>
      <c r="P5129" s="1817" t="e">
        <f>INDEX(#REF!,MATCH(F5129,#REF!,0),2)</f>
        <v>#REF!</v>
      </c>
      <c r="Q5129" s="2559"/>
      <c r="R5129" s="2559"/>
      <c r="S5129" s="2559"/>
      <c r="T5129" s="2559"/>
      <c r="U5129" s="2559"/>
      <c r="V5129" s="2559"/>
      <c r="W5129" s="2559"/>
      <c r="X5129" s="152"/>
    </row>
    <row r="5130" spans="2:24" ht="45">
      <c r="B5130" s="4177" t="s">
        <v>1248</v>
      </c>
      <c r="C5130" s="4177"/>
      <c r="D5130" s="4177"/>
      <c r="E5130" s="4177" t="s">
        <v>1133</v>
      </c>
      <c r="F5130" s="4177">
        <v>2243</v>
      </c>
      <c r="G5130" s="4178" t="s">
        <v>5835</v>
      </c>
      <c r="H5130" s="4179"/>
      <c r="I5130" s="4179">
        <v>20000</v>
      </c>
      <c r="J5130" s="4179"/>
      <c r="K5130" s="1950"/>
      <c r="L5130" s="4179"/>
      <c r="M5130" s="4179">
        <v>0</v>
      </c>
      <c r="N5130" s="43"/>
      <c r="O5130" s="2560"/>
      <c r="P5130" s="1817" t="e">
        <f>INDEX(#REF!,MATCH(F5130,#REF!,0),2)</f>
        <v>#REF!</v>
      </c>
      <c r="Q5130" s="2560"/>
      <c r="R5130" s="2560"/>
      <c r="S5130" s="2560"/>
      <c r="T5130" s="2560"/>
      <c r="U5130" s="2560"/>
      <c r="V5130" s="2560"/>
      <c r="W5130" s="2560"/>
      <c r="X5130" s="1569"/>
    </row>
    <row r="5131" spans="2:24" ht="45">
      <c r="B5131" s="4177" t="s">
        <v>1248</v>
      </c>
      <c r="C5131" s="4177"/>
      <c r="D5131" s="4177"/>
      <c r="E5131" s="4177" t="s">
        <v>1133</v>
      </c>
      <c r="F5131" s="4177">
        <v>2243</v>
      </c>
      <c r="G5131" s="4178" t="s">
        <v>5836</v>
      </c>
      <c r="H5131" s="4179"/>
      <c r="I5131" s="4179">
        <v>850</v>
      </c>
      <c r="J5131" s="4179"/>
      <c r="K5131" s="1950"/>
      <c r="L5131" s="4179"/>
      <c r="M5131" s="4179">
        <v>950</v>
      </c>
      <c r="N5131" s="43" t="s">
        <v>5841</v>
      </c>
      <c r="O5131" s="2559"/>
      <c r="P5131" s="1817" t="e">
        <f>INDEX(#REF!,MATCH(F5131,#REF!,0),2)</f>
        <v>#REF!</v>
      </c>
      <c r="Q5131" s="2559"/>
      <c r="R5131" s="2559"/>
      <c r="S5131" s="2559"/>
      <c r="T5131" s="2559"/>
      <c r="U5131" s="2559"/>
      <c r="V5131" s="2559"/>
      <c r="W5131" s="2559"/>
      <c r="X5131" s="152"/>
    </row>
    <row r="5132" spans="2:24" ht="22.5">
      <c r="B5132" s="4177" t="s">
        <v>1248</v>
      </c>
      <c r="C5132" s="4177"/>
      <c r="D5132" s="4177"/>
      <c r="E5132" s="4177" t="s">
        <v>1133</v>
      </c>
      <c r="F5132" s="4177">
        <v>2243</v>
      </c>
      <c r="G5132" s="4178" t="s">
        <v>2757</v>
      </c>
      <c r="H5132" s="4179"/>
      <c r="I5132" s="4179">
        <v>1400</v>
      </c>
      <c r="J5132" s="4179"/>
      <c r="K5132" s="1950"/>
      <c r="L5132" s="4179"/>
      <c r="M5132" s="4179">
        <v>0</v>
      </c>
      <c r="N5132" s="43"/>
      <c r="O5132" s="2560"/>
      <c r="P5132" s="1817" t="e">
        <f>INDEX(#REF!,MATCH(F5132,#REF!,0),2)</f>
        <v>#REF!</v>
      </c>
      <c r="Q5132" s="2560"/>
      <c r="R5132" s="2560"/>
      <c r="S5132" s="2560"/>
      <c r="T5132" s="2560"/>
      <c r="U5132" s="2560"/>
      <c r="V5132" s="2560"/>
      <c r="W5132" s="2560"/>
      <c r="X5132" s="43"/>
    </row>
    <row r="5133" spans="2:24" ht="45">
      <c r="B5133" s="4177" t="s">
        <v>1248</v>
      </c>
      <c r="C5133" s="4177"/>
      <c r="D5133" s="4177"/>
      <c r="E5133" s="4177" t="s">
        <v>1133</v>
      </c>
      <c r="F5133" s="4177">
        <v>2243</v>
      </c>
      <c r="G5133" s="4178" t="s">
        <v>5523</v>
      </c>
      <c r="H5133" s="4179"/>
      <c r="I5133" s="4179">
        <v>1000</v>
      </c>
      <c r="J5133" s="4179"/>
      <c r="K5133" s="1950"/>
      <c r="L5133" s="4179"/>
      <c r="M5133" s="4179">
        <v>5300</v>
      </c>
      <c r="N5133" s="43"/>
      <c r="O5133" s="2559"/>
      <c r="P5133" s="1817" t="e">
        <f>INDEX(#REF!,MATCH(F5133,#REF!,0),2)</f>
        <v>#REF!</v>
      </c>
      <c r="Q5133" s="2560"/>
      <c r="R5133" s="2560"/>
      <c r="S5133" s="2560"/>
      <c r="T5133" s="2560"/>
      <c r="U5133" s="2560"/>
      <c r="V5133" s="2560"/>
      <c r="W5133" s="2560"/>
      <c r="X5133" s="43"/>
    </row>
    <row r="5134" spans="2:24" ht="22.5">
      <c r="B5134" s="4177" t="s">
        <v>1248</v>
      </c>
      <c r="C5134" s="4177"/>
      <c r="D5134" s="4177"/>
      <c r="E5134" s="4177" t="s">
        <v>1133</v>
      </c>
      <c r="F5134" s="4177">
        <v>2243</v>
      </c>
      <c r="G5134" s="4178" t="s">
        <v>2758</v>
      </c>
      <c r="H5134" s="4179"/>
      <c r="I5134" s="4179">
        <v>1540</v>
      </c>
      <c r="J5134" s="4179"/>
      <c r="K5134" s="1950"/>
      <c r="L5134" s="4179"/>
      <c r="M5134" s="4179">
        <v>1800</v>
      </c>
      <c r="N5134" s="43" t="s">
        <v>5842</v>
      </c>
      <c r="O5134" s="2560"/>
      <c r="P5134" s="1817" t="e">
        <f>INDEX(#REF!,MATCH(F5134,#REF!,0),2)</f>
        <v>#REF!</v>
      </c>
      <c r="Q5134" s="2560"/>
      <c r="R5134" s="2560"/>
      <c r="S5134" s="2560"/>
      <c r="T5134" s="2560"/>
      <c r="U5134" s="2560"/>
      <c r="V5134" s="2560"/>
      <c r="W5134" s="2560"/>
      <c r="X5134" s="43"/>
    </row>
    <row r="5135" spans="2:24">
      <c r="B5135" s="4177" t="s">
        <v>1248</v>
      </c>
      <c r="C5135" s="4177"/>
      <c r="D5135" s="4177"/>
      <c r="E5135" s="4177" t="s">
        <v>1133</v>
      </c>
      <c r="F5135" s="4177">
        <v>2243</v>
      </c>
      <c r="G5135" s="4178" t="s">
        <v>2759</v>
      </c>
      <c r="H5135" s="4179"/>
      <c r="I5135" s="4179">
        <v>800</v>
      </c>
      <c r="J5135" s="4179"/>
      <c r="K5135" s="1950"/>
      <c r="L5135" s="4179"/>
      <c r="M5135" s="4179">
        <v>900</v>
      </c>
      <c r="N5135" s="43" t="s">
        <v>5843</v>
      </c>
      <c r="O5135" s="2560"/>
      <c r="P5135" s="1817" t="e">
        <f>INDEX(#REF!,MATCH(F5135,#REF!,0),2)</f>
        <v>#REF!</v>
      </c>
      <c r="Q5135" s="2560"/>
      <c r="R5135" s="2560"/>
      <c r="S5135" s="2560"/>
      <c r="T5135" s="2560"/>
      <c r="U5135" s="2560"/>
      <c r="V5135" s="2560"/>
      <c r="W5135" s="2560"/>
      <c r="X5135" s="43"/>
    </row>
    <row r="5136" spans="2:24">
      <c r="B5136" s="4177" t="s">
        <v>1248</v>
      </c>
      <c r="C5136" s="4177"/>
      <c r="D5136" s="4177"/>
      <c r="E5136" s="4177" t="s">
        <v>1133</v>
      </c>
      <c r="F5136" s="4177">
        <v>2243</v>
      </c>
      <c r="G5136" s="4178" t="s">
        <v>2760</v>
      </c>
      <c r="H5136" s="4179"/>
      <c r="I5136" s="4179">
        <v>1200</v>
      </c>
      <c r="J5136" s="4179"/>
      <c r="K5136" s="1950"/>
      <c r="L5136" s="4179"/>
      <c r="M5136" s="4179">
        <v>1320</v>
      </c>
      <c r="N5136" s="43" t="s">
        <v>5843</v>
      </c>
      <c r="O5136" s="2560"/>
      <c r="P5136" s="1817" t="e">
        <f>INDEX(#REF!,MATCH(F5136,#REF!,0),2)</f>
        <v>#REF!</v>
      </c>
      <c r="Q5136" s="2560"/>
      <c r="R5136" s="2560"/>
      <c r="S5136" s="2560"/>
      <c r="T5136" s="2560"/>
      <c r="U5136" s="2560"/>
      <c r="V5136" s="2560"/>
      <c r="W5136" s="2560"/>
      <c r="X5136" s="43"/>
    </row>
    <row r="5137" spans="2:24">
      <c r="B5137" s="4177" t="s">
        <v>1248</v>
      </c>
      <c r="C5137" s="4177"/>
      <c r="D5137" s="4177"/>
      <c r="E5137" s="4177" t="s">
        <v>1133</v>
      </c>
      <c r="F5137" s="4177">
        <v>2243</v>
      </c>
      <c r="G5137" s="4178" t="s">
        <v>2761</v>
      </c>
      <c r="H5137" s="4179"/>
      <c r="I5137" s="4179">
        <v>900</v>
      </c>
      <c r="J5137" s="4179"/>
      <c r="K5137" s="1950"/>
      <c r="L5137" s="4179"/>
      <c r="M5137" s="4179">
        <v>1600</v>
      </c>
      <c r="N5137" s="43" t="s">
        <v>5843</v>
      </c>
      <c r="O5137" s="2560"/>
      <c r="P5137" s="1817" t="e">
        <f>INDEX(#REF!,MATCH(F5137,#REF!,0),2)</f>
        <v>#REF!</v>
      </c>
      <c r="Q5137" s="2560"/>
      <c r="R5137" s="2560"/>
      <c r="S5137" s="2560"/>
      <c r="T5137" s="2560"/>
      <c r="U5137" s="2560"/>
      <c r="V5137" s="2560"/>
      <c r="W5137" s="2560"/>
      <c r="X5137" s="1569"/>
    </row>
    <row r="5138" spans="2:24">
      <c r="B5138" s="4177" t="s">
        <v>1248</v>
      </c>
      <c r="C5138" s="4177"/>
      <c r="D5138" s="4177"/>
      <c r="E5138" s="4177" t="s">
        <v>1133</v>
      </c>
      <c r="F5138" s="4177">
        <v>2243</v>
      </c>
      <c r="G5138" s="4179" t="s">
        <v>2762</v>
      </c>
      <c r="H5138" s="4179"/>
      <c r="I5138" s="4179">
        <v>1400</v>
      </c>
      <c r="J5138" s="4179"/>
      <c r="K5138" s="1950"/>
      <c r="L5138" s="4179"/>
      <c r="M5138" s="4179">
        <v>1600</v>
      </c>
      <c r="N5138" s="43" t="s">
        <v>5843</v>
      </c>
      <c r="O5138" s="2560"/>
      <c r="P5138" s="1817" t="e">
        <f>INDEX(#REF!,MATCH(F5138,#REF!,0),2)</f>
        <v>#REF!</v>
      </c>
      <c r="Q5138" s="2560"/>
      <c r="R5138" s="2560"/>
      <c r="S5138" s="2560"/>
      <c r="T5138" s="2560"/>
      <c r="U5138" s="2560"/>
      <c r="V5138" s="2560"/>
      <c r="W5138" s="2560"/>
      <c r="X5138" s="1569"/>
    </row>
    <row r="5139" spans="2:24" ht="33.75">
      <c r="B5139" s="4177" t="s">
        <v>1248</v>
      </c>
      <c r="C5139" s="4177"/>
      <c r="D5139" s="4177"/>
      <c r="E5139" s="4177" t="s">
        <v>1133</v>
      </c>
      <c r="F5139" s="4177">
        <v>2243</v>
      </c>
      <c r="G5139" s="4187" t="s">
        <v>5837</v>
      </c>
      <c r="H5139" s="4179"/>
      <c r="I5139" s="4179">
        <v>555</v>
      </c>
      <c r="J5139" s="4179"/>
      <c r="K5139" s="1950"/>
      <c r="L5139" s="4179"/>
      <c r="M5139" s="4179">
        <v>555</v>
      </c>
      <c r="N5139" s="43"/>
      <c r="O5139" s="2560"/>
      <c r="P5139" s="1817" t="e">
        <f>INDEX(#REF!,MATCH(F5139,#REF!,0),2)</f>
        <v>#REF!</v>
      </c>
      <c r="Q5139" s="2560"/>
      <c r="R5139" s="2560"/>
      <c r="S5139" s="2560"/>
      <c r="T5139" s="2560"/>
      <c r="U5139" s="2560"/>
      <c r="V5139" s="2560"/>
      <c r="W5139" s="2560"/>
      <c r="X5139" s="1569"/>
    </row>
    <row r="5140" spans="2:24" ht="33.75">
      <c r="B5140" s="4177" t="s">
        <v>1248</v>
      </c>
      <c r="C5140" s="4177"/>
      <c r="D5140" s="4177"/>
      <c r="E5140" s="4177" t="s">
        <v>1133</v>
      </c>
      <c r="F5140" s="4177">
        <v>2243</v>
      </c>
      <c r="G5140" s="4178" t="s">
        <v>5838</v>
      </c>
      <c r="H5140" s="4179"/>
      <c r="I5140" s="4179">
        <v>3629</v>
      </c>
      <c r="J5140" s="4179"/>
      <c r="K5140" s="1950"/>
      <c r="L5140" s="4179"/>
      <c r="M5140" s="4179">
        <v>0</v>
      </c>
      <c r="N5140" s="43"/>
      <c r="O5140" s="2560"/>
      <c r="P5140" s="1817" t="e">
        <f>INDEX(#REF!,MATCH(F5140,#REF!,0),2)</f>
        <v>#REF!</v>
      </c>
      <c r="Q5140" s="2560"/>
      <c r="R5140" s="2560"/>
      <c r="S5140" s="2560"/>
      <c r="T5140" s="2560"/>
      <c r="U5140" s="2560"/>
      <c r="V5140" s="2560"/>
      <c r="W5140" s="2560"/>
      <c r="X5140" s="43"/>
    </row>
    <row r="5141" spans="2:24">
      <c r="B5141" s="4177" t="s">
        <v>1248</v>
      </c>
      <c r="C5141" s="4177"/>
      <c r="D5141" s="4177"/>
      <c r="E5141" s="4177" t="s">
        <v>1133</v>
      </c>
      <c r="F5141" s="4177">
        <v>2243</v>
      </c>
      <c r="G5141" s="4178" t="s">
        <v>5524</v>
      </c>
      <c r="H5141" s="4179"/>
      <c r="I5141" s="4179"/>
      <c r="J5141" s="4179"/>
      <c r="K5141" s="1950"/>
      <c r="L5141" s="4179"/>
      <c r="M5141" s="4179">
        <v>4000</v>
      </c>
      <c r="N5141" s="43" t="s">
        <v>5844</v>
      </c>
      <c r="O5141" s="2560"/>
      <c r="P5141" s="1817" t="e">
        <f>INDEX(#REF!,MATCH(F5141,#REF!,0),2)</f>
        <v>#REF!</v>
      </c>
      <c r="Q5141" s="2560"/>
      <c r="R5141" s="2560"/>
      <c r="S5141" s="2560"/>
      <c r="T5141" s="2560"/>
      <c r="U5141" s="2560"/>
      <c r="V5141" s="2560"/>
      <c r="W5141" s="2560"/>
      <c r="X5141" s="43"/>
    </row>
    <row r="5142" spans="2:24">
      <c r="B5142" s="4177" t="s">
        <v>1248</v>
      </c>
      <c r="C5142" s="4177"/>
      <c r="D5142" s="4177"/>
      <c r="E5142" s="4177" t="s">
        <v>1133</v>
      </c>
      <c r="F5142" s="4177">
        <v>2243</v>
      </c>
      <c r="G5142" s="4178" t="s">
        <v>2745</v>
      </c>
      <c r="H5142" s="4179"/>
      <c r="I5142" s="4179">
        <v>1500</v>
      </c>
      <c r="J5142" s="4179"/>
      <c r="K5142" s="1950"/>
      <c r="L5142" s="4179"/>
      <c r="M5142" s="4179">
        <v>0</v>
      </c>
      <c r="N5142" s="1569"/>
      <c r="O5142" s="2560"/>
      <c r="P5142" s="1817" t="e">
        <f>INDEX(#REF!,MATCH(F5142,#REF!,0),2)</f>
        <v>#REF!</v>
      </c>
      <c r="Q5142" s="2560"/>
      <c r="R5142" s="2560"/>
      <c r="S5142" s="2560"/>
      <c r="T5142" s="2560"/>
      <c r="U5142" s="2560"/>
      <c r="V5142" s="2560"/>
      <c r="W5142" s="2560"/>
      <c r="X5142" s="43"/>
    </row>
    <row r="5143" spans="2:24" ht="22.5">
      <c r="B5143" s="4177" t="s">
        <v>1248</v>
      </c>
      <c r="C5143" s="4177"/>
      <c r="D5143" s="4177"/>
      <c r="E5143" s="4177" t="s">
        <v>1133</v>
      </c>
      <c r="F5143" s="4177">
        <v>2243</v>
      </c>
      <c r="G5143" s="4187" t="s">
        <v>5526</v>
      </c>
      <c r="H5143" s="4179"/>
      <c r="I5143" s="4179"/>
      <c r="J5143" s="4179"/>
      <c r="K5143" s="1950"/>
      <c r="L5143" s="4179"/>
      <c r="M5143" s="4179">
        <v>3000</v>
      </c>
      <c r="N5143" s="4191" t="s">
        <v>5846</v>
      </c>
      <c r="O5143" s="2560"/>
      <c r="P5143" s="1817" t="e">
        <f>INDEX(#REF!,MATCH(F5143,#REF!,0),2)</f>
        <v>#REF!</v>
      </c>
      <c r="Q5143" s="2560"/>
      <c r="R5143" s="2560"/>
      <c r="S5143" s="2560"/>
      <c r="T5143" s="2560"/>
      <c r="U5143" s="2560"/>
      <c r="V5143" s="2560"/>
      <c r="W5143" s="2560"/>
      <c r="X5143" s="43"/>
    </row>
    <row r="5144" spans="2:24" ht="33.75">
      <c r="B5144" s="4177" t="s">
        <v>1248</v>
      </c>
      <c r="C5144" s="4177"/>
      <c r="D5144" s="4177"/>
      <c r="E5144" s="4177" t="s">
        <v>1133</v>
      </c>
      <c r="F5144" s="4177">
        <v>2243</v>
      </c>
      <c r="G5144" s="4187" t="s">
        <v>6044</v>
      </c>
      <c r="H5144" s="4179"/>
      <c r="I5144" s="4179"/>
      <c r="J5144" s="4179"/>
      <c r="K5144" s="1950"/>
      <c r="L5144" s="4179"/>
      <c r="M5144" s="4179">
        <v>2500</v>
      </c>
      <c r="N5144" s="4190" t="s">
        <v>5847</v>
      </c>
      <c r="O5144" s="2560"/>
      <c r="P5144" s="1817" t="e">
        <f>INDEX(#REF!,MATCH(F5144,#REF!,0),2)</f>
        <v>#REF!</v>
      </c>
      <c r="Q5144" s="2560"/>
      <c r="R5144" s="2560"/>
      <c r="S5144" s="2560"/>
      <c r="T5144" s="2560"/>
      <c r="U5144" s="2560"/>
      <c r="V5144" s="2560"/>
      <c r="W5144" s="2560"/>
      <c r="X5144" s="1569"/>
    </row>
    <row r="5145" spans="2:24">
      <c r="B5145" s="4177" t="s">
        <v>1248</v>
      </c>
      <c r="C5145" s="4177"/>
      <c r="D5145" s="4177"/>
      <c r="E5145" s="4177" t="s">
        <v>1133</v>
      </c>
      <c r="F5145" s="4177">
        <v>2243</v>
      </c>
      <c r="G5145" s="4187" t="s">
        <v>5527</v>
      </c>
      <c r="H5145" s="4179"/>
      <c r="I5145" s="4179"/>
      <c r="J5145" s="4179"/>
      <c r="K5145" s="1950"/>
      <c r="L5145" s="4179"/>
      <c r="M5145" s="4179">
        <v>100</v>
      </c>
      <c r="N5145" s="1569"/>
      <c r="O5145" s="2560"/>
      <c r="P5145" s="1817" t="e">
        <f>INDEX(#REF!,MATCH(F5145,#REF!,0),2)</f>
        <v>#REF!</v>
      </c>
      <c r="Q5145" s="2560"/>
      <c r="R5145" s="2560"/>
      <c r="S5145" s="2560"/>
      <c r="T5145" s="2560"/>
      <c r="U5145" s="2560"/>
      <c r="V5145" s="2560"/>
      <c r="W5145" s="2560"/>
      <c r="X5145" s="1569"/>
    </row>
    <row r="5146" spans="2:24">
      <c r="B5146" s="4177" t="s">
        <v>1248</v>
      </c>
      <c r="C5146" s="4177"/>
      <c r="D5146" s="4177"/>
      <c r="E5146" s="4177" t="s">
        <v>1133</v>
      </c>
      <c r="F5146" s="4177">
        <v>2243</v>
      </c>
      <c r="G5146" s="4178" t="s">
        <v>2763</v>
      </c>
      <c r="H5146" s="4179"/>
      <c r="I5146" s="4179">
        <v>1200</v>
      </c>
      <c r="J5146" s="4179"/>
      <c r="K5146" s="1950"/>
      <c r="L5146" s="4179"/>
      <c r="M5146" s="4179">
        <v>900</v>
      </c>
      <c r="N5146" s="1569" t="s">
        <v>5848</v>
      </c>
      <c r="O5146" s="2560"/>
      <c r="P5146" s="1817" t="e">
        <f>INDEX(#REF!,MATCH(F5146,#REF!,0),2)</f>
        <v>#REF!</v>
      </c>
      <c r="Q5146" s="2560"/>
      <c r="R5146" s="2560"/>
      <c r="S5146" s="2560"/>
      <c r="T5146" s="2560"/>
      <c r="U5146" s="2560"/>
      <c r="V5146" s="2560"/>
      <c r="W5146" s="2560"/>
      <c r="X5146" s="1569"/>
    </row>
    <row r="5147" spans="2:24">
      <c r="B5147" s="4177" t="s">
        <v>1248</v>
      </c>
      <c r="C5147" s="4177"/>
      <c r="D5147" s="4177"/>
      <c r="E5147" s="4177" t="s">
        <v>1133</v>
      </c>
      <c r="F5147" s="4177">
        <v>2243</v>
      </c>
      <c r="G5147" s="4178" t="s">
        <v>2764</v>
      </c>
      <c r="H5147" s="4179"/>
      <c r="I5147" s="4179">
        <v>2800</v>
      </c>
      <c r="J5147" s="4179"/>
      <c r="K5147" s="1950"/>
      <c r="L5147" s="4179"/>
      <c r="M5147" s="4179">
        <v>0</v>
      </c>
      <c r="N5147" s="1569"/>
      <c r="O5147" s="2560"/>
      <c r="P5147" s="1817" t="e">
        <f>INDEX(#REF!,MATCH(F5147,#REF!,0),2)</f>
        <v>#REF!</v>
      </c>
      <c r="Q5147" s="2560"/>
      <c r="R5147" s="2560"/>
      <c r="S5147" s="2560"/>
      <c r="T5147" s="2560"/>
      <c r="U5147" s="2560"/>
      <c r="V5147" s="2560"/>
      <c r="W5147" s="2560"/>
      <c r="X5147" s="1569"/>
    </row>
    <row r="5148" spans="2:24" ht="22.5">
      <c r="B5148" s="4174" t="s">
        <v>1249</v>
      </c>
      <c r="C5148" s="4174"/>
      <c r="D5148" s="4174"/>
      <c r="E5148" s="4174" t="s">
        <v>1133</v>
      </c>
      <c r="F5148" s="4174">
        <v>2243</v>
      </c>
      <c r="G5148" s="4175" t="s">
        <v>2749</v>
      </c>
      <c r="H5148" s="4176"/>
      <c r="I5148" s="4176"/>
      <c r="J5148" s="4176"/>
      <c r="K5148" s="1948"/>
      <c r="L5148" s="4176">
        <v>14000</v>
      </c>
      <c r="M5148" s="4176"/>
      <c r="N5148" s="2396"/>
      <c r="O5148" s="2560"/>
      <c r="P5148" s="1817" t="e">
        <f>INDEX(#REF!,MATCH(F5148,#REF!,0),2)</f>
        <v>#REF!</v>
      </c>
      <c r="Q5148" s="2560"/>
      <c r="R5148" s="2560"/>
      <c r="S5148" s="2560"/>
      <c r="T5148" s="2560"/>
      <c r="U5148" s="2560"/>
      <c r="V5148" s="2560"/>
      <c r="W5148" s="2560"/>
      <c r="X5148" s="1569"/>
    </row>
    <row r="5149" spans="2:24" ht="22.5">
      <c r="B5149" s="4177" t="s">
        <v>1249</v>
      </c>
      <c r="C5149" s="4177"/>
      <c r="D5149" s="4177"/>
      <c r="E5149" s="4177" t="s">
        <v>1133</v>
      </c>
      <c r="F5149" s="4177">
        <v>2243</v>
      </c>
      <c r="G5149" s="4178" t="s">
        <v>5525</v>
      </c>
      <c r="H5149" s="4179"/>
      <c r="I5149" s="4179"/>
      <c r="J5149" s="4179"/>
      <c r="K5149" s="1950"/>
      <c r="L5149" s="4179"/>
      <c r="M5149" s="4179">
        <v>14000</v>
      </c>
      <c r="N5149" s="4195" t="s">
        <v>5845</v>
      </c>
      <c r="O5149" s="2560"/>
      <c r="P5149" s="1817" t="e">
        <f>INDEX(#REF!,MATCH(F5149,#REF!,0),2)</f>
        <v>#REF!</v>
      </c>
      <c r="Q5149" s="2560"/>
      <c r="R5149" s="2560"/>
      <c r="S5149" s="2560"/>
      <c r="T5149" s="2560"/>
      <c r="U5149" s="2560"/>
      <c r="V5149" s="2560"/>
      <c r="W5149" s="2560"/>
      <c r="X5149" s="1569"/>
    </row>
    <row r="5150" spans="2:24" ht="23.45" customHeight="1">
      <c r="B5150" s="4174" t="s">
        <v>1248</v>
      </c>
      <c r="C5150" s="4174"/>
      <c r="D5150" s="4174"/>
      <c r="E5150" s="4174" t="s">
        <v>1133</v>
      </c>
      <c r="F5150" s="4174">
        <v>2244</v>
      </c>
      <c r="G5150" s="4175" t="s">
        <v>280</v>
      </c>
      <c r="H5150" s="4176">
        <v>255626</v>
      </c>
      <c r="I5150" s="4176"/>
      <c r="J5150" s="4176">
        <v>213890</v>
      </c>
      <c r="K5150" s="1948"/>
      <c r="L5150" s="4176">
        <v>297117</v>
      </c>
      <c r="M5150" s="4176"/>
      <c r="N5150" s="3506">
        <f>L5150-H5150</f>
        <v>41491</v>
      </c>
      <c r="O5150" s="2560"/>
      <c r="P5150" s="1817" t="e">
        <f>INDEX(#REF!,MATCH(F5150,#REF!,0),2)</f>
        <v>#REF!</v>
      </c>
      <c r="Q5150" s="2560"/>
      <c r="R5150" s="2560"/>
      <c r="S5150" s="2560"/>
      <c r="T5150" s="2560"/>
      <c r="U5150" s="2560"/>
      <c r="V5150" s="2560"/>
      <c r="W5150" s="2560"/>
      <c r="X5150" s="1569"/>
    </row>
    <row r="5151" spans="2:24" ht="24.6" customHeight="1">
      <c r="B5151" s="4177" t="s">
        <v>1248</v>
      </c>
      <c r="C5151" s="4177"/>
      <c r="D5151" s="4177"/>
      <c r="E5151" s="4177" t="s">
        <v>1133</v>
      </c>
      <c r="F5151" s="4177">
        <v>2244</v>
      </c>
      <c r="G5151" s="4178" t="s">
        <v>5849</v>
      </c>
      <c r="H5151" s="4179"/>
      <c r="I5151" s="4179">
        <v>111850</v>
      </c>
      <c r="J5151" s="4179"/>
      <c r="K5151" s="1950"/>
      <c r="L5151" s="4179"/>
      <c r="M5151" s="4216">
        <v>123035.00000000001</v>
      </c>
      <c r="N5151" s="2846" t="s">
        <v>5532</v>
      </c>
      <c r="O5151" s="2560"/>
      <c r="P5151" s="1817" t="e">
        <f>INDEX(#REF!,MATCH(F5151,#REF!,0),2)</f>
        <v>#REF!</v>
      </c>
      <c r="Q5151" s="2560"/>
      <c r="R5151" s="2560"/>
      <c r="S5151" s="2560"/>
      <c r="T5151" s="2560"/>
      <c r="U5151" s="2560"/>
      <c r="V5151" s="2560"/>
      <c r="W5151" s="2560"/>
      <c r="X5151" s="1569"/>
    </row>
    <row r="5152" spans="2:24" ht="22.5">
      <c r="B5152" s="4177" t="s">
        <v>1248</v>
      </c>
      <c r="C5152" s="4177"/>
      <c r="D5152" s="4177" t="s">
        <v>492</v>
      </c>
      <c r="E5152" s="4177" t="s">
        <v>1133</v>
      </c>
      <c r="F5152" s="4177">
        <v>2244</v>
      </c>
      <c r="G5152" s="4178" t="s">
        <v>5528</v>
      </c>
      <c r="H5152" s="4179"/>
      <c r="I5152" s="4179"/>
      <c r="J5152" s="4179"/>
      <c r="K5152" s="1950"/>
      <c r="L5152" s="4179"/>
      <c r="M5152" s="4179">
        <v>8500</v>
      </c>
      <c r="N5152" s="2846" t="s">
        <v>5843</v>
      </c>
      <c r="O5152" s="2560"/>
      <c r="P5152" s="1817" t="e">
        <f>INDEX(#REF!,MATCH(F5152,#REF!,0),2)</f>
        <v>#REF!</v>
      </c>
      <c r="Q5152" s="2560"/>
      <c r="R5152" s="2560"/>
      <c r="S5152" s="2560"/>
      <c r="T5152" s="2560"/>
      <c r="U5152" s="2560"/>
      <c r="V5152" s="2560"/>
      <c r="W5152" s="2560"/>
      <c r="X5152" s="1569"/>
    </row>
    <row r="5153" spans="2:24" ht="33.75">
      <c r="B5153" s="4177" t="s">
        <v>1248</v>
      </c>
      <c r="C5153" s="4177"/>
      <c r="D5153" s="4177"/>
      <c r="E5153" s="4177" t="s">
        <v>1133</v>
      </c>
      <c r="F5153" s="4177">
        <v>2244</v>
      </c>
      <c r="G5153" s="4178" t="s">
        <v>5850</v>
      </c>
      <c r="H5153" s="4179"/>
      <c r="I5153" s="4179">
        <v>13440</v>
      </c>
      <c r="J5153" s="4179"/>
      <c r="K5153" s="1950"/>
      <c r="L5153" s="4179"/>
      <c r="M5153" s="4179">
        <v>15000</v>
      </c>
      <c r="N5153" s="2846" t="s">
        <v>5843</v>
      </c>
      <c r="O5153" s="2560"/>
      <c r="P5153" s="1817"/>
      <c r="Q5153" s="2559"/>
      <c r="R5153" s="2559"/>
      <c r="S5153" s="2559"/>
      <c r="T5153" s="2559"/>
      <c r="U5153" s="2559"/>
      <c r="V5153" s="2559"/>
      <c r="W5153" s="2559"/>
      <c r="X5153" s="152"/>
    </row>
    <row r="5154" spans="2:24" ht="22.5">
      <c r="B5154" s="4177" t="s">
        <v>1248</v>
      </c>
      <c r="C5154" s="4177"/>
      <c r="D5154" s="4177"/>
      <c r="E5154" s="4177" t="s">
        <v>1133</v>
      </c>
      <c r="F5154" s="4177">
        <v>2244</v>
      </c>
      <c r="G5154" s="4185" t="s">
        <v>5851</v>
      </c>
      <c r="H5154" s="4179"/>
      <c r="I5154" s="4179">
        <v>260</v>
      </c>
      <c r="J5154" s="4179"/>
      <c r="K5154" s="1950"/>
      <c r="L5154" s="4179"/>
      <c r="M5154" s="4179">
        <v>0</v>
      </c>
      <c r="N5154" s="2846"/>
      <c r="O5154" s="2560"/>
      <c r="P5154" s="1817" t="e">
        <f>INDEX(#REF!,MATCH(F5154,#REF!,0),2)</f>
        <v>#REF!</v>
      </c>
      <c r="Q5154" s="2560"/>
      <c r="R5154" s="2560"/>
      <c r="S5154" s="2560"/>
      <c r="T5154" s="2560"/>
      <c r="U5154" s="2560"/>
      <c r="V5154" s="2560"/>
      <c r="W5154" s="2560"/>
      <c r="X5154" s="1569"/>
    </row>
    <row r="5155" spans="2:24">
      <c r="B5155" s="4177" t="s">
        <v>1248</v>
      </c>
      <c r="C5155" s="4177"/>
      <c r="D5155" s="4177"/>
      <c r="E5155" s="4177" t="s">
        <v>1133</v>
      </c>
      <c r="F5155" s="4177">
        <v>2244</v>
      </c>
      <c r="G5155" s="4178" t="s">
        <v>2765</v>
      </c>
      <c r="H5155" s="4179"/>
      <c r="I5155" s="4179">
        <v>2400</v>
      </c>
      <c r="J5155" s="4179"/>
      <c r="K5155" s="1950"/>
      <c r="L5155" s="4179"/>
      <c r="M5155" s="4179">
        <v>2400</v>
      </c>
      <c r="N5155" s="2846"/>
      <c r="O5155" s="2559"/>
      <c r="P5155" s="1817" t="e">
        <f>INDEX(#REF!,MATCH(F5155,#REF!,0),2)</f>
        <v>#REF!</v>
      </c>
      <c r="Q5155" s="2559"/>
      <c r="R5155" s="2559"/>
      <c r="S5155" s="2559"/>
      <c r="T5155" s="2559"/>
      <c r="U5155" s="2559"/>
      <c r="V5155" s="2559"/>
      <c r="W5155" s="2559"/>
      <c r="X5155" s="152"/>
    </row>
    <row r="5156" spans="2:24" ht="22.5">
      <c r="B5156" s="4177" t="s">
        <v>1248</v>
      </c>
      <c r="C5156" s="4177"/>
      <c r="D5156" s="4177"/>
      <c r="E5156" s="4177" t="s">
        <v>1133</v>
      </c>
      <c r="F5156" s="4177">
        <v>2244</v>
      </c>
      <c r="G5156" s="4178" t="s">
        <v>5852</v>
      </c>
      <c r="H5156" s="4179"/>
      <c r="I5156" s="4179">
        <v>2700</v>
      </c>
      <c r="J5156" s="4179"/>
      <c r="K5156" s="1950"/>
      <c r="L5156" s="4179"/>
      <c r="M5156" s="4179">
        <v>4117</v>
      </c>
      <c r="N5156" s="2846" t="s">
        <v>5855</v>
      </c>
      <c r="O5156" s="2560"/>
      <c r="P5156" s="1817" t="e">
        <f>INDEX(#REF!,MATCH(F5156,#REF!,0),2)</f>
        <v>#REF!</v>
      </c>
      <c r="Q5156" s="2560"/>
      <c r="R5156" s="2560"/>
      <c r="S5156" s="2560"/>
      <c r="T5156" s="2560"/>
      <c r="U5156" s="2560"/>
      <c r="V5156" s="2560"/>
      <c r="W5156" s="2560"/>
      <c r="X5156" s="1569"/>
    </row>
    <row r="5157" spans="2:24" ht="33.75">
      <c r="B5157" s="4177" t="s">
        <v>1248</v>
      </c>
      <c r="C5157" s="4177"/>
      <c r="D5157" s="4177"/>
      <c r="E5157" s="4177" t="s">
        <v>1133</v>
      </c>
      <c r="F5157" s="4177">
        <v>2244</v>
      </c>
      <c r="G5157" s="4178" t="s">
        <v>5529</v>
      </c>
      <c r="H5157" s="4179"/>
      <c r="I5157" s="4179"/>
      <c r="J5157" s="4179"/>
      <c r="K5157" s="1950"/>
      <c r="L5157" s="4179"/>
      <c r="M5157" s="4179">
        <v>3500</v>
      </c>
      <c r="N5157" s="2846"/>
      <c r="O5157" s="2559"/>
      <c r="P5157" s="1817" t="e">
        <f>INDEX(#REF!,MATCH(F5157,#REF!,0),2)</f>
        <v>#REF!</v>
      </c>
      <c r="Q5157" s="2560"/>
      <c r="R5157" s="2560"/>
      <c r="S5157" s="2560"/>
      <c r="T5157" s="2560"/>
      <c r="U5157" s="2560"/>
      <c r="V5157" s="2560"/>
      <c r="W5157" s="2560"/>
      <c r="X5157" s="1569"/>
    </row>
    <row r="5158" spans="2:24" ht="22.5">
      <c r="B5158" s="4177" t="s">
        <v>1248</v>
      </c>
      <c r="C5158" s="4177"/>
      <c r="D5158" s="4177"/>
      <c r="E5158" s="4177" t="s">
        <v>1133</v>
      </c>
      <c r="F5158" s="4177">
        <v>2244</v>
      </c>
      <c r="G5158" s="4196" t="s">
        <v>2766</v>
      </c>
      <c r="H5158" s="4179"/>
      <c r="I5158" s="4179">
        <v>8000</v>
      </c>
      <c r="J5158" s="4179"/>
      <c r="K5158" s="1950"/>
      <c r="L5158" s="4179"/>
      <c r="M5158" s="4179">
        <v>0</v>
      </c>
      <c r="N5158" s="2846"/>
      <c r="O5158" s="2560"/>
      <c r="P5158" s="1817" t="e">
        <f>INDEX(#REF!,MATCH(F5158,#REF!,0),2)</f>
        <v>#REF!</v>
      </c>
      <c r="Q5158" s="2560"/>
      <c r="R5158" s="2560"/>
      <c r="S5158" s="2560"/>
      <c r="T5158" s="2560"/>
      <c r="U5158" s="2560"/>
      <c r="V5158" s="2560"/>
      <c r="W5158" s="2560"/>
      <c r="X5158" s="1569"/>
    </row>
    <row r="5159" spans="2:24" ht="56.25">
      <c r="B5159" s="4177" t="s">
        <v>1248</v>
      </c>
      <c r="C5159" s="4177"/>
      <c r="D5159" s="4177"/>
      <c r="E5159" s="4177" t="s">
        <v>1133</v>
      </c>
      <c r="F5159" s="4177">
        <v>2244</v>
      </c>
      <c r="G5159" s="4196" t="s">
        <v>2767</v>
      </c>
      <c r="H5159" s="4179"/>
      <c r="I5159" s="4179">
        <v>19700</v>
      </c>
      <c r="J5159" s="4179"/>
      <c r="K5159" s="1950"/>
      <c r="L5159" s="4179"/>
      <c r="M5159" s="4179">
        <v>20000</v>
      </c>
      <c r="N5159" s="2846" t="s">
        <v>5533</v>
      </c>
      <c r="O5159" s="2560"/>
      <c r="P5159" s="1817" t="e">
        <f>INDEX(#REF!,MATCH(F5159,#REF!,0),2)</f>
        <v>#REF!</v>
      </c>
      <c r="Q5159" s="2560"/>
      <c r="R5159" s="2560"/>
      <c r="S5159" s="2560"/>
      <c r="T5159" s="2560"/>
      <c r="U5159" s="2560"/>
      <c r="V5159" s="2560"/>
      <c r="W5159" s="2560"/>
      <c r="X5159" s="1569"/>
    </row>
    <row r="5160" spans="2:24" ht="33.75">
      <c r="B5160" s="4177" t="s">
        <v>1248</v>
      </c>
      <c r="C5160" s="4177"/>
      <c r="D5160" s="4177"/>
      <c r="E5160" s="4177" t="s">
        <v>1133</v>
      </c>
      <c r="F5160" s="4177">
        <v>2244</v>
      </c>
      <c r="G5160" s="4178" t="s">
        <v>2768</v>
      </c>
      <c r="H5160" s="4179"/>
      <c r="I5160" s="4179">
        <v>10175</v>
      </c>
      <c r="J5160" s="4179"/>
      <c r="K5160" s="1950"/>
      <c r="L5160" s="4179"/>
      <c r="M5160" s="4179">
        <v>12600</v>
      </c>
      <c r="N5160" s="2846" t="s">
        <v>5534</v>
      </c>
      <c r="O5160" s="2560"/>
      <c r="P5160" s="1817" t="e">
        <f>INDEX(#REF!,MATCH(F5160,#REF!,0),2)</f>
        <v>#REF!</v>
      </c>
      <c r="Q5160" s="2560"/>
      <c r="R5160" s="2560"/>
      <c r="S5160" s="2560"/>
      <c r="T5160" s="2560"/>
      <c r="U5160" s="2560"/>
      <c r="V5160" s="2560"/>
      <c r="W5160" s="2560"/>
      <c r="X5160" s="1569"/>
    </row>
    <row r="5161" spans="2:24" ht="22.5">
      <c r="B5161" s="4177" t="s">
        <v>1248</v>
      </c>
      <c r="C5161" s="4177"/>
      <c r="D5161" s="4177"/>
      <c r="E5161" s="4177" t="s">
        <v>1133</v>
      </c>
      <c r="F5161" s="4177">
        <v>2244</v>
      </c>
      <c r="G5161" s="4178" t="s">
        <v>2769</v>
      </c>
      <c r="H5161" s="4179"/>
      <c r="I5161" s="4182">
        <v>19200</v>
      </c>
      <c r="J5161" s="4179"/>
      <c r="K5161" s="1950"/>
      <c r="L5161" s="4179"/>
      <c r="M5161" s="4218">
        <v>20000</v>
      </c>
      <c r="N5161" s="2846"/>
      <c r="O5161" s="2560"/>
      <c r="P5161" s="1817" t="e">
        <f>INDEX(#REF!,MATCH(F5161,#REF!,0),2)</f>
        <v>#REF!</v>
      </c>
      <c r="Q5161" s="2560"/>
      <c r="R5161" s="2560"/>
      <c r="S5161" s="2560"/>
      <c r="T5161" s="2560"/>
      <c r="U5161" s="2560"/>
      <c r="V5161" s="2560"/>
      <c r="W5161" s="2560"/>
      <c r="X5161" s="1569"/>
    </row>
    <row r="5162" spans="2:24" ht="45">
      <c r="B5162" s="4177" t="s">
        <v>1248</v>
      </c>
      <c r="C5162" s="4177"/>
      <c r="D5162" s="4177"/>
      <c r="E5162" s="4177" t="s">
        <v>1133</v>
      </c>
      <c r="F5162" s="4177">
        <v>2244</v>
      </c>
      <c r="G5162" s="4178" t="s">
        <v>5530</v>
      </c>
      <c r="H5162" s="4179"/>
      <c r="I5162" s="4179"/>
      <c r="J5162" s="4179"/>
      <c r="K5162" s="1950"/>
      <c r="L5162" s="4179"/>
      <c r="M5162" s="4218">
        <v>0</v>
      </c>
      <c r="N5162" s="2846" t="s">
        <v>6045</v>
      </c>
      <c r="O5162" s="2560"/>
      <c r="P5162" s="1817" t="e">
        <f>INDEX(#REF!,MATCH(F5162,#REF!,0),2)</f>
        <v>#REF!</v>
      </c>
      <c r="Q5162" s="2560"/>
      <c r="R5162" s="2560"/>
      <c r="S5162" s="2560"/>
      <c r="T5162" s="2560"/>
      <c r="U5162" s="2560"/>
      <c r="V5162" s="2560"/>
      <c r="W5162" s="2560"/>
      <c r="X5162" s="1569"/>
    </row>
    <row r="5163" spans="2:24">
      <c r="B5163" s="4177" t="s">
        <v>1248</v>
      </c>
      <c r="C5163" s="4177"/>
      <c r="D5163" s="4177"/>
      <c r="E5163" s="4177" t="s">
        <v>1133</v>
      </c>
      <c r="F5163" s="4177">
        <v>2244</v>
      </c>
      <c r="G5163" s="4178" t="s">
        <v>2770</v>
      </c>
      <c r="H5163" s="4179"/>
      <c r="I5163" s="4182">
        <v>21323</v>
      </c>
      <c r="J5163" s="4179"/>
      <c r="K5163" s="1950"/>
      <c r="L5163" s="4179"/>
      <c r="M5163" s="4218">
        <v>20000</v>
      </c>
      <c r="N5163" s="2396" t="s">
        <v>5156</v>
      </c>
      <c r="O5163" s="2560"/>
      <c r="P5163" s="1817" t="e">
        <f>INDEX(#REF!,MATCH(F5163,#REF!,0),2)</f>
        <v>#REF!</v>
      </c>
      <c r="Q5163" s="2560"/>
      <c r="R5163" s="2560"/>
      <c r="S5163" s="2560"/>
      <c r="T5163" s="2560"/>
      <c r="U5163" s="2560"/>
      <c r="V5163" s="2560"/>
      <c r="W5163" s="2560"/>
      <c r="X5163" s="1569"/>
    </row>
    <row r="5164" spans="2:24" ht="22.5">
      <c r="B5164" s="4177" t="s">
        <v>1248</v>
      </c>
      <c r="C5164" s="4177"/>
      <c r="D5164" s="4177"/>
      <c r="E5164" s="4177" t="s">
        <v>1133</v>
      </c>
      <c r="F5164" s="4177">
        <v>2244</v>
      </c>
      <c r="G5164" s="4178" t="s">
        <v>2771</v>
      </c>
      <c r="H5164" s="4179"/>
      <c r="I5164" s="4179">
        <v>950</v>
      </c>
      <c r="J5164" s="4179"/>
      <c r="K5164" s="1950"/>
      <c r="L5164" s="4179"/>
      <c r="M5164" s="4179">
        <v>0</v>
      </c>
      <c r="N5164" s="2846"/>
      <c r="O5164" s="2560"/>
      <c r="P5164" s="1817"/>
      <c r="Q5164" s="2560"/>
      <c r="R5164" s="2560"/>
      <c r="S5164" s="2560"/>
      <c r="T5164" s="2560"/>
      <c r="U5164" s="2560"/>
      <c r="V5164" s="2560"/>
      <c r="W5164" s="2560"/>
      <c r="X5164" s="1569"/>
    </row>
    <row r="5165" spans="2:24" ht="45">
      <c r="B5165" s="4177" t="s">
        <v>1248</v>
      </c>
      <c r="C5165" s="4177"/>
      <c r="D5165" s="4177"/>
      <c r="E5165" s="4177" t="s">
        <v>1133</v>
      </c>
      <c r="F5165" s="4177">
        <v>2244</v>
      </c>
      <c r="G5165" s="4185" t="s">
        <v>2772</v>
      </c>
      <c r="H5165" s="4179"/>
      <c r="I5165" s="4179">
        <v>2500</v>
      </c>
      <c r="J5165" s="4179"/>
      <c r="K5165" s="1950"/>
      <c r="L5165" s="4179"/>
      <c r="M5165" s="4179">
        <v>3000</v>
      </c>
      <c r="N5165" s="2846" t="s">
        <v>5856</v>
      </c>
      <c r="O5165" s="2560"/>
      <c r="P5165" s="1817" t="e">
        <f>INDEX(#REF!,MATCH(F5165,#REF!,0),2)</f>
        <v>#REF!</v>
      </c>
      <c r="Q5165" s="2560"/>
      <c r="R5165" s="2560"/>
      <c r="S5165" s="2560"/>
      <c r="T5165" s="2560"/>
      <c r="U5165" s="2560"/>
      <c r="V5165" s="2560"/>
      <c r="W5165" s="2560"/>
      <c r="X5165" s="1569"/>
    </row>
    <row r="5166" spans="2:24" ht="78.75">
      <c r="B5166" s="4177" t="s">
        <v>1248</v>
      </c>
      <c r="C5166" s="4177"/>
      <c r="D5166" s="4177"/>
      <c r="E5166" s="4177" t="s">
        <v>1133</v>
      </c>
      <c r="F5166" s="4177">
        <v>2244</v>
      </c>
      <c r="G5166" s="4185" t="s">
        <v>1072</v>
      </c>
      <c r="H5166" s="4179"/>
      <c r="I5166" s="4179">
        <v>3500</v>
      </c>
      <c r="J5166" s="4179"/>
      <c r="K5166" s="1950"/>
      <c r="L5166" s="4179"/>
      <c r="M5166" s="4307">
        <v>3500</v>
      </c>
      <c r="N5166" s="2846" t="s">
        <v>6048</v>
      </c>
      <c r="O5166" s="2560"/>
      <c r="P5166" s="1817" t="e">
        <f>INDEX(#REF!,MATCH(F5166,#REF!,0),2)</f>
        <v>#REF!</v>
      </c>
      <c r="Q5166" s="2560"/>
      <c r="R5166" s="2560"/>
      <c r="S5166" s="2560"/>
      <c r="T5166" s="2560"/>
      <c r="U5166" s="2560"/>
      <c r="V5166" s="2560"/>
      <c r="W5166" s="2560"/>
      <c r="X5166" s="1569"/>
    </row>
    <row r="5167" spans="2:24" ht="22.5">
      <c r="B5167" s="4177" t="s">
        <v>1248</v>
      </c>
      <c r="C5167" s="4177"/>
      <c r="D5167" s="4177"/>
      <c r="E5167" s="4177" t="s">
        <v>1133</v>
      </c>
      <c r="F5167" s="4177">
        <v>2244</v>
      </c>
      <c r="G5167" s="4185" t="s">
        <v>5531</v>
      </c>
      <c r="H5167" s="4179"/>
      <c r="I5167" s="4179"/>
      <c r="J5167" s="4179"/>
      <c r="K5167" s="1950"/>
      <c r="L5167" s="4179"/>
      <c r="M5167" s="4307">
        <v>4000</v>
      </c>
      <c r="N5167" s="2846" t="s">
        <v>6049</v>
      </c>
      <c r="O5167" s="2560"/>
      <c r="P5167" s="1817" t="e">
        <f>INDEX(#REF!,MATCH(F5167,#REF!,0),2)</f>
        <v>#REF!</v>
      </c>
      <c r="Q5167" s="2560"/>
      <c r="R5167" s="2560"/>
      <c r="S5167" s="2560"/>
      <c r="T5167" s="2560"/>
      <c r="U5167" s="2560"/>
      <c r="V5167" s="2560"/>
      <c r="W5167" s="2560"/>
      <c r="X5167" s="1569"/>
    </row>
    <row r="5168" spans="2:24" ht="56.25">
      <c r="B5168" s="4177" t="s">
        <v>1248</v>
      </c>
      <c r="C5168" s="4177"/>
      <c r="D5168" s="4177"/>
      <c r="E5168" s="4177" t="s">
        <v>1133</v>
      </c>
      <c r="F5168" s="4177">
        <v>2244</v>
      </c>
      <c r="G5168" s="4185" t="s">
        <v>5853</v>
      </c>
      <c r="H5168" s="4179"/>
      <c r="I5168" s="4179">
        <v>8000</v>
      </c>
      <c r="J5168" s="4179"/>
      <c r="K5168" s="1950"/>
      <c r="L5168" s="4179"/>
      <c r="M5168" s="4307">
        <v>8000</v>
      </c>
      <c r="N5168" s="2846" t="s">
        <v>6050</v>
      </c>
      <c r="O5168" s="2560"/>
      <c r="P5168" s="1817" t="e">
        <f>INDEX(#REF!,MATCH(F5168,#REF!,0),2)</f>
        <v>#REF!</v>
      </c>
      <c r="Q5168" s="2560"/>
      <c r="R5168" s="2560"/>
      <c r="S5168" s="2560"/>
      <c r="T5168" s="2560"/>
      <c r="U5168" s="2560"/>
      <c r="V5168" s="2560"/>
      <c r="W5168" s="2560"/>
      <c r="X5168" s="1569"/>
    </row>
    <row r="5169" spans="2:24" ht="22.5">
      <c r="B5169" s="4177" t="s">
        <v>1248</v>
      </c>
      <c r="C5169" s="4177"/>
      <c r="D5169" s="4177"/>
      <c r="E5169" s="4177" t="s">
        <v>1133</v>
      </c>
      <c r="F5169" s="4177">
        <v>2244</v>
      </c>
      <c r="G5169" s="4178" t="s">
        <v>5854</v>
      </c>
      <c r="H5169" s="4179"/>
      <c r="I5169" s="4179">
        <v>4465</v>
      </c>
      <c r="J5169" s="4179"/>
      <c r="K5169" s="1950"/>
      <c r="L5169" s="4179"/>
      <c r="M5169" s="4179">
        <v>4465</v>
      </c>
      <c r="N5169" s="2846"/>
      <c r="O5169" s="2560"/>
      <c r="P5169" s="1817" t="e">
        <f>INDEX(#REF!,MATCH(F5169,#REF!,0),2)</f>
        <v>#REF!</v>
      </c>
      <c r="Q5169" s="2559"/>
      <c r="R5169" s="2559"/>
      <c r="S5169" s="2559"/>
      <c r="T5169" s="2559"/>
      <c r="U5169" s="2559"/>
      <c r="V5169" s="2559"/>
      <c r="W5169" s="2559"/>
      <c r="X5169" s="152"/>
    </row>
    <row r="5170" spans="2:24" ht="22.5">
      <c r="B5170" s="4177" t="s">
        <v>1248</v>
      </c>
      <c r="C5170" s="4177"/>
      <c r="D5170" s="4177"/>
      <c r="E5170" s="4177" t="s">
        <v>1133</v>
      </c>
      <c r="F5170" s="4177">
        <v>2244</v>
      </c>
      <c r="G5170" s="4178" t="s">
        <v>2773</v>
      </c>
      <c r="H5170" s="4179"/>
      <c r="I5170" s="4179">
        <v>45000</v>
      </c>
      <c r="J5170" s="4179"/>
      <c r="K5170" s="4042"/>
      <c r="L5170" s="4179"/>
      <c r="M5170" s="4179">
        <v>45000</v>
      </c>
      <c r="N5170" s="2846"/>
      <c r="O5170" s="2560"/>
      <c r="P5170" s="1817" t="e">
        <f>INDEX(#REF!,MATCH(F5170,#REF!,0),2)</f>
        <v>#REF!</v>
      </c>
      <c r="Q5170" s="2560"/>
      <c r="R5170" s="2560"/>
      <c r="S5170" s="2560"/>
      <c r="T5170" s="2560"/>
      <c r="U5170" s="2560"/>
      <c r="V5170" s="2560"/>
      <c r="W5170" s="2560"/>
      <c r="X5170" s="1569"/>
    </row>
    <row r="5171" spans="2:24">
      <c r="B5171" s="4174" t="s">
        <v>1248</v>
      </c>
      <c r="C5171" s="4174"/>
      <c r="D5171" s="4174"/>
      <c r="E5171" s="4174" t="s">
        <v>1133</v>
      </c>
      <c r="F5171" s="4174">
        <v>2247</v>
      </c>
      <c r="G5171" s="4175" t="s">
        <v>281</v>
      </c>
      <c r="H5171" s="4176">
        <v>6582</v>
      </c>
      <c r="I5171" s="4176"/>
      <c r="J5171" s="4176">
        <v>4180</v>
      </c>
      <c r="K5171" s="1950"/>
      <c r="L5171" s="4176">
        <v>20000</v>
      </c>
      <c r="M5171" s="4176"/>
      <c r="N5171" s="2847" t="s">
        <v>5694</v>
      </c>
      <c r="O5171" s="2559"/>
      <c r="P5171" s="1817" t="e">
        <f>INDEX(#REF!,MATCH(F5171,#REF!,0),2)</f>
        <v>#REF!</v>
      </c>
      <c r="Q5171" s="2559"/>
      <c r="R5171" s="2559"/>
      <c r="S5171" s="2559"/>
      <c r="T5171" s="2559"/>
      <c r="U5171" s="2559"/>
      <c r="V5171" s="2559"/>
      <c r="W5171" s="2559"/>
      <c r="X5171" s="152"/>
    </row>
    <row r="5172" spans="2:24" ht="22.5">
      <c r="B5172" s="4177" t="s">
        <v>1248</v>
      </c>
      <c r="C5172" s="4177"/>
      <c r="D5172" s="4177"/>
      <c r="E5172" s="4177" t="s">
        <v>1133</v>
      </c>
      <c r="F5172" s="4177">
        <v>2247</v>
      </c>
      <c r="G5172" s="4192" t="s">
        <v>6042</v>
      </c>
      <c r="H5172" s="4179"/>
      <c r="I5172" s="4179"/>
      <c r="J5172" s="4179"/>
      <c r="K5172" s="1948"/>
      <c r="L5172" s="4179"/>
      <c r="M5172" s="4179">
        <v>20000</v>
      </c>
      <c r="N5172" s="2847"/>
      <c r="O5172" s="2560"/>
      <c r="P5172" s="1817" t="e">
        <f>INDEX(#REF!,MATCH(F5172,#REF!,0),2)</f>
        <v>#REF!</v>
      </c>
      <c r="Q5172" s="2560"/>
      <c r="R5172" s="2560"/>
      <c r="S5172" s="2560"/>
      <c r="T5172" s="2560"/>
      <c r="U5172" s="2560"/>
      <c r="V5172" s="2560"/>
      <c r="W5172" s="2560"/>
      <c r="X5172" s="1569"/>
    </row>
    <row r="5173" spans="2:24">
      <c r="B5173" s="4174" t="s">
        <v>1248</v>
      </c>
      <c r="C5173" s="4174"/>
      <c r="D5173" s="4174"/>
      <c r="E5173" s="4174" t="s">
        <v>1133</v>
      </c>
      <c r="F5173" s="4174">
        <v>2250</v>
      </c>
      <c r="G5173" s="4175" t="s">
        <v>2780</v>
      </c>
      <c r="H5173" s="4176">
        <v>18129</v>
      </c>
      <c r="I5173" s="4176"/>
      <c r="J5173" s="4176">
        <v>14474</v>
      </c>
      <c r="K5173" s="1950"/>
      <c r="L5173" s="4176">
        <v>24504</v>
      </c>
      <c r="M5173" s="4176"/>
      <c r="N5173" s="2847"/>
      <c r="O5173" s="2559"/>
      <c r="P5173" s="1817" t="e">
        <f>INDEX(#REF!,MATCH(F5173,#REF!,0),2)</f>
        <v>#REF!</v>
      </c>
      <c r="Q5173" s="2559"/>
      <c r="R5173" s="2559"/>
      <c r="S5173" s="2559"/>
      <c r="T5173" s="2559"/>
      <c r="U5173" s="2559"/>
      <c r="V5173" s="2559"/>
      <c r="W5173" s="2559"/>
      <c r="X5173" s="152"/>
    </row>
    <row r="5174" spans="2:24">
      <c r="B5174" s="4177" t="s">
        <v>1248</v>
      </c>
      <c r="C5174" s="4177"/>
      <c r="D5174" s="4177"/>
      <c r="E5174" s="4177" t="s">
        <v>1133</v>
      </c>
      <c r="F5174" s="4177">
        <v>2250</v>
      </c>
      <c r="G5174" s="4179" t="s">
        <v>2781</v>
      </c>
      <c r="H5174" s="4179"/>
      <c r="I5174" s="4179">
        <v>342</v>
      </c>
      <c r="J5174" s="4179"/>
      <c r="K5174" s="1948"/>
      <c r="L5174" s="4179"/>
      <c r="M5174" s="4179">
        <v>360</v>
      </c>
      <c r="N5174" s="241"/>
      <c r="O5174" s="2560"/>
      <c r="P5174" s="1817" t="e">
        <f>INDEX(#REF!,MATCH(F5174,#REF!,0),2)</f>
        <v>#REF!</v>
      </c>
      <c r="Q5174" s="2560"/>
      <c r="R5174" s="2560"/>
      <c r="S5174" s="2560"/>
      <c r="T5174" s="2560"/>
      <c r="U5174" s="2560"/>
      <c r="V5174" s="2560"/>
      <c r="W5174" s="2560"/>
      <c r="X5174" s="1569"/>
    </row>
    <row r="5175" spans="2:24" ht="33.75">
      <c r="B5175" s="4177" t="s">
        <v>1248</v>
      </c>
      <c r="C5175" s="4177"/>
      <c r="D5175" s="4177"/>
      <c r="E5175" s="4177" t="s">
        <v>1133</v>
      </c>
      <c r="F5175" s="4177">
        <v>2250</v>
      </c>
      <c r="G5175" s="3120" t="s">
        <v>5535</v>
      </c>
      <c r="H5175" s="4179"/>
      <c r="I5175" s="4179">
        <v>250</v>
      </c>
      <c r="J5175" s="4179"/>
      <c r="K5175" s="1950"/>
      <c r="L5175" s="4179"/>
      <c r="M5175" s="4179">
        <v>250</v>
      </c>
      <c r="N5175" s="2847"/>
      <c r="O5175" s="2559"/>
      <c r="P5175" s="1817" t="e">
        <f>INDEX(#REF!,MATCH(F5175,#REF!,0),2)</f>
        <v>#REF!</v>
      </c>
      <c r="Q5175" s="2559"/>
      <c r="R5175" s="2559"/>
      <c r="S5175" s="2559"/>
      <c r="T5175" s="2559"/>
      <c r="U5175" s="2559"/>
      <c r="V5175" s="2559"/>
      <c r="W5175" s="2559"/>
      <c r="X5175" s="152"/>
    </row>
    <row r="5176" spans="2:24">
      <c r="B5176" s="4177" t="s">
        <v>1248</v>
      </c>
      <c r="C5176" s="4177"/>
      <c r="D5176" s="4177"/>
      <c r="E5176" s="4177" t="s">
        <v>1133</v>
      </c>
      <c r="F5176" s="4177">
        <v>2250</v>
      </c>
      <c r="G5176" s="4179" t="s">
        <v>2782</v>
      </c>
      <c r="H5176" s="4179"/>
      <c r="I5176" s="4179">
        <v>2178</v>
      </c>
      <c r="J5176" s="4179"/>
      <c r="K5176" s="1950"/>
      <c r="L5176" s="4179"/>
      <c r="M5176" s="4179">
        <v>3630</v>
      </c>
      <c r="N5176" s="2847"/>
      <c r="O5176" s="2560"/>
      <c r="P5176" s="1817" t="e">
        <f>INDEX(#REF!,MATCH(F5176,#REF!,0),2)</f>
        <v>#REF!</v>
      </c>
      <c r="Q5176" s="2560"/>
      <c r="R5176" s="2560"/>
      <c r="S5176" s="2560"/>
      <c r="T5176" s="2560"/>
      <c r="U5176" s="2560"/>
      <c r="V5176" s="2560"/>
      <c r="W5176" s="2560"/>
      <c r="X5176" s="1569"/>
    </row>
    <row r="5177" spans="2:24">
      <c r="B5177" s="4177" t="s">
        <v>1248</v>
      </c>
      <c r="C5177" s="4177"/>
      <c r="D5177" s="4177"/>
      <c r="E5177" s="4177" t="s">
        <v>1133</v>
      </c>
      <c r="F5177" s="4177">
        <v>2250</v>
      </c>
      <c r="G5177" s="4179" t="s">
        <v>2783</v>
      </c>
      <c r="H5177" s="4179"/>
      <c r="I5177" s="4179">
        <v>1963</v>
      </c>
      <c r="J5177" s="4179"/>
      <c r="K5177" s="1950"/>
      <c r="L5177" s="4179"/>
      <c r="M5177" s="4179">
        <v>3200</v>
      </c>
      <c r="N5177" s="2847"/>
      <c r="O5177" s="2559"/>
      <c r="P5177" s="1817" t="e">
        <f>INDEX(#REF!,MATCH(F5177,#REF!,0),2)</f>
        <v>#REF!</v>
      </c>
      <c r="Q5177" s="2559"/>
      <c r="R5177" s="2559"/>
      <c r="S5177" s="2559"/>
      <c r="T5177" s="2559"/>
      <c r="U5177" s="2559"/>
      <c r="V5177" s="2559"/>
      <c r="W5177" s="2559"/>
      <c r="X5177" s="152"/>
    </row>
    <row r="5178" spans="2:24">
      <c r="B5178" s="4177" t="s">
        <v>1248</v>
      </c>
      <c r="C5178" s="4177"/>
      <c r="D5178" s="4177"/>
      <c r="E5178" s="4177" t="s">
        <v>1133</v>
      </c>
      <c r="F5178" s="4177">
        <v>2250</v>
      </c>
      <c r="G5178" s="4179" t="s">
        <v>2784</v>
      </c>
      <c r="H5178" s="4179"/>
      <c r="I5178" s="4179">
        <v>1452</v>
      </c>
      <c r="J5178" s="4179"/>
      <c r="K5178" s="1950"/>
      <c r="L5178" s="4179"/>
      <c r="M5178" s="4216">
        <v>1888</v>
      </c>
      <c r="N5178" s="2847"/>
      <c r="O5178" s="2560"/>
      <c r="P5178" s="1817" t="e">
        <f>INDEX(#REF!,MATCH(F5178,#REF!,0),2)</f>
        <v>#REF!</v>
      </c>
      <c r="Q5178" s="2560"/>
      <c r="R5178" s="2560"/>
      <c r="S5178" s="2560"/>
      <c r="T5178" s="2560"/>
      <c r="U5178" s="2560"/>
      <c r="V5178" s="2560"/>
      <c r="W5178" s="2560"/>
      <c r="X5178" s="1569"/>
    </row>
    <row r="5179" spans="2:24">
      <c r="B5179" s="4177" t="s">
        <v>1248</v>
      </c>
      <c r="C5179" s="4177"/>
      <c r="D5179" s="4177"/>
      <c r="E5179" s="4177" t="s">
        <v>1133</v>
      </c>
      <c r="F5179" s="4177">
        <v>2250</v>
      </c>
      <c r="G5179" s="4179" t="s">
        <v>2785</v>
      </c>
      <c r="H5179" s="4179"/>
      <c r="I5179" s="4179">
        <v>8280</v>
      </c>
      <c r="J5179" s="4179"/>
      <c r="K5179" s="1950"/>
      <c r="L5179" s="4179"/>
      <c r="M5179" s="4179">
        <v>11950</v>
      </c>
      <c r="N5179" s="2847"/>
      <c r="O5179" s="2559"/>
      <c r="P5179" s="1817" t="e">
        <f>INDEX(#REF!,MATCH(F5179,#REF!,0),2)</f>
        <v>#REF!</v>
      </c>
      <c r="Q5179" s="2560"/>
      <c r="R5179" s="2560"/>
      <c r="S5179" s="2560"/>
      <c r="T5179" s="2560"/>
      <c r="U5179" s="2560"/>
      <c r="V5179" s="2560"/>
      <c r="W5179" s="2560"/>
      <c r="X5179" s="1569"/>
    </row>
    <row r="5180" spans="2:24">
      <c r="B5180" s="4177" t="s">
        <v>1248</v>
      </c>
      <c r="C5180" s="4177"/>
      <c r="D5180" s="4177"/>
      <c r="E5180" s="4177" t="s">
        <v>1133</v>
      </c>
      <c r="F5180" s="4177">
        <v>2250</v>
      </c>
      <c r="G5180" s="4179" t="s">
        <v>2786</v>
      </c>
      <c r="H5180" s="4179"/>
      <c r="I5180" s="4179">
        <v>2000</v>
      </c>
      <c r="J5180" s="4179"/>
      <c r="K5180" s="1950"/>
      <c r="L5180" s="4179"/>
      <c r="M5180" s="4179">
        <v>2000</v>
      </c>
      <c r="N5180" s="2847"/>
      <c r="O5180" s="2560"/>
      <c r="P5180" s="1817" t="e">
        <f>INDEX(#REF!,MATCH(F5180,#REF!,0),2)</f>
        <v>#REF!</v>
      </c>
      <c r="Q5180" s="2559"/>
      <c r="R5180" s="2559"/>
      <c r="S5180" s="2559"/>
      <c r="T5180" s="2559"/>
      <c r="U5180" s="2559"/>
      <c r="V5180" s="2559"/>
      <c r="W5180" s="2559"/>
      <c r="X5180" s="152"/>
    </row>
    <row r="5181" spans="2:24">
      <c r="B5181" s="4177" t="s">
        <v>1248</v>
      </c>
      <c r="C5181" s="4177"/>
      <c r="D5181" s="4177"/>
      <c r="E5181" s="4177" t="s">
        <v>1133</v>
      </c>
      <c r="F5181" s="4177">
        <v>2250</v>
      </c>
      <c r="G5181" s="4179" t="s">
        <v>2787</v>
      </c>
      <c r="H5181" s="4179"/>
      <c r="I5181" s="4179">
        <v>219</v>
      </c>
      <c r="J5181" s="4179"/>
      <c r="K5181" s="4042"/>
      <c r="L5181" s="4179"/>
      <c r="M5181" s="4179">
        <v>219</v>
      </c>
      <c r="N5181" s="2396"/>
      <c r="O5181" s="2560"/>
      <c r="P5181" s="1817" t="e">
        <f>INDEX(#REF!,MATCH(F5181,#REF!,0),2)</f>
        <v>#REF!</v>
      </c>
      <c r="Q5181" s="2560"/>
      <c r="R5181" s="2560"/>
      <c r="S5181" s="2560"/>
      <c r="T5181" s="2560"/>
      <c r="U5181" s="2560"/>
      <c r="V5181" s="2560"/>
      <c r="W5181" s="2560"/>
      <c r="X5181" s="1569"/>
    </row>
    <row r="5182" spans="2:24">
      <c r="B5182" s="4177" t="s">
        <v>1248</v>
      </c>
      <c r="C5182" s="4177"/>
      <c r="D5182" s="4177"/>
      <c r="E5182" s="4177" t="s">
        <v>1133</v>
      </c>
      <c r="F5182" s="4177">
        <v>2250</v>
      </c>
      <c r="G5182" s="4179" t="s">
        <v>2788</v>
      </c>
      <c r="H5182" s="4179"/>
      <c r="I5182" s="4179">
        <v>305</v>
      </c>
      <c r="J5182" s="4179"/>
      <c r="K5182" s="1950"/>
      <c r="L5182" s="4179"/>
      <c r="M5182" s="4179">
        <v>455</v>
      </c>
      <c r="N5182" s="2847"/>
      <c r="O5182" s="2559"/>
      <c r="P5182" s="1817" t="e">
        <f>INDEX(#REF!,MATCH(F5182,#REF!,0),2)</f>
        <v>#REF!</v>
      </c>
      <c r="Q5182" s="2560"/>
      <c r="R5182" s="2560"/>
      <c r="S5182" s="2560"/>
      <c r="T5182" s="2560"/>
      <c r="U5182" s="2560"/>
      <c r="V5182" s="2560"/>
      <c r="W5182" s="2560"/>
      <c r="X5182" s="1569"/>
    </row>
    <row r="5183" spans="2:24">
      <c r="B5183" s="4177" t="s">
        <v>1248</v>
      </c>
      <c r="C5183" s="4177"/>
      <c r="D5183" s="4177"/>
      <c r="E5183" s="4177" t="s">
        <v>1133</v>
      </c>
      <c r="F5183" s="4177">
        <v>2250</v>
      </c>
      <c r="G5183" s="4179" t="s">
        <v>2789</v>
      </c>
      <c r="H5183" s="4179"/>
      <c r="I5183" s="4179">
        <v>1000</v>
      </c>
      <c r="J5183" s="4179"/>
      <c r="K5183" s="1950"/>
      <c r="L5183" s="4179"/>
      <c r="M5183" s="4179">
        <v>0</v>
      </c>
      <c r="N5183" s="2847"/>
      <c r="O5183" s="2560"/>
      <c r="P5183" s="1817" t="e">
        <f>INDEX(#REF!,MATCH(F5183,#REF!,0),2)</f>
        <v>#REF!</v>
      </c>
      <c r="Q5183" s="2560"/>
      <c r="R5183" s="2560"/>
      <c r="S5183" s="2560"/>
      <c r="T5183" s="2560"/>
      <c r="U5183" s="2560"/>
      <c r="V5183" s="2560"/>
      <c r="W5183" s="2560"/>
      <c r="X5183" s="1569"/>
    </row>
    <row r="5184" spans="2:24">
      <c r="B5184" s="4177" t="s">
        <v>1248</v>
      </c>
      <c r="C5184" s="4177"/>
      <c r="D5184" s="4177"/>
      <c r="E5184" s="4177" t="s">
        <v>1133</v>
      </c>
      <c r="F5184" s="4177">
        <v>2250</v>
      </c>
      <c r="G5184" s="4179" t="s">
        <v>5537</v>
      </c>
      <c r="H5184" s="4179"/>
      <c r="I5184" s="4179"/>
      <c r="J5184" s="4179"/>
      <c r="K5184" s="1950"/>
      <c r="L5184" s="4179"/>
      <c r="M5184" s="4179">
        <v>150</v>
      </c>
      <c r="N5184" s="2847"/>
      <c r="O5184" s="2560"/>
      <c r="P5184" s="1817" t="e">
        <f>INDEX(#REF!,MATCH(F5184,#REF!,0),2)</f>
        <v>#REF!</v>
      </c>
      <c r="Q5184" s="2560"/>
      <c r="R5184" s="2560"/>
      <c r="S5184" s="2560"/>
      <c r="T5184" s="2560"/>
      <c r="U5184" s="2560"/>
      <c r="V5184" s="2560"/>
      <c r="W5184" s="2560"/>
      <c r="X5184" s="1569"/>
    </row>
    <row r="5185" spans="2:24">
      <c r="B5185" s="4177" t="s">
        <v>1248</v>
      </c>
      <c r="C5185" s="4177"/>
      <c r="D5185" s="4177"/>
      <c r="E5185" s="4177" t="s">
        <v>1133</v>
      </c>
      <c r="F5185" s="4177">
        <v>2250</v>
      </c>
      <c r="G5185" s="4179" t="s">
        <v>6051</v>
      </c>
      <c r="H5185" s="4179"/>
      <c r="I5185" s="4179"/>
      <c r="J5185" s="4179"/>
      <c r="K5185" s="1950"/>
      <c r="L5185" s="4179"/>
      <c r="M5185" s="4179">
        <v>250</v>
      </c>
      <c r="N5185" s="2847"/>
      <c r="O5185" s="2560"/>
      <c r="P5185" s="1817" t="e">
        <f>INDEX(#REF!,MATCH(F5185,#REF!,0),2)</f>
        <v>#REF!</v>
      </c>
      <c r="Q5185" s="2560"/>
      <c r="R5185" s="2560"/>
      <c r="S5185" s="2560"/>
      <c r="T5185" s="2560"/>
      <c r="U5185" s="2560"/>
      <c r="V5185" s="2560"/>
      <c r="W5185" s="2560"/>
      <c r="X5185" s="1569"/>
    </row>
    <row r="5186" spans="2:24">
      <c r="B5186" s="4177" t="s">
        <v>1248</v>
      </c>
      <c r="C5186" s="4177"/>
      <c r="D5186" s="4177"/>
      <c r="E5186" s="4177" t="s">
        <v>1133</v>
      </c>
      <c r="F5186" s="4177">
        <v>2250</v>
      </c>
      <c r="G5186" s="4179" t="s">
        <v>2790</v>
      </c>
      <c r="H5186" s="4179"/>
      <c r="I5186" s="4179">
        <v>140</v>
      </c>
      <c r="J5186" s="4179"/>
      <c r="K5186" s="1950"/>
      <c r="L5186" s="4179"/>
      <c r="M5186" s="4179">
        <v>152</v>
      </c>
      <c r="N5186" s="2847"/>
      <c r="O5186" s="2560"/>
      <c r="P5186" s="1817" t="e">
        <f>INDEX(#REF!,MATCH(F5186,#REF!,0),2)</f>
        <v>#REF!</v>
      </c>
      <c r="Q5186" s="2560"/>
      <c r="R5186" s="2560"/>
      <c r="S5186" s="2560"/>
      <c r="T5186" s="2560"/>
      <c r="U5186" s="2560"/>
      <c r="V5186" s="2560"/>
      <c r="W5186" s="2560"/>
      <c r="X5186" s="1569"/>
    </row>
    <row r="5187" spans="2:24">
      <c r="B5187" s="4174" t="s">
        <v>1249</v>
      </c>
      <c r="C5187" s="4174"/>
      <c r="D5187" s="4174"/>
      <c r="E5187" s="4174" t="s">
        <v>1133</v>
      </c>
      <c r="F5187" s="4174">
        <v>2250</v>
      </c>
      <c r="G5187" s="4175" t="s">
        <v>2780</v>
      </c>
      <c r="H5187" s="4176"/>
      <c r="I5187" s="4176"/>
      <c r="J5187" s="4176"/>
      <c r="K5187" s="1950"/>
      <c r="L5187" s="4176">
        <v>4500</v>
      </c>
      <c r="M5187" s="4176"/>
      <c r="N5187" s="2847"/>
      <c r="O5187" s="2560"/>
      <c r="P5187" s="1817" t="e">
        <f>INDEX(#REF!,MATCH(F5187,#REF!,0),2)</f>
        <v>#REF!</v>
      </c>
      <c r="Q5187" s="2560"/>
      <c r="R5187" s="2560"/>
      <c r="S5187" s="2560"/>
      <c r="T5187" s="2560"/>
      <c r="U5187" s="2560"/>
      <c r="V5187" s="2560"/>
      <c r="W5187" s="2560"/>
      <c r="X5187" s="1569"/>
    </row>
    <row r="5188" spans="2:24">
      <c r="B5188" s="4177" t="s">
        <v>1249</v>
      </c>
      <c r="C5188" s="4177"/>
      <c r="D5188" s="4177"/>
      <c r="E5188" s="4177" t="s">
        <v>1133</v>
      </c>
      <c r="F5188" s="4177">
        <v>2250</v>
      </c>
      <c r="G5188" s="4179" t="s">
        <v>5536</v>
      </c>
      <c r="H5188" s="4179"/>
      <c r="I5188" s="4179"/>
      <c r="J5188" s="4179"/>
      <c r="K5188" s="1950"/>
      <c r="L5188" s="4179"/>
      <c r="M5188" s="4179">
        <v>4500</v>
      </c>
      <c r="N5188" s="241"/>
      <c r="O5188" s="2560"/>
      <c r="P5188" s="1817" t="e">
        <f>INDEX(#REF!,MATCH(F5188,#REF!,0),2)</f>
        <v>#REF!</v>
      </c>
      <c r="Q5188" s="2560"/>
      <c r="R5188" s="2560"/>
      <c r="S5188" s="2560"/>
      <c r="T5188" s="2560"/>
      <c r="U5188" s="2560"/>
      <c r="V5188" s="2560"/>
      <c r="W5188" s="2560"/>
      <c r="X5188" s="1569"/>
    </row>
    <row r="5189" spans="2:24">
      <c r="B5189" s="4174" t="s">
        <v>1248</v>
      </c>
      <c r="C5189" s="4174"/>
      <c r="D5189" s="4174"/>
      <c r="E5189" s="4174" t="s">
        <v>1133</v>
      </c>
      <c r="F5189" s="4174">
        <v>2262</v>
      </c>
      <c r="G5189" s="4175" t="s">
        <v>622</v>
      </c>
      <c r="H5189" s="4176">
        <v>0</v>
      </c>
      <c r="I5189" s="4176"/>
      <c r="J5189" s="4176"/>
      <c r="K5189" s="1950"/>
      <c r="L5189" s="4176">
        <v>0</v>
      </c>
      <c r="M5189" s="4176"/>
      <c r="N5189" s="2847"/>
      <c r="O5189" s="2560"/>
      <c r="P5189" s="1817" t="e">
        <f>INDEX(#REF!,MATCH(F5189,#REF!,0),2)</f>
        <v>#REF!</v>
      </c>
      <c r="Q5189" s="2560"/>
      <c r="R5189" s="2560"/>
      <c r="S5189" s="2560"/>
      <c r="T5189" s="2560"/>
      <c r="U5189" s="2560"/>
      <c r="V5189" s="2560"/>
      <c r="W5189" s="2560"/>
      <c r="X5189" s="1569"/>
    </row>
    <row r="5190" spans="2:24">
      <c r="B5190" s="4177" t="s">
        <v>1248</v>
      </c>
      <c r="C5190" s="4177"/>
      <c r="D5190" s="4177"/>
      <c r="E5190" s="4177" t="s">
        <v>1133</v>
      </c>
      <c r="F5190" s="4177">
        <v>2262</v>
      </c>
      <c r="G5190" s="4179" t="s">
        <v>5857</v>
      </c>
      <c r="H5190" s="4179"/>
      <c r="I5190" s="4179">
        <v>0</v>
      </c>
      <c r="J5190" s="4179"/>
      <c r="K5190" s="1948"/>
      <c r="L5190" s="4179"/>
      <c r="M5190" s="4179">
        <v>0</v>
      </c>
      <c r="N5190" s="2847"/>
      <c r="O5190" s="2560"/>
      <c r="P5190" s="1817" t="e">
        <f>INDEX(#REF!,MATCH(F5190,#REF!,0),2)</f>
        <v>#REF!</v>
      </c>
      <c r="Q5190" s="2560"/>
      <c r="R5190" s="2560"/>
      <c r="S5190" s="2560"/>
      <c r="T5190" s="2560"/>
      <c r="U5190" s="2560"/>
      <c r="V5190" s="2560"/>
      <c r="W5190" s="2560"/>
      <c r="X5190" s="1569"/>
    </row>
    <row r="5191" spans="2:24">
      <c r="B5191" s="4174" t="s">
        <v>1248</v>
      </c>
      <c r="C5191" s="4174"/>
      <c r="D5191" s="4174"/>
      <c r="E5191" s="4174" t="s">
        <v>1133</v>
      </c>
      <c r="F5191" s="4174">
        <v>2264</v>
      </c>
      <c r="G5191" s="4175" t="s">
        <v>240</v>
      </c>
      <c r="H5191" s="4176">
        <v>3522</v>
      </c>
      <c r="I5191" s="4176"/>
      <c r="J5191" s="4176">
        <v>3177</v>
      </c>
      <c r="K5191" s="1950"/>
      <c r="L5191" s="4176">
        <v>4120</v>
      </c>
      <c r="M5191" s="4176"/>
      <c r="N5191" s="2847"/>
      <c r="O5191" s="2560"/>
      <c r="P5191" s="1817" t="e">
        <f>INDEX(#REF!,MATCH(F5191,#REF!,0),2)</f>
        <v>#REF!</v>
      </c>
      <c r="Q5191" s="2560"/>
      <c r="R5191" s="2560"/>
      <c r="S5191" s="2560"/>
      <c r="T5191" s="2560"/>
      <c r="U5191" s="2560"/>
      <c r="V5191" s="2560"/>
      <c r="W5191" s="2560"/>
      <c r="X5191" s="1569"/>
    </row>
    <row r="5192" spans="2:24">
      <c r="B5192" s="4177" t="s">
        <v>1248</v>
      </c>
      <c r="C5192" s="4177"/>
      <c r="D5192" s="4177"/>
      <c r="E5192" s="4177" t="s">
        <v>1133</v>
      </c>
      <c r="F5192" s="4177">
        <v>2264</v>
      </c>
      <c r="G5192" s="4179" t="s">
        <v>5858</v>
      </c>
      <c r="H5192" s="4179"/>
      <c r="I5192" s="4179">
        <v>900</v>
      </c>
      <c r="J5192" s="4179"/>
      <c r="K5192" s="1948"/>
      <c r="L5192" s="4179"/>
      <c r="M5192" s="4179">
        <v>3000</v>
      </c>
      <c r="N5192" s="2847" t="s">
        <v>5859</v>
      </c>
      <c r="O5192" s="2560"/>
      <c r="P5192" s="1817" t="e">
        <f>INDEX(#REF!,MATCH(F5192,#REF!,0),2)</f>
        <v>#REF!</v>
      </c>
      <c r="Q5192" s="2560"/>
      <c r="R5192" s="2560"/>
      <c r="S5192" s="2560"/>
      <c r="T5192" s="2560"/>
      <c r="U5192" s="2560"/>
      <c r="V5192" s="2560"/>
      <c r="W5192" s="2560"/>
      <c r="X5192" s="1569"/>
    </row>
    <row r="5193" spans="2:24">
      <c r="B5193" s="4177" t="s">
        <v>1248</v>
      </c>
      <c r="C5193" s="4177"/>
      <c r="D5193" s="4177"/>
      <c r="E5193" s="4177" t="s">
        <v>1133</v>
      </c>
      <c r="F5193" s="4177">
        <v>2264</v>
      </c>
      <c r="G5193" s="4179" t="s">
        <v>2791</v>
      </c>
      <c r="H5193" s="4179"/>
      <c r="I5193" s="4179">
        <v>700</v>
      </c>
      <c r="J5193" s="4179"/>
      <c r="K5193" s="1950"/>
      <c r="L5193" s="4179"/>
      <c r="M5193" s="4179">
        <v>450</v>
      </c>
      <c r="N5193" s="2847"/>
      <c r="O5193" s="2560"/>
      <c r="P5193" s="1817"/>
      <c r="Q5193" s="2560"/>
      <c r="R5193" s="2560"/>
      <c r="S5193" s="2560"/>
      <c r="T5193" s="2560"/>
      <c r="U5193" s="2560"/>
      <c r="V5193" s="2560"/>
      <c r="W5193" s="2560"/>
      <c r="X5193" s="1569"/>
    </row>
    <row r="5194" spans="2:24">
      <c r="B5194" s="4177" t="s">
        <v>1248</v>
      </c>
      <c r="C5194" s="4177"/>
      <c r="D5194" s="4177"/>
      <c r="E5194" s="4177" t="s">
        <v>1133</v>
      </c>
      <c r="F5194" s="4177">
        <v>2264</v>
      </c>
      <c r="G5194" s="4179" t="s">
        <v>2792</v>
      </c>
      <c r="H5194" s="4179"/>
      <c r="I5194" s="4179">
        <v>110</v>
      </c>
      <c r="J5194" s="4179"/>
      <c r="K5194" s="1948"/>
      <c r="L5194" s="4179"/>
      <c r="M5194" s="4179">
        <v>400</v>
      </c>
      <c r="N5194" s="241"/>
      <c r="O5194" s="2560"/>
      <c r="P5194" s="1817" t="e">
        <f>INDEX(#REF!,MATCH(F5194,#REF!,0),2)</f>
        <v>#REF!</v>
      </c>
      <c r="Q5194" s="2560"/>
      <c r="R5194" s="2560"/>
      <c r="S5194" s="2560"/>
      <c r="T5194" s="2560"/>
      <c r="U5194" s="2560"/>
      <c r="V5194" s="2560"/>
      <c r="W5194" s="2560"/>
      <c r="X5194" s="1569"/>
    </row>
    <row r="5195" spans="2:24">
      <c r="B5195" s="4177" t="s">
        <v>1248</v>
      </c>
      <c r="C5195" s="4177"/>
      <c r="D5195" s="4177"/>
      <c r="E5195" s="4177" t="s">
        <v>1133</v>
      </c>
      <c r="F5195" s="4177">
        <v>2264</v>
      </c>
      <c r="G5195" s="4197" t="s">
        <v>2793</v>
      </c>
      <c r="H5195" s="4179"/>
      <c r="I5195" s="4179">
        <v>270</v>
      </c>
      <c r="J5195" s="4179"/>
      <c r="K5195" s="1950"/>
      <c r="L5195" s="4179"/>
      <c r="M5195" s="4307">
        <v>270</v>
      </c>
      <c r="N5195" s="241" t="s">
        <v>5156</v>
      </c>
      <c r="O5195" s="2560"/>
      <c r="P5195" s="1817" t="e">
        <f>INDEX(#REF!,MATCH(F5195,#REF!,0),2)</f>
        <v>#REF!</v>
      </c>
      <c r="Q5195" s="2560"/>
      <c r="R5195" s="2560"/>
      <c r="S5195" s="2560"/>
      <c r="T5195" s="2560"/>
      <c r="U5195" s="2560"/>
      <c r="V5195" s="2560"/>
      <c r="W5195" s="2560"/>
      <c r="X5195" s="1569"/>
    </row>
    <row r="5196" spans="2:24" ht="33.75">
      <c r="B5196" s="4038" t="s">
        <v>1248</v>
      </c>
      <c r="C5196" s="4174"/>
      <c r="D5196" s="4038"/>
      <c r="E5196" s="4038" t="s">
        <v>1133</v>
      </c>
      <c r="F5196" s="4174">
        <v>2311</v>
      </c>
      <c r="G5196" s="4175" t="s">
        <v>426</v>
      </c>
      <c r="H5196" s="4176">
        <v>1900</v>
      </c>
      <c r="I5196" s="4176"/>
      <c r="J5196" s="4176">
        <v>1792</v>
      </c>
      <c r="K5196" s="1948"/>
      <c r="L5196" s="4176">
        <v>2000</v>
      </c>
      <c r="M5196" s="4176"/>
      <c r="N5196" s="2396" t="s">
        <v>5695</v>
      </c>
      <c r="O5196" s="2560"/>
      <c r="P5196" s="1817" t="e">
        <f>INDEX(#REF!,MATCH(F5196,#REF!,0),2)</f>
        <v>#REF!</v>
      </c>
      <c r="Q5196" s="2560"/>
      <c r="R5196" s="2560"/>
      <c r="S5196" s="2560"/>
      <c r="T5196" s="2560"/>
      <c r="U5196" s="2560"/>
      <c r="V5196" s="2560"/>
      <c r="W5196" s="2560"/>
      <c r="X5196" s="1569"/>
    </row>
    <row r="5197" spans="2:24">
      <c r="B5197" s="4039" t="s">
        <v>1248</v>
      </c>
      <c r="C5197" s="4177"/>
      <c r="D5197" s="4039"/>
      <c r="E5197" s="4039" t="s">
        <v>1133</v>
      </c>
      <c r="F5197" s="4177">
        <v>2311</v>
      </c>
      <c r="G5197" s="4178" t="s">
        <v>362</v>
      </c>
      <c r="H5197" s="4179"/>
      <c r="I5197" s="4182">
        <v>2000</v>
      </c>
      <c r="J5197" s="4179"/>
      <c r="K5197" s="1950"/>
      <c r="L5197" s="4179"/>
      <c r="M5197" s="4307">
        <v>1000</v>
      </c>
      <c r="N5197" s="241" t="s">
        <v>5156</v>
      </c>
      <c r="O5197" s="2560"/>
      <c r="P5197" s="1817" t="e">
        <f>INDEX(#REF!,MATCH(F5197,#REF!,0),2)</f>
        <v>#REF!</v>
      </c>
      <c r="Q5197" s="2560"/>
      <c r="R5197" s="2560"/>
      <c r="S5197" s="2560"/>
      <c r="T5197" s="2560"/>
      <c r="U5197" s="2560"/>
      <c r="V5197" s="2560"/>
      <c r="W5197" s="2560"/>
      <c r="X5197" s="1569"/>
    </row>
    <row r="5198" spans="2:24">
      <c r="B5198" s="4039" t="s">
        <v>1248</v>
      </c>
      <c r="C5198" s="4177"/>
      <c r="D5198" s="4039"/>
      <c r="E5198" s="4039" t="s">
        <v>1133</v>
      </c>
      <c r="F5198" s="4177">
        <v>2311</v>
      </c>
      <c r="G5198" s="4178" t="s">
        <v>2794</v>
      </c>
      <c r="H5198" s="4179"/>
      <c r="I5198" s="4182">
        <v>1300</v>
      </c>
      <c r="J5198" s="4179"/>
      <c r="K5198" s="1950"/>
      <c r="L5198" s="4179"/>
      <c r="M5198" s="4307">
        <v>1000</v>
      </c>
      <c r="N5198" s="241" t="s">
        <v>5156</v>
      </c>
      <c r="O5198" s="2560"/>
      <c r="P5198" s="1817" t="e">
        <f>INDEX(#REF!,MATCH(F5198,#REF!,0),2)</f>
        <v>#REF!</v>
      </c>
      <c r="Q5198" s="2560"/>
      <c r="R5198" s="2560"/>
      <c r="S5198" s="2560"/>
      <c r="T5198" s="2560"/>
      <c r="U5198" s="2560"/>
      <c r="V5198" s="2560"/>
      <c r="W5198" s="2560"/>
      <c r="X5198" s="1569"/>
    </row>
    <row r="5199" spans="2:24">
      <c r="B5199" s="4038" t="s">
        <v>1248</v>
      </c>
      <c r="C5199" s="4174"/>
      <c r="D5199" s="4038"/>
      <c r="E5199" s="4038" t="s">
        <v>1133</v>
      </c>
      <c r="F5199" s="4174">
        <v>2312</v>
      </c>
      <c r="G5199" s="4175" t="s">
        <v>249</v>
      </c>
      <c r="H5199" s="4176">
        <v>63597</v>
      </c>
      <c r="I5199" s="4176"/>
      <c r="J5199" s="4176">
        <v>39161</v>
      </c>
      <c r="K5199" s="1948"/>
      <c r="L5199" s="4176">
        <v>34600</v>
      </c>
      <c r="M5199" s="4176"/>
      <c r="N5199" s="2847"/>
      <c r="O5199" s="2560"/>
      <c r="P5199" s="1817" t="e">
        <f>INDEX(#REF!,MATCH(F5199,#REF!,0),2)</f>
        <v>#REF!</v>
      </c>
      <c r="Q5199" s="2560"/>
      <c r="R5199" s="2560"/>
      <c r="S5199" s="2560"/>
      <c r="T5199" s="2560"/>
      <c r="U5199" s="2560"/>
      <c r="V5199" s="2560"/>
      <c r="W5199" s="2560"/>
      <c r="X5199" s="1569"/>
    </row>
    <row r="5200" spans="2:24">
      <c r="B5200" s="4039" t="s">
        <v>1248</v>
      </c>
      <c r="C5200" s="4177"/>
      <c r="D5200" s="4039"/>
      <c r="E5200" s="4039" t="s">
        <v>1133</v>
      </c>
      <c r="F5200" s="4177">
        <v>2312</v>
      </c>
      <c r="G5200" s="4178" t="s">
        <v>2795</v>
      </c>
      <c r="H5200" s="4179"/>
      <c r="I5200" s="4179">
        <v>2983</v>
      </c>
      <c r="J5200" s="4179"/>
      <c r="K5200" s="1950"/>
      <c r="L5200" s="4179"/>
      <c r="M5200" s="4179">
        <v>1400</v>
      </c>
      <c r="N5200" s="2847"/>
      <c r="O5200" s="2560"/>
      <c r="P5200" s="1817" t="e">
        <f>INDEX(#REF!,MATCH(F5200,#REF!,0),2)</f>
        <v>#REF!</v>
      </c>
      <c r="Q5200" s="2560"/>
      <c r="R5200" s="2560"/>
      <c r="S5200" s="2560"/>
      <c r="T5200" s="2560"/>
      <c r="U5200" s="2560"/>
      <c r="V5200" s="2560"/>
      <c r="W5200" s="2560"/>
      <c r="X5200" s="1569"/>
    </row>
    <row r="5201" spans="2:24">
      <c r="B5201" s="4039" t="s">
        <v>1248</v>
      </c>
      <c r="C5201" s="4177"/>
      <c r="D5201" s="4039"/>
      <c r="E5201" s="4039" t="s">
        <v>1133</v>
      </c>
      <c r="F5201" s="4177">
        <v>2312</v>
      </c>
      <c r="G5201" s="4178" t="s">
        <v>2796</v>
      </c>
      <c r="H5201" s="4179"/>
      <c r="I5201" s="4179">
        <v>143</v>
      </c>
      <c r="J5201" s="4179"/>
      <c r="K5201" s="1950"/>
      <c r="L5201" s="4179"/>
      <c r="M5201" s="4179">
        <v>150</v>
      </c>
      <c r="N5201" s="2847"/>
      <c r="O5201" s="2560"/>
      <c r="P5201" s="1817" t="e">
        <f>INDEX(#REF!,MATCH(F5201,#REF!,0),2)</f>
        <v>#REF!</v>
      </c>
      <c r="Q5201" s="2560"/>
      <c r="R5201" s="2560"/>
      <c r="S5201" s="2560"/>
      <c r="T5201" s="2560"/>
      <c r="U5201" s="2560"/>
      <c r="V5201" s="2560"/>
      <c r="W5201" s="2560"/>
      <c r="X5201" s="1569"/>
    </row>
    <row r="5202" spans="2:24" ht="24" customHeight="1">
      <c r="B5202" s="4039" t="s">
        <v>1248</v>
      </c>
      <c r="C5202" s="4177"/>
      <c r="D5202" s="4039"/>
      <c r="E5202" s="4039" t="s">
        <v>1133</v>
      </c>
      <c r="F5202" s="4177">
        <v>2312</v>
      </c>
      <c r="G5202" s="4178" t="s">
        <v>2797</v>
      </c>
      <c r="H5202" s="4179"/>
      <c r="I5202" s="4179">
        <v>1480</v>
      </c>
      <c r="J5202" s="4179"/>
      <c r="K5202" s="1950"/>
      <c r="L5202" s="4179"/>
      <c r="M5202" s="4179">
        <v>0</v>
      </c>
      <c r="N5202" s="2847"/>
      <c r="O5202" s="2560"/>
      <c r="P5202" s="1817" t="e">
        <f>INDEX(#REF!,MATCH(F5202,#REF!,0),2)</f>
        <v>#REF!</v>
      </c>
      <c r="Q5202" s="2560"/>
      <c r="R5202" s="2560"/>
      <c r="S5202" s="2560"/>
      <c r="T5202" s="2560"/>
      <c r="U5202" s="2560"/>
      <c r="V5202" s="2560"/>
      <c r="W5202" s="2560"/>
      <c r="X5202" s="1569"/>
    </row>
    <row r="5203" spans="2:24">
      <c r="B5203" s="4039" t="s">
        <v>1248</v>
      </c>
      <c r="C5203" s="4177"/>
      <c r="D5203" s="4039"/>
      <c r="E5203" s="4039" t="s">
        <v>1133</v>
      </c>
      <c r="F5203" s="4177">
        <v>2312</v>
      </c>
      <c r="G5203" s="4178" t="s">
        <v>2798</v>
      </c>
      <c r="H5203" s="4179"/>
      <c r="I5203" s="4179">
        <v>333</v>
      </c>
      <c r="J5203" s="4179"/>
      <c r="K5203" s="1950"/>
      <c r="L5203" s="4179"/>
      <c r="M5203" s="4179">
        <v>0</v>
      </c>
      <c r="N5203" s="2847"/>
      <c r="O5203" s="2560"/>
      <c r="P5203" s="1817" t="e">
        <f>INDEX(#REF!,MATCH(F5203,#REF!,0),2)</f>
        <v>#REF!</v>
      </c>
      <c r="Q5203" s="2560"/>
      <c r="R5203" s="2560"/>
      <c r="S5203" s="2560"/>
      <c r="T5203" s="2560"/>
      <c r="U5203" s="2560"/>
      <c r="V5203" s="2560"/>
      <c r="W5203" s="2560"/>
      <c r="X5203" s="1569"/>
    </row>
    <row r="5204" spans="2:24">
      <c r="B5204" s="4039" t="s">
        <v>1248</v>
      </c>
      <c r="C5204" s="4177"/>
      <c r="D5204" s="4039"/>
      <c r="E5204" s="4039" t="s">
        <v>1133</v>
      </c>
      <c r="F5204" s="4177">
        <v>2312</v>
      </c>
      <c r="G5204" s="4178" t="s">
        <v>2799</v>
      </c>
      <c r="H5204" s="4179"/>
      <c r="I5204" s="4179">
        <v>341</v>
      </c>
      <c r="J5204" s="4179"/>
      <c r="K5204" s="1950"/>
      <c r="L5204" s="4179"/>
      <c r="M5204" s="4179">
        <v>0</v>
      </c>
      <c r="N5204" s="2847"/>
      <c r="O5204" s="2560"/>
      <c r="P5204" s="1817" t="e">
        <f>INDEX(#REF!,MATCH(F5204,#REF!,0),2)</f>
        <v>#REF!</v>
      </c>
      <c r="Q5204" s="2560"/>
      <c r="R5204" s="2560"/>
      <c r="S5204" s="2560"/>
      <c r="T5204" s="2560"/>
      <c r="U5204" s="2560"/>
      <c r="V5204" s="2560"/>
      <c r="W5204" s="2560"/>
      <c r="X5204" s="1569"/>
    </row>
    <row r="5205" spans="2:24">
      <c r="B5205" s="4039" t="s">
        <v>1248</v>
      </c>
      <c r="C5205" s="4177"/>
      <c r="D5205" s="4039"/>
      <c r="E5205" s="4039" t="s">
        <v>1133</v>
      </c>
      <c r="F5205" s="4177">
        <v>2312</v>
      </c>
      <c r="G5205" s="4178" t="s">
        <v>2800</v>
      </c>
      <c r="H5205" s="4179"/>
      <c r="I5205" s="4179">
        <v>2120</v>
      </c>
      <c r="J5205" s="4179"/>
      <c r="K5205" s="1950"/>
      <c r="L5205" s="4179"/>
      <c r="M5205" s="4179">
        <v>1400</v>
      </c>
      <c r="N5205" s="2847" t="s">
        <v>5549</v>
      </c>
      <c r="O5205" s="2560"/>
      <c r="P5205" s="1817" t="e">
        <f>INDEX(#REF!,MATCH(F5205,#REF!,0),2)</f>
        <v>#REF!</v>
      </c>
      <c r="Q5205" s="2560"/>
      <c r="R5205" s="2560"/>
      <c r="S5205" s="2560"/>
      <c r="T5205" s="2560"/>
      <c r="U5205" s="2560"/>
      <c r="V5205" s="2560"/>
      <c r="W5205" s="2560"/>
      <c r="X5205" s="1569"/>
    </row>
    <row r="5206" spans="2:24">
      <c r="B5206" s="4039" t="s">
        <v>1248</v>
      </c>
      <c r="C5206" s="4177"/>
      <c r="D5206" s="4039"/>
      <c r="E5206" s="4039" t="s">
        <v>1133</v>
      </c>
      <c r="F5206" s="4177">
        <v>2312</v>
      </c>
      <c r="G5206" s="4178" t="s">
        <v>5860</v>
      </c>
      <c r="H5206" s="4179"/>
      <c r="I5206" s="4179"/>
      <c r="J5206" s="4179"/>
      <c r="K5206" s="1950"/>
      <c r="L5206" s="4179"/>
      <c r="M5206" s="4179">
        <v>600</v>
      </c>
      <c r="N5206" s="2847"/>
      <c r="O5206" s="2560"/>
      <c r="P5206" s="1817" t="e">
        <f>INDEX(#REF!,MATCH(F5206,#REF!,0),2)</f>
        <v>#REF!</v>
      </c>
      <c r="Q5206" s="2560"/>
      <c r="R5206" s="2560"/>
      <c r="S5206" s="2560"/>
      <c r="T5206" s="2560"/>
      <c r="U5206" s="2560"/>
      <c r="V5206" s="2560"/>
      <c r="W5206" s="2560"/>
      <c r="X5206" s="1569"/>
    </row>
    <row r="5207" spans="2:24">
      <c r="B5207" s="4039" t="s">
        <v>1248</v>
      </c>
      <c r="C5207" s="4177"/>
      <c r="D5207" s="4039"/>
      <c r="E5207" s="4039" t="s">
        <v>1133</v>
      </c>
      <c r="F5207" s="4177">
        <v>2312</v>
      </c>
      <c r="G5207" s="4178" t="s">
        <v>5861</v>
      </c>
      <c r="H5207" s="4179"/>
      <c r="I5207" s="4179">
        <v>700</v>
      </c>
      <c r="J5207" s="4179"/>
      <c r="K5207" s="1950"/>
      <c r="L5207" s="4179"/>
      <c r="M5207" s="4179">
        <v>400</v>
      </c>
      <c r="N5207" s="2847" t="s">
        <v>5550</v>
      </c>
      <c r="O5207" s="2560"/>
      <c r="P5207" s="1817" t="e">
        <f>INDEX(#REF!,MATCH(F5207,#REF!,0),2)</f>
        <v>#REF!</v>
      </c>
      <c r="Q5207" s="2560"/>
      <c r="R5207" s="2560"/>
      <c r="S5207" s="2560"/>
      <c r="T5207" s="2560"/>
      <c r="U5207" s="2560"/>
      <c r="V5207" s="2560"/>
      <c r="W5207" s="2560"/>
      <c r="X5207" s="1569"/>
    </row>
    <row r="5208" spans="2:24" ht="22.5">
      <c r="B5208" s="4039" t="s">
        <v>1248</v>
      </c>
      <c r="C5208" s="4177"/>
      <c r="D5208" s="4039"/>
      <c r="E5208" s="4039" t="s">
        <v>1133</v>
      </c>
      <c r="F5208" s="4177">
        <v>2312</v>
      </c>
      <c r="G5208" s="4178" t="s">
        <v>2801</v>
      </c>
      <c r="H5208" s="4179"/>
      <c r="I5208" s="4179">
        <v>1000</v>
      </c>
      <c r="J5208" s="4179"/>
      <c r="K5208" s="1950"/>
      <c r="L5208" s="4179"/>
      <c r="M5208" s="4179">
        <v>0</v>
      </c>
      <c r="N5208" s="2847"/>
      <c r="O5208" s="2560"/>
      <c r="P5208" s="1817" t="e">
        <f>INDEX(#REF!,MATCH(F5208,#REF!,0),2)</f>
        <v>#REF!</v>
      </c>
      <c r="Q5208" s="2560"/>
      <c r="R5208" s="2560"/>
      <c r="S5208" s="2560"/>
      <c r="T5208" s="2560"/>
      <c r="U5208" s="2560"/>
      <c r="V5208" s="2560"/>
      <c r="W5208" s="2560"/>
      <c r="X5208" s="1569"/>
    </row>
    <row r="5209" spans="2:24" ht="33.75">
      <c r="B5209" s="4039" t="s">
        <v>1248</v>
      </c>
      <c r="C5209" s="4177"/>
      <c r="D5209" s="4039"/>
      <c r="E5209" s="4039" t="s">
        <v>1133</v>
      </c>
      <c r="F5209" s="4177">
        <v>2312</v>
      </c>
      <c r="G5209" s="4178" t="s">
        <v>6052</v>
      </c>
      <c r="H5209" s="4179"/>
      <c r="I5209" s="4179">
        <v>7820</v>
      </c>
      <c r="J5209" s="4179"/>
      <c r="K5209" s="1950"/>
      <c r="L5209" s="4179"/>
      <c r="M5209" s="4179">
        <v>10000</v>
      </c>
      <c r="N5209" s="2847" t="s">
        <v>5863</v>
      </c>
      <c r="O5209" s="2560"/>
      <c r="P5209" s="1817" t="e">
        <f>INDEX(#REF!,MATCH(F5209,#REF!,0),2)</f>
        <v>#REF!</v>
      </c>
      <c r="Q5209" s="2560"/>
      <c r="R5209" s="2560"/>
      <c r="S5209" s="2560"/>
      <c r="T5209" s="2560"/>
      <c r="U5209" s="2560"/>
      <c r="V5209" s="2560"/>
      <c r="W5209" s="2560"/>
      <c r="X5209" s="1569"/>
    </row>
    <row r="5210" spans="2:24" ht="22.5">
      <c r="B5210" s="4039" t="s">
        <v>1248</v>
      </c>
      <c r="C5210" s="4177"/>
      <c r="D5210" s="4039"/>
      <c r="E5210" s="4039" t="s">
        <v>1133</v>
      </c>
      <c r="F5210" s="4177">
        <v>2312</v>
      </c>
      <c r="G5210" s="4178" t="s">
        <v>6080</v>
      </c>
      <c r="H5210" s="4179"/>
      <c r="I5210" s="4179">
        <v>10000</v>
      </c>
      <c r="J5210" s="4179"/>
      <c r="K5210" s="4203"/>
      <c r="L5210" s="4179"/>
      <c r="M5210" s="4179"/>
      <c r="N5210" s="2847"/>
      <c r="O5210" s="2560"/>
      <c r="P5210" s="1817" t="e">
        <f>INDEX(#REF!,MATCH(F5210,#REF!,0),2)</f>
        <v>#REF!</v>
      </c>
      <c r="Q5210" s="2560"/>
      <c r="R5210" s="2560"/>
      <c r="S5210" s="2560"/>
      <c r="T5210" s="2560"/>
      <c r="U5210" s="2560"/>
      <c r="V5210" s="2560"/>
      <c r="W5210" s="2560"/>
      <c r="X5210" s="1569"/>
    </row>
    <row r="5211" spans="2:24" ht="22.5">
      <c r="B5211" s="4039" t="s">
        <v>1248</v>
      </c>
      <c r="C5211" s="4177"/>
      <c r="D5211" s="4039"/>
      <c r="E5211" s="4039" t="s">
        <v>1133</v>
      </c>
      <c r="F5211" s="4177">
        <v>2312</v>
      </c>
      <c r="G5211" s="4178" t="s">
        <v>5538</v>
      </c>
      <c r="H5211" s="4179"/>
      <c r="I5211" s="4179"/>
      <c r="J5211" s="4179"/>
      <c r="K5211" s="1950"/>
      <c r="L5211" s="4179"/>
      <c r="M5211" s="4179">
        <v>1600</v>
      </c>
      <c r="N5211" s="2847" t="s">
        <v>5864</v>
      </c>
      <c r="O5211" s="2560"/>
      <c r="P5211" s="1817" t="e">
        <f>INDEX(#REF!,MATCH(F5211,#REF!,0),2)</f>
        <v>#REF!</v>
      </c>
      <c r="Q5211" s="2560"/>
      <c r="R5211" s="2560"/>
      <c r="S5211" s="2560"/>
      <c r="T5211" s="2560"/>
      <c r="U5211" s="2560"/>
      <c r="V5211" s="2560"/>
      <c r="W5211" s="2560"/>
      <c r="X5211" s="1569"/>
    </row>
    <row r="5212" spans="2:24">
      <c r="B5212" s="4039" t="s">
        <v>1248</v>
      </c>
      <c r="C5212" s="4177"/>
      <c r="D5212" s="4039"/>
      <c r="E5212" s="4039" t="s">
        <v>1133</v>
      </c>
      <c r="F5212" s="4177">
        <v>2312</v>
      </c>
      <c r="G5212" s="4179" t="s">
        <v>2802</v>
      </c>
      <c r="H5212" s="4179"/>
      <c r="I5212" s="4179">
        <v>2300</v>
      </c>
      <c r="J5212" s="4179"/>
      <c r="K5212" s="1950"/>
      <c r="L5212" s="4179"/>
      <c r="M5212" s="4179">
        <v>0</v>
      </c>
      <c r="N5212" s="2847"/>
      <c r="O5212" s="2560"/>
      <c r="P5212" s="1817" t="e">
        <f>INDEX(#REF!,MATCH(F5212,#REF!,0),2)</f>
        <v>#REF!</v>
      </c>
      <c r="Q5212" s="2560"/>
      <c r="R5212" s="2560"/>
      <c r="S5212" s="2560"/>
      <c r="T5212" s="2560"/>
      <c r="U5212" s="2560"/>
      <c r="V5212" s="2560"/>
      <c r="W5212" s="2560"/>
      <c r="X5212" s="1569"/>
    </row>
    <row r="5213" spans="2:24" ht="19.149999999999999" customHeight="1">
      <c r="B5213" s="4039" t="s">
        <v>1248</v>
      </c>
      <c r="C5213" s="4177"/>
      <c r="D5213" s="4039"/>
      <c r="E5213" s="4039" t="s">
        <v>1133</v>
      </c>
      <c r="F5213" s="4177">
        <v>2312</v>
      </c>
      <c r="G5213" s="4179" t="s">
        <v>2803</v>
      </c>
      <c r="H5213" s="4179"/>
      <c r="I5213" s="4179">
        <v>1650</v>
      </c>
      <c r="J5213" s="4179"/>
      <c r="K5213" s="1950"/>
      <c r="L5213" s="4179"/>
      <c r="M5213" s="4179">
        <v>1080</v>
      </c>
      <c r="N5213" s="2847" t="s">
        <v>5551</v>
      </c>
      <c r="O5213" s="2560"/>
      <c r="P5213" s="1817" t="e">
        <f>INDEX(#REF!,MATCH(F5213,#REF!,0),2)</f>
        <v>#REF!</v>
      </c>
      <c r="Q5213" s="2560"/>
      <c r="R5213" s="2560"/>
      <c r="S5213" s="2560"/>
      <c r="T5213" s="2560"/>
      <c r="U5213" s="2560"/>
      <c r="V5213" s="2560"/>
      <c r="W5213" s="2560"/>
      <c r="X5213" s="1569"/>
    </row>
    <row r="5214" spans="2:24">
      <c r="B5214" s="4039" t="s">
        <v>1248</v>
      </c>
      <c r="C5214" s="4177"/>
      <c r="D5214" s="4039"/>
      <c r="E5214" s="4039" t="s">
        <v>1133</v>
      </c>
      <c r="F5214" s="4177">
        <v>2312</v>
      </c>
      <c r="G5214" s="4179" t="s">
        <v>2804</v>
      </c>
      <c r="H5214" s="4179"/>
      <c r="I5214" s="4179">
        <v>3000</v>
      </c>
      <c r="J5214" s="4179"/>
      <c r="K5214" s="1950"/>
      <c r="L5214" s="4179"/>
      <c r="M5214" s="4179">
        <v>1600</v>
      </c>
      <c r="N5214" s="2847"/>
      <c r="O5214" s="2560"/>
      <c r="P5214" s="1817" t="e">
        <f>INDEX(#REF!,MATCH(F5214,#REF!,0),2)</f>
        <v>#REF!</v>
      </c>
      <c r="Q5214" s="2560"/>
      <c r="R5214" s="2560"/>
      <c r="S5214" s="2560"/>
      <c r="T5214" s="2560"/>
      <c r="U5214" s="2560"/>
      <c r="V5214" s="2560"/>
      <c r="W5214" s="2560"/>
      <c r="X5214" s="1569"/>
    </row>
    <row r="5215" spans="2:24">
      <c r="B5215" s="4039" t="s">
        <v>1248</v>
      </c>
      <c r="C5215" s="4177"/>
      <c r="D5215" s="4039"/>
      <c r="E5215" s="4039" t="s">
        <v>1133</v>
      </c>
      <c r="F5215" s="4177">
        <v>2312</v>
      </c>
      <c r="G5215" s="4179" t="s">
        <v>2805</v>
      </c>
      <c r="H5215" s="4179"/>
      <c r="I5215" s="4179">
        <v>700</v>
      </c>
      <c r="J5215" s="4179"/>
      <c r="K5215" s="1950"/>
      <c r="L5215" s="4179"/>
      <c r="M5215" s="4179">
        <v>700</v>
      </c>
      <c r="N5215" s="2847"/>
      <c r="O5215" s="2560"/>
      <c r="P5215" s="1817" t="e">
        <f>INDEX(#REF!,MATCH(F5215,#REF!,0),2)</f>
        <v>#REF!</v>
      </c>
      <c r="Q5215" s="2560"/>
      <c r="R5215" s="2560"/>
      <c r="S5215" s="2560"/>
      <c r="T5215" s="2560"/>
      <c r="U5215" s="2560"/>
      <c r="V5215" s="2560"/>
      <c r="W5215" s="2560"/>
      <c r="X5215" s="1569"/>
    </row>
    <row r="5216" spans="2:24">
      <c r="B5216" s="4039" t="s">
        <v>1248</v>
      </c>
      <c r="C5216" s="4177"/>
      <c r="D5216" s="4039"/>
      <c r="E5216" s="4039" t="s">
        <v>1133</v>
      </c>
      <c r="F5216" s="4177">
        <v>2312</v>
      </c>
      <c r="G5216" s="4179" t="s">
        <v>6053</v>
      </c>
      <c r="H5216" s="4179"/>
      <c r="I5216" s="4179"/>
      <c r="J5216" s="4179"/>
      <c r="K5216" s="1950"/>
      <c r="L5216" s="4179"/>
      <c r="M5216" s="4179">
        <v>1000</v>
      </c>
      <c r="N5216" s="2847"/>
      <c r="O5216" s="2560"/>
      <c r="P5216" s="1817" t="e">
        <f>INDEX(#REF!,MATCH(F5216,#REF!,0),2)</f>
        <v>#REF!</v>
      </c>
      <c r="Q5216" s="2560"/>
      <c r="R5216" s="2560"/>
      <c r="S5216" s="2560"/>
      <c r="T5216" s="2560"/>
      <c r="U5216" s="2560"/>
      <c r="V5216" s="2560"/>
      <c r="W5216" s="2560"/>
      <c r="X5216" s="1569"/>
    </row>
    <row r="5217" spans="2:24">
      <c r="B5217" s="4039" t="s">
        <v>1248</v>
      </c>
      <c r="C5217" s="4177"/>
      <c r="D5217" s="4039"/>
      <c r="E5217" s="4039" t="s">
        <v>1133</v>
      </c>
      <c r="F5217" s="4177">
        <v>2312</v>
      </c>
      <c r="G5217" s="4179" t="s">
        <v>5539</v>
      </c>
      <c r="H5217" s="4179"/>
      <c r="I5217" s="4179"/>
      <c r="J5217" s="4179"/>
      <c r="K5217" s="1950"/>
      <c r="L5217" s="4179"/>
      <c r="M5217" s="4179">
        <v>300</v>
      </c>
      <c r="N5217" s="2847"/>
      <c r="O5217" s="2560"/>
      <c r="P5217" s="1817"/>
      <c r="Q5217" s="2560"/>
      <c r="R5217" s="2560"/>
      <c r="S5217" s="2560"/>
      <c r="T5217" s="2560"/>
      <c r="U5217" s="2560"/>
      <c r="V5217" s="2560"/>
      <c r="W5217" s="2560"/>
      <c r="X5217" s="1569"/>
    </row>
    <row r="5218" spans="2:24">
      <c r="B5218" s="4039" t="s">
        <v>1248</v>
      </c>
      <c r="C5218" s="4177"/>
      <c r="D5218" s="4039"/>
      <c r="E5218" s="4039" t="s">
        <v>1133</v>
      </c>
      <c r="F5218" s="4177">
        <v>2312</v>
      </c>
      <c r="G5218" s="4179" t="s">
        <v>2806</v>
      </c>
      <c r="H5218" s="4179"/>
      <c r="I5218" s="4179">
        <v>200</v>
      </c>
      <c r="J5218" s="4179"/>
      <c r="K5218" s="1950"/>
      <c r="L5218" s="4179"/>
      <c r="M5218" s="4179">
        <v>0</v>
      </c>
      <c r="N5218" s="2847"/>
      <c r="O5218" s="2560"/>
      <c r="P5218" s="1817" t="e">
        <f>INDEX(#REF!,MATCH(F5218,#REF!,0),2)</f>
        <v>#REF!</v>
      </c>
      <c r="Q5218" s="2560"/>
      <c r="R5218" s="2560"/>
      <c r="S5218" s="2560"/>
      <c r="T5218" s="2560"/>
      <c r="U5218" s="2560"/>
      <c r="V5218" s="2560"/>
      <c r="W5218" s="2560"/>
      <c r="X5218" s="1569"/>
    </row>
    <row r="5219" spans="2:24">
      <c r="B5219" s="4039" t="s">
        <v>1248</v>
      </c>
      <c r="C5219" s="4177"/>
      <c r="D5219" s="4039"/>
      <c r="E5219" s="4039" t="s">
        <v>1133</v>
      </c>
      <c r="F5219" s="4177">
        <v>2312</v>
      </c>
      <c r="G5219" s="4179" t="s">
        <v>2807</v>
      </c>
      <c r="H5219" s="4179"/>
      <c r="I5219" s="4179">
        <v>400</v>
      </c>
      <c r="J5219" s="4179"/>
      <c r="K5219" s="1950"/>
      <c r="L5219" s="4179"/>
      <c r="M5219" s="4179">
        <v>0</v>
      </c>
      <c r="N5219" s="2847"/>
      <c r="O5219" s="2560"/>
      <c r="P5219" s="1817" t="e">
        <f>INDEX(#REF!,MATCH(F5219,#REF!,0),2)</f>
        <v>#REF!</v>
      </c>
      <c r="Q5219" s="2559"/>
      <c r="R5219" s="2559"/>
      <c r="S5219" s="2559"/>
      <c r="T5219" s="2559"/>
      <c r="U5219" s="2559"/>
      <c r="V5219" s="2559"/>
      <c r="W5219" s="2559"/>
      <c r="X5219" s="152"/>
    </row>
    <row r="5220" spans="2:24">
      <c r="B5220" s="4039" t="s">
        <v>1248</v>
      </c>
      <c r="C5220" s="4177"/>
      <c r="D5220" s="4039"/>
      <c r="E5220" s="4039" t="s">
        <v>1133</v>
      </c>
      <c r="F5220" s="4177">
        <v>2312</v>
      </c>
      <c r="G5220" s="4178" t="s">
        <v>2808</v>
      </c>
      <c r="H5220" s="4179"/>
      <c r="I5220" s="4179">
        <v>350</v>
      </c>
      <c r="J5220" s="4179"/>
      <c r="K5220" s="1950"/>
      <c r="L5220" s="4179"/>
      <c r="M5220" s="4179">
        <v>0</v>
      </c>
      <c r="N5220" s="2847"/>
      <c r="O5220" s="2560"/>
      <c r="P5220" s="1817" t="e">
        <f>INDEX(#REF!,MATCH(F5220,#REF!,0),2)</f>
        <v>#REF!</v>
      </c>
      <c r="Q5220" s="2560"/>
      <c r="R5220" s="2560"/>
      <c r="S5220" s="2560"/>
      <c r="T5220" s="2560"/>
      <c r="U5220" s="2560"/>
      <c r="V5220" s="2560"/>
      <c r="W5220" s="2560"/>
      <c r="X5220" s="1569"/>
    </row>
    <row r="5221" spans="2:24" ht="22.5">
      <c r="B5221" s="4039" t="s">
        <v>1248</v>
      </c>
      <c r="C5221" s="4177"/>
      <c r="D5221" s="4039"/>
      <c r="E5221" s="4039" t="s">
        <v>1133</v>
      </c>
      <c r="F5221" s="4177">
        <v>2312</v>
      </c>
      <c r="G5221" s="3120" t="s">
        <v>5540</v>
      </c>
      <c r="H5221" s="4179"/>
      <c r="I5221" s="4179">
        <v>1600</v>
      </c>
      <c r="J5221" s="4179"/>
      <c r="K5221" s="1950"/>
      <c r="L5221" s="4179"/>
      <c r="M5221" s="4179">
        <v>1600</v>
      </c>
      <c r="N5221" s="2847"/>
      <c r="O5221" s="2559"/>
      <c r="P5221" s="1817" t="e">
        <f>INDEX(#REF!,MATCH(F5221,#REF!,0),2)</f>
        <v>#REF!</v>
      </c>
      <c r="Q5221" s="2560"/>
      <c r="R5221" s="2560"/>
      <c r="S5221" s="2560"/>
      <c r="T5221" s="2560"/>
      <c r="U5221" s="2560"/>
      <c r="V5221" s="2560"/>
      <c r="W5221" s="2560"/>
      <c r="X5221" s="1569"/>
    </row>
    <row r="5222" spans="2:24">
      <c r="B5222" s="4039" t="s">
        <v>1248</v>
      </c>
      <c r="C5222" s="4177"/>
      <c r="D5222" s="4039"/>
      <c r="E5222" s="4039" t="s">
        <v>1133</v>
      </c>
      <c r="F5222" s="4177">
        <v>2312</v>
      </c>
      <c r="G5222" s="4178" t="s">
        <v>2809</v>
      </c>
      <c r="H5222" s="4179"/>
      <c r="I5222" s="4179">
        <v>3600</v>
      </c>
      <c r="J5222" s="4179"/>
      <c r="K5222" s="1950"/>
      <c r="L5222" s="4179"/>
      <c r="M5222" s="4179">
        <v>0</v>
      </c>
      <c r="N5222" s="2847"/>
      <c r="O5222" s="2560"/>
      <c r="P5222" s="1817" t="e">
        <f>INDEX(#REF!,MATCH(F5222,#REF!,0),2)</f>
        <v>#REF!</v>
      </c>
      <c r="Q5222" s="2560"/>
      <c r="R5222" s="2560"/>
      <c r="S5222" s="2560"/>
      <c r="T5222" s="2560"/>
      <c r="U5222" s="2560"/>
      <c r="V5222" s="2560"/>
      <c r="W5222" s="2560"/>
      <c r="X5222" s="1569"/>
    </row>
    <row r="5223" spans="2:24" ht="45">
      <c r="B5223" s="4039" t="s">
        <v>1248</v>
      </c>
      <c r="C5223" s="4177"/>
      <c r="D5223" s="4039"/>
      <c r="E5223" s="4039" t="s">
        <v>1133</v>
      </c>
      <c r="F5223" s="4177">
        <v>2312</v>
      </c>
      <c r="G5223" s="4178" t="s">
        <v>5541</v>
      </c>
      <c r="H5223" s="4179"/>
      <c r="I5223" s="4179">
        <v>2000</v>
      </c>
      <c r="J5223" s="4179"/>
      <c r="K5223" s="1950"/>
      <c r="L5223" s="4179"/>
      <c r="M5223" s="4179">
        <v>3000</v>
      </c>
      <c r="N5223" s="2847" t="s">
        <v>5865</v>
      </c>
      <c r="O5223" s="2560"/>
      <c r="P5223" s="1817" t="e">
        <f>INDEX(#REF!,MATCH(F5223,#REF!,0),2)</f>
        <v>#REF!</v>
      </c>
      <c r="Q5223" s="2560"/>
      <c r="R5223" s="2560"/>
      <c r="S5223" s="2560"/>
      <c r="T5223" s="2560"/>
      <c r="U5223" s="2560"/>
      <c r="V5223" s="2560"/>
      <c r="W5223" s="2560"/>
      <c r="X5223" s="1569"/>
    </row>
    <row r="5224" spans="2:24" ht="22.5">
      <c r="B5224" s="4039" t="s">
        <v>1248</v>
      </c>
      <c r="C5224" s="4177"/>
      <c r="D5224" s="4039"/>
      <c r="E5224" s="4039" t="s">
        <v>1133</v>
      </c>
      <c r="F5224" s="4177">
        <v>2312</v>
      </c>
      <c r="G5224" s="4178" t="s">
        <v>5542</v>
      </c>
      <c r="H5224" s="4179"/>
      <c r="I5224" s="4179"/>
      <c r="J5224" s="4179"/>
      <c r="K5224" s="1950"/>
      <c r="L5224" s="4179"/>
      <c r="M5224" s="4179">
        <v>1000</v>
      </c>
      <c r="N5224" s="2847"/>
      <c r="O5224" s="2560"/>
      <c r="P5224" s="1817"/>
      <c r="Q5224" s="2559"/>
      <c r="R5224" s="2559"/>
      <c r="S5224" s="2559"/>
      <c r="T5224" s="2559"/>
      <c r="U5224" s="2559"/>
      <c r="V5224" s="2559"/>
      <c r="W5224" s="2559"/>
      <c r="X5224" s="152"/>
    </row>
    <row r="5225" spans="2:24">
      <c r="B5225" s="4039" t="s">
        <v>1248</v>
      </c>
      <c r="C5225" s="4177"/>
      <c r="D5225" s="4039"/>
      <c r="E5225" s="4039" t="s">
        <v>1133</v>
      </c>
      <c r="F5225" s="4177">
        <v>2312</v>
      </c>
      <c r="G5225" s="4178" t="s">
        <v>5543</v>
      </c>
      <c r="H5225" s="4179"/>
      <c r="I5225" s="4179"/>
      <c r="J5225" s="4179"/>
      <c r="K5225" s="1950"/>
      <c r="L5225" s="4179"/>
      <c r="M5225" s="4179">
        <v>0</v>
      </c>
      <c r="N5225" s="2847"/>
      <c r="O5225" s="2560"/>
      <c r="P5225" s="1817"/>
      <c r="Q5225" s="2560"/>
      <c r="R5225" s="2560"/>
      <c r="S5225" s="2560"/>
      <c r="T5225" s="2560"/>
      <c r="U5225" s="2560"/>
      <c r="V5225" s="2560"/>
      <c r="W5225" s="2560"/>
      <c r="X5225" s="1569"/>
    </row>
    <row r="5226" spans="2:24">
      <c r="B5226" s="4039" t="s">
        <v>1248</v>
      </c>
      <c r="C5226" s="4177"/>
      <c r="D5226" s="4039"/>
      <c r="E5226" s="4039" t="s">
        <v>1133</v>
      </c>
      <c r="F5226" s="4177">
        <v>2312</v>
      </c>
      <c r="G5226" s="4178" t="s">
        <v>5544</v>
      </c>
      <c r="H5226" s="4179"/>
      <c r="I5226" s="4179"/>
      <c r="J5226" s="4179"/>
      <c r="K5226" s="1950"/>
      <c r="L5226" s="4179"/>
      <c r="M5226" s="4179">
        <v>0</v>
      </c>
      <c r="N5226" s="2847"/>
      <c r="O5226" s="2559"/>
      <c r="P5226" s="1817" t="e">
        <f>INDEX(#REF!,MATCH(F5226,#REF!,0),2)</f>
        <v>#REF!</v>
      </c>
      <c r="Q5226" s="2559"/>
      <c r="R5226" s="2559"/>
      <c r="S5226" s="2559"/>
      <c r="T5226" s="2559"/>
      <c r="U5226" s="2559"/>
      <c r="V5226" s="2559"/>
      <c r="W5226" s="2559"/>
      <c r="X5226" s="152"/>
    </row>
    <row r="5227" spans="2:24">
      <c r="B5227" s="4039" t="s">
        <v>1248</v>
      </c>
      <c r="C5227" s="4177"/>
      <c r="D5227" s="4039"/>
      <c r="E5227" s="4039" t="s">
        <v>1133</v>
      </c>
      <c r="F5227" s="4177">
        <v>2312</v>
      </c>
      <c r="G5227" s="4178" t="s">
        <v>5545</v>
      </c>
      <c r="H5227" s="4179"/>
      <c r="I5227" s="4179"/>
      <c r="J5227" s="4179"/>
      <c r="K5227" s="1950"/>
      <c r="L5227" s="4179"/>
      <c r="M5227" s="4179">
        <v>0</v>
      </c>
      <c r="N5227" s="2847"/>
      <c r="O5227" s="2560"/>
      <c r="P5227" s="1817" t="e">
        <f>INDEX(#REF!,MATCH(F5227,#REF!,0),2)</f>
        <v>#REF!</v>
      </c>
      <c r="Q5227" s="2560"/>
      <c r="R5227" s="2560"/>
      <c r="S5227" s="2560"/>
      <c r="T5227" s="2560"/>
      <c r="U5227" s="2560"/>
      <c r="V5227" s="2560"/>
      <c r="W5227" s="2560"/>
      <c r="X5227" s="1569"/>
    </row>
    <row r="5228" spans="2:24">
      <c r="B5228" s="4039" t="s">
        <v>1248</v>
      </c>
      <c r="C5228" s="4177"/>
      <c r="D5228" s="4039"/>
      <c r="E5228" s="4039" t="s">
        <v>1133</v>
      </c>
      <c r="F5228" s="4177">
        <v>2312</v>
      </c>
      <c r="G5228" s="4179" t="s">
        <v>2810</v>
      </c>
      <c r="H5228" s="4179"/>
      <c r="I5228" s="4179">
        <v>1500</v>
      </c>
      <c r="J5228" s="4179"/>
      <c r="K5228" s="1950"/>
      <c r="L5228" s="4179"/>
      <c r="M5228" s="4179">
        <v>0</v>
      </c>
      <c r="N5228" s="2847"/>
      <c r="O5228" s="2559"/>
      <c r="P5228" s="1817" t="e">
        <f>INDEX(#REF!,MATCH(F5228,#REF!,0),2)</f>
        <v>#REF!</v>
      </c>
      <c r="Q5228" s="2560"/>
      <c r="R5228" s="2560"/>
      <c r="S5228" s="2560"/>
      <c r="T5228" s="2560"/>
      <c r="U5228" s="2560"/>
      <c r="V5228" s="2560"/>
      <c r="W5228" s="2560"/>
      <c r="X5228" s="1569"/>
    </row>
    <row r="5229" spans="2:24">
      <c r="B5229" s="4039" t="s">
        <v>1248</v>
      </c>
      <c r="C5229" s="4177"/>
      <c r="D5229" s="4039"/>
      <c r="E5229" s="4039" t="s">
        <v>1133</v>
      </c>
      <c r="F5229" s="4177">
        <v>2312</v>
      </c>
      <c r="G5229" s="4179" t="s">
        <v>2811</v>
      </c>
      <c r="H5229" s="4179"/>
      <c r="I5229" s="4179">
        <v>1500</v>
      </c>
      <c r="J5229" s="4179"/>
      <c r="K5229" s="1950"/>
      <c r="L5229" s="4179"/>
      <c r="M5229" s="4179">
        <v>0</v>
      </c>
      <c r="N5229" s="2847"/>
      <c r="O5229" s="2560"/>
      <c r="P5229" s="1817" t="e">
        <f>INDEX(#REF!,MATCH(F5229,#REF!,0),2)</f>
        <v>#REF!</v>
      </c>
      <c r="Q5229" s="2560"/>
      <c r="R5229" s="2560"/>
      <c r="S5229" s="2560"/>
      <c r="T5229" s="2560"/>
      <c r="U5229" s="2560"/>
      <c r="V5229" s="2560"/>
      <c r="W5229" s="2560"/>
      <c r="X5229" s="1569"/>
    </row>
    <row r="5230" spans="2:24">
      <c r="B5230" s="4039" t="s">
        <v>1248</v>
      </c>
      <c r="C5230" s="4177"/>
      <c r="D5230" s="4039"/>
      <c r="E5230" s="4039" t="s">
        <v>1133</v>
      </c>
      <c r="F5230" s="4177">
        <v>2312</v>
      </c>
      <c r="G5230" s="4178" t="s">
        <v>5546</v>
      </c>
      <c r="H5230" s="4179"/>
      <c r="I5230" s="4179">
        <v>1200</v>
      </c>
      <c r="J5230" s="4179"/>
      <c r="K5230" s="1950"/>
      <c r="L5230" s="4179"/>
      <c r="M5230" s="4179">
        <v>2000</v>
      </c>
      <c r="N5230" s="2847"/>
      <c r="O5230" s="2560"/>
      <c r="P5230" s="1817" t="e">
        <f>INDEX(#REF!,MATCH(F5230,#REF!,0),2)</f>
        <v>#REF!</v>
      </c>
      <c r="Q5230" s="2559"/>
      <c r="R5230" s="2559"/>
      <c r="S5230" s="2559"/>
      <c r="T5230" s="2559"/>
      <c r="U5230" s="2559"/>
      <c r="V5230" s="2559"/>
      <c r="W5230" s="2559"/>
      <c r="X5230" s="152"/>
    </row>
    <row r="5231" spans="2:24">
      <c r="B5231" s="4039" t="s">
        <v>1248</v>
      </c>
      <c r="C5231" s="4177"/>
      <c r="D5231" s="4039"/>
      <c r="E5231" s="4039" t="s">
        <v>1133</v>
      </c>
      <c r="F5231" s="4177">
        <v>2312</v>
      </c>
      <c r="G5231" s="4178" t="s">
        <v>2812</v>
      </c>
      <c r="H5231" s="4179"/>
      <c r="I5231" s="4179">
        <v>40</v>
      </c>
      <c r="J5231" s="4179"/>
      <c r="K5231" s="1950"/>
      <c r="L5231" s="4179"/>
      <c r="M5231" s="4179">
        <v>40</v>
      </c>
      <c r="N5231" s="2847"/>
      <c r="O5231" s="2560"/>
      <c r="P5231" s="1817" t="e">
        <f>INDEX(#REF!,MATCH(F5231,#REF!,0),2)</f>
        <v>#REF!</v>
      </c>
      <c r="Q5231" s="2560"/>
      <c r="R5231" s="2560"/>
      <c r="S5231" s="2560"/>
      <c r="T5231" s="2560"/>
      <c r="U5231" s="2560"/>
      <c r="V5231" s="2560"/>
      <c r="W5231" s="2560"/>
      <c r="X5231" s="1569"/>
    </row>
    <row r="5232" spans="2:24" ht="22.5">
      <c r="B5232" s="4039" t="s">
        <v>1248</v>
      </c>
      <c r="C5232" s="4177"/>
      <c r="D5232" s="4039"/>
      <c r="E5232" s="4039" t="s">
        <v>1133</v>
      </c>
      <c r="F5232" s="4177">
        <v>2312</v>
      </c>
      <c r="G5232" s="4178" t="s">
        <v>919</v>
      </c>
      <c r="H5232" s="4179"/>
      <c r="I5232" s="4179">
        <v>475</v>
      </c>
      <c r="J5232" s="4179"/>
      <c r="K5232" s="1950"/>
      <c r="L5232" s="4179"/>
      <c r="M5232" s="4179">
        <v>0</v>
      </c>
      <c r="N5232" s="2847"/>
      <c r="O5232" s="2559"/>
      <c r="P5232" s="1817" t="e">
        <f>INDEX(#REF!,MATCH(F5232,#REF!,0),2)</f>
        <v>#REF!</v>
      </c>
      <c r="Q5232" s="2560"/>
      <c r="R5232" s="2560"/>
      <c r="S5232" s="2560"/>
      <c r="T5232" s="2560"/>
      <c r="U5232" s="2560"/>
      <c r="V5232" s="2560"/>
      <c r="W5232" s="2560"/>
      <c r="X5232" s="1569"/>
    </row>
    <row r="5233" spans="2:24" ht="22.5">
      <c r="B5233" s="4039" t="s">
        <v>1248</v>
      </c>
      <c r="C5233" s="4177"/>
      <c r="D5233" s="4039"/>
      <c r="E5233" s="4039" t="s">
        <v>1133</v>
      </c>
      <c r="F5233" s="4177">
        <v>2312</v>
      </c>
      <c r="G5233" s="4178" t="s">
        <v>5862</v>
      </c>
      <c r="H5233" s="4179"/>
      <c r="I5233" s="4179">
        <v>2000</v>
      </c>
      <c r="J5233" s="4179"/>
      <c r="K5233" s="1950"/>
      <c r="L5233" s="4179"/>
      <c r="M5233" s="4307">
        <v>5000</v>
      </c>
      <c r="N5233" s="2846" t="s">
        <v>6054</v>
      </c>
      <c r="O5233" s="2560"/>
      <c r="P5233" s="1817" t="e">
        <f>INDEX(#REF!,MATCH(F5233,#REF!,0),2)</f>
        <v>#REF!</v>
      </c>
      <c r="Q5233" s="2560"/>
      <c r="R5233" s="2560"/>
      <c r="S5233" s="2560"/>
      <c r="T5233" s="2560"/>
      <c r="U5233" s="2560"/>
      <c r="V5233" s="2560"/>
      <c r="W5233" s="2560"/>
      <c r="X5233" s="1569"/>
    </row>
    <row r="5234" spans="2:24" ht="33.75">
      <c r="B5234" s="4039" t="s">
        <v>1248</v>
      </c>
      <c r="C5234" s="4177"/>
      <c r="D5234" s="4039"/>
      <c r="E5234" s="4039" t="s">
        <v>1133</v>
      </c>
      <c r="F5234" s="4177">
        <v>2312</v>
      </c>
      <c r="G5234" s="4178" t="s">
        <v>6083</v>
      </c>
      <c r="H5234" s="4179"/>
      <c r="I5234" s="4179">
        <v>5826</v>
      </c>
      <c r="J5234" s="4179"/>
      <c r="K5234" s="4203"/>
      <c r="L5234" s="4179"/>
      <c r="M5234" s="4307"/>
      <c r="N5234" s="2846"/>
      <c r="O5234" s="2560"/>
      <c r="P5234" s="1817" t="e">
        <f>INDEX(#REF!,MATCH(F5234,#REF!,0),2)</f>
        <v>#REF!</v>
      </c>
      <c r="Q5234" s="2560"/>
      <c r="R5234" s="2560"/>
      <c r="S5234" s="2560"/>
      <c r="T5234" s="2560"/>
      <c r="U5234" s="2560"/>
      <c r="V5234" s="2560"/>
      <c r="W5234" s="2560"/>
      <c r="X5234" s="1569"/>
    </row>
    <row r="5235" spans="2:24">
      <c r="B5235" s="4039" t="s">
        <v>1248</v>
      </c>
      <c r="C5235" s="4177"/>
      <c r="D5235" s="4039"/>
      <c r="E5235" s="4039" t="s">
        <v>1133</v>
      </c>
      <c r="F5235" s="4177">
        <v>2312</v>
      </c>
      <c r="G5235" s="4178" t="s">
        <v>2813</v>
      </c>
      <c r="H5235" s="4179"/>
      <c r="I5235" s="4179">
        <v>560</v>
      </c>
      <c r="J5235" s="4179"/>
      <c r="K5235" s="1950"/>
      <c r="L5235" s="4179"/>
      <c r="M5235" s="4179">
        <v>0</v>
      </c>
      <c r="N5235" s="2847"/>
      <c r="O5235" s="2560"/>
      <c r="P5235" s="1817" t="e">
        <f>INDEX(#REF!,MATCH(F5235,#REF!,0),2)</f>
        <v>#REF!</v>
      </c>
      <c r="Q5235" s="2559"/>
      <c r="R5235" s="2559"/>
      <c r="S5235" s="2559"/>
      <c r="T5235" s="2559"/>
      <c r="U5235" s="2559"/>
      <c r="V5235" s="2559"/>
      <c r="W5235" s="2559"/>
      <c r="X5235" s="1569"/>
    </row>
    <row r="5236" spans="2:24">
      <c r="B5236" s="4039" t="s">
        <v>1248</v>
      </c>
      <c r="C5236" s="4177"/>
      <c r="D5236" s="4039"/>
      <c r="E5236" s="4039" t="s">
        <v>1133</v>
      </c>
      <c r="F5236" s="4177">
        <v>2312</v>
      </c>
      <c r="G5236" s="4178" t="s">
        <v>5547</v>
      </c>
      <c r="H5236" s="4179"/>
      <c r="I5236" s="4179"/>
      <c r="J5236" s="4179"/>
      <c r="K5236" s="1950"/>
      <c r="L5236" s="4179"/>
      <c r="M5236" s="4179">
        <v>1300</v>
      </c>
      <c r="N5236" s="2847" t="s">
        <v>5552</v>
      </c>
      <c r="O5236" s="2560"/>
      <c r="P5236" s="1817" t="e">
        <f>INDEX(#REF!,MATCH(F5236,#REF!,0),2)</f>
        <v>#REF!</v>
      </c>
      <c r="Q5236" s="2559"/>
      <c r="R5236" s="2559"/>
      <c r="S5236" s="2559"/>
      <c r="T5236" s="2559"/>
      <c r="U5236" s="2559"/>
      <c r="V5236" s="2559"/>
      <c r="W5236" s="2559"/>
      <c r="X5236" s="152"/>
    </row>
    <row r="5237" spans="2:24">
      <c r="B5237" s="4039" t="s">
        <v>1248</v>
      </c>
      <c r="C5237" s="4177"/>
      <c r="D5237" s="4039"/>
      <c r="E5237" s="4039" t="s">
        <v>1133</v>
      </c>
      <c r="F5237" s="4177">
        <v>2312</v>
      </c>
      <c r="G5237" s="4178" t="s">
        <v>5548</v>
      </c>
      <c r="H5237" s="4179"/>
      <c r="I5237" s="4179"/>
      <c r="J5237" s="4179"/>
      <c r="K5237" s="1950"/>
      <c r="L5237" s="4179"/>
      <c r="M5237" s="4179">
        <v>430</v>
      </c>
      <c r="N5237" s="2847" t="s">
        <v>5553</v>
      </c>
      <c r="O5237" s="2559"/>
      <c r="P5237" s="1817" t="e">
        <f>INDEX(#REF!,MATCH(F5237,#REF!,0),2)</f>
        <v>#REF!</v>
      </c>
      <c r="Q5237" s="2560"/>
      <c r="R5237" s="2560"/>
      <c r="S5237" s="2560"/>
      <c r="T5237" s="2560"/>
      <c r="U5237" s="2560"/>
      <c r="V5237" s="2560"/>
      <c r="W5237" s="2560"/>
      <c r="X5237" s="2560"/>
    </row>
    <row r="5238" spans="2:24">
      <c r="B5238" s="4174" t="s">
        <v>1248</v>
      </c>
      <c r="C5238" s="4174"/>
      <c r="D5238" s="4174"/>
      <c r="E5238" s="4174" t="s">
        <v>1133</v>
      </c>
      <c r="F5238" s="4174">
        <v>2314</v>
      </c>
      <c r="G5238" s="4175" t="s">
        <v>2814</v>
      </c>
      <c r="H5238" s="4176">
        <v>3036</v>
      </c>
      <c r="I5238" s="4176"/>
      <c r="J5238" s="4176">
        <v>3184</v>
      </c>
      <c r="K5238" s="1948"/>
      <c r="L5238" s="4176">
        <v>1300</v>
      </c>
      <c r="M5238" s="4176"/>
      <c r="N5238" s="2847"/>
      <c r="O5238" s="2559"/>
      <c r="P5238" s="1817" t="e">
        <f>INDEX(#REF!,MATCH(F5238,#REF!,0),2)</f>
        <v>#REF!</v>
      </c>
      <c r="Q5238" s="2560"/>
      <c r="R5238" s="2560"/>
      <c r="S5238" s="2560"/>
      <c r="T5238" s="2560"/>
      <c r="U5238" s="2560"/>
      <c r="V5238" s="2560"/>
      <c r="W5238" s="2560"/>
      <c r="X5238" s="1569"/>
    </row>
    <row r="5239" spans="2:24">
      <c r="B5239" s="4177" t="s">
        <v>1248</v>
      </c>
      <c r="C5239" s="4177"/>
      <c r="D5239" s="4177"/>
      <c r="E5239" s="4177" t="s">
        <v>1133</v>
      </c>
      <c r="F5239" s="4177">
        <v>2314</v>
      </c>
      <c r="G5239" s="4178" t="s">
        <v>2815</v>
      </c>
      <c r="H5239" s="4179"/>
      <c r="I5239" s="4179">
        <v>900</v>
      </c>
      <c r="J5239" s="4179"/>
      <c r="K5239" s="1950"/>
      <c r="L5239" s="4179"/>
      <c r="M5239" s="4179">
        <v>500</v>
      </c>
      <c r="N5239" s="2847"/>
      <c r="O5239" s="2560"/>
      <c r="P5239" s="1817" t="e">
        <f>INDEX(#REF!,MATCH(F5239,#REF!,0),2)</f>
        <v>#REF!</v>
      </c>
      <c r="Q5239" s="2560"/>
      <c r="R5239" s="2560"/>
      <c r="S5239" s="2560"/>
      <c r="T5239" s="2560"/>
      <c r="U5239" s="2560"/>
      <c r="V5239" s="2560"/>
      <c r="W5239" s="2560"/>
      <c r="X5239" s="1569"/>
    </row>
    <row r="5240" spans="2:24">
      <c r="B5240" s="4177" t="s">
        <v>1248</v>
      </c>
      <c r="C5240" s="4177"/>
      <c r="D5240" s="4177"/>
      <c r="E5240" s="4177" t="s">
        <v>1133</v>
      </c>
      <c r="F5240" s="4177">
        <v>2314</v>
      </c>
      <c r="G5240" s="4178" t="s">
        <v>2816</v>
      </c>
      <c r="H5240" s="4179"/>
      <c r="I5240" s="4179">
        <v>300</v>
      </c>
      <c r="J5240" s="4179"/>
      <c r="K5240" s="1950"/>
      <c r="L5240" s="4179"/>
      <c r="M5240" s="4179">
        <v>300</v>
      </c>
      <c r="N5240" s="2847"/>
      <c r="O5240" s="2560"/>
      <c r="P5240" s="1817" t="e">
        <f>INDEX(#REF!,MATCH(F5240,#REF!,0),2)</f>
        <v>#REF!</v>
      </c>
      <c r="Q5240" s="2560"/>
      <c r="R5240" s="2560"/>
      <c r="S5240" s="2560"/>
      <c r="T5240" s="2560"/>
      <c r="U5240" s="2560"/>
      <c r="V5240" s="2560"/>
      <c r="W5240" s="2560"/>
      <c r="X5240" s="1569"/>
    </row>
    <row r="5241" spans="2:24" ht="27" customHeight="1">
      <c r="B5241" s="4177" t="s">
        <v>1248</v>
      </c>
      <c r="C5241" s="4177"/>
      <c r="D5241" s="4177"/>
      <c r="E5241" s="4177" t="s">
        <v>1133</v>
      </c>
      <c r="F5241" s="4177">
        <v>2314</v>
      </c>
      <c r="G5241" s="4178" t="s">
        <v>5554</v>
      </c>
      <c r="H5241" s="4179"/>
      <c r="I5241" s="4179">
        <v>300</v>
      </c>
      <c r="J5241" s="4179"/>
      <c r="K5241" s="4042"/>
      <c r="L5241" s="4179"/>
      <c r="M5241" s="4307">
        <v>500</v>
      </c>
      <c r="N5241" s="241" t="s">
        <v>5156</v>
      </c>
      <c r="O5241" s="2560"/>
      <c r="P5241" s="1817" t="e">
        <f>INDEX(#REF!,MATCH(F5241,#REF!,0),2)</f>
        <v>#REF!</v>
      </c>
      <c r="Q5241" s="2560"/>
      <c r="R5241" s="2560"/>
      <c r="S5241" s="2560"/>
      <c r="T5241" s="2560"/>
      <c r="U5241" s="2560"/>
      <c r="V5241" s="2560"/>
      <c r="W5241" s="2560"/>
      <c r="X5241" s="1569"/>
    </row>
    <row r="5242" spans="2:24">
      <c r="B5242" s="4333" t="s">
        <v>1248</v>
      </c>
      <c r="C5242" s="4198"/>
      <c r="D5242" s="4198"/>
      <c r="E5242" s="4198" t="s">
        <v>1133</v>
      </c>
      <c r="F5242" s="4198">
        <v>2321</v>
      </c>
      <c r="G5242" s="4199" t="s">
        <v>288</v>
      </c>
      <c r="H5242" s="4176"/>
      <c r="I5242" s="4176"/>
      <c r="J5242" s="4176"/>
      <c r="K5242" s="4042"/>
      <c r="L5242" s="4176">
        <v>2000</v>
      </c>
      <c r="M5242" s="4176"/>
      <c r="N5242" s="2847"/>
      <c r="O5242" s="2560"/>
      <c r="P5242" s="1817" t="e">
        <f>INDEX(#REF!,MATCH(F5242,#REF!,0),2)</f>
        <v>#REF!</v>
      </c>
      <c r="Q5242" s="2560"/>
      <c r="R5242" s="2560"/>
      <c r="S5242" s="2560"/>
      <c r="T5242" s="2560"/>
      <c r="U5242" s="2560"/>
      <c r="V5242" s="2560"/>
      <c r="W5242" s="2560"/>
      <c r="X5242" s="1569"/>
    </row>
    <row r="5243" spans="2:24" ht="24" customHeight="1">
      <c r="B5243" s="4177" t="s">
        <v>1248</v>
      </c>
      <c r="C5243" s="4177"/>
      <c r="D5243" s="4177"/>
      <c r="E5243" s="4177" t="s">
        <v>1133</v>
      </c>
      <c r="F5243" s="4177">
        <v>2321</v>
      </c>
      <c r="G5243" s="4178" t="s">
        <v>5555</v>
      </c>
      <c r="H5243" s="4179"/>
      <c r="I5243" s="4179"/>
      <c r="J5243" s="4179"/>
      <c r="K5243" s="1948"/>
      <c r="L5243" s="4179"/>
      <c r="M5243" s="4179">
        <v>2000</v>
      </c>
      <c r="N5243" s="2847"/>
      <c r="O5243" s="2560"/>
      <c r="P5243" s="1817" t="e">
        <f>INDEX(#REF!,MATCH(F5243,#REF!,0),2)</f>
        <v>#REF!</v>
      </c>
      <c r="Q5243" s="2560"/>
      <c r="R5243" s="2560"/>
      <c r="S5243" s="2560"/>
      <c r="T5243" s="2560"/>
      <c r="U5243" s="2560"/>
      <c r="V5243" s="2560"/>
      <c r="W5243" s="2560"/>
      <c r="X5243" s="1569"/>
    </row>
    <row r="5244" spans="2:24">
      <c r="B5244" s="4333" t="s">
        <v>1248</v>
      </c>
      <c r="C5244" s="4198"/>
      <c r="D5244" s="4198"/>
      <c r="E5244" s="4198" t="s">
        <v>1133</v>
      </c>
      <c r="F5244" s="4198">
        <v>2322</v>
      </c>
      <c r="G5244" s="4175" t="s">
        <v>319</v>
      </c>
      <c r="H5244" s="4176">
        <v>190405</v>
      </c>
      <c r="I5244" s="4176"/>
      <c r="J5244" s="4176">
        <v>151307</v>
      </c>
      <c r="K5244" s="1950"/>
      <c r="L5244" s="4176">
        <v>203915</v>
      </c>
      <c r="M5244" s="4176"/>
      <c r="N5244" s="2847"/>
      <c r="O5244" s="2560"/>
      <c r="P5244" s="1817" t="e">
        <f>INDEX(#REF!,MATCH(F5244,#REF!,0),2)</f>
        <v>#REF!</v>
      </c>
      <c r="Q5244" s="2560"/>
      <c r="R5244" s="2560"/>
      <c r="S5244" s="2560"/>
      <c r="T5244" s="2560"/>
      <c r="U5244" s="2560"/>
      <c r="V5244" s="2560"/>
      <c r="W5244" s="2560"/>
      <c r="X5244" s="1569"/>
    </row>
    <row r="5245" spans="2:24" ht="45">
      <c r="B5245" s="4177" t="s">
        <v>1248</v>
      </c>
      <c r="C5245" s="4177"/>
      <c r="D5245" s="4177"/>
      <c r="E5245" s="4177" t="s">
        <v>1133</v>
      </c>
      <c r="F5245" s="4177">
        <v>2322</v>
      </c>
      <c r="G5245" s="4178" t="s">
        <v>5556</v>
      </c>
      <c r="H5245" s="4179"/>
      <c r="I5245" s="4179">
        <v>10305</v>
      </c>
      <c r="J5245" s="4179"/>
      <c r="K5245" s="1948"/>
      <c r="L5245" s="4179"/>
      <c r="M5245" s="4179">
        <v>10340</v>
      </c>
      <c r="N5245" s="2396"/>
      <c r="O5245" s="2560"/>
      <c r="P5245" s="1817" t="e">
        <f>INDEX(#REF!,MATCH(F5245,#REF!,0),2)</f>
        <v>#REF!</v>
      </c>
      <c r="Q5245" s="2560"/>
      <c r="R5245" s="2560"/>
      <c r="S5245" s="2560"/>
      <c r="T5245" s="2560"/>
      <c r="U5245" s="2560"/>
      <c r="V5245" s="2560"/>
      <c r="W5245" s="2560"/>
      <c r="X5245" s="1569"/>
    </row>
    <row r="5246" spans="2:24" ht="31.9" customHeight="1">
      <c r="B5246" s="4177" t="s">
        <v>1248</v>
      </c>
      <c r="C5246" s="4177"/>
      <c r="D5246" s="4177"/>
      <c r="E5246" s="4177" t="s">
        <v>1133</v>
      </c>
      <c r="F5246" s="4177">
        <v>2322</v>
      </c>
      <c r="G5246" s="4178" t="s">
        <v>5557</v>
      </c>
      <c r="H5246" s="4179"/>
      <c r="I5246" s="4179">
        <v>135300</v>
      </c>
      <c r="J5246" s="4179"/>
      <c r="K5246" s="1950"/>
      <c r="L5246" s="4179"/>
      <c r="M5246" s="4179">
        <v>148775</v>
      </c>
      <c r="N5246" s="2847" t="s">
        <v>5866</v>
      </c>
      <c r="O5246" s="2560"/>
      <c r="P5246" s="1817" t="e">
        <f>INDEX(#REF!,MATCH(F5246,#REF!,0),2)</f>
        <v>#REF!</v>
      </c>
      <c r="Q5246" s="2560"/>
      <c r="R5246" s="2560"/>
      <c r="S5246" s="2560"/>
      <c r="T5246" s="2560"/>
      <c r="U5246" s="2560"/>
      <c r="V5246" s="2560"/>
      <c r="W5246" s="2560"/>
      <c r="X5246" s="1569"/>
    </row>
    <row r="5247" spans="2:24">
      <c r="B5247" s="4177" t="s">
        <v>1248</v>
      </c>
      <c r="C5247" s="4177"/>
      <c r="D5247" s="4177"/>
      <c r="E5247" s="4177" t="s">
        <v>1133</v>
      </c>
      <c r="F5247" s="4177">
        <v>2322</v>
      </c>
      <c r="G5247" s="4178" t="s">
        <v>2817</v>
      </c>
      <c r="H5247" s="4179"/>
      <c r="I5247" s="4179">
        <v>44800</v>
      </c>
      <c r="J5247" s="4179"/>
      <c r="K5247" s="1950"/>
      <c r="L5247" s="4179"/>
      <c r="M5247" s="4179">
        <v>44800</v>
      </c>
      <c r="N5247" s="2847">
        <v>10065</v>
      </c>
      <c r="O5247" s="2560"/>
      <c r="P5247" s="1817"/>
      <c r="Q5247" s="2560"/>
      <c r="R5247" s="2560"/>
      <c r="S5247" s="2560"/>
      <c r="T5247" s="2560"/>
      <c r="U5247" s="2560"/>
      <c r="V5247" s="2560"/>
      <c r="W5247" s="2560"/>
      <c r="X5247" s="1569"/>
    </row>
    <row r="5248" spans="2:24">
      <c r="B5248" s="4174" t="s">
        <v>1248</v>
      </c>
      <c r="C5248" s="4174"/>
      <c r="D5248" s="4174"/>
      <c r="E5248" s="4174" t="s">
        <v>1133</v>
      </c>
      <c r="F5248" s="4174">
        <v>2329</v>
      </c>
      <c r="G5248" s="4175" t="s">
        <v>2818</v>
      </c>
      <c r="H5248" s="4176">
        <v>42000</v>
      </c>
      <c r="I5248" s="4176"/>
      <c r="J5248" s="4176">
        <v>13200</v>
      </c>
      <c r="K5248" s="1950"/>
      <c r="L5248" s="4176">
        <v>42000</v>
      </c>
      <c r="M5248" s="4176"/>
      <c r="N5248" s="2847"/>
      <c r="O5248" s="2560"/>
      <c r="P5248" s="1817" t="e">
        <f>INDEX(#REF!,MATCH(F5248,#REF!,0),2)</f>
        <v>#REF!</v>
      </c>
      <c r="Q5248" s="2560"/>
      <c r="R5248" s="2560"/>
      <c r="S5248" s="2560"/>
      <c r="T5248" s="2560"/>
      <c r="U5248" s="2560"/>
      <c r="V5248" s="2560"/>
      <c r="W5248" s="2560"/>
      <c r="X5248" s="1569"/>
    </row>
    <row r="5249" spans="2:24" ht="33.75">
      <c r="B5249" s="4177" t="s">
        <v>1248</v>
      </c>
      <c r="C5249" s="4177"/>
      <c r="D5249" s="4177"/>
      <c r="E5249" s="4177" t="s">
        <v>1133</v>
      </c>
      <c r="F5249" s="4177">
        <v>2329</v>
      </c>
      <c r="G5249" s="4178" t="s">
        <v>2819</v>
      </c>
      <c r="H5249" s="4179"/>
      <c r="I5249" s="4179">
        <v>6000</v>
      </c>
      <c r="J5249" s="4179"/>
      <c r="K5249" s="1948"/>
      <c r="L5249" s="4179"/>
      <c r="M5249" s="4307">
        <v>9000</v>
      </c>
      <c r="N5249" s="2396" t="s">
        <v>6055</v>
      </c>
      <c r="O5249" s="2560"/>
      <c r="P5249" s="1817" t="e">
        <f>INDEX(#REF!,MATCH(F5249,#REF!,0),2)</f>
        <v>#REF!</v>
      </c>
      <c r="Q5249" s="2560"/>
      <c r="R5249" s="2560"/>
      <c r="S5249" s="2560"/>
      <c r="T5249" s="2560"/>
      <c r="U5249" s="2560"/>
      <c r="V5249" s="2560"/>
      <c r="W5249" s="2560"/>
      <c r="X5249" s="1569"/>
    </row>
    <row r="5250" spans="2:24" ht="33.75">
      <c r="B5250" s="4177" t="s">
        <v>1248</v>
      </c>
      <c r="C5250" s="4177"/>
      <c r="D5250" s="4177"/>
      <c r="E5250" s="4177" t="s">
        <v>1133</v>
      </c>
      <c r="F5250" s="4177">
        <v>2329</v>
      </c>
      <c r="G5250" s="4178" t="s">
        <v>2820</v>
      </c>
      <c r="H5250" s="4179"/>
      <c r="I5250" s="4179">
        <v>20000</v>
      </c>
      <c r="J5250" s="4179"/>
      <c r="K5250" s="1950"/>
      <c r="L5250" s="4179"/>
      <c r="M5250" s="4179">
        <v>20000</v>
      </c>
      <c r="N5250" s="2847"/>
      <c r="O5250" s="2560"/>
      <c r="P5250" s="1817" t="e">
        <f>INDEX(#REF!,MATCH(F5250,#REF!,0),2)</f>
        <v>#REF!</v>
      </c>
      <c r="Q5250" s="2560"/>
      <c r="R5250" s="2560"/>
      <c r="S5250" s="2560"/>
      <c r="T5250" s="2560"/>
      <c r="U5250" s="2560"/>
      <c r="V5250" s="2560"/>
      <c r="W5250" s="2560"/>
      <c r="X5250" s="1569"/>
    </row>
    <row r="5251" spans="2:24">
      <c r="B5251" s="4177" t="s">
        <v>1248</v>
      </c>
      <c r="C5251" s="4177"/>
      <c r="D5251" s="4177"/>
      <c r="E5251" s="4177" t="s">
        <v>1133</v>
      </c>
      <c r="F5251" s="4177">
        <v>2329</v>
      </c>
      <c r="G5251" s="4179" t="s">
        <v>2821</v>
      </c>
      <c r="H5251" s="4179"/>
      <c r="I5251" s="4179">
        <v>15000</v>
      </c>
      <c r="J5251" s="4179"/>
      <c r="K5251" s="1950"/>
      <c r="L5251" s="4179"/>
      <c r="M5251" s="4179">
        <v>13000</v>
      </c>
      <c r="N5251" s="2847"/>
      <c r="O5251" s="2560"/>
      <c r="P5251" s="1817" t="e">
        <f>INDEX(#REF!,MATCH(F5251,#REF!,0),2)</f>
        <v>#REF!</v>
      </c>
      <c r="Q5251" s="2560"/>
      <c r="R5251" s="2560"/>
      <c r="S5251" s="2560"/>
      <c r="T5251" s="2560"/>
      <c r="U5251" s="2560"/>
      <c r="V5251" s="2560"/>
      <c r="W5251" s="2560"/>
      <c r="X5251" s="1569"/>
    </row>
    <row r="5252" spans="2:24" ht="24.6" customHeight="1">
      <c r="B5252" s="4177" t="s">
        <v>1248</v>
      </c>
      <c r="C5252" s="4177"/>
      <c r="D5252" s="4177"/>
      <c r="E5252" s="4177" t="s">
        <v>1133</v>
      </c>
      <c r="F5252" s="4177">
        <v>2329</v>
      </c>
      <c r="G5252" s="4179" t="s">
        <v>2822</v>
      </c>
      <c r="H5252" s="4179"/>
      <c r="I5252" s="4179">
        <v>1000</v>
      </c>
      <c r="J5252" s="4179"/>
      <c r="K5252" s="1950"/>
      <c r="L5252" s="4179"/>
      <c r="M5252" s="4179">
        <v>0</v>
      </c>
      <c r="N5252" s="2847"/>
      <c r="O5252" s="2560"/>
      <c r="P5252" s="1817" t="e">
        <f>INDEX(#REF!,MATCH(F5252,#REF!,0),2)</f>
        <v>#REF!</v>
      </c>
      <c r="Q5252" s="2560"/>
      <c r="R5252" s="2560"/>
      <c r="S5252" s="2560"/>
      <c r="T5252" s="2560"/>
      <c r="U5252" s="2560"/>
      <c r="V5252" s="2560"/>
      <c r="W5252" s="2560"/>
      <c r="X5252" s="1569"/>
    </row>
    <row r="5253" spans="2:24">
      <c r="B5253" s="4174" t="s">
        <v>1248</v>
      </c>
      <c r="C5253" s="4174"/>
      <c r="D5253" s="4174"/>
      <c r="E5253" s="4174" t="s">
        <v>1133</v>
      </c>
      <c r="F5253" s="4174">
        <v>2341</v>
      </c>
      <c r="G5253" s="4175" t="s">
        <v>320</v>
      </c>
      <c r="H5253" s="4176">
        <v>0</v>
      </c>
      <c r="I5253" s="4176"/>
      <c r="J5253" s="4176"/>
      <c r="K5253" s="1950"/>
      <c r="L5253" s="4176">
        <v>0</v>
      </c>
      <c r="M5253" s="4176"/>
      <c r="N5253" s="2847"/>
      <c r="O5253" s="2560"/>
      <c r="P5253" s="1817" t="e">
        <f>INDEX(#REF!,MATCH(F5253,#REF!,0),2)</f>
        <v>#REF!</v>
      </c>
      <c r="Q5253" s="2560"/>
      <c r="R5253" s="2560"/>
      <c r="S5253" s="2560"/>
      <c r="T5253" s="2560"/>
      <c r="U5253" s="2560"/>
      <c r="V5253" s="2560"/>
      <c r="W5253" s="2560"/>
      <c r="X5253" s="1569"/>
    </row>
    <row r="5254" spans="2:24">
      <c r="B5254" s="4177" t="s">
        <v>1248</v>
      </c>
      <c r="C5254" s="4177"/>
      <c r="D5254" s="4177"/>
      <c r="E5254" s="4177" t="s">
        <v>1133</v>
      </c>
      <c r="F5254" s="4177">
        <v>2341</v>
      </c>
      <c r="G5254" s="4178" t="s">
        <v>320</v>
      </c>
      <c r="H5254" s="4179"/>
      <c r="I5254" s="4179">
        <v>0</v>
      </c>
      <c r="J5254" s="4179"/>
      <c r="K5254" s="1948"/>
      <c r="L5254" s="4179"/>
      <c r="M5254" s="4179">
        <v>0</v>
      </c>
      <c r="N5254" s="2847"/>
      <c r="O5254" s="2560"/>
      <c r="P5254" s="1817" t="e">
        <f>INDEX(#REF!,MATCH(F5254,#REF!,0),2)</f>
        <v>#REF!</v>
      </c>
      <c r="Q5254" s="2560"/>
      <c r="R5254" s="2560"/>
      <c r="S5254" s="2560"/>
      <c r="T5254" s="2560"/>
      <c r="U5254" s="2560"/>
      <c r="V5254" s="2560"/>
      <c r="W5254" s="2560"/>
      <c r="X5254" s="1569"/>
    </row>
    <row r="5255" spans="2:24" ht="45">
      <c r="B5255" s="4038" t="s">
        <v>1248</v>
      </c>
      <c r="C5255" s="4174"/>
      <c r="D5255" s="4038"/>
      <c r="E5255" s="4038" t="s">
        <v>1133</v>
      </c>
      <c r="F5255" s="4174">
        <v>2350</v>
      </c>
      <c r="G5255" s="4175" t="s">
        <v>251</v>
      </c>
      <c r="H5255" s="4176">
        <v>147382</v>
      </c>
      <c r="I5255" s="4176"/>
      <c r="J5255" s="4176">
        <v>126322</v>
      </c>
      <c r="K5255" s="1948"/>
      <c r="L5255" s="4176">
        <v>189355</v>
      </c>
      <c r="M5255" s="4176"/>
      <c r="N5255" s="2396" t="s">
        <v>5696</v>
      </c>
      <c r="O5255" s="2560"/>
      <c r="P5255" s="1817" t="e">
        <f>INDEX(#REF!,MATCH(F5255,#REF!,0),2)</f>
        <v>#REF!</v>
      </c>
      <c r="Q5255" s="2560"/>
      <c r="R5255" s="2560"/>
      <c r="S5255" s="2560"/>
      <c r="T5255" s="2560"/>
      <c r="U5255" s="2560"/>
      <c r="V5255" s="2560"/>
      <c r="W5255" s="2560"/>
      <c r="X5255" s="1569"/>
    </row>
    <row r="5256" spans="2:24" ht="22.5">
      <c r="B5256" s="4039" t="s">
        <v>1248</v>
      </c>
      <c r="C5256" s="4177"/>
      <c r="D5256" s="4039"/>
      <c r="E5256" s="4039" t="s">
        <v>1133</v>
      </c>
      <c r="F5256" s="4177">
        <v>2350</v>
      </c>
      <c r="G5256" s="4178" t="s">
        <v>5558</v>
      </c>
      <c r="H5256" s="4179"/>
      <c r="I5256" s="4179"/>
      <c r="J5256" s="4179"/>
      <c r="K5256" s="1950"/>
      <c r="L5256" s="4179"/>
      <c r="M5256" s="4179">
        <v>4700</v>
      </c>
      <c r="N5256" s="2847"/>
      <c r="O5256" s="2560"/>
      <c r="P5256" s="1817" t="e">
        <f>INDEX(#REF!,MATCH(F5256,#REF!,0),2)</f>
        <v>#REF!</v>
      </c>
      <c r="Q5256" s="2560"/>
      <c r="R5256" s="2560"/>
      <c r="S5256" s="2560"/>
      <c r="T5256" s="2560"/>
      <c r="U5256" s="2560"/>
      <c r="V5256" s="2560"/>
      <c r="W5256" s="2560"/>
      <c r="X5256" s="1569"/>
    </row>
    <row r="5257" spans="2:24" ht="22.15" customHeight="1">
      <c r="B5257" s="4039" t="s">
        <v>1248</v>
      </c>
      <c r="C5257" s="4177"/>
      <c r="D5257" s="4039"/>
      <c r="E5257" s="4039" t="s">
        <v>1133</v>
      </c>
      <c r="F5257" s="4177">
        <v>2350</v>
      </c>
      <c r="G5257" s="4178" t="s">
        <v>2823</v>
      </c>
      <c r="H5257" s="4179"/>
      <c r="I5257" s="4179">
        <v>44800</v>
      </c>
      <c r="J5257" s="4179"/>
      <c r="K5257" s="1950"/>
      <c r="L5257" s="4179"/>
      <c r="M5257" s="4307">
        <v>55000</v>
      </c>
      <c r="N5257" s="2847" t="s">
        <v>6056</v>
      </c>
      <c r="O5257" s="2560"/>
      <c r="P5257" s="1817" t="e">
        <f>INDEX(#REF!,MATCH(F5257,#REF!,0),2)</f>
        <v>#REF!</v>
      </c>
      <c r="Q5257" s="2560"/>
      <c r="R5257" s="2560"/>
      <c r="S5257" s="2560"/>
      <c r="T5257" s="2560"/>
      <c r="U5257" s="2560"/>
      <c r="V5257" s="2560"/>
      <c r="W5257" s="2560"/>
      <c r="X5257" s="1569"/>
    </row>
    <row r="5258" spans="2:24" ht="33.75">
      <c r="B5258" s="4039" t="s">
        <v>1248</v>
      </c>
      <c r="C5258" s="4177"/>
      <c r="D5258" s="4039"/>
      <c r="E5258" s="4039" t="s">
        <v>1133</v>
      </c>
      <c r="F5258" s="4177">
        <v>2350</v>
      </c>
      <c r="G5258" s="4178" t="s">
        <v>5559</v>
      </c>
      <c r="H5258" s="4179"/>
      <c r="I5258" s="4179">
        <v>23415</v>
      </c>
      <c r="J5258" s="4179"/>
      <c r="K5258" s="1950"/>
      <c r="L5258" s="4179"/>
      <c r="M5258" s="4179">
        <v>24710</v>
      </c>
      <c r="N5258" s="2847"/>
      <c r="O5258" s="2560"/>
      <c r="P5258" s="1817" t="e">
        <f>INDEX(#REF!,MATCH(F5258,#REF!,0),2)</f>
        <v>#REF!</v>
      </c>
      <c r="Q5258" s="2560"/>
      <c r="R5258" s="2560"/>
      <c r="S5258" s="2560"/>
      <c r="T5258" s="2560"/>
      <c r="U5258" s="2560"/>
      <c r="V5258" s="2560"/>
      <c r="W5258" s="2560"/>
      <c r="X5258" s="1569"/>
    </row>
    <row r="5259" spans="2:24" ht="33.75">
      <c r="B5259" s="4039" t="s">
        <v>1248</v>
      </c>
      <c r="C5259" s="4177"/>
      <c r="D5259" s="4039"/>
      <c r="E5259" s="4039" t="s">
        <v>1133</v>
      </c>
      <c r="F5259" s="4177">
        <v>2350</v>
      </c>
      <c r="G5259" s="4178" t="s">
        <v>2797</v>
      </c>
      <c r="H5259" s="4179"/>
      <c r="I5259" s="4179"/>
      <c r="J5259" s="4179"/>
      <c r="K5259" s="1950"/>
      <c r="L5259" s="4179"/>
      <c r="M5259" s="4179">
        <v>1330</v>
      </c>
      <c r="N5259" s="2847"/>
      <c r="O5259" s="2560"/>
      <c r="P5259" s="1817" t="e">
        <f>INDEX(#REF!,MATCH(F5259,#REF!,0),2)</f>
        <v>#REF!</v>
      </c>
      <c r="Q5259" s="2560"/>
      <c r="R5259" s="2560"/>
      <c r="S5259" s="2560"/>
      <c r="T5259" s="2560"/>
      <c r="U5259" s="2560"/>
      <c r="V5259" s="2560"/>
      <c r="W5259" s="2560"/>
      <c r="X5259" s="1569"/>
    </row>
    <row r="5260" spans="2:24" ht="22.5">
      <c r="B5260" s="4039" t="s">
        <v>1248</v>
      </c>
      <c r="C5260" s="4177"/>
      <c r="D5260" s="4039"/>
      <c r="E5260" s="4039" t="s">
        <v>1133</v>
      </c>
      <c r="F5260" s="4177">
        <v>2350</v>
      </c>
      <c r="G5260" s="4178" t="s">
        <v>5560</v>
      </c>
      <c r="H5260" s="4179"/>
      <c r="I5260" s="4179"/>
      <c r="J5260" s="4179"/>
      <c r="K5260" s="1950"/>
      <c r="L5260" s="4179"/>
      <c r="M5260" s="4179">
        <v>1140</v>
      </c>
      <c r="N5260" s="2847"/>
      <c r="O5260" s="2560"/>
      <c r="P5260" s="1817" t="e">
        <f>INDEX(#REF!,MATCH(F5260,#REF!,0),2)</f>
        <v>#REF!</v>
      </c>
      <c r="Q5260" s="2560"/>
      <c r="R5260" s="2560"/>
      <c r="S5260" s="2560"/>
      <c r="T5260" s="2560"/>
      <c r="U5260" s="2560"/>
      <c r="V5260" s="2560"/>
      <c r="W5260" s="2560"/>
      <c r="X5260" s="1569"/>
    </row>
    <row r="5261" spans="2:24">
      <c r="B5261" s="4039" t="s">
        <v>1248</v>
      </c>
      <c r="C5261" s="4177"/>
      <c r="D5261" s="4039"/>
      <c r="E5261" s="4039" t="s">
        <v>1133</v>
      </c>
      <c r="F5261" s="4177">
        <v>2350</v>
      </c>
      <c r="G5261" s="4178" t="s">
        <v>5867</v>
      </c>
      <c r="H5261" s="4179"/>
      <c r="I5261" s="4179"/>
      <c r="J5261" s="4179"/>
      <c r="K5261" s="1950"/>
      <c r="L5261" s="4179"/>
      <c r="M5261" s="4179">
        <v>2100</v>
      </c>
      <c r="N5261" s="2847"/>
      <c r="O5261" s="2560"/>
      <c r="P5261" s="1817" t="e">
        <f>INDEX(#REF!,MATCH(F5261,#REF!,0),2)</f>
        <v>#REF!</v>
      </c>
      <c r="Q5261" s="2560"/>
      <c r="R5261" s="2560"/>
      <c r="S5261" s="2560"/>
      <c r="T5261" s="2560"/>
      <c r="U5261" s="2560"/>
      <c r="V5261" s="2560"/>
      <c r="W5261" s="2560"/>
      <c r="X5261" s="1569"/>
    </row>
    <row r="5262" spans="2:24" ht="22.15" customHeight="1">
      <c r="B5262" s="4039" t="s">
        <v>1248</v>
      </c>
      <c r="C5262" s="4177"/>
      <c r="D5262" s="4039"/>
      <c r="E5262" s="4039" t="s">
        <v>1133</v>
      </c>
      <c r="F5262" s="4177">
        <v>2350</v>
      </c>
      <c r="G5262" s="3120" t="s">
        <v>919</v>
      </c>
      <c r="H5262" s="4179"/>
      <c r="I5262" s="4179"/>
      <c r="J5262" s="4179"/>
      <c r="K5262" s="1950"/>
      <c r="L5262" s="4179"/>
      <c r="M5262" s="4179">
        <v>475</v>
      </c>
      <c r="N5262" s="2847"/>
      <c r="O5262" s="2560"/>
      <c r="P5262" s="1817" t="e">
        <f>INDEX(#REF!,MATCH(F5262,#REF!,0),2)</f>
        <v>#REF!</v>
      </c>
      <c r="Q5262" s="2560"/>
      <c r="R5262" s="2560"/>
      <c r="S5262" s="2560"/>
      <c r="T5262" s="2560"/>
      <c r="U5262" s="2560"/>
      <c r="V5262" s="2560"/>
      <c r="W5262" s="2560"/>
      <c r="X5262" s="1569"/>
    </row>
    <row r="5263" spans="2:24" ht="20.45" customHeight="1">
      <c r="B5263" s="4039" t="s">
        <v>1248</v>
      </c>
      <c r="C5263" s="4177"/>
      <c r="D5263" s="4039"/>
      <c r="E5263" s="4039" t="s">
        <v>1133</v>
      </c>
      <c r="F5263" s="4177">
        <v>2350</v>
      </c>
      <c r="G5263" s="4178" t="s">
        <v>2824</v>
      </c>
      <c r="H5263" s="4179"/>
      <c r="I5263" s="4179">
        <v>400</v>
      </c>
      <c r="J5263" s="4179"/>
      <c r="K5263" s="1950"/>
      <c r="L5263" s="4179"/>
      <c r="M5263" s="4179">
        <v>3600</v>
      </c>
      <c r="N5263" s="2847" t="s">
        <v>5870</v>
      </c>
      <c r="O5263" s="2560"/>
      <c r="P5263" s="1817" t="e">
        <f>INDEX(#REF!,MATCH(F5263,#REF!,0),2)</f>
        <v>#REF!</v>
      </c>
      <c r="Q5263" s="2560"/>
      <c r="R5263" s="2560"/>
      <c r="S5263" s="2560"/>
      <c r="T5263" s="2560"/>
      <c r="U5263" s="2560"/>
      <c r="V5263" s="2560"/>
      <c r="W5263" s="2560"/>
      <c r="X5263" s="1569"/>
    </row>
    <row r="5264" spans="2:24" ht="22.5">
      <c r="B5264" s="4039" t="s">
        <v>1248</v>
      </c>
      <c r="C5264" s="4177"/>
      <c r="D5264" s="4039"/>
      <c r="E5264" s="4039" t="s">
        <v>1133</v>
      </c>
      <c r="F5264" s="4177">
        <v>2350</v>
      </c>
      <c r="G5264" s="4178" t="s">
        <v>6080</v>
      </c>
      <c r="H5264" s="4179"/>
      <c r="I5264" s="4179">
        <v>5000</v>
      </c>
      <c r="J5264" s="4179"/>
      <c r="K5264" s="4203"/>
      <c r="L5264" s="4179"/>
      <c r="M5264" s="4179"/>
      <c r="N5264" s="2847"/>
      <c r="O5264" s="2560"/>
      <c r="P5264" s="1817" t="e">
        <f>INDEX(#REF!,MATCH(F5264,#REF!,0),2)</f>
        <v>#REF!</v>
      </c>
      <c r="Q5264" s="2560"/>
      <c r="R5264" s="2560"/>
      <c r="S5264" s="2560"/>
      <c r="T5264" s="2560"/>
      <c r="U5264" s="2560"/>
      <c r="V5264" s="2560"/>
      <c r="W5264" s="2560"/>
      <c r="X5264" s="1569"/>
    </row>
    <row r="5265" spans="2:24" ht="22.5">
      <c r="B5265" s="4039" t="s">
        <v>1248</v>
      </c>
      <c r="C5265" s="4200"/>
      <c r="D5265" s="4039"/>
      <c r="E5265" s="4039" t="s">
        <v>1133</v>
      </c>
      <c r="F5265" s="4200">
        <v>2350</v>
      </c>
      <c r="G5265" s="4334" t="s">
        <v>2825</v>
      </c>
      <c r="H5265" s="4200"/>
      <c r="I5265" s="4200">
        <v>3000</v>
      </c>
      <c r="J5265" s="4200" t="s">
        <v>5868</v>
      </c>
      <c r="K5265" s="1950"/>
      <c r="L5265" s="4200"/>
      <c r="M5265" s="4335">
        <v>3000</v>
      </c>
      <c r="N5265" s="2846" t="s">
        <v>6057</v>
      </c>
      <c r="O5265" s="2560"/>
      <c r="P5265" s="1817" t="e">
        <f>INDEX(#REF!,MATCH(F5265,#REF!,0),2)</f>
        <v>#REF!</v>
      </c>
      <c r="Q5265" s="2560"/>
      <c r="R5265" s="2560"/>
      <c r="S5265" s="2560"/>
      <c r="T5265" s="2560"/>
      <c r="U5265" s="2560"/>
      <c r="V5265" s="2560"/>
      <c r="W5265" s="2560"/>
      <c r="X5265" s="1569"/>
    </row>
    <row r="5266" spans="2:24" ht="33.75">
      <c r="B5266" s="4039" t="s">
        <v>1248</v>
      </c>
      <c r="C5266" s="4177"/>
      <c r="D5266" s="4039"/>
      <c r="E5266" s="4039" t="s">
        <v>1133</v>
      </c>
      <c r="F5266" s="4177">
        <v>2350</v>
      </c>
      <c r="G5266" s="4178" t="s">
        <v>2826</v>
      </c>
      <c r="H5266" s="4179"/>
      <c r="I5266" s="4179">
        <v>2200</v>
      </c>
      <c r="J5266" s="4179"/>
      <c r="K5266" s="1950"/>
      <c r="L5266" s="4179"/>
      <c r="M5266" s="4179">
        <v>3200</v>
      </c>
      <c r="N5266" s="2847"/>
      <c r="O5266" s="2560"/>
      <c r="P5266" s="1817" t="e">
        <f>INDEX(#REF!,MATCH(F5266,#REF!,0),2)</f>
        <v>#REF!</v>
      </c>
      <c r="Q5266" s="2560"/>
      <c r="R5266" s="2560"/>
      <c r="S5266" s="2560"/>
      <c r="T5266" s="2560"/>
      <c r="U5266" s="2560"/>
      <c r="V5266" s="2560"/>
      <c r="W5266" s="2560"/>
      <c r="X5266" s="1569"/>
    </row>
    <row r="5267" spans="2:24" ht="33.75">
      <c r="B5267" s="4039" t="s">
        <v>1248</v>
      </c>
      <c r="C5267" s="4177"/>
      <c r="D5267" s="4039"/>
      <c r="E5267" s="4039" t="s">
        <v>1133</v>
      </c>
      <c r="F5267" s="4177">
        <v>2350</v>
      </c>
      <c r="G5267" s="4178" t="s">
        <v>5869</v>
      </c>
      <c r="H5267" s="4179"/>
      <c r="I5267" s="4179">
        <v>18000</v>
      </c>
      <c r="J5267" s="4179"/>
      <c r="K5267" s="1950"/>
      <c r="L5267" s="4179"/>
      <c r="M5267" s="4179">
        <v>25000</v>
      </c>
      <c r="N5267" s="2846" t="s">
        <v>5871</v>
      </c>
      <c r="O5267" s="2560"/>
      <c r="P5267" s="1817" t="e">
        <f>INDEX(#REF!,MATCH(F5267,#REF!,0),2)</f>
        <v>#REF!</v>
      </c>
      <c r="Q5267" s="2560"/>
      <c r="R5267" s="2560"/>
      <c r="S5267" s="2560"/>
      <c r="T5267" s="2560"/>
      <c r="U5267" s="2560"/>
      <c r="V5267" s="2560"/>
      <c r="W5267" s="2560"/>
      <c r="X5267" s="1569"/>
    </row>
    <row r="5268" spans="2:24">
      <c r="B5268" s="4039" t="s">
        <v>1248</v>
      </c>
      <c r="C5268" s="4177"/>
      <c r="D5268" s="4039"/>
      <c r="E5268" s="4039" t="s">
        <v>1133</v>
      </c>
      <c r="F5268" s="4177">
        <v>2350</v>
      </c>
      <c r="G5268" s="4178" t="s">
        <v>2827</v>
      </c>
      <c r="H5268" s="4179"/>
      <c r="I5268" s="4179">
        <v>1000</v>
      </c>
      <c r="J5268" s="4179"/>
      <c r="K5268" s="1950"/>
      <c r="L5268" s="4179"/>
      <c r="M5268" s="4179">
        <v>1000</v>
      </c>
      <c r="N5268" s="2847"/>
      <c r="O5268" s="2560"/>
      <c r="P5268" s="1817" t="e">
        <f>INDEX(#REF!,MATCH(F5268,#REF!,0),2)</f>
        <v>#REF!</v>
      </c>
      <c r="Q5268" s="2560"/>
      <c r="R5268" s="2560"/>
      <c r="S5268" s="2560"/>
      <c r="T5268" s="2560"/>
      <c r="U5268" s="2560"/>
      <c r="V5268" s="2560"/>
      <c r="W5268" s="2560"/>
      <c r="X5268" s="1569"/>
    </row>
    <row r="5269" spans="2:24">
      <c r="B5269" s="4039" t="s">
        <v>1248</v>
      </c>
      <c r="C5269" s="4177"/>
      <c r="D5269" s="4039"/>
      <c r="E5269" s="4039" t="s">
        <v>1133</v>
      </c>
      <c r="F5269" s="4177">
        <v>2350</v>
      </c>
      <c r="G5269" s="4178" t="s">
        <v>2828</v>
      </c>
      <c r="H5269" s="4179"/>
      <c r="I5269" s="4179">
        <v>2200</v>
      </c>
      <c r="J5269" s="4179"/>
      <c r="K5269" s="1950"/>
      <c r="L5269" s="4179"/>
      <c r="M5269" s="4179">
        <v>2200</v>
      </c>
      <c r="N5269" s="2847"/>
      <c r="O5269" s="2560"/>
      <c r="P5269" s="1817" t="e">
        <f>INDEX(#REF!,MATCH(F5269,#REF!,0),2)</f>
        <v>#REF!</v>
      </c>
      <c r="Q5269" s="2560"/>
      <c r="R5269" s="2560"/>
      <c r="S5269" s="2560"/>
      <c r="T5269" s="2560"/>
      <c r="U5269" s="2560"/>
      <c r="V5269" s="2560"/>
      <c r="W5269" s="2560"/>
      <c r="X5269" s="1569"/>
    </row>
    <row r="5270" spans="2:24" ht="22.9" customHeight="1">
      <c r="B5270" s="4039" t="s">
        <v>1248</v>
      </c>
      <c r="C5270" s="4177"/>
      <c r="D5270" s="4039"/>
      <c r="E5270" s="4039" t="s">
        <v>1133</v>
      </c>
      <c r="F5270" s="4177">
        <v>2350</v>
      </c>
      <c r="G5270" s="4178" t="s">
        <v>2829</v>
      </c>
      <c r="H5270" s="4179"/>
      <c r="I5270" s="4179">
        <v>2200</v>
      </c>
      <c r="J5270" s="4179"/>
      <c r="K5270" s="1950"/>
      <c r="L5270" s="4179"/>
      <c r="M5270" s="4179">
        <v>2200</v>
      </c>
      <c r="N5270" s="2847"/>
      <c r="O5270" s="2560"/>
      <c r="P5270" s="1817" t="e">
        <f>INDEX(#REF!,MATCH(F5270,#REF!,0),2)</f>
        <v>#REF!</v>
      </c>
      <c r="Q5270" s="2560"/>
      <c r="R5270" s="2560"/>
      <c r="S5270" s="2560"/>
      <c r="T5270" s="2560"/>
      <c r="U5270" s="2560"/>
      <c r="V5270" s="2560"/>
      <c r="W5270" s="2560"/>
      <c r="X5270" s="1569"/>
    </row>
    <row r="5271" spans="2:24" ht="23.45" customHeight="1">
      <c r="B5271" s="4039" t="s">
        <v>1248</v>
      </c>
      <c r="C5271" s="4177"/>
      <c r="D5271" s="4039"/>
      <c r="E5271" s="4039" t="s">
        <v>1133</v>
      </c>
      <c r="F5271" s="4177">
        <v>2350</v>
      </c>
      <c r="G5271" s="4178" t="s">
        <v>2830</v>
      </c>
      <c r="H5271" s="4179"/>
      <c r="I5271" s="4179">
        <v>1000</v>
      </c>
      <c r="J5271" s="4179"/>
      <c r="K5271" s="1950"/>
      <c r="L5271" s="4179"/>
      <c r="M5271" s="4179">
        <v>1000</v>
      </c>
      <c r="N5271" s="2847"/>
      <c r="O5271" s="2560"/>
      <c r="P5271" s="1817" t="e">
        <f>INDEX(#REF!,MATCH(F5271,#REF!,0),2)</f>
        <v>#REF!</v>
      </c>
      <c r="Q5271" s="2560"/>
      <c r="R5271" s="2560"/>
      <c r="S5271" s="2560"/>
      <c r="T5271" s="2560"/>
      <c r="U5271" s="2560"/>
      <c r="V5271" s="2560"/>
      <c r="W5271" s="2560"/>
      <c r="X5271" s="1569"/>
    </row>
    <row r="5272" spans="2:24">
      <c r="B5272" s="4039" t="s">
        <v>1248</v>
      </c>
      <c r="C5272" s="4177"/>
      <c r="D5272" s="4039"/>
      <c r="E5272" s="4039" t="s">
        <v>1133</v>
      </c>
      <c r="F5272" s="4177">
        <v>2350</v>
      </c>
      <c r="G5272" s="4178" t="s">
        <v>2831</v>
      </c>
      <c r="H5272" s="4179"/>
      <c r="I5272" s="4179">
        <v>1500</v>
      </c>
      <c r="J5272" s="4179"/>
      <c r="K5272" s="1950"/>
      <c r="L5272" s="4179"/>
      <c r="M5272" s="4179">
        <v>1500</v>
      </c>
      <c r="N5272" s="2847"/>
      <c r="O5272" s="2560"/>
      <c r="P5272" s="1817" t="e">
        <f>INDEX(#REF!,MATCH(F5272,#REF!,0),2)</f>
        <v>#REF!</v>
      </c>
      <c r="Q5272" s="2560"/>
      <c r="R5272" s="2560"/>
      <c r="S5272" s="2560"/>
      <c r="T5272" s="2560"/>
      <c r="U5272" s="2560"/>
      <c r="V5272" s="2560"/>
      <c r="W5272" s="2560"/>
      <c r="X5272" s="1569"/>
    </row>
    <row r="5273" spans="2:24">
      <c r="B5273" s="4039" t="s">
        <v>1248</v>
      </c>
      <c r="C5273" s="4177"/>
      <c r="D5273" s="4039"/>
      <c r="E5273" s="4039" t="s">
        <v>1133</v>
      </c>
      <c r="F5273" s="4177">
        <v>2350</v>
      </c>
      <c r="G5273" s="4178" t="s">
        <v>2832</v>
      </c>
      <c r="H5273" s="4179"/>
      <c r="I5273" s="4179">
        <v>800</v>
      </c>
      <c r="J5273" s="4179"/>
      <c r="K5273" s="1950"/>
      <c r="L5273" s="4179"/>
      <c r="M5273" s="4179">
        <v>800</v>
      </c>
      <c r="N5273" s="2847"/>
      <c r="O5273" s="2560"/>
      <c r="P5273" s="1817" t="e">
        <f>INDEX(#REF!,MATCH(F5273,#REF!,0),2)</f>
        <v>#REF!</v>
      </c>
      <c r="Q5273" s="2560"/>
      <c r="R5273" s="2560"/>
      <c r="S5273" s="2560"/>
      <c r="T5273" s="2560"/>
      <c r="U5273" s="2560"/>
      <c r="V5273" s="2560"/>
      <c r="W5273" s="2560"/>
      <c r="X5273" s="1569"/>
    </row>
    <row r="5274" spans="2:24" ht="22.5">
      <c r="B5274" s="4039" t="s">
        <v>1248</v>
      </c>
      <c r="C5274" s="4177"/>
      <c r="D5274" s="4039"/>
      <c r="E5274" s="4039" t="s">
        <v>1133</v>
      </c>
      <c r="F5274" s="4177">
        <v>2350</v>
      </c>
      <c r="G5274" s="4178" t="s">
        <v>2833</v>
      </c>
      <c r="H5274" s="4179"/>
      <c r="I5274" s="4179">
        <v>1200</v>
      </c>
      <c r="J5274" s="4179"/>
      <c r="K5274" s="1950"/>
      <c r="L5274" s="4179"/>
      <c r="M5274" s="4179">
        <v>1200</v>
      </c>
      <c r="N5274" s="2847"/>
      <c r="O5274" s="2560"/>
      <c r="P5274" s="1817" t="e">
        <f>INDEX(#REF!,MATCH(F5274,#REF!,0),2)</f>
        <v>#REF!</v>
      </c>
      <c r="Q5274" s="2560"/>
      <c r="R5274" s="2560"/>
      <c r="S5274" s="2560"/>
      <c r="T5274" s="2560"/>
      <c r="U5274" s="2560"/>
      <c r="V5274" s="2560"/>
      <c r="W5274" s="2560"/>
      <c r="X5274" s="1569"/>
    </row>
    <row r="5275" spans="2:24">
      <c r="B5275" s="4039" t="s">
        <v>1248</v>
      </c>
      <c r="C5275" s="4177"/>
      <c r="D5275" s="4039"/>
      <c r="E5275" s="4039" t="s">
        <v>1133</v>
      </c>
      <c r="F5275" s="4177">
        <v>2350</v>
      </c>
      <c r="G5275" s="4179" t="s">
        <v>2834</v>
      </c>
      <c r="H5275" s="4179"/>
      <c r="I5275" s="4179">
        <v>1200</v>
      </c>
      <c r="J5275" s="4179"/>
      <c r="K5275" s="1950"/>
      <c r="L5275" s="4179"/>
      <c r="M5275" s="4179">
        <v>1200</v>
      </c>
      <c r="N5275" s="2847"/>
      <c r="O5275" s="2560"/>
      <c r="P5275" s="1817" t="e">
        <f>INDEX(#REF!,MATCH(F5275,#REF!,0),2)</f>
        <v>#REF!</v>
      </c>
      <c r="Q5275" s="2560"/>
      <c r="R5275" s="2560"/>
      <c r="S5275" s="2560"/>
      <c r="T5275" s="2560"/>
      <c r="U5275" s="2560"/>
      <c r="V5275" s="2560"/>
      <c r="W5275" s="2560"/>
      <c r="X5275" s="1569"/>
    </row>
    <row r="5276" spans="2:24" ht="22.5">
      <c r="B5276" s="4039" t="s">
        <v>1248</v>
      </c>
      <c r="C5276" s="4177"/>
      <c r="D5276" s="4039"/>
      <c r="E5276" s="4039" t="s">
        <v>1133</v>
      </c>
      <c r="F5276" s="4177">
        <v>2350</v>
      </c>
      <c r="G5276" s="4178" t="s">
        <v>2835</v>
      </c>
      <c r="H5276" s="4179"/>
      <c r="I5276" s="4179">
        <v>400</v>
      </c>
      <c r="J5276" s="4179"/>
      <c r="K5276" s="1950"/>
      <c r="L5276" s="4179"/>
      <c r="M5276" s="4179">
        <v>1200</v>
      </c>
      <c r="N5276" s="2847"/>
      <c r="O5276" s="2560"/>
      <c r="P5276" s="1817" t="e">
        <f>INDEX(#REF!,MATCH(F5276,#REF!,0),2)</f>
        <v>#REF!</v>
      </c>
      <c r="Q5276" s="2560"/>
      <c r="R5276" s="2560"/>
      <c r="S5276" s="2560"/>
      <c r="T5276" s="2560"/>
      <c r="U5276" s="2560"/>
      <c r="V5276" s="2560"/>
      <c r="W5276" s="2560"/>
      <c r="X5276" s="1569"/>
    </row>
    <row r="5277" spans="2:24" ht="22.5">
      <c r="B5277" s="4039" t="s">
        <v>1248</v>
      </c>
      <c r="C5277" s="4177"/>
      <c r="D5277" s="4039"/>
      <c r="E5277" s="4039" t="s">
        <v>1133</v>
      </c>
      <c r="F5277" s="4177">
        <v>2350</v>
      </c>
      <c r="G5277" s="4178" t="s">
        <v>2836</v>
      </c>
      <c r="H5277" s="4179"/>
      <c r="I5277" s="4179">
        <v>1100</v>
      </c>
      <c r="J5277" s="4179"/>
      <c r="K5277" s="1950"/>
      <c r="L5277" s="4179"/>
      <c r="M5277" s="4179">
        <v>1100</v>
      </c>
      <c r="N5277" s="2847"/>
      <c r="O5277" s="2560"/>
      <c r="P5277" s="1817" t="e">
        <f>INDEX(#REF!,MATCH(F5277,#REF!,0),2)</f>
        <v>#REF!</v>
      </c>
      <c r="Q5277" s="2560"/>
      <c r="R5277" s="2560"/>
      <c r="S5277" s="2560"/>
      <c r="T5277" s="2560"/>
      <c r="U5277" s="2560"/>
      <c r="V5277" s="2560"/>
      <c r="W5277" s="2560"/>
      <c r="X5277" s="1569"/>
    </row>
    <row r="5278" spans="2:24" ht="22.5">
      <c r="B5278" s="4039" t="s">
        <v>1248</v>
      </c>
      <c r="C5278" s="4177"/>
      <c r="D5278" s="4039"/>
      <c r="E5278" s="4039" t="s">
        <v>1133</v>
      </c>
      <c r="F5278" s="4177">
        <v>2350</v>
      </c>
      <c r="G5278" s="4178" t="s">
        <v>2837</v>
      </c>
      <c r="H5278" s="4179"/>
      <c r="I5278" s="4179">
        <v>2300</v>
      </c>
      <c r="J5278" s="4179"/>
      <c r="K5278" s="1950"/>
      <c r="L5278" s="4179"/>
      <c r="M5278" s="4179">
        <v>2300</v>
      </c>
      <c r="N5278" s="2847"/>
      <c r="O5278" s="2560"/>
      <c r="P5278" s="1817" t="e">
        <f>INDEX(#REF!,MATCH(F5278,#REF!,0),2)</f>
        <v>#REF!</v>
      </c>
      <c r="Q5278" s="2560"/>
      <c r="R5278" s="2560"/>
      <c r="S5278" s="2560"/>
      <c r="T5278" s="2560"/>
      <c r="U5278" s="2560"/>
      <c r="V5278" s="2560"/>
      <c r="W5278" s="2560"/>
      <c r="X5278" s="1569"/>
    </row>
    <row r="5279" spans="2:24" ht="26.45" customHeight="1">
      <c r="B5279" s="4039" t="s">
        <v>1248</v>
      </c>
      <c r="C5279" s="4177"/>
      <c r="D5279" s="4039"/>
      <c r="E5279" s="4039" t="s">
        <v>1133</v>
      </c>
      <c r="F5279" s="4177">
        <v>2350</v>
      </c>
      <c r="G5279" s="4178" t="s">
        <v>2838</v>
      </c>
      <c r="H5279" s="4179"/>
      <c r="I5279" s="4179">
        <v>150</v>
      </c>
      <c r="J5279" s="4179"/>
      <c r="K5279" s="1950"/>
      <c r="L5279" s="4179"/>
      <c r="M5279" s="4179">
        <v>150</v>
      </c>
      <c r="N5279" s="2847"/>
      <c r="O5279" s="2560"/>
      <c r="P5279" s="1817" t="e">
        <f>INDEX(#REF!,MATCH(F5279,#REF!,0),2)</f>
        <v>#REF!</v>
      </c>
      <c r="Q5279" s="2560"/>
      <c r="R5279" s="2560"/>
      <c r="S5279" s="2560"/>
      <c r="T5279" s="2560"/>
      <c r="U5279" s="2560"/>
      <c r="V5279" s="2560"/>
      <c r="W5279" s="2560"/>
      <c r="X5279" s="1569"/>
    </row>
    <row r="5280" spans="2:24">
      <c r="B5280" s="4039" t="s">
        <v>1248</v>
      </c>
      <c r="C5280" s="4177"/>
      <c r="D5280" s="4039"/>
      <c r="E5280" s="4039" t="s">
        <v>1133</v>
      </c>
      <c r="F5280" s="4177">
        <v>2350</v>
      </c>
      <c r="G5280" s="4178" t="s">
        <v>468</v>
      </c>
      <c r="H5280" s="4179"/>
      <c r="I5280" s="4179">
        <v>200</v>
      </c>
      <c r="J5280" s="4179"/>
      <c r="K5280" s="1950"/>
      <c r="L5280" s="4179"/>
      <c r="M5280" s="4179">
        <v>400</v>
      </c>
      <c r="N5280" s="2847"/>
      <c r="O5280" s="2560"/>
      <c r="P5280" s="1817" t="e">
        <f>INDEX(#REF!,MATCH(F5280,#REF!,0),2)</f>
        <v>#REF!</v>
      </c>
      <c r="Q5280" s="2560"/>
      <c r="R5280" s="2560"/>
      <c r="S5280" s="2560"/>
      <c r="T5280" s="2560"/>
      <c r="U5280" s="2560"/>
      <c r="V5280" s="2560"/>
      <c r="W5280" s="2560"/>
      <c r="X5280" s="1569"/>
    </row>
    <row r="5281" spans="2:24" ht="22.5">
      <c r="B5281" s="4039" t="s">
        <v>1248</v>
      </c>
      <c r="C5281" s="4177"/>
      <c r="D5281" s="4039"/>
      <c r="E5281" s="4039" t="s">
        <v>1133</v>
      </c>
      <c r="F5281" s="4177">
        <v>2350</v>
      </c>
      <c r="G5281" s="4178" t="s">
        <v>5561</v>
      </c>
      <c r="H5281" s="4179"/>
      <c r="I5281" s="4179">
        <v>2000</v>
      </c>
      <c r="J5281" s="4179"/>
      <c r="K5281" s="1950"/>
      <c r="L5281" s="4179"/>
      <c r="M5281" s="4179">
        <v>2000</v>
      </c>
      <c r="N5281" s="2847"/>
      <c r="O5281" s="2560"/>
      <c r="P5281" s="1817" t="e">
        <f>INDEX(#REF!,MATCH(F5281,#REF!,0),2)</f>
        <v>#REF!</v>
      </c>
      <c r="Q5281" s="2560"/>
      <c r="R5281" s="2560"/>
      <c r="S5281" s="2560"/>
      <c r="T5281" s="2560"/>
      <c r="U5281" s="2560"/>
      <c r="V5281" s="2560"/>
      <c r="W5281" s="2560"/>
      <c r="X5281" s="1569"/>
    </row>
    <row r="5282" spans="2:24" ht="22.5">
      <c r="B5282" s="4039" t="s">
        <v>1248</v>
      </c>
      <c r="C5282" s="4177"/>
      <c r="D5282" s="4039"/>
      <c r="E5282" s="4039" t="s">
        <v>1133</v>
      </c>
      <c r="F5282" s="4177">
        <v>2350</v>
      </c>
      <c r="G5282" s="4178" t="s">
        <v>5562</v>
      </c>
      <c r="H5282" s="4179"/>
      <c r="I5282" s="4179"/>
      <c r="J5282" s="4179"/>
      <c r="K5282" s="1950"/>
      <c r="L5282" s="4179"/>
      <c r="M5282" s="4307">
        <v>2000</v>
      </c>
      <c r="N5282" s="241" t="s">
        <v>5156</v>
      </c>
      <c r="O5282" s="2560"/>
      <c r="P5282" s="1817" t="e">
        <f>INDEX(#REF!,MATCH(F5282,#REF!,0),2)</f>
        <v>#REF!</v>
      </c>
      <c r="Q5282" s="2560"/>
      <c r="R5282" s="2560"/>
      <c r="S5282" s="2560"/>
      <c r="T5282" s="2560"/>
      <c r="U5282" s="2560"/>
      <c r="V5282" s="2560"/>
      <c r="W5282" s="2560"/>
      <c r="X5282" s="1569"/>
    </row>
    <row r="5283" spans="2:24">
      <c r="B5283" s="4039" t="s">
        <v>1248</v>
      </c>
      <c r="C5283" s="4177"/>
      <c r="D5283" s="4039"/>
      <c r="E5283" s="4039" t="s">
        <v>1133</v>
      </c>
      <c r="F5283" s="4177">
        <v>2350</v>
      </c>
      <c r="G5283" s="4178" t="s">
        <v>5912</v>
      </c>
      <c r="H5283" s="4179"/>
      <c r="I5283" s="4179"/>
      <c r="J5283" s="4179"/>
      <c r="K5283" s="1950"/>
      <c r="L5283" s="4179"/>
      <c r="M5283" s="4179">
        <v>1500</v>
      </c>
      <c r="N5283" s="2847"/>
      <c r="O5283" s="2560"/>
      <c r="P5283" s="1817" t="e">
        <f>INDEX(#REF!,MATCH(F5283,#REF!,0),2)</f>
        <v>#REF!</v>
      </c>
      <c r="Q5283" s="2560"/>
      <c r="R5283" s="2560"/>
      <c r="S5283" s="2560"/>
      <c r="T5283" s="2560"/>
      <c r="U5283" s="2560"/>
      <c r="V5283" s="2560"/>
      <c r="W5283" s="2560"/>
      <c r="X5283" s="1569"/>
    </row>
    <row r="5284" spans="2:24">
      <c r="B5284" s="4039" t="s">
        <v>1248</v>
      </c>
      <c r="C5284" s="4177"/>
      <c r="D5284" s="4039"/>
      <c r="E5284" s="4039" t="s">
        <v>1133</v>
      </c>
      <c r="F5284" s="4177">
        <v>2350</v>
      </c>
      <c r="G5284" s="4179" t="s">
        <v>2839</v>
      </c>
      <c r="H5284" s="4179"/>
      <c r="I5284" s="4179">
        <v>2500</v>
      </c>
      <c r="J5284" s="4179"/>
      <c r="K5284" s="1950"/>
      <c r="L5284" s="4179"/>
      <c r="M5284" s="4179">
        <v>0</v>
      </c>
      <c r="N5284" s="2847"/>
      <c r="O5284" s="2560"/>
      <c r="P5284" s="1817" t="e">
        <f>INDEX(#REF!,MATCH(F5284,#REF!,0),2)</f>
        <v>#REF!</v>
      </c>
      <c r="Q5284" s="2560"/>
      <c r="R5284" s="2560"/>
      <c r="S5284" s="2560"/>
      <c r="T5284" s="2560"/>
      <c r="U5284" s="2560"/>
      <c r="V5284" s="2560"/>
      <c r="W5284" s="2560"/>
      <c r="X5284" s="1569"/>
    </row>
    <row r="5285" spans="2:24">
      <c r="B5285" s="4039" t="s">
        <v>1248</v>
      </c>
      <c r="C5285" s="4177"/>
      <c r="D5285" s="4039"/>
      <c r="E5285" s="4039" t="s">
        <v>1133</v>
      </c>
      <c r="F5285" s="4177">
        <v>2350</v>
      </c>
      <c r="G5285" s="4179" t="s">
        <v>2840</v>
      </c>
      <c r="H5285" s="4179"/>
      <c r="I5285" s="4179">
        <v>200</v>
      </c>
      <c r="J5285" s="4179"/>
      <c r="K5285" s="1950"/>
      <c r="L5285" s="4179"/>
      <c r="M5285" s="4179">
        <v>400</v>
      </c>
      <c r="N5285" s="2847"/>
      <c r="O5285" s="2560"/>
      <c r="P5285" s="1817" t="e">
        <f>INDEX(#REF!,MATCH(F5285,#REF!,0),2)</f>
        <v>#REF!</v>
      </c>
      <c r="Q5285" s="2560"/>
      <c r="R5285" s="2560"/>
      <c r="S5285" s="2560"/>
      <c r="T5285" s="2560"/>
      <c r="U5285" s="2560"/>
      <c r="V5285" s="2560"/>
      <c r="W5285" s="2560"/>
      <c r="X5285" s="1569"/>
    </row>
    <row r="5286" spans="2:24">
      <c r="B5286" s="4039" t="s">
        <v>1248</v>
      </c>
      <c r="C5286" s="4177"/>
      <c r="D5286" s="4039"/>
      <c r="E5286" s="4039" t="s">
        <v>1133</v>
      </c>
      <c r="F5286" s="4177">
        <v>2350</v>
      </c>
      <c r="G5286" s="4178" t="s">
        <v>2841</v>
      </c>
      <c r="H5286" s="4179"/>
      <c r="I5286" s="4179">
        <v>800</v>
      </c>
      <c r="J5286" s="4179"/>
      <c r="K5286" s="1950"/>
      <c r="L5286" s="4179"/>
      <c r="M5286" s="4179">
        <v>0</v>
      </c>
      <c r="N5286" s="2847"/>
      <c r="O5286" s="2560"/>
      <c r="P5286" s="1817" t="e">
        <f>INDEX(#REF!,MATCH(F5286,#REF!,0),2)</f>
        <v>#REF!</v>
      </c>
      <c r="Q5286" s="2560"/>
      <c r="R5286" s="2560"/>
      <c r="S5286" s="2560"/>
      <c r="T5286" s="2560"/>
      <c r="U5286" s="2560"/>
      <c r="V5286" s="2560"/>
      <c r="W5286" s="2560"/>
      <c r="X5286" s="1569"/>
    </row>
    <row r="5287" spans="2:24">
      <c r="B5287" s="4039" t="s">
        <v>1248</v>
      </c>
      <c r="C5287" s="4177"/>
      <c r="D5287" s="4039"/>
      <c r="E5287" s="4039" t="s">
        <v>1133</v>
      </c>
      <c r="F5287" s="4177">
        <v>2350</v>
      </c>
      <c r="G5287" s="4178" t="s">
        <v>2947</v>
      </c>
      <c r="H5287" s="4179"/>
      <c r="I5287" s="4179">
        <v>3076</v>
      </c>
      <c r="J5287" s="4179"/>
      <c r="K5287" s="1950"/>
      <c r="L5287" s="4179"/>
      <c r="M5287" s="4179">
        <v>0</v>
      </c>
      <c r="N5287" s="2847"/>
      <c r="O5287" s="2560"/>
      <c r="P5287" s="1817" t="e">
        <f>INDEX(#REF!,MATCH(F5287,#REF!,0),2)</f>
        <v>#REF!</v>
      </c>
      <c r="Q5287" s="2560"/>
      <c r="R5287" s="2560"/>
      <c r="S5287" s="2560"/>
      <c r="T5287" s="2560"/>
      <c r="U5287" s="2560"/>
      <c r="V5287" s="2560"/>
      <c r="W5287" s="2560"/>
      <c r="X5287" s="1569"/>
    </row>
    <row r="5288" spans="2:24">
      <c r="B5288" s="4039" t="s">
        <v>1248</v>
      </c>
      <c r="C5288" s="4177"/>
      <c r="D5288" s="4039"/>
      <c r="E5288" s="4039" t="s">
        <v>1133</v>
      </c>
      <c r="F5288" s="4177">
        <v>2350</v>
      </c>
      <c r="G5288" s="4178" t="s">
        <v>5563</v>
      </c>
      <c r="H5288" s="4179"/>
      <c r="I5288" s="4179"/>
      <c r="J5288" s="4179"/>
      <c r="K5288" s="1950"/>
      <c r="L5288" s="4179"/>
      <c r="M5288" s="4179">
        <v>6000</v>
      </c>
      <c r="N5288" s="2847"/>
      <c r="O5288" s="2560"/>
      <c r="P5288" s="1817" t="e">
        <f>INDEX(#REF!,MATCH(F5288,#REF!,0),2)</f>
        <v>#REF!</v>
      </c>
      <c r="Q5288" s="2560"/>
      <c r="R5288" s="2560"/>
      <c r="S5288" s="2560"/>
      <c r="T5288" s="2560"/>
      <c r="U5288" s="2560"/>
      <c r="V5288" s="2560"/>
      <c r="W5288" s="2560"/>
      <c r="X5288" s="1569"/>
    </row>
    <row r="5289" spans="2:24" ht="22.9" customHeight="1">
      <c r="B5289" s="4039" t="s">
        <v>1248</v>
      </c>
      <c r="C5289" s="4177"/>
      <c r="D5289" s="4039"/>
      <c r="E5289" s="4039" t="s">
        <v>1133</v>
      </c>
      <c r="F5289" s="4177">
        <v>2350</v>
      </c>
      <c r="G5289" s="4201" t="s">
        <v>5564</v>
      </c>
      <c r="H5289" s="4179"/>
      <c r="I5289" s="4179"/>
      <c r="J5289" s="4179"/>
      <c r="K5289" s="1950"/>
      <c r="L5289" s="4179"/>
      <c r="M5289" s="4179">
        <v>1500</v>
      </c>
      <c r="N5289" s="2847"/>
      <c r="O5289" s="2560"/>
      <c r="P5289" s="1817" t="e">
        <f>INDEX(#REF!,MATCH(F5289,#REF!,0),2)</f>
        <v>#REF!</v>
      </c>
      <c r="Q5289" s="2560"/>
      <c r="R5289" s="2560"/>
      <c r="S5289" s="2560"/>
      <c r="T5289" s="2560"/>
      <c r="U5289" s="2560"/>
      <c r="V5289" s="2560"/>
      <c r="W5289" s="2560"/>
      <c r="X5289" s="1569"/>
    </row>
    <row r="5290" spans="2:24" ht="19.899999999999999" customHeight="1">
      <c r="B5290" s="4039" t="s">
        <v>1248</v>
      </c>
      <c r="C5290" s="4177"/>
      <c r="D5290" s="4039"/>
      <c r="E5290" s="4039" t="s">
        <v>1133</v>
      </c>
      <c r="F5290" s="4177">
        <v>2350</v>
      </c>
      <c r="G5290" s="4201" t="s">
        <v>5565</v>
      </c>
      <c r="H5290" s="4179"/>
      <c r="I5290" s="4179"/>
      <c r="J5290" s="4179"/>
      <c r="K5290" s="1950"/>
      <c r="L5290" s="4179"/>
      <c r="M5290" s="4179">
        <v>2000</v>
      </c>
      <c r="N5290" s="2847"/>
      <c r="O5290" s="2560"/>
      <c r="P5290" s="1817" t="e">
        <f>INDEX(#REF!,MATCH(F5290,#REF!,0),2)</f>
        <v>#REF!</v>
      </c>
      <c r="Q5290" s="2560"/>
      <c r="R5290" s="2560"/>
      <c r="S5290" s="2560"/>
      <c r="T5290" s="2560"/>
      <c r="U5290" s="2560"/>
      <c r="V5290" s="2560"/>
      <c r="W5290" s="2560"/>
      <c r="X5290" s="1569"/>
    </row>
    <row r="5291" spans="2:24" ht="33.75">
      <c r="B5291" s="4039" t="s">
        <v>1248</v>
      </c>
      <c r="C5291" s="4177"/>
      <c r="D5291" s="4039"/>
      <c r="E5291" s="4039" t="s">
        <v>1133</v>
      </c>
      <c r="F5291" s="4177">
        <v>2350</v>
      </c>
      <c r="G5291" s="4201" t="s">
        <v>5566</v>
      </c>
      <c r="H5291" s="4179"/>
      <c r="I5291" s="4179"/>
      <c r="J5291" s="4179"/>
      <c r="K5291" s="1950"/>
      <c r="L5291" s="4179"/>
      <c r="M5291" s="4179">
        <v>2500</v>
      </c>
      <c r="N5291" s="2847"/>
      <c r="O5291" s="2560"/>
      <c r="P5291" s="1817" t="e">
        <f>INDEX(#REF!,MATCH(F5291,#REF!,0),2)</f>
        <v>#REF!</v>
      </c>
      <c r="Q5291" s="2560"/>
      <c r="R5291" s="2560"/>
      <c r="S5291" s="2560"/>
      <c r="T5291" s="2560"/>
      <c r="U5291" s="2560"/>
      <c r="V5291" s="2560"/>
      <c r="W5291" s="2560"/>
      <c r="X5291" s="1569"/>
    </row>
    <row r="5292" spans="2:24" ht="22.5">
      <c r="B5292" s="4039" t="s">
        <v>1248</v>
      </c>
      <c r="C5292" s="4177"/>
      <c r="D5292" s="4039"/>
      <c r="E5292" s="4039" t="s">
        <v>1133</v>
      </c>
      <c r="F5292" s="4177">
        <v>2350</v>
      </c>
      <c r="G5292" s="4201" t="s">
        <v>5567</v>
      </c>
      <c r="H5292" s="4179"/>
      <c r="I5292" s="4179"/>
      <c r="J5292" s="4179"/>
      <c r="K5292" s="1950"/>
      <c r="L5292" s="4179"/>
      <c r="M5292" s="4179">
        <v>500</v>
      </c>
      <c r="N5292" s="2847"/>
      <c r="O5292" s="2560"/>
      <c r="P5292" s="1817" t="e">
        <f>INDEX(#REF!,MATCH(F5292,#REF!,0),2)</f>
        <v>#REF!</v>
      </c>
      <c r="Q5292" s="2560"/>
      <c r="R5292" s="2560"/>
      <c r="S5292" s="2560"/>
      <c r="T5292" s="2560"/>
      <c r="U5292" s="2560"/>
      <c r="V5292" s="2560"/>
      <c r="W5292" s="2560"/>
      <c r="X5292" s="1569"/>
    </row>
    <row r="5293" spans="2:24" ht="22.5">
      <c r="B5293" s="4039" t="s">
        <v>1248</v>
      </c>
      <c r="C5293" s="4177"/>
      <c r="D5293" s="4039"/>
      <c r="E5293" s="4039" t="s">
        <v>1133</v>
      </c>
      <c r="F5293" s="4177">
        <v>2350</v>
      </c>
      <c r="G5293" s="4201" t="s">
        <v>5568</v>
      </c>
      <c r="H5293" s="4179"/>
      <c r="I5293" s="4179"/>
      <c r="J5293" s="4179"/>
      <c r="K5293" s="1950"/>
      <c r="L5293" s="4179"/>
      <c r="M5293" s="4179">
        <v>1000</v>
      </c>
      <c r="N5293" s="2847"/>
      <c r="O5293" s="2560"/>
      <c r="P5293" s="1817" t="e">
        <f>INDEX(#REF!,MATCH(F5293,#REF!,0),2)</f>
        <v>#REF!</v>
      </c>
      <c r="Q5293" s="2559"/>
      <c r="R5293" s="2559"/>
      <c r="S5293" s="2559"/>
      <c r="T5293" s="2559"/>
      <c r="U5293" s="2559"/>
      <c r="V5293" s="2559"/>
      <c r="W5293" s="2559"/>
      <c r="X5293" s="152"/>
    </row>
    <row r="5294" spans="2:24" ht="22.9" customHeight="1">
      <c r="B5294" s="4039" t="s">
        <v>1248</v>
      </c>
      <c r="C5294" s="4177"/>
      <c r="D5294" s="4039"/>
      <c r="E5294" s="4039" t="s">
        <v>1133</v>
      </c>
      <c r="F5294" s="4177">
        <v>2350</v>
      </c>
      <c r="G5294" s="4201" t="s">
        <v>5569</v>
      </c>
      <c r="H5294" s="4179"/>
      <c r="I5294" s="4179"/>
      <c r="J5294" s="4179"/>
      <c r="K5294" s="1950"/>
      <c r="L5294" s="4179"/>
      <c r="M5294" s="4179">
        <v>1500</v>
      </c>
      <c r="N5294" s="2847"/>
      <c r="O5294" s="2560"/>
      <c r="P5294" s="1817" t="e">
        <f>INDEX(#REF!,MATCH(F5294,#REF!,0),2)</f>
        <v>#REF!</v>
      </c>
      <c r="Q5294" s="2560"/>
      <c r="R5294" s="2560"/>
      <c r="S5294" s="2560"/>
      <c r="T5294" s="2560"/>
      <c r="U5294" s="2560"/>
      <c r="V5294" s="2560"/>
      <c r="W5294" s="2560"/>
      <c r="X5294" s="1569"/>
    </row>
    <row r="5295" spans="2:24" ht="41.45" customHeight="1">
      <c r="B5295" s="4039" t="s">
        <v>1248</v>
      </c>
      <c r="C5295" s="4177"/>
      <c r="D5295" s="4039"/>
      <c r="E5295" s="4039" t="s">
        <v>1133</v>
      </c>
      <c r="F5295" s="4177">
        <v>2350</v>
      </c>
      <c r="G5295" s="4201" t="s">
        <v>5570</v>
      </c>
      <c r="H5295" s="4179"/>
      <c r="I5295" s="4179"/>
      <c r="J5295" s="4179"/>
      <c r="K5295" s="1950"/>
      <c r="L5295" s="4179"/>
      <c r="M5295" s="4179">
        <v>1000</v>
      </c>
      <c r="N5295" s="2847"/>
      <c r="O5295" s="2559"/>
      <c r="P5295" s="1817" t="e">
        <f>INDEX(#REF!,MATCH(F5295,#REF!,0),2)</f>
        <v>#REF!</v>
      </c>
      <c r="Q5295" s="2559"/>
      <c r="R5295" s="2559"/>
      <c r="S5295" s="2559"/>
      <c r="T5295" s="2559"/>
      <c r="U5295" s="2559"/>
      <c r="V5295" s="2559"/>
      <c r="W5295" s="2559"/>
      <c r="X5295" s="152"/>
    </row>
    <row r="5296" spans="2:24" ht="33.75">
      <c r="B5296" s="4039" t="s">
        <v>1248</v>
      </c>
      <c r="C5296" s="4177"/>
      <c r="D5296" s="4039"/>
      <c r="E5296" s="4039" t="s">
        <v>1133</v>
      </c>
      <c r="F5296" s="4177">
        <v>2350</v>
      </c>
      <c r="G5296" s="4201" t="s">
        <v>5571</v>
      </c>
      <c r="H5296" s="4179"/>
      <c r="I5296" s="4179"/>
      <c r="J5296" s="4179"/>
      <c r="K5296" s="1950"/>
      <c r="L5296" s="4179"/>
      <c r="M5296" s="4179">
        <v>300</v>
      </c>
      <c r="N5296" s="2847"/>
      <c r="O5296" s="2560"/>
      <c r="P5296" s="1817" t="e">
        <f>INDEX(#REF!,MATCH(F5296,#REF!,0),2)</f>
        <v>#REF!</v>
      </c>
      <c r="Q5296" s="2560"/>
      <c r="R5296" s="2560"/>
      <c r="S5296" s="2560"/>
      <c r="T5296" s="2560"/>
      <c r="U5296" s="2560"/>
      <c r="V5296" s="2560"/>
      <c r="W5296" s="2560"/>
      <c r="X5296" s="1569"/>
    </row>
    <row r="5297" spans="2:24">
      <c r="B5297" s="4039" t="s">
        <v>1248</v>
      </c>
      <c r="C5297" s="4177"/>
      <c r="D5297" s="4039"/>
      <c r="E5297" s="4039" t="s">
        <v>1133</v>
      </c>
      <c r="F5297" s="4177">
        <v>2350</v>
      </c>
      <c r="G5297" s="4179" t="s">
        <v>2739</v>
      </c>
      <c r="H5297" s="4179"/>
      <c r="I5297" s="4179">
        <v>1500</v>
      </c>
      <c r="J5297" s="4179"/>
      <c r="K5297" s="1950"/>
      <c r="L5297" s="4179"/>
      <c r="M5297" s="4179">
        <v>1500</v>
      </c>
      <c r="N5297" s="2847"/>
      <c r="O5297" s="2559"/>
      <c r="P5297" s="1817" t="e">
        <f>INDEX(#REF!,MATCH(F5297,#REF!,0),2)</f>
        <v>#REF!</v>
      </c>
      <c r="Q5297" s="2560"/>
      <c r="R5297" s="2560"/>
      <c r="S5297" s="2560"/>
      <c r="T5297" s="2560"/>
      <c r="U5297" s="2560"/>
      <c r="V5297" s="2560"/>
      <c r="W5297" s="2560"/>
      <c r="X5297" s="1569"/>
    </row>
    <row r="5298" spans="2:24">
      <c r="B5298" s="4039" t="s">
        <v>1248</v>
      </c>
      <c r="C5298" s="4177"/>
      <c r="D5298" s="4039"/>
      <c r="E5298" s="4039" t="s">
        <v>1133</v>
      </c>
      <c r="F5298" s="4177">
        <v>2350</v>
      </c>
      <c r="G5298" s="4178" t="s">
        <v>2741</v>
      </c>
      <c r="H5298" s="4179"/>
      <c r="I5298" s="4179">
        <v>200</v>
      </c>
      <c r="J5298" s="4179"/>
      <c r="K5298" s="1950"/>
      <c r="L5298" s="4179"/>
      <c r="M5298" s="4179">
        <v>300</v>
      </c>
      <c r="N5298" s="2847"/>
      <c r="O5298" s="2560"/>
      <c r="P5298" s="1817" t="e">
        <f>INDEX(#REF!,MATCH(F5298,#REF!,0),2)</f>
        <v>#REF!</v>
      </c>
      <c r="Q5298" s="2559"/>
      <c r="R5298" s="2559"/>
      <c r="S5298" s="2559"/>
      <c r="T5298" s="2559"/>
      <c r="U5298" s="2559"/>
      <c r="V5298" s="2559"/>
      <c r="W5298" s="2559"/>
      <c r="X5298" s="152"/>
    </row>
    <row r="5299" spans="2:24">
      <c r="B5299" s="4039" t="s">
        <v>1248</v>
      </c>
      <c r="C5299" s="4177"/>
      <c r="D5299" s="4039"/>
      <c r="E5299" s="4039" t="s">
        <v>1133</v>
      </c>
      <c r="F5299" s="4177">
        <v>2350</v>
      </c>
      <c r="G5299" s="4178" t="s">
        <v>2742</v>
      </c>
      <c r="H5299" s="4179"/>
      <c r="I5299" s="4179">
        <v>1500</v>
      </c>
      <c r="J5299" s="4179"/>
      <c r="K5299" s="1950"/>
      <c r="L5299" s="4179"/>
      <c r="M5299" s="4179">
        <v>1500</v>
      </c>
      <c r="N5299" s="2847"/>
      <c r="O5299" s="2560"/>
      <c r="P5299" s="1817"/>
      <c r="Q5299" s="2560"/>
      <c r="R5299" s="2560"/>
      <c r="S5299" s="2560"/>
      <c r="T5299" s="2560"/>
      <c r="U5299" s="2560"/>
      <c r="V5299" s="2560"/>
      <c r="W5299" s="2560"/>
      <c r="X5299" s="1569"/>
    </row>
    <row r="5300" spans="2:24" ht="22.5">
      <c r="B5300" s="4039" t="s">
        <v>1248</v>
      </c>
      <c r="C5300" s="4177"/>
      <c r="D5300" s="4039"/>
      <c r="E5300" s="4039" t="s">
        <v>1133</v>
      </c>
      <c r="F5300" s="4177">
        <v>2350</v>
      </c>
      <c r="G5300" s="4178" t="s">
        <v>5572</v>
      </c>
      <c r="H5300" s="4179"/>
      <c r="I5300" s="4179"/>
      <c r="J5300" s="4179"/>
      <c r="K5300" s="1950"/>
      <c r="L5300" s="4179"/>
      <c r="M5300" s="4179">
        <v>1200</v>
      </c>
      <c r="N5300" s="2847" t="s">
        <v>5577</v>
      </c>
      <c r="O5300" s="2559"/>
      <c r="P5300" s="1817" t="e">
        <f>INDEX(#REF!,MATCH(F5300,#REF!,0),2)</f>
        <v>#REF!</v>
      </c>
      <c r="Q5300" s="2559"/>
      <c r="R5300" s="2559"/>
      <c r="S5300" s="2559"/>
      <c r="T5300" s="2559"/>
      <c r="U5300" s="2559"/>
      <c r="V5300" s="2559"/>
      <c r="W5300" s="2559"/>
      <c r="X5300" s="152"/>
    </row>
    <row r="5301" spans="2:24" ht="22.5">
      <c r="B5301" s="4039" t="s">
        <v>1248</v>
      </c>
      <c r="C5301" s="4177"/>
      <c r="D5301" s="4039"/>
      <c r="E5301" s="4039" t="s">
        <v>1133</v>
      </c>
      <c r="F5301" s="4177">
        <v>2350</v>
      </c>
      <c r="G5301" s="4178" t="s">
        <v>5573</v>
      </c>
      <c r="H5301" s="4179"/>
      <c r="I5301" s="4179"/>
      <c r="J5301" s="4179"/>
      <c r="K5301" s="1950"/>
      <c r="L5301" s="4179"/>
      <c r="M5301" s="4179">
        <v>1500</v>
      </c>
      <c r="N5301" s="2847"/>
      <c r="O5301" s="2560"/>
      <c r="P5301" s="1817" t="e">
        <f>INDEX(#REF!,MATCH(F5301,#REF!,0),2)</f>
        <v>#REF!</v>
      </c>
      <c r="Q5301" s="2560"/>
      <c r="R5301" s="2560"/>
      <c r="S5301" s="2560"/>
      <c r="T5301" s="2560"/>
      <c r="U5301" s="2560"/>
      <c r="V5301" s="2560"/>
      <c r="W5301" s="2560"/>
      <c r="X5301" s="1569"/>
    </row>
    <row r="5302" spans="2:24" ht="22.5">
      <c r="B5302" s="4039" t="s">
        <v>1248</v>
      </c>
      <c r="C5302" s="4177"/>
      <c r="D5302" s="4039"/>
      <c r="E5302" s="4039" t="s">
        <v>1133</v>
      </c>
      <c r="F5302" s="4177">
        <v>2350</v>
      </c>
      <c r="G5302" s="4178" t="s">
        <v>5574</v>
      </c>
      <c r="H5302" s="4179"/>
      <c r="I5302" s="4179"/>
      <c r="J5302" s="4179"/>
      <c r="K5302" s="1950"/>
      <c r="L5302" s="4179"/>
      <c r="M5302" s="4179">
        <v>0</v>
      </c>
      <c r="N5302" s="2847"/>
      <c r="O5302" s="2559"/>
      <c r="P5302" s="1817" t="e">
        <f>INDEX(#REF!,MATCH(F5302,#REF!,0),2)</f>
        <v>#REF!</v>
      </c>
      <c r="Q5302" s="2559"/>
      <c r="R5302" s="2559"/>
      <c r="S5302" s="2559"/>
      <c r="T5302" s="2559"/>
      <c r="U5302" s="2559"/>
      <c r="V5302" s="2559"/>
      <c r="W5302" s="2559"/>
      <c r="X5302" s="152"/>
    </row>
    <row r="5303" spans="2:24">
      <c r="B5303" s="4039" t="s">
        <v>1248</v>
      </c>
      <c r="C5303" s="4177"/>
      <c r="D5303" s="4039"/>
      <c r="E5303" s="4039" t="s">
        <v>1133</v>
      </c>
      <c r="F5303" s="4177">
        <v>2350</v>
      </c>
      <c r="G5303" s="4178" t="s">
        <v>2842</v>
      </c>
      <c r="H5303" s="4179"/>
      <c r="I5303" s="4179">
        <v>500</v>
      </c>
      <c r="J5303" s="4179"/>
      <c r="K5303" s="1950"/>
      <c r="L5303" s="4179"/>
      <c r="M5303" s="4179">
        <v>1500</v>
      </c>
      <c r="N5303" s="2847" t="s">
        <v>5872</v>
      </c>
      <c r="O5303" s="2560"/>
      <c r="P5303" s="1817" t="e">
        <f>INDEX(#REF!,MATCH(F5303,#REF!,0),2)</f>
        <v>#REF!</v>
      </c>
      <c r="Q5303" s="2560"/>
      <c r="R5303" s="2560"/>
      <c r="S5303" s="2560"/>
      <c r="T5303" s="2560"/>
      <c r="U5303" s="2560"/>
      <c r="V5303" s="2560"/>
      <c r="W5303" s="2560"/>
      <c r="X5303" s="1569"/>
    </row>
    <row r="5304" spans="2:24">
      <c r="B5304" s="4039" t="s">
        <v>1248</v>
      </c>
      <c r="C5304" s="4177"/>
      <c r="D5304" s="4039"/>
      <c r="E5304" s="4039" t="s">
        <v>1133</v>
      </c>
      <c r="F5304" s="4177">
        <v>2350</v>
      </c>
      <c r="G5304" s="4179" t="s">
        <v>2802</v>
      </c>
      <c r="H5304" s="4179"/>
      <c r="I5304" s="4179"/>
      <c r="J5304" s="4179"/>
      <c r="K5304" s="1950"/>
      <c r="L5304" s="4179"/>
      <c r="M5304" s="4179">
        <v>4000</v>
      </c>
      <c r="N5304" s="2847" t="s">
        <v>5874</v>
      </c>
      <c r="O5304" s="2559"/>
      <c r="P5304" s="1817" t="e">
        <f>INDEX(#REF!,MATCH(F5304,#REF!,0),2)</f>
        <v>#REF!</v>
      </c>
      <c r="Q5304" s="2560"/>
      <c r="R5304" s="2560"/>
      <c r="S5304" s="2560"/>
      <c r="T5304" s="2560"/>
      <c r="U5304" s="2560"/>
      <c r="V5304" s="2560"/>
      <c r="W5304" s="2560"/>
      <c r="X5304" s="1569"/>
    </row>
    <row r="5305" spans="2:24" ht="33.75">
      <c r="B5305" s="4039" t="s">
        <v>1248</v>
      </c>
      <c r="C5305" s="4177"/>
      <c r="D5305" s="4039"/>
      <c r="E5305" s="4039" t="s">
        <v>1133</v>
      </c>
      <c r="F5305" s="4177">
        <v>2350</v>
      </c>
      <c r="G5305" s="4187" t="s">
        <v>2797</v>
      </c>
      <c r="H5305" s="4179"/>
      <c r="I5305" s="4179"/>
      <c r="J5305" s="4179"/>
      <c r="K5305" s="1950"/>
      <c r="L5305" s="4179"/>
      <c r="M5305" s="4179">
        <v>200</v>
      </c>
      <c r="N5305" s="2847"/>
      <c r="O5305" s="2560"/>
      <c r="P5305" s="1817" t="e">
        <f>INDEX(#REF!,MATCH(F5305,#REF!,0),2)</f>
        <v>#REF!</v>
      </c>
      <c r="Q5305" s="2560"/>
      <c r="R5305" s="2560"/>
      <c r="S5305" s="2560"/>
      <c r="T5305" s="2560"/>
      <c r="U5305" s="2560"/>
      <c r="V5305" s="2560"/>
      <c r="W5305" s="2560"/>
      <c r="X5305" s="1569"/>
    </row>
    <row r="5306" spans="2:24" ht="22.5">
      <c r="B5306" s="4039" t="s">
        <v>1248</v>
      </c>
      <c r="C5306" s="4177"/>
      <c r="D5306" s="4039"/>
      <c r="E5306" s="4039" t="s">
        <v>1133</v>
      </c>
      <c r="F5306" s="4177">
        <v>2350</v>
      </c>
      <c r="G5306" s="4187" t="s">
        <v>5576</v>
      </c>
      <c r="H5306" s="4179"/>
      <c r="I5306" s="4179"/>
      <c r="J5306" s="4179"/>
      <c r="K5306" s="1950"/>
      <c r="L5306" s="4179"/>
      <c r="M5306" s="4179">
        <v>6400</v>
      </c>
      <c r="N5306" s="2847"/>
      <c r="O5306" s="2560"/>
      <c r="P5306" s="1817"/>
      <c r="Q5306" s="2560"/>
      <c r="R5306" s="2560"/>
      <c r="S5306" s="2560"/>
      <c r="T5306" s="2560"/>
      <c r="U5306" s="2560"/>
      <c r="V5306" s="2560"/>
      <c r="W5306" s="2560"/>
      <c r="X5306" s="1569"/>
    </row>
    <row r="5307" spans="2:24" ht="22.5">
      <c r="B5307" s="4039" t="s">
        <v>1248</v>
      </c>
      <c r="C5307" s="4177"/>
      <c r="D5307" s="4039"/>
      <c r="E5307" s="4039" t="s">
        <v>1133</v>
      </c>
      <c r="F5307" s="4177">
        <v>2350</v>
      </c>
      <c r="G5307" s="4178" t="s">
        <v>2843</v>
      </c>
      <c r="H5307" s="4179"/>
      <c r="I5307" s="4179">
        <v>200</v>
      </c>
      <c r="J5307" s="4179"/>
      <c r="K5307" s="1950"/>
      <c r="L5307" s="4179"/>
      <c r="M5307" s="4179">
        <v>200</v>
      </c>
      <c r="N5307" s="2847"/>
      <c r="O5307" s="2560"/>
      <c r="P5307" s="1817"/>
      <c r="Q5307" s="2559"/>
      <c r="R5307" s="2559"/>
      <c r="S5307" s="2559"/>
      <c r="T5307" s="2559"/>
      <c r="U5307" s="2559"/>
      <c r="V5307" s="2559"/>
      <c r="W5307" s="2559"/>
      <c r="X5307" s="152"/>
    </row>
    <row r="5308" spans="2:24">
      <c r="B5308" s="4039" t="s">
        <v>1248</v>
      </c>
      <c r="C5308" s="4177"/>
      <c r="D5308" s="4039"/>
      <c r="E5308" s="4039" t="s">
        <v>1133</v>
      </c>
      <c r="F5308" s="4177">
        <v>2350</v>
      </c>
      <c r="G5308" s="4178" t="s">
        <v>2844</v>
      </c>
      <c r="H5308" s="4179"/>
      <c r="I5308" s="4179">
        <v>900</v>
      </c>
      <c r="J5308" s="4179"/>
      <c r="K5308" s="1950"/>
      <c r="L5308" s="4179"/>
      <c r="M5308" s="4179">
        <v>900</v>
      </c>
      <c r="N5308" s="2847"/>
      <c r="O5308" s="2560"/>
      <c r="P5308" s="1817"/>
      <c r="Q5308" s="2560"/>
      <c r="R5308" s="2560"/>
      <c r="S5308" s="2560"/>
      <c r="T5308" s="2560"/>
      <c r="U5308" s="2560"/>
      <c r="V5308" s="2560"/>
      <c r="W5308" s="2560"/>
      <c r="X5308" s="1569"/>
    </row>
    <row r="5309" spans="2:24" ht="22.5">
      <c r="B5309" s="4039" t="s">
        <v>1248</v>
      </c>
      <c r="C5309" s="4177"/>
      <c r="D5309" s="4039"/>
      <c r="E5309" s="4039" t="s">
        <v>1133</v>
      </c>
      <c r="F5309" s="4177">
        <v>2350</v>
      </c>
      <c r="G5309" s="4178" t="s">
        <v>733</v>
      </c>
      <c r="H5309" s="4179"/>
      <c r="I5309" s="4179">
        <v>1000</v>
      </c>
      <c r="J5309" s="4179"/>
      <c r="K5309" s="1950"/>
      <c r="L5309" s="4179"/>
      <c r="M5309" s="4179">
        <v>1000</v>
      </c>
      <c r="N5309" s="2847"/>
      <c r="O5309" s="2559"/>
      <c r="P5309" s="1817" t="e">
        <f>INDEX(#REF!,MATCH(F5309,#REF!,0),2)</f>
        <v>#REF!</v>
      </c>
      <c r="Q5309" s="2560"/>
      <c r="R5309" s="2560"/>
      <c r="S5309" s="2560"/>
      <c r="T5309" s="2560"/>
      <c r="U5309" s="2560"/>
      <c r="V5309" s="2560"/>
      <c r="W5309" s="2560"/>
      <c r="X5309" s="1569"/>
    </row>
    <row r="5310" spans="2:24">
      <c r="B5310" s="4039" t="s">
        <v>1248</v>
      </c>
      <c r="C5310" s="4177"/>
      <c r="D5310" s="4039"/>
      <c r="E5310" s="4039" t="s">
        <v>1133</v>
      </c>
      <c r="F5310" s="4177">
        <v>2350</v>
      </c>
      <c r="G5310" s="4178" t="s">
        <v>2845</v>
      </c>
      <c r="H5310" s="4179"/>
      <c r="I5310" s="4179">
        <v>1000</v>
      </c>
      <c r="J5310" s="4179"/>
      <c r="K5310" s="1950"/>
      <c r="L5310" s="4179"/>
      <c r="M5310" s="4179">
        <v>1100</v>
      </c>
      <c r="N5310" s="2847"/>
      <c r="O5310" s="2560"/>
      <c r="P5310" s="1817" t="e">
        <f>INDEX(#REF!,MATCH(F5310,#REF!,0),2)</f>
        <v>#REF!</v>
      </c>
      <c r="Q5310" s="2560"/>
      <c r="R5310" s="2560"/>
      <c r="S5310" s="2560"/>
      <c r="T5310" s="2560"/>
      <c r="U5310" s="2560"/>
      <c r="V5310" s="2560"/>
      <c r="W5310" s="2560"/>
      <c r="X5310" s="1569"/>
    </row>
    <row r="5311" spans="2:24">
      <c r="B5311" s="4039" t="s">
        <v>1248</v>
      </c>
      <c r="C5311" s="4177"/>
      <c r="D5311" s="4039"/>
      <c r="E5311" s="4039" t="s">
        <v>1133</v>
      </c>
      <c r="F5311" s="4177">
        <v>2350</v>
      </c>
      <c r="G5311" s="4178" t="s">
        <v>528</v>
      </c>
      <c r="H5311" s="4179"/>
      <c r="I5311" s="4179">
        <v>5350</v>
      </c>
      <c r="J5311" s="4179"/>
      <c r="K5311" s="1950"/>
      <c r="L5311" s="4179"/>
      <c r="M5311" s="4179">
        <v>5350</v>
      </c>
      <c r="N5311" s="2847"/>
      <c r="O5311" s="2560"/>
      <c r="P5311" s="1817" t="e">
        <f>INDEX(#REF!,MATCH(F5311,#REF!,0),2)</f>
        <v>#REF!</v>
      </c>
      <c r="Q5311" s="2559"/>
      <c r="R5311" s="2559"/>
      <c r="S5311" s="2559"/>
      <c r="T5311" s="2559"/>
      <c r="U5311" s="2559"/>
      <c r="V5311" s="2559"/>
      <c r="W5311" s="2559"/>
      <c r="X5311" s="152"/>
    </row>
    <row r="5312" spans="2:24">
      <c r="B5312" s="4038" t="s">
        <v>1249</v>
      </c>
      <c r="C5312" s="4174"/>
      <c r="D5312" s="4038"/>
      <c r="E5312" s="4038" t="s">
        <v>1133</v>
      </c>
      <c r="F5312" s="4174">
        <v>2350</v>
      </c>
      <c r="G5312" s="4175" t="s">
        <v>251</v>
      </c>
      <c r="H5312" s="4176"/>
      <c r="I5312" s="4176"/>
      <c r="J5312" s="4176"/>
      <c r="K5312" s="1948"/>
      <c r="L5312" s="4176">
        <v>10000</v>
      </c>
      <c r="M5312" s="4176"/>
      <c r="N5312" s="2396"/>
      <c r="O5312" s="2560"/>
      <c r="P5312" s="1817" t="e">
        <f>INDEX(#REF!,MATCH(F5312,#REF!,0),2)</f>
        <v>#REF!</v>
      </c>
      <c r="Q5312" s="2560"/>
      <c r="R5312" s="2560"/>
      <c r="S5312" s="2560"/>
      <c r="T5312" s="2560"/>
      <c r="U5312" s="2560"/>
      <c r="V5312" s="2560"/>
      <c r="W5312" s="2560"/>
      <c r="X5312" s="1569"/>
    </row>
    <row r="5313" spans="2:24" ht="22.5">
      <c r="B5313" s="4039" t="s">
        <v>1249</v>
      </c>
      <c r="C5313" s="4177"/>
      <c r="D5313" s="4039"/>
      <c r="E5313" s="4039" t="s">
        <v>1133</v>
      </c>
      <c r="F5313" s="4177">
        <v>2350</v>
      </c>
      <c r="G5313" s="4178" t="s">
        <v>5575</v>
      </c>
      <c r="H5313" s="4179"/>
      <c r="I5313" s="4179"/>
      <c r="J5313" s="4179"/>
      <c r="K5313" s="1950"/>
      <c r="L5313" s="4179"/>
      <c r="M5313" s="4179">
        <v>10000</v>
      </c>
      <c r="N5313" s="2847" t="s">
        <v>5873</v>
      </c>
      <c r="O5313" s="2559"/>
      <c r="P5313" s="1817" t="e">
        <f>INDEX(#REF!,MATCH(F5313,#REF!,0),2)</f>
        <v>#REF!</v>
      </c>
      <c r="Q5313" s="2560"/>
      <c r="R5313" s="2560"/>
      <c r="S5313" s="2560"/>
      <c r="T5313" s="2560"/>
      <c r="U5313" s="2560"/>
      <c r="V5313" s="2560"/>
      <c r="W5313" s="2560"/>
      <c r="X5313" s="1569"/>
    </row>
    <row r="5314" spans="2:24" ht="22.5">
      <c r="B5314" s="4174" t="s">
        <v>1248</v>
      </c>
      <c r="C5314" s="4174"/>
      <c r="D5314" s="4174"/>
      <c r="E5314" s="4174" t="s">
        <v>1133</v>
      </c>
      <c r="F5314" s="4174">
        <v>2512</v>
      </c>
      <c r="G5314" s="4175" t="s">
        <v>1255</v>
      </c>
      <c r="H5314" s="4176">
        <v>18520</v>
      </c>
      <c r="I5314" s="4176"/>
      <c r="J5314" s="4176">
        <v>9015</v>
      </c>
      <c r="K5314" s="1948"/>
      <c r="L5314" s="4176">
        <v>19000</v>
      </c>
      <c r="M5314" s="4176"/>
      <c r="N5314" s="2396" t="s">
        <v>5697</v>
      </c>
      <c r="O5314" s="2560"/>
      <c r="P5314" s="1817" t="e">
        <f>INDEX(#REF!,MATCH(F5314,#REF!,0),2)</f>
        <v>#REF!</v>
      </c>
      <c r="Q5314" s="2559"/>
      <c r="R5314" s="2559"/>
      <c r="S5314" s="2559"/>
      <c r="T5314" s="2559"/>
      <c r="U5314" s="2559"/>
      <c r="V5314" s="2559"/>
      <c r="W5314" s="2559"/>
      <c r="X5314" s="152"/>
    </row>
    <row r="5315" spans="2:24" ht="22.5">
      <c r="B5315" s="4177" t="s">
        <v>1248</v>
      </c>
      <c r="C5315" s="4177"/>
      <c r="D5315" s="4177"/>
      <c r="E5315" s="4177" t="s">
        <v>1133</v>
      </c>
      <c r="F5315" s="4177">
        <v>2512</v>
      </c>
      <c r="G5315" s="4178" t="s">
        <v>1255</v>
      </c>
      <c r="H5315" s="4179"/>
      <c r="I5315" s="4179">
        <v>19000</v>
      </c>
      <c r="J5315" s="4179"/>
      <c r="K5315" s="1950"/>
      <c r="L5315" s="4179"/>
      <c r="M5315" s="4179">
        <v>19000</v>
      </c>
      <c r="N5315" s="2847"/>
      <c r="O5315" s="2560"/>
      <c r="P5315" s="1817"/>
      <c r="Q5315" s="2560"/>
      <c r="R5315" s="2560"/>
      <c r="S5315" s="2560"/>
      <c r="T5315" s="2560"/>
      <c r="U5315" s="2560"/>
      <c r="V5315" s="2560"/>
      <c r="W5315" s="2560"/>
      <c r="X5315" s="1569"/>
    </row>
    <row r="5316" spans="2:24">
      <c r="B5316" s="4174" t="s">
        <v>1248</v>
      </c>
      <c r="C5316" s="4174"/>
      <c r="D5316" s="4174"/>
      <c r="E5316" s="4174" t="s">
        <v>1133</v>
      </c>
      <c r="F5316" s="4174">
        <v>2515</v>
      </c>
      <c r="G5316" s="4175" t="s">
        <v>5875</v>
      </c>
      <c r="H5316" s="4176">
        <v>0</v>
      </c>
      <c r="I5316" s="4176"/>
      <c r="J5316" s="4176"/>
      <c r="K5316" s="4042"/>
      <c r="L5316" s="4176">
        <v>0</v>
      </c>
      <c r="M5316" s="4176"/>
      <c r="N5316" s="2847"/>
      <c r="O5316" s="2559"/>
      <c r="P5316" s="1817" t="e">
        <f>INDEX(#REF!,MATCH(F5316,#REF!,0),2)</f>
        <v>#REF!</v>
      </c>
      <c r="Q5316" s="2559"/>
      <c r="R5316" s="2559"/>
      <c r="S5316" s="2559"/>
      <c r="T5316" s="2559"/>
      <c r="U5316" s="2559"/>
      <c r="V5316" s="2559"/>
      <c r="W5316" s="2559"/>
      <c r="X5316" s="152"/>
    </row>
    <row r="5317" spans="2:24" ht="22.5">
      <c r="B5317" s="4177" t="s">
        <v>1248</v>
      </c>
      <c r="C5317" s="4177"/>
      <c r="D5317" s="4177"/>
      <c r="E5317" s="4177" t="s">
        <v>1133</v>
      </c>
      <c r="F5317" s="4177">
        <v>2515</v>
      </c>
      <c r="G5317" s="4178" t="s">
        <v>5875</v>
      </c>
      <c r="H5317" s="4179"/>
      <c r="I5317" s="4179"/>
      <c r="J5317" s="4179"/>
      <c r="K5317" s="1948"/>
      <c r="L5317" s="4179"/>
      <c r="M5317" s="4179"/>
      <c r="N5317" s="241"/>
      <c r="O5317" s="2560"/>
      <c r="P5317" s="1817" t="e">
        <f>INDEX(#REF!,MATCH(F5317,#REF!,0),2)</f>
        <v>#REF!</v>
      </c>
      <c r="Q5317" s="2560"/>
      <c r="R5317" s="2560"/>
      <c r="S5317" s="2560"/>
      <c r="T5317" s="2560"/>
      <c r="U5317" s="2560"/>
      <c r="V5317" s="2560"/>
      <c r="W5317" s="2560"/>
      <c r="X5317" s="1569"/>
    </row>
    <row r="5318" spans="2:24" ht="22.5">
      <c r="B5318" s="4174" t="s">
        <v>1248</v>
      </c>
      <c r="C5318" s="4174"/>
      <c r="D5318" s="4174"/>
      <c r="E5318" s="4174" t="s">
        <v>1133</v>
      </c>
      <c r="F5318" s="4174">
        <v>2519</v>
      </c>
      <c r="G5318" s="4175" t="s">
        <v>1256</v>
      </c>
      <c r="H5318" s="4176">
        <v>0</v>
      </c>
      <c r="I5318" s="4176"/>
      <c r="J5318" s="4176">
        <v>45</v>
      </c>
      <c r="K5318" s="1950"/>
      <c r="L5318" s="4176">
        <v>300</v>
      </c>
      <c r="M5318" s="4176"/>
      <c r="N5318" s="2847"/>
      <c r="O5318" s="2559"/>
      <c r="P5318" s="1817" t="e">
        <f>INDEX(#REF!,MATCH(F5318,#REF!,0),2)</f>
        <v>#REF!</v>
      </c>
      <c r="Q5318" s="2560"/>
      <c r="R5318" s="2560"/>
      <c r="S5318" s="2560"/>
      <c r="T5318" s="2560"/>
      <c r="U5318" s="2560"/>
      <c r="V5318" s="2560"/>
      <c r="W5318" s="2560"/>
      <c r="X5318" s="1569"/>
    </row>
    <row r="5319" spans="2:24">
      <c r="B5319" s="4177" t="s">
        <v>1248</v>
      </c>
      <c r="C5319" s="4177"/>
      <c r="D5319" s="4177"/>
      <c r="E5319" s="4177" t="s">
        <v>1133</v>
      </c>
      <c r="F5319" s="4177">
        <v>2519</v>
      </c>
      <c r="G5319" s="4178" t="s">
        <v>5876</v>
      </c>
      <c r="H5319" s="4179"/>
      <c r="I5319" s="4179">
        <v>0</v>
      </c>
      <c r="J5319" s="4179"/>
      <c r="K5319" s="4046"/>
      <c r="L5319" s="4179"/>
      <c r="M5319" s="4179">
        <v>300</v>
      </c>
      <c r="N5319" s="2847"/>
      <c r="O5319" s="2560"/>
      <c r="P5319" s="1817" t="e">
        <f>INDEX(#REF!,MATCH(F5319,#REF!,0),2)</f>
        <v>#REF!</v>
      </c>
      <c r="Q5319" s="2560"/>
      <c r="R5319" s="2560"/>
      <c r="S5319" s="2560"/>
      <c r="T5319" s="2560"/>
      <c r="U5319" s="2560"/>
      <c r="V5319" s="2560"/>
      <c r="W5319" s="2560"/>
      <c r="X5319" s="1569"/>
    </row>
    <row r="5320" spans="2:24">
      <c r="B5320" s="4174" t="s">
        <v>1250</v>
      </c>
      <c r="C5320" s="4174"/>
      <c r="D5320" s="4174"/>
      <c r="E5320" s="4174" t="s">
        <v>1133</v>
      </c>
      <c r="F5320" s="4174">
        <v>5213</v>
      </c>
      <c r="G5320" s="4175" t="s">
        <v>479</v>
      </c>
      <c r="H5320" s="4176"/>
      <c r="I5320" s="4176"/>
      <c r="J5320" s="4176"/>
      <c r="K5320" s="4047"/>
      <c r="L5320" s="4176">
        <v>0</v>
      </c>
      <c r="M5320" s="4176"/>
      <c r="N5320" s="2847"/>
      <c r="O5320" s="2560"/>
      <c r="P5320" s="1817" t="e">
        <f>INDEX(#REF!,MATCH(F5320,#REF!,0),2)</f>
        <v>#REF!</v>
      </c>
      <c r="Q5320" s="2560"/>
      <c r="R5320" s="2560"/>
      <c r="S5320" s="2560"/>
      <c r="T5320" s="2560"/>
      <c r="U5320" s="2560"/>
      <c r="V5320" s="2560"/>
      <c r="W5320" s="2560"/>
      <c r="X5320" s="1569"/>
    </row>
    <row r="5321" spans="2:24" ht="22.9" customHeight="1">
      <c r="B5321" s="4177" t="s">
        <v>1250</v>
      </c>
      <c r="C5321" s="4177"/>
      <c r="D5321" s="4177"/>
      <c r="E5321" s="4177" t="s">
        <v>1133</v>
      </c>
      <c r="F5321" s="4177">
        <v>5213</v>
      </c>
      <c r="G5321" s="4178" t="s">
        <v>479</v>
      </c>
      <c r="H5321" s="4179"/>
      <c r="I5321" s="4179"/>
      <c r="J5321" s="4179"/>
      <c r="K5321" s="1948"/>
      <c r="L5321" s="4179"/>
      <c r="M5321" s="4194"/>
      <c r="N5321" s="2847"/>
      <c r="O5321" s="2560"/>
      <c r="P5321" s="1817" t="e">
        <f>INDEX(#REF!,MATCH(F5321,#REF!,0),2)</f>
        <v>#REF!</v>
      </c>
      <c r="Q5321" s="2560"/>
      <c r="R5321" s="2560"/>
      <c r="S5321" s="2560"/>
      <c r="T5321" s="2560"/>
      <c r="U5321" s="2560"/>
      <c r="V5321" s="2560"/>
      <c r="W5321" s="2560"/>
      <c r="X5321" s="1569"/>
    </row>
    <row r="5322" spans="2:24" ht="22.9" customHeight="1">
      <c r="B5322" s="4174" t="s">
        <v>1249</v>
      </c>
      <c r="C5322" s="4174"/>
      <c r="D5322" s="4174"/>
      <c r="E5322" s="4174" t="s">
        <v>1133</v>
      </c>
      <c r="F5322" s="4174">
        <v>5218</v>
      </c>
      <c r="G5322" s="4175" t="s">
        <v>2026</v>
      </c>
      <c r="H5322" s="4176">
        <v>575</v>
      </c>
      <c r="I5322" s="4176"/>
      <c r="J5322" s="4176">
        <v>575</v>
      </c>
      <c r="K5322" s="1950"/>
      <c r="L5322" s="4176">
        <v>11920</v>
      </c>
      <c r="M5322" s="4176"/>
      <c r="N5322" s="2847"/>
      <c r="O5322" s="2560"/>
      <c r="P5322" s="1817" t="e">
        <f>INDEX(#REF!,MATCH(F5322,#REF!,0),2)</f>
        <v>#REF!</v>
      </c>
      <c r="Q5322" s="2560"/>
      <c r="R5322" s="2560"/>
      <c r="S5322" s="2560"/>
      <c r="T5322" s="2560"/>
      <c r="U5322" s="2560"/>
      <c r="V5322" s="2560"/>
      <c r="W5322" s="2560"/>
      <c r="X5322" s="1569"/>
    </row>
    <row r="5323" spans="2:24" ht="22.9" customHeight="1">
      <c r="B5323" s="4202" t="s">
        <v>1249</v>
      </c>
      <c r="C5323" s="4202"/>
      <c r="D5323" s="4202"/>
      <c r="E5323" s="4202" t="s">
        <v>1133</v>
      </c>
      <c r="F5323" s="4202">
        <v>5218</v>
      </c>
      <c r="G5323" s="4189" t="s">
        <v>5578</v>
      </c>
      <c r="H5323" s="4189"/>
      <c r="I5323" s="4189"/>
      <c r="J5323" s="4189"/>
      <c r="K5323" s="4042"/>
      <c r="L5323" s="4189"/>
      <c r="M5323" s="4179">
        <v>3000</v>
      </c>
      <c r="N5323" s="2847" t="s">
        <v>5877</v>
      </c>
      <c r="O5323" s="2560"/>
      <c r="P5323" s="1817" t="e">
        <f>INDEX(#REF!,MATCH(F5323,#REF!,0),2)</f>
        <v>#REF!</v>
      </c>
      <c r="Q5323" s="2560"/>
      <c r="R5323" s="2560"/>
      <c r="S5323" s="2560"/>
      <c r="T5323" s="2560"/>
      <c r="U5323" s="2560"/>
      <c r="V5323" s="2560"/>
      <c r="W5323" s="2560"/>
      <c r="X5323" s="1569"/>
    </row>
    <row r="5324" spans="2:24" ht="22.9" customHeight="1">
      <c r="B5324" s="4202" t="s">
        <v>1249</v>
      </c>
      <c r="C5324" s="4202"/>
      <c r="D5324" s="4202"/>
      <c r="E5324" s="4202" t="s">
        <v>1133</v>
      </c>
      <c r="F5324" s="4202">
        <v>5218</v>
      </c>
      <c r="G5324" s="4189" t="s">
        <v>5579</v>
      </c>
      <c r="H5324" s="4189"/>
      <c r="I5324" s="4189"/>
      <c r="J5324" s="4189"/>
      <c r="K5324" s="4042"/>
      <c r="L5324" s="4189"/>
      <c r="M5324" s="4179">
        <v>3000</v>
      </c>
      <c r="N5324" s="2846" t="s">
        <v>5878</v>
      </c>
      <c r="O5324" s="2560"/>
      <c r="P5324" s="1817" t="e">
        <f>INDEX(#REF!,MATCH(F5324,#REF!,0),2)</f>
        <v>#REF!</v>
      </c>
      <c r="Q5324" s="2560"/>
      <c r="R5324" s="2560"/>
      <c r="S5324" s="2560"/>
      <c r="T5324" s="2560"/>
      <c r="U5324" s="2560"/>
      <c r="V5324" s="2560"/>
      <c r="W5324" s="2560"/>
      <c r="X5324" s="1569"/>
    </row>
    <row r="5325" spans="2:24" ht="22.5">
      <c r="B5325" s="4202" t="s">
        <v>1249</v>
      </c>
      <c r="C5325" s="4202"/>
      <c r="D5325" s="4202"/>
      <c r="E5325" s="4202" t="s">
        <v>1133</v>
      </c>
      <c r="F5325" s="4202">
        <v>5218</v>
      </c>
      <c r="G5325" s="4189" t="s">
        <v>5915</v>
      </c>
      <c r="H5325" s="4189"/>
      <c r="I5325" s="4189"/>
      <c r="J5325" s="4189"/>
      <c r="K5325" s="4203"/>
      <c r="L5325" s="4189"/>
      <c r="M5325" s="4179">
        <v>5920</v>
      </c>
      <c r="N5325" s="2846" t="s">
        <v>5580</v>
      </c>
      <c r="O5325" s="2560"/>
      <c r="P5325" s="1817" t="e">
        <f>INDEX(#REF!,MATCH(F5325,#REF!,0),2)</f>
        <v>#REF!</v>
      </c>
      <c r="Q5325" s="2560"/>
      <c r="R5325" s="2560"/>
      <c r="S5325" s="2560"/>
      <c r="T5325" s="2560"/>
      <c r="U5325" s="2560"/>
      <c r="V5325" s="2560"/>
      <c r="W5325" s="2560"/>
      <c r="X5325" s="1569"/>
    </row>
    <row r="5326" spans="2:24" ht="22.5">
      <c r="B5326" s="4174" t="s">
        <v>1250</v>
      </c>
      <c r="C5326" s="4174"/>
      <c r="D5326" s="4174"/>
      <c r="E5326" s="4174" t="s">
        <v>1133</v>
      </c>
      <c r="F5326" s="4174">
        <v>5120</v>
      </c>
      <c r="G5326" s="4175" t="s">
        <v>899</v>
      </c>
      <c r="H5326" s="4176">
        <v>1270</v>
      </c>
      <c r="I5326" s="4176"/>
      <c r="J5326" s="4176"/>
      <c r="K5326" s="1948"/>
      <c r="L5326" s="4176">
        <v>0</v>
      </c>
      <c r="M5326" s="4176"/>
      <c r="N5326" s="2847"/>
      <c r="O5326" s="2560"/>
      <c r="P5326" s="1817" t="e">
        <f>INDEX(#REF!,MATCH(F5326,#REF!,0),2)</f>
        <v>#REF!</v>
      </c>
      <c r="Q5326" s="2560"/>
      <c r="R5326" s="2560"/>
      <c r="S5326" s="2560"/>
      <c r="T5326" s="2560"/>
      <c r="U5326" s="2560"/>
      <c r="V5326" s="2560"/>
      <c r="W5326" s="2560"/>
      <c r="X5326" s="1569"/>
    </row>
    <row r="5327" spans="2:24">
      <c r="B5327" s="4177" t="s">
        <v>1250</v>
      </c>
      <c r="C5327" s="4177"/>
      <c r="D5327" s="4177"/>
      <c r="E5327" s="4177" t="s">
        <v>1133</v>
      </c>
      <c r="F5327" s="4177">
        <v>5120</v>
      </c>
      <c r="G5327" s="4178" t="s">
        <v>2846</v>
      </c>
      <c r="H5327" s="4179"/>
      <c r="I5327" s="4179">
        <v>120</v>
      </c>
      <c r="J5327" s="4179"/>
      <c r="K5327" s="1950"/>
      <c r="L5327" s="4179"/>
      <c r="M5327" s="4179">
        <v>0</v>
      </c>
      <c r="N5327" s="2847"/>
      <c r="O5327" s="2560"/>
      <c r="P5327" s="1817" t="e">
        <f>INDEX(#REF!,MATCH(F5327,#REF!,0),2)</f>
        <v>#REF!</v>
      </c>
      <c r="Q5327" s="2560"/>
      <c r="R5327" s="2560"/>
      <c r="S5327" s="2560"/>
      <c r="T5327" s="2560"/>
      <c r="U5327" s="2560"/>
      <c r="V5327" s="2560"/>
      <c r="W5327" s="2560"/>
      <c r="X5327" s="1569"/>
    </row>
    <row r="5328" spans="2:24">
      <c r="B5328" s="4177" t="s">
        <v>1250</v>
      </c>
      <c r="C5328" s="4177"/>
      <c r="D5328" s="4177"/>
      <c r="E5328" s="4177" t="s">
        <v>1133</v>
      </c>
      <c r="F5328" s="4177">
        <v>5120</v>
      </c>
      <c r="G5328" s="4178" t="s">
        <v>2847</v>
      </c>
      <c r="H5328" s="4179"/>
      <c r="I5328" s="4179">
        <v>650</v>
      </c>
      <c r="J5328" s="4179"/>
      <c r="K5328" s="1950"/>
      <c r="L5328" s="4179"/>
      <c r="M5328" s="4179">
        <v>0</v>
      </c>
      <c r="N5328" s="2847"/>
      <c r="O5328" s="2560"/>
      <c r="P5328" s="1817" t="e">
        <f>INDEX(#REF!,MATCH(F5328,#REF!,0),2)</f>
        <v>#REF!</v>
      </c>
      <c r="Q5328" s="2560"/>
      <c r="R5328" s="2560"/>
      <c r="S5328" s="2560"/>
      <c r="T5328" s="2560"/>
      <c r="U5328" s="2560"/>
      <c r="V5328" s="2560"/>
      <c r="W5328" s="2560"/>
      <c r="X5328" s="1569"/>
    </row>
    <row r="5329" spans="2:24">
      <c r="B5329" s="4177" t="s">
        <v>1250</v>
      </c>
      <c r="C5329" s="4177"/>
      <c r="D5329" s="4177"/>
      <c r="E5329" s="4177" t="s">
        <v>1133</v>
      </c>
      <c r="F5329" s="4177">
        <v>5120</v>
      </c>
      <c r="G5329" s="4179" t="s">
        <v>2848</v>
      </c>
      <c r="H5329" s="4179"/>
      <c r="I5329" s="4179">
        <v>500</v>
      </c>
      <c r="J5329" s="4179"/>
      <c r="K5329" s="1950"/>
      <c r="L5329" s="4179"/>
      <c r="M5329" s="4179"/>
      <c r="N5329" s="2847"/>
      <c r="O5329" s="2560"/>
      <c r="P5329" s="1817" t="e">
        <f>INDEX(#REF!,MATCH(F5329,#REF!,0),2)</f>
        <v>#REF!</v>
      </c>
      <c r="Q5329" s="2560"/>
      <c r="R5329" s="2560"/>
      <c r="S5329" s="2560"/>
      <c r="T5329" s="2560"/>
      <c r="U5329" s="2560"/>
      <c r="V5329" s="2560"/>
      <c r="W5329" s="2560"/>
      <c r="X5329" s="1569"/>
    </row>
    <row r="5330" spans="2:24">
      <c r="B5330" s="4174" t="s">
        <v>1250</v>
      </c>
      <c r="C5330" s="4174"/>
      <c r="D5330" s="4174"/>
      <c r="E5330" s="4174" t="s">
        <v>1133</v>
      </c>
      <c r="F5330" s="4174">
        <v>5231</v>
      </c>
      <c r="G5330" s="4175" t="s">
        <v>2849</v>
      </c>
      <c r="H5330" s="4176">
        <v>200</v>
      </c>
      <c r="I5330" s="4176"/>
      <c r="J5330" s="4176">
        <v>3509</v>
      </c>
      <c r="K5330" s="1948"/>
      <c r="L5330" s="4176">
        <v>0</v>
      </c>
      <c r="M5330" s="4176"/>
      <c r="N5330" s="2847"/>
      <c r="O5330" s="2560"/>
      <c r="P5330" s="1817" t="e">
        <f>INDEX(#REF!,MATCH(F5330,#REF!,0),2)</f>
        <v>#REF!</v>
      </c>
      <c r="Q5330" s="2560"/>
      <c r="R5330" s="2560"/>
      <c r="S5330" s="2560"/>
      <c r="T5330" s="2560"/>
      <c r="U5330" s="2560"/>
      <c r="V5330" s="2560"/>
      <c r="W5330" s="2560"/>
      <c r="X5330" s="1569"/>
    </row>
    <row r="5331" spans="2:24">
      <c r="B5331" s="4177" t="s">
        <v>1250</v>
      </c>
      <c r="C5331" s="4177"/>
      <c r="D5331" s="4177"/>
      <c r="E5331" s="4177" t="s">
        <v>1133</v>
      </c>
      <c r="F5331" s="4177">
        <v>5231</v>
      </c>
      <c r="G5331" s="4178" t="s">
        <v>2850</v>
      </c>
      <c r="H5331" s="4179"/>
      <c r="I5331" s="4179">
        <v>9000</v>
      </c>
      <c r="J5331" s="4179"/>
      <c r="K5331" s="1950"/>
      <c r="L5331" s="4179"/>
      <c r="M5331" s="4179">
        <v>0</v>
      </c>
      <c r="N5331" s="2847">
        <v>9000</v>
      </c>
      <c r="O5331" s="2560"/>
      <c r="P5331" s="1817" t="e">
        <f>INDEX(#REF!,MATCH(F5331,#REF!,0),2)</f>
        <v>#REF!</v>
      </c>
      <c r="Q5331" s="2560"/>
      <c r="R5331" s="2560"/>
      <c r="S5331" s="2560"/>
      <c r="T5331" s="2560"/>
      <c r="U5331" s="2560"/>
      <c r="V5331" s="2560"/>
      <c r="W5331" s="2560"/>
      <c r="X5331" s="1569"/>
    </row>
    <row r="5332" spans="2:24">
      <c r="B5332" s="4174" t="s">
        <v>1250</v>
      </c>
      <c r="C5332" s="4174"/>
      <c r="D5332" s="4174"/>
      <c r="E5332" s="4174" t="s">
        <v>1133</v>
      </c>
      <c r="F5332" s="4174">
        <v>5238</v>
      </c>
      <c r="G5332" s="4175" t="s">
        <v>2851</v>
      </c>
      <c r="H5332" s="4176">
        <v>4380</v>
      </c>
      <c r="I5332" s="4176"/>
      <c r="J5332" s="4176">
        <v>2100</v>
      </c>
      <c r="K5332" s="4042"/>
      <c r="L5332" s="4176">
        <v>7600</v>
      </c>
      <c r="M5332" s="4176"/>
      <c r="N5332" s="2847"/>
      <c r="O5332" s="2560"/>
      <c r="P5332" s="1817" t="e">
        <f>INDEX(#REF!,MATCH(F5332,#REF!,0),2)</f>
        <v>#REF!</v>
      </c>
      <c r="Q5332" s="2560"/>
      <c r="R5332" s="2560"/>
      <c r="S5332" s="2560"/>
      <c r="T5332" s="2560"/>
      <c r="U5332" s="2560"/>
      <c r="V5332" s="2560"/>
      <c r="W5332" s="2560"/>
      <c r="X5332" s="1569"/>
    </row>
    <row r="5333" spans="2:24">
      <c r="B5333" s="4177" t="s">
        <v>1250</v>
      </c>
      <c r="C5333" s="4177"/>
      <c r="D5333" s="4177"/>
      <c r="E5333" s="4177" t="s">
        <v>1133</v>
      </c>
      <c r="F5333" s="4177">
        <v>5238</v>
      </c>
      <c r="G5333" s="4178" t="s">
        <v>2851</v>
      </c>
      <c r="H5333" s="4179"/>
      <c r="I5333" s="4179">
        <v>1500</v>
      </c>
      <c r="J5333" s="4179"/>
      <c r="K5333" s="1948"/>
      <c r="L5333" s="4179"/>
      <c r="M5333" s="4179">
        <v>5000</v>
      </c>
      <c r="N5333" s="2847"/>
      <c r="O5333" s="2560"/>
      <c r="P5333" s="1817" t="e">
        <f>INDEX(#REF!,MATCH(F5333,#REF!,0),2)</f>
        <v>#REF!</v>
      </c>
      <c r="Q5333" s="2560"/>
      <c r="R5333" s="2560"/>
      <c r="S5333" s="2560"/>
      <c r="T5333" s="2560"/>
      <c r="U5333" s="2560"/>
      <c r="V5333" s="2560"/>
      <c r="W5333" s="2560"/>
      <c r="X5333" s="1569"/>
    </row>
    <row r="5334" spans="2:24">
      <c r="B5334" s="4177" t="s">
        <v>1250</v>
      </c>
      <c r="C5334" s="4177"/>
      <c r="D5334" s="4177"/>
      <c r="E5334" s="4177" t="s">
        <v>1133</v>
      </c>
      <c r="F5334" s="4177">
        <v>5238</v>
      </c>
      <c r="G5334" s="4178" t="s">
        <v>5166</v>
      </c>
      <c r="H5334" s="4179"/>
      <c r="I5334" s="4179"/>
      <c r="J5334" s="4179"/>
      <c r="K5334" s="1950"/>
      <c r="L5334" s="4179"/>
      <c r="M5334" s="4179">
        <v>2600</v>
      </c>
      <c r="N5334" s="2847"/>
      <c r="O5334" s="2560"/>
      <c r="P5334" s="1817" t="e">
        <f>INDEX(#REF!,MATCH(F5334,#REF!,0),2)</f>
        <v>#REF!</v>
      </c>
      <c r="Q5334" s="2560"/>
      <c r="R5334" s="2560"/>
      <c r="S5334" s="2560"/>
      <c r="T5334" s="2560"/>
      <c r="U5334" s="2560"/>
      <c r="V5334" s="2560"/>
      <c r="W5334" s="2560"/>
      <c r="X5334" s="1569"/>
    </row>
    <row r="5335" spans="2:24">
      <c r="B5335" s="4038" t="s">
        <v>1250</v>
      </c>
      <c r="C5335" s="4038"/>
      <c r="D5335" s="4038"/>
      <c r="E5335" s="4038" t="s">
        <v>1133</v>
      </c>
      <c r="F5335" s="4174">
        <v>5239</v>
      </c>
      <c r="G5335" s="4175" t="s">
        <v>256</v>
      </c>
      <c r="H5335" s="4176">
        <v>50054</v>
      </c>
      <c r="I5335" s="4176"/>
      <c r="J5335" s="4176">
        <v>32795</v>
      </c>
      <c r="K5335" s="1948"/>
      <c r="L5335" s="4176">
        <v>72300</v>
      </c>
      <c r="M5335" s="4176"/>
      <c r="N5335" s="2847"/>
      <c r="O5335" s="2560"/>
      <c r="P5335" s="1817" t="e">
        <f>INDEX(#REF!,MATCH(F5335,#REF!,0),2)</f>
        <v>#REF!</v>
      </c>
      <c r="Q5335" s="2560"/>
      <c r="R5335" s="2560"/>
      <c r="S5335" s="2560"/>
      <c r="T5335" s="2560"/>
      <c r="U5335" s="2560"/>
      <c r="V5335" s="2560"/>
      <c r="W5335" s="2560"/>
      <c r="X5335" s="1569"/>
    </row>
    <row r="5336" spans="2:24" ht="22.5">
      <c r="B5336" s="4039" t="s">
        <v>1250</v>
      </c>
      <c r="C5336" s="4039"/>
      <c r="D5336" s="4039"/>
      <c r="E5336" s="4039" t="s">
        <v>1133</v>
      </c>
      <c r="F5336" s="4177">
        <v>5239</v>
      </c>
      <c r="G5336" s="4178" t="s">
        <v>2852</v>
      </c>
      <c r="H5336" s="4184"/>
      <c r="I5336" s="4184">
        <v>2500</v>
      </c>
      <c r="J5336" s="4184"/>
      <c r="K5336" s="1950"/>
      <c r="L5336" s="4184"/>
      <c r="M5336" s="4179">
        <v>2500</v>
      </c>
      <c r="N5336" s="1569"/>
      <c r="O5336" s="2560"/>
      <c r="P5336" s="1817" t="e">
        <f>INDEX(#REF!,MATCH(F5336,#REF!,0),2)</f>
        <v>#REF!</v>
      </c>
      <c r="Q5336" s="2560"/>
      <c r="R5336" s="2560"/>
      <c r="S5336" s="2560"/>
      <c r="T5336" s="2560"/>
      <c r="U5336" s="2560"/>
      <c r="V5336" s="2560"/>
      <c r="W5336" s="2560"/>
      <c r="X5336" s="1569"/>
    </row>
    <row r="5337" spans="2:24" ht="21" customHeight="1">
      <c r="B5337" s="4039" t="s">
        <v>1250</v>
      </c>
      <c r="C5337" s="4039"/>
      <c r="D5337" s="4039"/>
      <c r="E5337" s="4039" t="s">
        <v>1133</v>
      </c>
      <c r="F5337" s="4177">
        <v>5239</v>
      </c>
      <c r="G5337" s="4178" t="s">
        <v>2853</v>
      </c>
      <c r="H5337" s="4179"/>
      <c r="I5337" s="4179">
        <v>3300</v>
      </c>
      <c r="J5337" s="4179"/>
      <c r="K5337" s="1950"/>
      <c r="L5337" s="4179"/>
      <c r="M5337" s="4179">
        <v>0</v>
      </c>
      <c r="N5337" s="1569"/>
      <c r="O5337" s="2560"/>
      <c r="P5337" s="1817" t="e">
        <f>INDEX(#REF!,MATCH(F5337,#REF!,0),2)</f>
        <v>#REF!</v>
      </c>
      <c r="Q5337" s="2560"/>
      <c r="R5337" s="2560"/>
      <c r="S5337" s="2560"/>
      <c r="T5337" s="2560"/>
      <c r="U5337" s="2560"/>
      <c r="V5337" s="2560"/>
      <c r="W5337" s="2560"/>
      <c r="X5337" s="1569"/>
    </row>
    <row r="5338" spans="2:24" ht="22.5">
      <c r="B5338" s="4039" t="s">
        <v>1250</v>
      </c>
      <c r="C5338" s="4039"/>
      <c r="D5338" s="4039"/>
      <c r="E5338" s="4039" t="s">
        <v>1133</v>
      </c>
      <c r="F5338" s="4177">
        <v>5239</v>
      </c>
      <c r="G5338" s="4178" t="s">
        <v>2854</v>
      </c>
      <c r="H5338" s="4179"/>
      <c r="I5338" s="4179">
        <v>3000</v>
      </c>
      <c r="J5338" s="4179"/>
      <c r="K5338" s="1950"/>
      <c r="L5338" s="4179"/>
      <c r="M5338" s="4179">
        <v>0</v>
      </c>
      <c r="N5338" s="1569"/>
      <c r="O5338" s="2560"/>
      <c r="P5338" s="1817" t="e">
        <f>INDEX(#REF!,MATCH(F5338,#REF!,0),2)</f>
        <v>#REF!</v>
      </c>
      <c r="Q5338" s="2560"/>
      <c r="R5338" s="2560"/>
      <c r="S5338" s="2560"/>
      <c r="T5338" s="2560"/>
      <c r="U5338" s="2560"/>
      <c r="V5338" s="2560"/>
      <c r="W5338" s="2560"/>
      <c r="X5338" s="1569"/>
    </row>
    <row r="5339" spans="2:24" ht="26.45" customHeight="1">
      <c r="B5339" s="4039" t="s">
        <v>1250</v>
      </c>
      <c r="C5339" s="4039"/>
      <c r="D5339" s="4039"/>
      <c r="E5339" s="4039" t="s">
        <v>1133</v>
      </c>
      <c r="F5339" s="4177">
        <v>5239</v>
      </c>
      <c r="G5339" s="4178" t="s">
        <v>2855</v>
      </c>
      <c r="H5339" s="4179"/>
      <c r="I5339" s="4179">
        <v>4000</v>
      </c>
      <c r="J5339" s="4179"/>
      <c r="K5339" s="1950"/>
      <c r="L5339" s="4179"/>
      <c r="M5339" s="4179">
        <v>0</v>
      </c>
      <c r="N5339" s="1569"/>
      <c r="O5339" s="2560"/>
      <c r="P5339" s="1817" t="e">
        <f>INDEX(#REF!,MATCH(F5339,#REF!,0),2)</f>
        <v>#REF!</v>
      </c>
      <c r="Q5339" s="2560"/>
      <c r="R5339" s="2560"/>
      <c r="S5339" s="2560"/>
      <c r="T5339" s="2560"/>
      <c r="U5339" s="2560"/>
      <c r="V5339" s="2560"/>
      <c r="W5339" s="2560"/>
      <c r="X5339" s="1569"/>
    </row>
    <row r="5340" spans="2:24">
      <c r="B5340" s="4039" t="s">
        <v>1250</v>
      </c>
      <c r="C5340" s="4039"/>
      <c r="D5340" s="4039"/>
      <c r="E5340" s="4039" t="s">
        <v>1133</v>
      </c>
      <c r="F5340" s="4177">
        <v>5239</v>
      </c>
      <c r="G5340" s="4178" t="s">
        <v>5581</v>
      </c>
      <c r="H5340" s="4179"/>
      <c r="I5340" s="4179"/>
      <c r="J5340" s="4179"/>
      <c r="K5340" s="1950"/>
      <c r="L5340" s="4179"/>
      <c r="M5340" s="4179">
        <v>1200</v>
      </c>
      <c r="N5340" s="1569" t="s">
        <v>5593</v>
      </c>
      <c r="O5340" s="2560"/>
      <c r="P5340" s="1817" t="e">
        <f>INDEX(#REF!,MATCH(F5340,#REF!,0),2)</f>
        <v>#REF!</v>
      </c>
      <c r="Q5340" s="2560"/>
      <c r="R5340" s="2560"/>
      <c r="S5340" s="2560"/>
      <c r="T5340" s="2560"/>
      <c r="U5340" s="2560"/>
      <c r="V5340" s="2560"/>
      <c r="W5340" s="2560"/>
      <c r="X5340" s="1569"/>
    </row>
    <row r="5341" spans="2:24" ht="18.600000000000001" customHeight="1">
      <c r="B5341" s="4039" t="s">
        <v>1250</v>
      </c>
      <c r="C5341" s="4039"/>
      <c r="D5341" s="4039"/>
      <c r="E5341" s="4039" t="s">
        <v>1133</v>
      </c>
      <c r="F5341" s="4177">
        <v>5239</v>
      </c>
      <c r="G5341" s="4201" t="s">
        <v>5582</v>
      </c>
      <c r="H5341" s="4179"/>
      <c r="I5341" s="4179"/>
      <c r="J5341" s="4179"/>
      <c r="K5341" s="1950"/>
      <c r="L5341" s="4179"/>
      <c r="M5341" s="4179">
        <v>3600</v>
      </c>
      <c r="N5341" s="1569" t="s">
        <v>5596</v>
      </c>
      <c r="O5341" s="2560"/>
      <c r="P5341" s="1817" t="e">
        <f>INDEX(#REF!,MATCH(F5341,#REF!,0),2)</f>
        <v>#REF!</v>
      </c>
      <c r="Q5341" s="2560"/>
      <c r="R5341" s="2560"/>
      <c r="S5341" s="2560"/>
      <c r="T5341" s="2560"/>
      <c r="U5341" s="2560"/>
      <c r="V5341" s="2560"/>
      <c r="W5341" s="2560"/>
      <c r="X5341" s="1569"/>
    </row>
    <row r="5342" spans="2:24" ht="22.5">
      <c r="B5342" s="4039" t="s">
        <v>1250</v>
      </c>
      <c r="C5342" s="4039"/>
      <c r="D5342" s="4039"/>
      <c r="E5342" s="4039" t="s">
        <v>1133</v>
      </c>
      <c r="F5342" s="4177">
        <v>5239</v>
      </c>
      <c r="G5342" s="4204" t="s">
        <v>5583</v>
      </c>
      <c r="H5342" s="4179"/>
      <c r="I5342" s="4179"/>
      <c r="J5342" s="4179"/>
      <c r="K5342" s="1950"/>
      <c r="L5342" s="4179"/>
      <c r="M5342" s="4179">
        <v>3000</v>
      </c>
      <c r="N5342" s="1569" t="s">
        <v>5887</v>
      </c>
      <c r="O5342" s="2560"/>
      <c r="P5342" s="1817" t="e">
        <f>INDEX(#REF!,MATCH(F5342,#REF!,0),2)</f>
        <v>#REF!</v>
      </c>
      <c r="Q5342" s="2560"/>
      <c r="R5342" s="2560"/>
      <c r="S5342" s="2560"/>
      <c r="T5342" s="2560"/>
      <c r="U5342" s="2560"/>
      <c r="V5342" s="2560"/>
      <c r="W5342" s="2560"/>
      <c r="X5342" s="1569"/>
    </row>
    <row r="5343" spans="2:24">
      <c r="B5343" s="4039" t="s">
        <v>1250</v>
      </c>
      <c r="C5343" s="4039"/>
      <c r="D5343" s="4039"/>
      <c r="E5343" s="4039" t="s">
        <v>1133</v>
      </c>
      <c r="F5343" s="4177">
        <v>5239</v>
      </c>
      <c r="G5343" s="4201" t="s">
        <v>5584</v>
      </c>
      <c r="H5343" s="4179"/>
      <c r="I5343" s="4179"/>
      <c r="J5343" s="4179"/>
      <c r="K5343" s="1950"/>
      <c r="L5343" s="4179"/>
      <c r="M5343" s="4179">
        <v>5600</v>
      </c>
      <c r="N5343" s="1569" t="s">
        <v>5888</v>
      </c>
      <c r="O5343" s="2560"/>
      <c r="P5343" s="1817" t="e">
        <f>INDEX(#REF!,MATCH(F5343,#REF!,0),2)</f>
        <v>#REF!</v>
      </c>
      <c r="Q5343" s="2560"/>
      <c r="R5343" s="2560"/>
      <c r="S5343" s="2560"/>
      <c r="T5343" s="2560"/>
      <c r="U5343" s="2560"/>
      <c r="V5343" s="2560"/>
      <c r="W5343" s="2560"/>
      <c r="X5343" s="1569"/>
    </row>
    <row r="5344" spans="2:24">
      <c r="B5344" s="4039" t="s">
        <v>1250</v>
      </c>
      <c r="C5344" s="4039"/>
      <c r="D5344" s="4039"/>
      <c r="E5344" s="4039" t="s">
        <v>1133</v>
      </c>
      <c r="F5344" s="4177">
        <v>5239</v>
      </c>
      <c r="G5344" s="4201" t="s">
        <v>5880</v>
      </c>
      <c r="H5344" s="4179"/>
      <c r="I5344" s="4179"/>
      <c r="J5344" s="4179"/>
      <c r="K5344" s="1950"/>
      <c r="L5344" s="4179"/>
      <c r="M5344" s="4179">
        <v>3000</v>
      </c>
      <c r="N5344" s="1569" t="s">
        <v>5889</v>
      </c>
      <c r="O5344" s="2560"/>
      <c r="P5344" s="1817" t="e">
        <f>INDEX(#REF!,MATCH(F5344,#REF!,0),2)</f>
        <v>#REF!</v>
      </c>
      <c r="Q5344" s="2559"/>
      <c r="R5344" s="2559"/>
      <c r="S5344" s="2559"/>
      <c r="T5344" s="2559"/>
      <c r="U5344" s="2559"/>
      <c r="V5344" s="2559"/>
      <c r="W5344" s="2559"/>
      <c r="X5344" s="152"/>
    </row>
    <row r="5345" spans="2:24">
      <c r="B5345" s="4039" t="s">
        <v>1250</v>
      </c>
      <c r="C5345" s="4039"/>
      <c r="D5345" s="4039"/>
      <c r="E5345" s="4039" t="s">
        <v>1133</v>
      </c>
      <c r="F5345" s="4177">
        <v>5239</v>
      </c>
      <c r="G5345" s="4204" t="s">
        <v>5585</v>
      </c>
      <c r="H5345" s="4179"/>
      <c r="I5345" s="4179"/>
      <c r="J5345" s="4179"/>
      <c r="K5345" s="1950"/>
      <c r="L5345" s="4179"/>
      <c r="M5345" s="4182"/>
      <c r="N5345" s="1569"/>
      <c r="O5345" s="2560"/>
      <c r="P5345" s="1817"/>
      <c r="Q5345" s="2562"/>
      <c r="R5345" s="2562"/>
      <c r="S5345" s="2562"/>
      <c r="T5345" s="2562"/>
      <c r="U5345" s="2562"/>
      <c r="V5345" s="2562"/>
      <c r="W5345" s="2562"/>
      <c r="X5345" s="1569"/>
    </row>
    <row r="5346" spans="2:24">
      <c r="B5346" s="4039" t="s">
        <v>1250</v>
      </c>
      <c r="C5346" s="4039"/>
      <c r="D5346" s="4039"/>
      <c r="E5346" s="4039" t="s">
        <v>1133</v>
      </c>
      <c r="F5346" s="4177">
        <v>5239</v>
      </c>
      <c r="G5346" s="4205" t="s">
        <v>5586</v>
      </c>
      <c r="H5346" s="4179"/>
      <c r="I5346" s="4179"/>
      <c r="J5346" s="4179"/>
      <c r="K5346" s="1950"/>
      <c r="L5346" s="4179"/>
      <c r="M5346" s="4179">
        <v>8000</v>
      </c>
      <c r="N5346" s="1569" t="s">
        <v>5890</v>
      </c>
      <c r="O5346" s="2559"/>
      <c r="P5346" s="1817" t="e">
        <f>INDEX(#REF!,MATCH(F5346,#REF!,0),2)</f>
        <v>#REF!</v>
      </c>
      <c r="Q5346" s="2559"/>
      <c r="R5346" s="2559"/>
      <c r="S5346" s="2559"/>
      <c r="T5346" s="2559"/>
      <c r="U5346" s="2559"/>
      <c r="V5346" s="2559"/>
      <c r="W5346" s="2559"/>
      <c r="X5346" s="152"/>
    </row>
    <row r="5347" spans="2:24" ht="22.15" customHeight="1">
      <c r="B5347" s="4039" t="s">
        <v>1250</v>
      </c>
      <c r="C5347" s="4039"/>
      <c r="D5347" s="4039"/>
      <c r="E5347" s="4039" t="s">
        <v>1133</v>
      </c>
      <c r="F5347" s="4177">
        <v>5239</v>
      </c>
      <c r="G5347" s="4206" t="s">
        <v>5881</v>
      </c>
      <c r="H5347" s="4179"/>
      <c r="I5347" s="4179"/>
      <c r="J5347" s="4179"/>
      <c r="K5347" s="1950"/>
      <c r="L5347" s="4179"/>
      <c r="M5347" s="4179">
        <v>9600</v>
      </c>
      <c r="N5347" s="4208" t="s">
        <v>5891</v>
      </c>
      <c r="O5347" s="2562"/>
      <c r="P5347" s="1817" t="e">
        <f>INDEX(#REF!,MATCH(F5347,#REF!,0),2)</f>
        <v>#REF!</v>
      </c>
      <c r="Q5347" s="2560"/>
      <c r="R5347" s="2560"/>
      <c r="S5347" s="2560"/>
      <c r="T5347" s="2560"/>
      <c r="U5347" s="2560"/>
      <c r="V5347" s="2560"/>
      <c r="W5347" s="2560"/>
      <c r="X5347" s="1569"/>
    </row>
    <row r="5348" spans="2:24" ht="22.5">
      <c r="B5348" s="4039" t="s">
        <v>1250</v>
      </c>
      <c r="C5348" s="4039"/>
      <c r="D5348" s="4039"/>
      <c r="E5348" s="4039" t="s">
        <v>1133</v>
      </c>
      <c r="F5348" s="4177">
        <v>5239</v>
      </c>
      <c r="G5348" s="4192" t="s">
        <v>2856</v>
      </c>
      <c r="H5348" s="4179"/>
      <c r="I5348" s="4179">
        <v>3000</v>
      </c>
      <c r="J5348" s="4179"/>
      <c r="K5348" s="1950"/>
      <c r="L5348" s="4179"/>
      <c r="M5348" s="4179">
        <v>0</v>
      </c>
      <c r="N5348" s="1569"/>
      <c r="O5348" s="2559"/>
      <c r="P5348" s="1817" t="e">
        <f>INDEX(#REF!,MATCH(F5348,#REF!,0),2)</f>
        <v>#REF!</v>
      </c>
      <c r="Q5348" s="2559"/>
      <c r="R5348" s="2559"/>
      <c r="S5348" s="2559"/>
      <c r="T5348" s="2559"/>
      <c r="U5348" s="2559"/>
      <c r="V5348" s="2559"/>
      <c r="W5348" s="2559"/>
      <c r="X5348" s="2559"/>
    </row>
    <row r="5349" spans="2:24">
      <c r="B5349" s="4039" t="s">
        <v>1250</v>
      </c>
      <c r="C5349" s="4039"/>
      <c r="D5349" s="4039"/>
      <c r="E5349" s="4039" t="s">
        <v>1133</v>
      </c>
      <c r="F5349" s="4177">
        <v>5239</v>
      </c>
      <c r="G5349" s="4178" t="s">
        <v>5882</v>
      </c>
      <c r="H5349" s="4179"/>
      <c r="I5349" s="4179">
        <v>1960</v>
      </c>
      <c r="J5349" s="4179"/>
      <c r="K5349" s="1950"/>
      <c r="L5349" s="4179"/>
      <c r="M5349" s="4179">
        <v>3000</v>
      </c>
      <c r="N5349" s="1569" t="s">
        <v>5594</v>
      </c>
      <c r="O5349" s="2560"/>
      <c r="P5349" s="1817" t="e">
        <f>INDEX(#REF!,MATCH(F5349,#REF!,0),2)</f>
        <v>#REF!</v>
      </c>
      <c r="Q5349" s="2560"/>
      <c r="R5349" s="2560"/>
      <c r="S5349" s="2560"/>
      <c r="T5349" s="2560"/>
      <c r="U5349" s="2560"/>
      <c r="V5349" s="2560"/>
      <c r="W5349" s="2560"/>
      <c r="X5349" s="1569"/>
    </row>
    <row r="5350" spans="2:24" ht="24" customHeight="1">
      <c r="B5350" s="4039" t="s">
        <v>1250</v>
      </c>
      <c r="C5350" s="4039"/>
      <c r="D5350" s="4039"/>
      <c r="E5350" s="4039" t="s">
        <v>1133</v>
      </c>
      <c r="F5350" s="4177">
        <v>5239</v>
      </c>
      <c r="G5350" s="4178" t="s">
        <v>5883</v>
      </c>
      <c r="H5350" s="4179"/>
      <c r="I5350" s="4179">
        <v>730</v>
      </c>
      <c r="J5350" s="4179"/>
      <c r="K5350" s="1950"/>
      <c r="L5350" s="4179"/>
      <c r="M5350" s="4179">
        <v>2000</v>
      </c>
      <c r="N5350" s="1569" t="s">
        <v>5595</v>
      </c>
      <c r="O5350" s="2559"/>
      <c r="P5350" s="1817" t="e">
        <f>INDEX(#REF!,MATCH(F5350,#REF!,0),2)</f>
        <v>#REF!</v>
      </c>
      <c r="Q5350" s="2559"/>
      <c r="R5350" s="2559"/>
      <c r="S5350" s="2559"/>
      <c r="T5350" s="2559"/>
      <c r="U5350" s="2559"/>
      <c r="V5350" s="2559"/>
      <c r="W5350" s="2559"/>
      <c r="X5350" s="2559"/>
    </row>
    <row r="5351" spans="2:24" ht="19.899999999999999" customHeight="1">
      <c r="B5351" s="4039" t="s">
        <v>1250</v>
      </c>
      <c r="C5351" s="4039"/>
      <c r="D5351" s="4039"/>
      <c r="E5351" s="4039" t="s">
        <v>1133</v>
      </c>
      <c r="F5351" s="4177">
        <v>5239</v>
      </c>
      <c r="G5351" s="4178" t="s">
        <v>5884</v>
      </c>
      <c r="H5351" s="4179"/>
      <c r="I5351" s="4179">
        <v>4135</v>
      </c>
      <c r="J5351" s="4179"/>
      <c r="K5351" s="1950"/>
      <c r="L5351" s="4179"/>
      <c r="M5351" s="4179">
        <v>2000</v>
      </c>
      <c r="N5351" s="1569" t="s">
        <v>5892</v>
      </c>
      <c r="O5351" s="2560"/>
      <c r="P5351" s="1817" t="e">
        <f>INDEX(#REF!,MATCH(F5351,#REF!,0),2)</f>
        <v>#REF!</v>
      </c>
      <c r="Q5351" s="2560"/>
      <c r="R5351" s="2560"/>
      <c r="S5351" s="2560"/>
      <c r="T5351" s="2560"/>
      <c r="U5351" s="2560"/>
      <c r="V5351" s="2560"/>
      <c r="W5351" s="2560"/>
      <c r="X5351" s="1569"/>
    </row>
    <row r="5352" spans="2:24">
      <c r="B5352" s="4039" t="s">
        <v>1250</v>
      </c>
      <c r="C5352" s="4039"/>
      <c r="D5352" s="4039"/>
      <c r="E5352" s="4039" t="s">
        <v>1133</v>
      </c>
      <c r="F5352" s="4177">
        <v>5239</v>
      </c>
      <c r="G5352" s="4178" t="s">
        <v>2857</v>
      </c>
      <c r="H5352" s="4179"/>
      <c r="I5352" s="4179">
        <v>600</v>
      </c>
      <c r="J5352" s="4179"/>
      <c r="K5352" s="1950"/>
      <c r="L5352" s="4179"/>
      <c r="M5352" s="4179">
        <v>0</v>
      </c>
      <c r="N5352" s="1569"/>
      <c r="O5352" s="2559"/>
      <c r="P5352" s="1817" t="e">
        <f>INDEX(#REF!,MATCH(F5352,#REF!,0),2)</f>
        <v>#REF!</v>
      </c>
      <c r="Q5352" s="2560"/>
      <c r="R5352" s="2560"/>
      <c r="S5352" s="2560"/>
      <c r="T5352" s="2560"/>
      <c r="U5352" s="2560"/>
      <c r="V5352" s="2560"/>
      <c r="W5352" s="2560"/>
      <c r="X5352" s="1569"/>
    </row>
    <row r="5353" spans="2:24">
      <c r="B5353" s="4039" t="s">
        <v>1250</v>
      </c>
      <c r="C5353" s="4039"/>
      <c r="D5353" s="4039"/>
      <c r="E5353" s="4039" t="s">
        <v>1133</v>
      </c>
      <c r="F5353" s="4177">
        <v>5239</v>
      </c>
      <c r="G5353" s="4178" t="s">
        <v>2858</v>
      </c>
      <c r="H5353" s="4179"/>
      <c r="I5353" s="4179">
        <v>3000</v>
      </c>
      <c r="J5353" s="4179"/>
      <c r="K5353" s="1950"/>
      <c r="L5353" s="4179"/>
      <c r="M5353" s="4179">
        <v>0</v>
      </c>
      <c r="N5353" s="152"/>
      <c r="O5353" s="2560"/>
      <c r="P5353" s="1817" t="e">
        <f>INDEX(#REF!,MATCH(F5353,#REF!,0),2)</f>
        <v>#REF!</v>
      </c>
      <c r="Q5353" s="2560"/>
      <c r="R5353" s="2560"/>
      <c r="S5353" s="2560"/>
      <c r="T5353" s="2560"/>
      <c r="U5353" s="2560"/>
      <c r="V5353" s="2560"/>
      <c r="W5353" s="2560"/>
      <c r="X5353" s="1569"/>
    </row>
    <row r="5354" spans="2:24">
      <c r="B5354" s="4039" t="s">
        <v>1250</v>
      </c>
      <c r="C5354" s="4039"/>
      <c r="D5354" s="4039"/>
      <c r="E5354" s="4039" t="s">
        <v>1133</v>
      </c>
      <c r="F5354" s="4177">
        <v>5239</v>
      </c>
      <c r="G5354" s="4178" t="s">
        <v>5587</v>
      </c>
      <c r="H5354" s="4179"/>
      <c r="I5354" s="4179"/>
      <c r="J5354" s="4179"/>
      <c r="K5354" s="1950"/>
      <c r="L5354" s="4179"/>
      <c r="M5354" s="4179">
        <v>650</v>
      </c>
      <c r="N5354" s="1569" t="s">
        <v>5596</v>
      </c>
      <c r="O5354" s="2560"/>
      <c r="P5354" s="1817"/>
      <c r="Q5354" s="2560"/>
      <c r="R5354" s="2560"/>
      <c r="S5354" s="2560"/>
      <c r="T5354" s="2560"/>
      <c r="U5354" s="2560"/>
      <c r="V5354" s="2560"/>
      <c r="W5354" s="2560"/>
      <c r="X5354" s="1569"/>
    </row>
    <row r="5355" spans="2:24">
      <c r="B5355" s="4039" t="s">
        <v>1250</v>
      </c>
      <c r="C5355" s="4039"/>
      <c r="D5355" s="4039"/>
      <c r="E5355" s="4039" t="s">
        <v>1133</v>
      </c>
      <c r="F5355" s="4177">
        <v>5239</v>
      </c>
      <c r="G5355" s="4178" t="s">
        <v>5588</v>
      </c>
      <c r="H5355" s="4179"/>
      <c r="I5355" s="4179"/>
      <c r="J5355" s="4179"/>
      <c r="K5355" s="1950"/>
      <c r="L5355" s="4179"/>
      <c r="M5355" s="4179">
        <v>900</v>
      </c>
      <c r="N5355" s="1569" t="s">
        <v>5893</v>
      </c>
      <c r="O5355" s="2560"/>
      <c r="P5355" s="1817"/>
      <c r="Q5355" s="2560"/>
      <c r="R5355" s="2560"/>
      <c r="S5355" s="2560"/>
      <c r="T5355" s="2560"/>
      <c r="U5355" s="2560"/>
      <c r="V5355" s="2560"/>
      <c r="W5355" s="2560"/>
      <c r="X5355" s="1569"/>
    </row>
    <row r="5356" spans="2:24" ht="22.5">
      <c r="B5356" s="4039" t="s">
        <v>1250</v>
      </c>
      <c r="C5356" s="4039"/>
      <c r="D5356" s="4039"/>
      <c r="E5356" s="4039" t="s">
        <v>1133</v>
      </c>
      <c r="F5356" s="4177">
        <v>5239</v>
      </c>
      <c r="G5356" s="4178" t="s">
        <v>5589</v>
      </c>
      <c r="H5356" s="4179"/>
      <c r="I5356" s="4179"/>
      <c r="J5356" s="4179"/>
      <c r="K5356" s="1950"/>
      <c r="L5356" s="4179"/>
      <c r="M5356" s="4179">
        <v>0</v>
      </c>
      <c r="N5356" s="1569"/>
      <c r="O5356" s="2560"/>
      <c r="P5356" s="1817"/>
      <c r="Q5356" s="2560"/>
      <c r="R5356" s="2560"/>
      <c r="S5356" s="2560"/>
      <c r="T5356" s="2560"/>
      <c r="U5356" s="2560"/>
      <c r="V5356" s="2560"/>
      <c r="W5356" s="2560"/>
      <c r="X5356" s="1569"/>
    </row>
    <row r="5357" spans="2:24">
      <c r="B5357" s="4039" t="s">
        <v>1250</v>
      </c>
      <c r="C5357" s="4039"/>
      <c r="D5357" s="4039"/>
      <c r="E5357" s="4039" t="s">
        <v>1133</v>
      </c>
      <c r="F5357" s="4177">
        <v>5239</v>
      </c>
      <c r="G5357" s="3120" t="s">
        <v>5916</v>
      </c>
      <c r="H5357" s="4179"/>
      <c r="I5357" s="4179"/>
      <c r="J5357" s="4179"/>
      <c r="K5357" s="1950"/>
      <c r="L5357" s="4179"/>
      <c r="M5357" s="4179">
        <v>700</v>
      </c>
      <c r="N5357" s="1569" t="s">
        <v>5894</v>
      </c>
      <c r="O5357" s="2560"/>
      <c r="P5357" s="1817"/>
      <c r="Q5357" s="2560"/>
      <c r="R5357" s="2560"/>
      <c r="S5357" s="2560"/>
      <c r="T5357" s="2560"/>
      <c r="U5357" s="2560"/>
      <c r="V5357" s="2560"/>
      <c r="W5357" s="2560"/>
      <c r="X5357" s="1569"/>
    </row>
    <row r="5358" spans="2:24" ht="22.5">
      <c r="B5358" s="4039" t="s">
        <v>1250</v>
      </c>
      <c r="C5358" s="4039"/>
      <c r="D5358" s="4039"/>
      <c r="E5358" s="4039" t="s">
        <v>1133</v>
      </c>
      <c r="F5358" s="4177">
        <v>5239</v>
      </c>
      <c r="G5358" s="4178" t="s">
        <v>5590</v>
      </c>
      <c r="H5358" s="4179"/>
      <c r="I5358" s="4179"/>
      <c r="J5358" s="4179"/>
      <c r="K5358" s="1950"/>
      <c r="L5358" s="4179"/>
      <c r="M5358" s="4179">
        <v>4000</v>
      </c>
      <c r="N5358" s="1569" t="s">
        <v>5895</v>
      </c>
      <c r="O5358" s="2560"/>
      <c r="P5358" s="1817" t="e">
        <f>INDEX(#REF!,MATCH(F5358,#REF!,0),2)</f>
        <v>#REF!</v>
      </c>
      <c r="Q5358" s="2560"/>
      <c r="R5358" s="2560"/>
      <c r="S5358" s="2560"/>
      <c r="T5358" s="2560"/>
      <c r="U5358" s="2560"/>
      <c r="V5358" s="2560"/>
      <c r="W5358" s="2560"/>
      <c r="X5358" s="1569"/>
    </row>
    <row r="5359" spans="2:24">
      <c r="B5359" s="4039" t="s">
        <v>1250</v>
      </c>
      <c r="C5359" s="4039"/>
      <c r="D5359" s="4039"/>
      <c r="E5359" s="4039" t="s">
        <v>1133</v>
      </c>
      <c r="F5359" s="4177">
        <v>5239</v>
      </c>
      <c r="G5359" s="4207" t="s">
        <v>5591</v>
      </c>
      <c r="H5359" s="4179"/>
      <c r="I5359" s="4179"/>
      <c r="J5359" s="4179"/>
      <c r="K5359" s="1950"/>
      <c r="L5359" s="4179"/>
      <c r="M5359" s="4179">
        <v>9500</v>
      </c>
      <c r="N5359" s="1569" t="s">
        <v>5896</v>
      </c>
      <c r="O5359" s="2560"/>
      <c r="P5359" s="1817" t="e">
        <f>INDEX(#REF!,MATCH(F5359,#REF!,0),2)</f>
        <v>#REF!</v>
      </c>
      <c r="Q5359" s="2559"/>
      <c r="R5359" s="2559"/>
      <c r="S5359" s="2559"/>
      <c r="T5359" s="2559"/>
      <c r="U5359" s="2559"/>
      <c r="V5359" s="2559"/>
      <c r="W5359" s="2559"/>
      <c r="X5359" s="2559"/>
    </row>
    <row r="5360" spans="2:24">
      <c r="B5360" s="4039" t="s">
        <v>1250</v>
      </c>
      <c r="C5360" s="4039"/>
      <c r="D5360" s="4039"/>
      <c r="E5360" s="4039" t="s">
        <v>1133</v>
      </c>
      <c r="F5360" s="4177">
        <v>5239</v>
      </c>
      <c r="G5360" s="4207" t="s">
        <v>5592</v>
      </c>
      <c r="H5360" s="4179"/>
      <c r="I5360" s="4179"/>
      <c r="J5360" s="4179"/>
      <c r="K5360" s="1950"/>
      <c r="L5360" s="4179"/>
      <c r="M5360" s="4179">
        <v>6650</v>
      </c>
      <c r="N5360" s="1569" t="s">
        <v>5897</v>
      </c>
      <c r="O5360" s="2560"/>
      <c r="P5360" s="1817" t="e">
        <f>INDEX(#REF!,MATCH(F5360,#REF!,0),2)</f>
        <v>#REF!</v>
      </c>
      <c r="Q5360" s="2560"/>
      <c r="R5360" s="2560"/>
      <c r="S5360" s="2560"/>
      <c r="T5360" s="2560"/>
      <c r="U5360" s="2560"/>
      <c r="V5360" s="2560"/>
      <c r="W5360" s="2560"/>
      <c r="X5360" s="1782"/>
    </row>
    <row r="5361" spans="2:24">
      <c r="B5361" s="4039" t="s">
        <v>1250</v>
      </c>
      <c r="C5361" s="4039"/>
      <c r="D5361" s="4039"/>
      <c r="E5361" s="4039" t="s">
        <v>1133</v>
      </c>
      <c r="F5361" s="4177">
        <v>5239</v>
      </c>
      <c r="G5361" s="4207" t="s">
        <v>5885</v>
      </c>
      <c r="H5361" s="4179"/>
      <c r="I5361" s="4179"/>
      <c r="J5361" s="4179"/>
      <c r="K5361" s="1950"/>
      <c r="L5361" s="4179"/>
      <c r="M5361" s="4179">
        <v>6400</v>
      </c>
      <c r="N5361" s="1569" t="s">
        <v>5898</v>
      </c>
      <c r="O5361" s="2559"/>
      <c r="P5361" s="1817" t="e">
        <f>INDEX(#REF!,MATCH(F5361,#REF!,0),2)</f>
        <v>#REF!</v>
      </c>
      <c r="Q5361" s="2559"/>
      <c r="R5361" s="2559"/>
      <c r="S5361" s="2559"/>
      <c r="T5361" s="2559"/>
      <c r="U5361" s="2559"/>
      <c r="V5361" s="2559"/>
      <c r="W5361" s="2559"/>
      <c r="X5361" s="2559"/>
    </row>
    <row r="5362" spans="2:24" ht="22.5">
      <c r="B5362" s="4039" t="s">
        <v>1250</v>
      </c>
      <c r="C5362" s="4039"/>
      <c r="D5362" s="4039"/>
      <c r="E5362" s="4039" t="s">
        <v>1133</v>
      </c>
      <c r="F5362" s="4177">
        <v>5239</v>
      </c>
      <c r="G5362" s="4207" t="s">
        <v>6081</v>
      </c>
      <c r="H5362" s="4179"/>
      <c r="I5362" s="4179">
        <v>6860</v>
      </c>
      <c r="J5362" s="4179"/>
      <c r="K5362" s="4203"/>
      <c r="L5362" s="4179"/>
      <c r="M5362" s="4179"/>
      <c r="N5362" s="1569"/>
      <c r="O5362" s="2559"/>
      <c r="P5362" s="1817" t="e">
        <f>INDEX(#REF!,MATCH(F5362,#REF!,0),2)</f>
        <v>#REF!</v>
      </c>
      <c r="Q5362" s="2560"/>
      <c r="R5362" s="2560"/>
      <c r="S5362" s="2560"/>
      <c r="T5362" s="2560"/>
      <c r="U5362" s="2560"/>
      <c r="V5362" s="2560"/>
      <c r="W5362" s="2560"/>
      <c r="X5362" s="1782"/>
    </row>
    <row r="5363" spans="2:24">
      <c r="B5363" s="4038" t="s">
        <v>1249</v>
      </c>
      <c r="C5363" s="4038"/>
      <c r="D5363" s="4038"/>
      <c r="E5363" s="4038" t="s">
        <v>1133</v>
      </c>
      <c r="F5363" s="4174">
        <v>5239</v>
      </c>
      <c r="G5363" s="4175" t="s">
        <v>256</v>
      </c>
      <c r="H5363" s="4176"/>
      <c r="I5363" s="4176"/>
      <c r="J5363" s="4176"/>
      <c r="K5363" s="1948"/>
      <c r="L5363" s="4176">
        <v>9900</v>
      </c>
      <c r="M5363" s="4176"/>
      <c r="N5363" s="2847"/>
      <c r="O5363" s="2559"/>
      <c r="P5363" s="1817" t="e">
        <f>INDEX(#REF!,MATCH(F5363,#REF!,0),2)</f>
        <v>#REF!</v>
      </c>
      <c r="Q5363" s="2560"/>
      <c r="R5363" s="2560"/>
      <c r="S5363" s="2560"/>
      <c r="T5363" s="2560"/>
      <c r="U5363" s="2560"/>
      <c r="V5363" s="2560"/>
      <c r="W5363" s="2560"/>
      <c r="X5363" s="1782"/>
    </row>
    <row r="5364" spans="2:24">
      <c r="B5364" s="4039" t="s">
        <v>1249</v>
      </c>
      <c r="C5364" s="4039"/>
      <c r="D5364" s="4039"/>
      <c r="E5364" s="4039" t="s">
        <v>1133</v>
      </c>
      <c r="F5364" s="4177">
        <v>5239</v>
      </c>
      <c r="G5364" s="4187" t="s">
        <v>5879</v>
      </c>
      <c r="H5364" s="4179"/>
      <c r="I5364" s="4179"/>
      <c r="J5364" s="4179"/>
      <c r="K5364" s="1952"/>
      <c r="L5364" s="4179"/>
      <c r="M5364" s="4179">
        <v>9900</v>
      </c>
      <c r="N5364" s="4190" t="s">
        <v>5886</v>
      </c>
      <c r="O5364" s="2559"/>
      <c r="P5364" s="1817" t="e">
        <f>INDEX(#REF!,MATCH(F5364,#REF!,0),2)</f>
        <v>#REF!</v>
      </c>
      <c r="Q5364" s="2559"/>
      <c r="R5364" s="2559"/>
      <c r="S5364" s="2559"/>
      <c r="T5364" s="2559"/>
      <c r="U5364" s="2559"/>
      <c r="V5364" s="2559"/>
      <c r="W5364" s="2559"/>
      <c r="X5364" s="2559"/>
    </row>
    <row r="5365" spans="2:24" ht="22.5">
      <c r="B5365" s="4174" t="s">
        <v>1249</v>
      </c>
      <c r="C5365" s="4174"/>
      <c r="D5365" s="4174"/>
      <c r="E5365" s="4174" t="s">
        <v>1133</v>
      </c>
      <c r="F5365" s="4174">
        <v>5240</v>
      </c>
      <c r="G5365" s="4175" t="s">
        <v>5899</v>
      </c>
      <c r="H5365" s="4176"/>
      <c r="I5365" s="4176"/>
      <c r="J5365" s="4176"/>
      <c r="K5365" s="1948"/>
      <c r="L5365" s="4176">
        <v>0</v>
      </c>
      <c r="M5365" s="4176"/>
      <c r="N5365" s="2847"/>
      <c r="O5365" s="2559"/>
      <c r="P5365" s="1817" t="e">
        <f>INDEX(#REF!,MATCH(F5365,#REF!,0),2)</f>
        <v>#REF!</v>
      </c>
      <c r="Q5365" s="2560"/>
      <c r="R5365" s="2560"/>
      <c r="S5365" s="2560"/>
      <c r="T5365" s="2560"/>
      <c r="U5365" s="2560"/>
      <c r="V5365" s="2560"/>
      <c r="W5365" s="2560"/>
      <c r="X5365" s="1782"/>
    </row>
    <row r="5366" spans="2:24">
      <c r="B5366" s="4177" t="s">
        <v>1249</v>
      </c>
      <c r="C5366" s="4177"/>
      <c r="D5366" s="4177"/>
      <c r="E5366" s="4177" t="s">
        <v>1133</v>
      </c>
      <c r="F5366" s="4177">
        <v>5240</v>
      </c>
      <c r="G5366" s="4207" t="s">
        <v>5597</v>
      </c>
      <c r="H5366" s="4179"/>
      <c r="I5366" s="4179">
        <v>0</v>
      </c>
      <c r="J5366" s="4179"/>
      <c r="K5366" s="1950"/>
      <c r="L5366" s="4179"/>
      <c r="M5366" s="4307">
        <v>0</v>
      </c>
      <c r="N5366" s="4191" t="s">
        <v>6058</v>
      </c>
      <c r="O5366" s="2559"/>
      <c r="P5366" s="1817" t="e">
        <f>INDEX(#REF!,MATCH(F5366,#REF!,0),2)</f>
        <v>#REF!</v>
      </c>
      <c r="Q5366" s="2560"/>
      <c r="R5366" s="2560"/>
      <c r="S5366" s="2560"/>
      <c r="T5366" s="2560"/>
      <c r="U5366" s="2560"/>
      <c r="V5366" s="2560"/>
      <c r="W5366" s="2560"/>
      <c r="X5366" s="1782"/>
    </row>
    <row r="5367" spans="2:24">
      <c r="B5367" s="4174" t="s">
        <v>1249</v>
      </c>
      <c r="C5367" s="4174"/>
      <c r="D5367" s="4174"/>
      <c r="E5367" s="4174" t="s">
        <v>1133</v>
      </c>
      <c r="F5367" s="4174">
        <v>5250</v>
      </c>
      <c r="G5367" s="4175" t="s">
        <v>470</v>
      </c>
      <c r="H5367" s="4176">
        <v>4254</v>
      </c>
      <c r="I5367" s="4176"/>
      <c r="J5367" s="4176">
        <v>4254</v>
      </c>
      <c r="K5367" s="1948"/>
      <c r="L5367" s="4176">
        <v>199857</v>
      </c>
      <c r="M5367" s="4176"/>
      <c r="N5367" s="2559"/>
      <c r="O5367" s="2559"/>
      <c r="P5367" s="1817" t="e">
        <f>INDEX(#REF!,MATCH(F5367,#REF!,0),2)</f>
        <v>#REF!</v>
      </c>
      <c r="Q5367" s="2560"/>
      <c r="R5367" s="2560"/>
      <c r="S5367" s="2560"/>
      <c r="T5367" s="2560"/>
      <c r="U5367" s="2560"/>
      <c r="V5367" s="2560"/>
      <c r="W5367" s="2560"/>
      <c r="X5367" s="1782"/>
    </row>
    <row r="5368" spans="2:24">
      <c r="B5368" s="4177" t="s">
        <v>1249</v>
      </c>
      <c r="C5368" s="4177"/>
      <c r="D5368" s="4177"/>
      <c r="E5368" s="4177" t="s">
        <v>1133</v>
      </c>
      <c r="F5368" s="4177">
        <v>5250</v>
      </c>
      <c r="G5368" s="4192" t="s">
        <v>5900</v>
      </c>
      <c r="H5368" s="4179"/>
      <c r="I5368" s="4179">
        <v>0</v>
      </c>
      <c r="J5368" s="4179"/>
      <c r="K5368" s="1950"/>
      <c r="L5368" s="4179"/>
      <c r="M5368" s="4194">
        <v>0</v>
      </c>
      <c r="N5368" s="1569"/>
      <c r="O5368" s="2559"/>
      <c r="P5368" s="1817" t="e">
        <f>INDEX(#REF!,MATCH(F5368,#REF!,0),2)</f>
        <v>#REF!</v>
      </c>
      <c r="Q5368" s="2560"/>
      <c r="R5368" s="2560"/>
      <c r="S5368" s="2560"/>
      <c r="T5368" s="2560"/>
      <c r="U5368" s="2560"/>
      <c r="V5368" s="2560"/>
      <c r="W5368" s="2560"/>
      <c r="X5368" s="1782"/>
    </row>
    <row r="5369" spans="2:24" ht="21" customHeight="1">
      <c r="B5369" s="4177" t="s">
        <v>1249</v>
      </c>
      <c r="C5369" s="4177"/>
      <c r="D5369" s="4177"/>
      <c r="E5369" s="4177" t="s">
        <v>1133</v>
      </c>
      <c r="F5369" s="4177">
        <v>5250</v>
      </c>
      <c r="G5369" s="4192" t="s">
        <v>2859</v>
      </c>
      <c r="H5369" s="4179"/>
      <c r="I5369" s="4179">
        <v>3900</v>
      </c>
      <c r="J5369" s="4179"/>
      <c r="K5369" s="1948"/>
      <c r="L5369" s="4179"/>
      <c r="M5369" s="4194"/>
      <c r="N5369" s="1569"/>
      <c r="O5369" s="2559"/>
      <c r="P5369" s="1817"/>
      <c r="Q5369" s="2560"/>
      <c r="R5369" s="2560"/>
      <c r="S5369" s="2560"/>
      <c r="T5369" s="2560"/>
      <c r="U5369" s="2560"/>
      <c r="V5369" s="2560"/>
      <c r="W5369" s="2560"/>
      <c r="X5369" s="1782"/>
    </row>
    <row r="5370" spans="2:24" ht="22.5">
      <c r="B5370" s="4177" t="s">
        <v>1249</v>
      </c>
      <c r="C5370" s="4177"/>
      <c r="D5370" s="4177"/>
      <c r="E5370" s="4177" t="s">
        <v>1133</v>
      </c>
      <c r="F5370" s="4177">
        <v>5250</v>
      </c>
      <c r="G5370" s="4201" t="s">
        <v>5698</v>
      </c>
      <c r="H5370" s="4179"/>
      <c r="I5370" s="4179"/>
      <c r="J5370" s="4179"/>
      <c r="K5370" s="1950"/>
      <c r="L5370" s="4179"/>
      <c r="M5370" s="4179">
        <v>25000</v>
      </c>
      <c r="N5370" s="4190" t="s">
        <v>5901</v>
      </c>
      <c r="O5370" s="2559"/>
      <c r="P5370" s="1817" t="e">
        <f>INDEX(#REF!,MATCH(F5370,#REF!,0),2)</f>
        <v>#REF!</v>
      </c>
      <c r="Q5370" s="2560"/>
      <c r="R5370" s="2560"/>
      <c r="S5370" s="2560"/>
      <c r="T5370" s="2560"/>
      <c r="U5370" s="2560"/>
      <c r="V5370" s="2560"/>
      <c r="W5370" s="2560"/>
      <c r="X5370" s="1782"/>
    </row>
    <row r="5371" spans="2:24" ht="22.5">
      <c r="B5371" s="4177" t="s">
        <v>1249</v>
      </c>
      <c r="C5371" s="4177"/>
      <c r="D5371" s="4177"/>
      <c r="E5371" s="4177" t="s">
        <v>1133</v>
      </c>
      <c r="F5371" s="4177">
        <v>5250</v>
      </c>
      <c r="G5371" s="4201" t="s">
        <v>5699</v>
      </c>
      <c r="H5371" s="4179"/>
      <c r="I5371" s="4179"/>
      <c r="J5371" s="4179"/>
      <c r="K5371" s="4042"/>
      <c r="L5371" s="4179"/>
      <c r="M5371" s="4179">
        <v>71921</v>
      </c>
      <c r="N5371" s="4191" t="s">
        <v>5902</v>
      </c>
      <c r="O5371" s="2559"/>
      <c r="P5371" s="1817" t="e">
        <f>INDEX(#REF!,MATCH(F5371,#REF!,0),2)</f>
        <v>#REF!</v>
      </c>
      <c r="Q5371" s="2560"/>
      <c r="R5371" s="2560"/>
      <c r="S5371" s="2560"/>
      <c r="T5371" s="2560"/>
      <c r="U5371" s="2560"/>
      <c r="V5371" s="2560"/>
      <c r="W5371" s="2560"/>
      <c r="X5371" s="1782"/>
    </row>
    <row r="5372" spans="2:24">
      <c r="B5372" s="4177" t="s">
        <v>1249</v>
      </c>
      <c r="C5372" s="4177"/>
      <c r="D5372" s="4177"/>
      <c r="E5372" s="4177" t="s">
        <v>1133</v>
      </c>
      <c r="F5372" s="4177">
        <v>5250</v>
      </c>
      <c r="G5372" s="4201" t="s">
        <v>5700</v>
      </c>
      <c r="H5372" s="4179"/>
      <c r="I5372" s="4179"/>
      <c r="J5372" s="4179"/>
      <c r="K5372" s="4042"/>
      <c r="L5372" s="4179"/>
      <c r="M5372" s="4179">
        <v>46100</v>
      </c>
      <c r="N5372" s="4190" t="s">
        <v>5903</v>
      </c>
      <c r="O5372" s="2559"/>
      <c r="P5372" s="1817" t="e">
        <f>INDEX(#REF!,MATCH(F5372,#REF!,0),2)</f>
        <v>#REF!</v>
      </c>
      <c r="Q5372" s="2560"/>
      <c r="R5372" s="2560"/>
      <c r="S5372" s="2560"/>
      <c r="T5372" s="2560"/>
      <c r="U5372" s="2560"/>
      <c r="V5372" s="2560"/>
      <c r="W5372" s="2560"/>
      <c r="X5372" s="1782"/>
    </row>
    <row r="5373" spans="2:24">
      <c r="B5373" s="4177" t="s">
        <v>1249</v>
      </c>
      <c r="C5373" s="4177"/>
      <c r="D5373" s="4177"/>
      <c r="E5373" s="4177" t="s">
        <v>1133</v>
      </c>
      <c r="F5373" s="4177">
        <v>5250</v>
      </c>
      <c r="G5373" s="4201" t="s">
        <v>5701</v>
      </c>
      <c r="H5373" s="4179"/>
      <c r="I5373" s="4179"/>
      <c r="J5373" s="4179"/>
      <c r="K5373" s="4042"/>
      <c r="L5373" s="4179"/>
      <c r="M5373" s="4179">
        <v>26836</v>
      </c>
      <c r="N5373" s="4190" t="s">
        <v>5904</v>
      </c>
      <c r="O5373" s="2559"/>
      <c r="P5373" s="1817" t="e">
        <f>INDEX(#REF!,MATCH(F5373,#REF!,0),2)</f>
        <v>#REF!</v>
      </c>
      <c r="Q5373" s="2559"/>
      <c r="R5373" s="2559"/>
      <c r="S5373" s="2559"/>
      <c r="T5373" s="2559"/>
      <c r="U5373" s="2559"/>
      <c r="V5373" s="2559"/>
      <c r="W5373" s="2559"/>
      <c r="X5373" s="2559"/>
    </row>
    <row r="5374" spans="2:24" ht="22.5">
      <c r="B5374" s="4177" t="s">
        <v>1249</v>
      </c>
      <c r="C5374" s="4177"/>
      <c r="D5374" s="4177"/>
      <c r="E5374" s="4177" t="s">
        <v>1133</v>
      </c>
      <c r="F5374" s="4177">
        <v>5250</v>
      </c>
      <c r="G5374" s="4201" t="s">
        <v>5642</v>
      </c>
      <c r="H5374" s="4179"/>
      <c r="I5374" s="4179"/>
      <c r="J5374" s="4179"/>
      <c r="K5374" s="4042"/>
      <c r="L5374" s="4179"/>
      <c r="M5374" s="4179">
        <v>30000</v>
      </c>
      <c r="N5374" s="4190"/>
      <c r="O5374" s="2559"/>
      <c r="P5374" s="1817"/>
      <c r="Q5374" s="2560"/>
      <c r="R5374" s="2560"/>
      <c r="S5374" s="2560"/>
      <c r="T5374" s="2560"/>
      <c r="U5374" s="2560"/>
      <c r="V5374" s="2560"/>
      <c r="W5374" s="2560"/>
      <c r="X5374" s="1782"/>
    </row>
    <row r="5375" spans="2:24">
      <c r="B5375" s="4174" t="s">
        <v>1250</v>
      </c>
      <c r="C5375" s="4174"/>
      <c r="D5375" s="4174"/>
      <c r="E5375" s="4174" t="s">
        <v>1133</v>
      </c>
      <c r="F5375" s="4174">
        <v>5269</v>
      </c>
      <c r="G5375" s="4175" t="s">
        <v>2860</v>
      </c>
      <c r="H5375" s="4176">
        <v>4600</v>
      </c>
      <c r="I5375" s="4176">
        <v>0</v>
      </c>
      <c r="J5375" s="4176"/>
      <c r="K5375" s="1950"/>
      <c r="L5375" s="4176">
        <v>5600</v>
      </c>
      <c r="M5375" s="4176"/>
      <c r="N5375" s="2559"/>
      <c r="O5375" s="2559"/>
      <c r="P5375" s="1817" t="e">
        <f>INDEX(#REF!,MATCH(F5375,#REF!,0),2)</f>
        <v>#REF!</v>
      </c>
      <c r="Q5375" s="2560"/>
      <c r="R5375" s="2560"/>
      <c r="S5375" s="2560"/>
      <c r="T5375" s="2560"/>
      <c r="U5375" s="2560"/>
      <c r="V5375" s="2560"/>
      <c r="W5375" s="2560"/>
      <c r="X5375" s="1782"/>
    </row>
    <row r="5376" spans="2:24">
      <c r="B5376" s="4177" t="s">
        <v>1250</v>
      </c>
      <c r="C5376" s="4177"/>
      <c r="D5376" s="4177"/>
      <c r="E5376" s="4177" t="s">
        <v>1133</v>
      </c>
      <c r="F5376" s="4177">
        <v>5269</v>
      </c>
      <c r="G5376" s="4185" t="s">
        <v>2860</v>
      </c>
      <c r="H5376" s="4179"/>
      <c r="I5376" s="4179">
        <v>4600</v>
      </c>
      <c r="J5376" s="4179"/>
      <c r="K5376" s="1950"/>
      <c r="L5376" s="4179"/>
      <c r="M5376" s="4179">
        <v>4600</v>
      </c>
      <c r="N5376" s="4209" t="s">
        <v>5905</v>
      </c>
      <c r="O5376" s="2559"/>
      <c r="P5376" s="1817" t="e">
        <f>INDEX(#REF!,MATCH(F5376,#REF!,0),2)</f>
        <v>#REF!</v>
      </c>
      <c r="Q5376" s="2559"/>
      <c r="R5376" s="2559"/>
      <c r="S5376" s="2559"/>
      <c r="T5376" s="2559"/>
      <c r="U5376" s="2559"/>
      <c r="V5376" s="2559"/>
      <c r="W5376" s="2559"/>
      <c r="X5376" s="2559"/>
    </row>
    <row r="5377" spans="1:24" ht="22.5">
      <c r="B5377" s="4177" t="s">
        <v>1250</v>
      </c>
      <c r="C5377" s="4177"/>
      <c r="D5377" s="4177"/>
      <c r="E5377" s="4177" t="s">
        <v>1133</v>
      </c>
      <c r="F5377" s="4177">
        <v>5269</v>
      </c>
      <c r="G5377" s="4185" t="s">
        <v>5598</v>
      </c>
      <c r="H5377" s="4179"/>
      <c r="I5377" s="4179"/>
      <c r="J5377" s="4179"/>
      <c r="K5377" s="1950"/>
      <c r="L5377" s="4179"/>
      <c r="M5377" s="4179">
        <v>1000</v>
      </c>
      <c r="N5377" s="4209" t="s">
        <v>5906</v>
      </c>
      <c r="O5377" s="2559"/>
      <c r="P5377" s="1817" t="e">
        <f>INDEX(#REF!,MATCH(F5377,#REF!,0),2)</f>
        <v>#REF!</v>
      </c>
      <c r="Q5377" s="2560"/>
      <c r="R5377" s="2560"/>
      <c r="S5377" s="2560"/>
      <c r="T5377" s="2560"/>
      <c r="U5377" s="2560"/>
      <c r="V5377" s="2560"/>
      <c r="W5377" s="2560"/>
      <c r="X5377" s="1782"/>
    </row>
    <row r="5378" spans="1:24">
      <c r="A5378" s="79">
        <v>7230</v>
      </c>
      <c r="B5378" s="412" t="s">
        <v>1248</v>
      </c>
      <c r="E5378" s="2262" t="s">
        <v>2867</v>
      </c>
      <c r="F5378" s="1945">
        <v>2233</v>
      </c>
      <c r="G5378" s="1946" t="s">
        <v>263</v>
      </c>
      <c r="H5378" s="1947">
        <v>169</v>
      </c>
      <c r="I5378" s="1947"/>
      <c r="J5378" s="1947">
        <v>169</v>
      </c>
      <c r="K5378" s="1948">
        <v>41705</v>
      </c>
      <c r="L5378" s="1947">
        <v>0</v>
      </c>
      <c r="M5378" s="3804"/>
      <c r="N5378" s="2847"/>
      <c r="O5378" s="2559"/>
      <c r="P5378" s="1817" t="e">
        <f>INDEX(#REF!,MATCH(F5378,#REF!,0),2)</f>
        <v>#REF!</v>
      </c>
      <c r="Q5378" s="2560"/>
      <c r="R5378" s="2560"/>
      <c r="S5378" s="2560"/>
      <c r="T5378" s="2560"/>
      <c r="U5378" s="2560"/>
      <c r="V5378" s="2560"/>
      <c r="W5378" s="2560"/>
      <c r="X5378" s="1782"/>
    </row>
    <row r="5379" spans="1:24">
      <c r="B5379" s="412" t="s">
        <v>1248</v>
      </c>
      <c r="E5379" s="2263" t="s">
        <v>2867</v>
      </c>
      <c r="F5379" s="1936">
        <v>2233</v>
      </c>
      <c r="G5379" s="1953" t="s">
        <v>2774</v>
      </c>
      <c r="H5379" s="1949"/>
      <c r="I5379" s="1949"/>
      <c r="J5379" s="1949"/>
      <c r="K5379" s="1950"/>
      <c r="L5379" s="1949"/>
      <c r="M5379" s="1764"/>
      <c r="N5379" s="2847"/>
      <c r="O5379" s="2559"/>
      <c r="P5379" s="1817" t="e">
        <f>INDEX(#REF!,MATCH(F5379,#REF!,0),2)</f>
        <v>#REF!</v>
      </c>
      <c r="Q5379" s="2560"/>
      <c r="R5379" s="2560"/>
      <c r="S5379" s="2560"/>
      <c r="T5379" s="2560"/>
      <c r="U5379" s="2560"/>
      <c r="V5379" s="2560"/>
      <c r="W5379" s="2560"/>
      <c r="X5379" s="1782"/>
    </row>
    <row r="5380" spans="1:24">
      <c r="A5380" s="79">
        <v>7230</v>
      </c>
      <c r="B5380" s="412" t="s">
        <v>1248</v>
      </c>
      <c r="E5380" s="2262" t="s">
        <v>2867</v>
      </c>
      <c r="F5380" s="1945">
        <v>2244</v>
      </c>
      <c r="G5380" s="1946" t="s">
        <v>469</v>
      </c>
      <c r="H5380" s="1947">
        <v>25000</v>
      </c>
      <c r="I5380" s="1947"/>
      <c r="J5380" s="1947"/>
      <c r="K5380" s="1948">
        <v>41705</v>
      </c>
      <c r="L5380" s="1947">
        <v>55000</v>
      </c>
      <c r="M5380" s="3804"/>
      <c r="N5380" s="2847"/>
      <c r="O5380" s="2559"/>
      <c r="P5380" s="1817"/>
      <c r="Q5380" s="2560"/>
      <c r="R5380" s="2560"/>
      <c r="S5380" s="2560"/>
      <c r="T5380" s="2560"/>
      <c r="U5380" s="2560"/>
      <c r="V5380" s="2560"/>
      <c r="W5380" s="2560"/>
      <c r="X5380" s="1782"/>
    </row>
    <row r="5381" spans="1:24">
      <c r="B5381" s="412" t="s">
        <v>1248</v>
      </c>
      <c r="E5381" s="2263" t="s">
        <v>2867</v>
      </c>
      <c r="F5381" s="1936">
        <v>2244</v>
      </c>
      <c r="G5381" s="1953" t="s">
        <v>2774</v>
      </c>
      <c r="H5381" s="1949"/>
      <c r="I5381" s="1949">
        <v>25000</v>
      </c>
      <c r="J5381" s="1949"/>
      <c r="K5381" s="1950"/>
      <c r="L5381" s="1949"/>
      <c r="M5381" s="1764">
        <v>25000</v>
      </c>
      <c r="N5381" s="2847"/>
      <c r="O5381" s="2559"/>
      <c r="P5381" s="1817" t="e">
        <f>INDEX(#REF!,MATCH(F5381,#REF!,0),2)</f>
        <v>#REF!</v>
      </c>
      <c r="Q5381" s="2559"/>
      <c r="R5381" s="2559"/>
      <c r="S5381" s="2559"/>
      <c r="T5381" s="2559"/>
      <c r="U5381" s="2559"/>
      <c r="V5381" s="2559"/>
      <c r="W5381" s="2559"/>
      <c r="X5381" s="2559"/>
    </row>
    <row r="5382" spans="1:24" ht="22.5">
      <c r="B5382" s="412" t="s">
        <v>1248</v>
      </c>
      <c r="E5382" s="2263" t="s">
        <v>2867</v>
      </c>
      <c r="F5382" s="1936">
        <v>2244</v>
      </c>
      <c r="G5382" s="1953" t="s">
        <v>5658</v>
      </c>
      <c r="H5382" s="1949"/>
      <c r="I5382" s="1949"/>
      <c r="J5382" s="1949"/>
      <c r="K5382" s="1950"/>
      <c r="L5382" s="1949"/>
      <c r="M5382" s="4217">
        <v>30000</v>
      </c>
      <c r="N5382" s="2847"/>
      <c r="O5382" s="2559"/>
      <c r="P5382" s="1817" t="e">
        <f>INDEX(#REF!,MATCH(F5382,#REF!,0),2)</f>
        <v>#REF!</v>
      </c>
      <c r="Q5382" s="2560"/>
      <c r="R5382" s="2560"/>
      <c r="S5382" s="2560"/>
      <c r="T5382" s="2560"/>
      <c r="U5382" s="2560"/>
      <c r="V5382" s="2560"/>
      <c r="W5382" s="2560"/>
      <c r="X5382" s="1782"/>
    </row>
    <row r="5383" spans="1:24">
      <c r="A5383" s="79">
        <v>7230</v>
      </c>
      <c r="B5383" s="412" t="s">
        <v>1248</v>
      </c>
      <c r="E5383" s="2262" t="s">
        <v>2867</v>
      </c>
      <c r="F5383" s="1945">
        <v>2246</v>
      </c>
      <c r="G5383" s="1946" t="s">
        <v>2775</v>
      </c>
      <c r="H5383" s="1947">
        <v>99325</v>
      </c>
      <c r="I5383" s="1947"/>
      <c r="J5383" s="1947"/>
      <c r="K5383" s="1948">
        <v>41705</v>
      </c>
      <c r="L5383" s="1947">
        <v>107000</v>
      </c>
      <c r="M5383" s="1762"/>
      <c r="N5383" s="2847"/>
      <c r="O5383" s="2559"/>
      <c r="P5383" s="1817" t="e">
        <f>INDEX(#REF!,MATCH(F5383,#REF!,0),2)</f>
        <v>#REF!</v>
      </c>
      <c r="Q5383" s="2560"/>
      <c r="R5383" s="2560"/>
      <c r="S5383" s="2560"/>
      <c r="T5383" s="2560"/>
      <c r="U5383" s="2560"/>
      <c r="V5383" s="2560"/>
      <c r="W5383" s="2560"/>
      <c r="X5383" s="1782"/>
    </row>
    <row r="5384" spans="1:24" ht="45">
      <c r="B5384" s="412" t="s">
        <v>1248</v>
      </c>
      <c r="E5384" s="2263" t="s">
        <v>2867</v>
      </c>
      <c r="F5384" s="1936">
        <v>2246</v>
      </c>
      <c r="G5384" s="1953" t="s">
        <v>5914</v>
      </c>
      <c r="H5384" s="1949"/>
      <c r="I5384" s="1949">
        <v>17758</v>
      </c>
      <c r="J5384" s="1949"/>
      <c r="K5384" s="1950"/>
      <c r="L5384" s="1954"/>
      <c r="M5384" s="4336">
        <v>7000</v>
      </c>
      <c r="N5384" s="241" t="s">
        <v>5156</v>
      </c>
      <c r="O5384" s="2559"/>
      <c r="P5384" s="1817" t="e">
        <f>INDEX(#REF!,MATCH(F5384,#REF!,0),2)</f>
        <v>#REF!</v>
      </c>
      <c r="Q5384" s="2560"/>
      <c r="R5384" s="2560"/>
      <c r="S5384" s="2560"/>
      <c r="T5384" s="2560"/>
      <c r="U5384" s="2560"/>
      <c r="V5384" s="2560"/>
      <c r="W5384" s="2560"/>
      <c r="X5384" s="1782"/>
    </row>
    <row r="5385" spans="1:24">
      <c r="B5385" s="412" t="s">
        <v>1248</v>
      </c>
      <c r="E5385" s="2263" t="s">
        <v>2867</v>
      </c>
      <c r="F5385" s="1936">
        <v>2246</v>
      </c>
      <c r="G5385" s="1953" t="s">
        <v>2864</v>
      </c>
      <c r="H5385" s="1949"/>
      <c r="I5385" s="1949">
        <v>71381</v>
      </c>
      <c r="J5385" s="1949"/>
      <c r="K5385" s="1950"/>
      <c r="L5385" s="1954"/>
      <c r="M5385" s="4336">
        <v>40000</v>
      </c>
      <c r="N5385" s="241" t="s">
        <v>6059</v>
      </c>
      <c r="O5385" s="2559"/>
      <c r="P5385" s="1817" t="e">
        <f>INDEX(#REF!,MATCH(F5385,#REF!,0),2)</f>
        <v>#REF!</v>
      </c>
      <c r="Q5385" s="2560"/>
      <c r="R5385" s="2560"/>
      <c r="S5385" s="2560"/>
      <c r="T5385" s="2560"/>
      <c r="U5385" s="2560"/>
      <c r="V5385" s="2560"/>
      <c r="W5385" s="2560"/>
      <c r="X5385" s="1782"/>
    </row>
    <row r="5386" spans="1:24" ht="22.5">
      <c r="B5386" s="412" t="s">
        <v>1248</v>
      </c>
      <c r="E5386" s="2263" t="s">
        <v>2867</v>
      </c>
      <c r="F5386" s="1936">
        <v>2246</v>
      </c>
      <c r="G5386" s="4185" t="s">
        <v>6084</v>
      </c>
      <c r="H5386" s="4179"/>
      <c r="I5386" s="4179">
        <v>-43540</v>
      </c>
      <c r="J5386" s="4179"/>
      <c r="K5386" s="4203"/>
      <c r="L5386" s="4182"/>
      <c r="M5386" s="4336"/>
      <c r="N5386" s="241"/>
      <c r="O5386" s="2559"/>
      <c r="P5386" s="1817" t="e">
        <f>INDEX(#REF!,MATCH(F5386,#REF!,0),2)</f>
        <v>#REF!</v>
      </c>
      <c r="Q5386" s="2559"/>
      <c r="R5386" s="2559"/>
      <c r="S5386" s="2559"/>
      <c r="T5386" s="2559"/>
      <c r="U5386" s="2559"/>
      <c r="V5386" s="2559"/>
      <c r="W5386" s="2559"/>
      <c r="X5386" s="2559"/>
    </row>
    <row r="5387" spans="1:24">
      <c r="B5387" s="412" t="s">
        <v>1248</v>
      </c>
      <c r="E5387" s="2263" t="s">
        <v>2867</v>
      </c>
      <c r="F5387" s="1936">
        <v>2246</v>
      </c>
      <c r="G5387" s="1953" t="s">
        <v>5913</v>
      </c>
      <c r="H5387" s="1949"/>
      <c r="I5387" s="1949">
        <v>45000</v>
      </c>
      <c r="J5387" s="1949"/>
      <c r="K5387" s="1950"/>
      <c r="L5387" s="1954"/>
      <c r="M5387" s="1764">
        <v>45000</v>
      </c>
      <c r="N5387" s="2847"/>
      <c r="O5387" s="2559"/>
      <c r="P5387" s="1817" t="e">
        <f>INDEX(#REF!,MATCH(F5387,#REF!,0),2)</f>
        <v>#REF!</v>
      </c>
      <c r="Q5387" s="2560"/>
      <c r="R5387" s="2560"/>
      <c r="S5387" s="2560"/>
      <c r="T5387" s="2560"/>
      <c r="U5387" s="2560"/>
      <c r="V5387" s="2560"/>
      <c r="W5387" s="2560"/>
      <c r="X5387" s="1782"/>
    </row>
    <row r="5388" spans="1:24">
      <c r="B5388" s="412" t="s">
        <v>1248</v>
      </c>
      <c r="E5388" s="2263" t="s">
        <v>2867</v>
      </c>
      <c r="F5388" s="1936">
        <v>2246</v>
      </c>
      <c r="G5388" s="1953" t="s">
        <v>656</v>
      </c>
      <c r="H5388" s="1949"/>
      <c r="I5388" s="1949">
        <v>6000</v>
      </c>
      <c r="J5388" s="1949"/>
      <c r="K5388" s="1950"/>
      <c r="L5388" s="1954"/>
      <c r="M5388" s="1763"/>
      <c r="N5388" s="2847"/>
      <c r="O5388" s="86"/>
      <c r="P5388" s="1817" t="e">
        <f>INDEX(#REF!,MATCH(F5388,#REF!,0),2)</f>
        <v>#REF!</v>
      </c>
      <c r="Q5388" s="2560"/>
      <c r="R5388" s="2560"/>
      <c r="S5388" s="2560"/>
      <c r="T5388" s="2560"/>
      <c r="U5388" s="2560"/>
      <c r="V5388" s="2560"/>
      <c r="W5388" s="2560"/>
      <c r="X5388" s="1782"/>
    </row>
    <row r="5389" spans="1:24">
      <c r="B5389" s="412" t="s">
        <v>1248</v>
      </c>
      <c r="E5389" s="2263" t="s">
        <v>2867</v>
      </c>
      <c r="F5389" s="1936">
        <v>2246</v>
      </c>
      <c r="G5389" s="1953" t="s">
        <v>2865</v>
      </c>
      <c r="H5389" s="1949"/>
      <c r="I5389" s="1949"/>
      <c r="J5389" s="1949"/>
      <c r="K5389" s="1950"/>
      <c r="L5389" s="1954"/>
      <c r="M5389" s="1763"/>
      <c r="N5389" s="2847"/>
      <c r="O5389" s="86"/>
      <c r="P5389" s="1817" t="e">
        <f>INDEX(#REF!,MATCH(F5389,#REF!,0),2)</f>
        <v>#REF!</v>
      </c>
      <c r="Q5389" s="2560"/>
      <c r="R5389" s="2560"/>
      <c r="S5389" s="2560"/>
      <c r="T5389" s="2560"/>
      <c r="U5389" s="2560"/>
      <c r="V5389" s="2560"/>
      <c r="W5389" s="2560"/>
      <c r="X5389" s="1782"/>
    </row>
    <row r="5390" spans="1:24">
      <c r="B5390" s="412" t="s">
        <v>1248</v>
      </c>
      <c r="E5390" s="2263" t="s">
        <v>2867</v>
      </c>
      <c r="F5390" s="1936">
        <v>2246</v>
      </c>
      <c r="G5390" s="1953" t="s">
        <v>1073</v>
      </c>
      <c r="H5390" s="1949"/>
      <c r="I5390" s="1949">
        <v>7000</v>
      </c>
      <c r="J5390" s="1949"/>
      <c r="K5390" s="1950"/>
      <c r="L5390" s="1954"/>
      <c r="M5390" s="1764">
        <v>15000</v>
      </c>
      <c r="N5390" s="2847"/>
      <c r="O5390" s="86"/>
      <c r="P5390" s="1817" t="e">
        <f>INDEX(#REF!,MATCH(F5390,#REF!,0),2)</f>
        <v>#REF!</v>
      </c>
      <c r="Q5390" s="2559"/>
      <c r="R5390" s="2559"/>
      <c r="S5390" s="2559"/>
      <c r="T5390" s="2559"/>
      <c r="U5390" s="2559"/>
      <c r="V5390" s="2559"/>
      <c r="W5390" s="2559"/>
      <c r="X5390" s="2559"/>
    </row>
    <row r="5391" spans="1:24">
      <c r="B5391" s="412" t="s">
        <v>1248</v>
      </c>
      <c r="E5391" s="2263" t="s">
        <v>2867</v>
      </c>
      <c r="F5391" s="1936">
        <v>2246</v>
      </c>
      <c r="G5391" s="4040"/>
      <c r="H5391" s="4041"/>
      <c r="I5391" s="4041">
        <v>39266</v>
      </c>
      <c r="J5391" s="4041"/>
      <c r="K5391" s="4042"/>
      <c r="L5391" s="4043"/>
      <c r="M5391" s="1763"/>
      <c r="N5391" s="2847"/>
      <c r="O5391" s="86"/>
      <c r="P5391" s="1817" t="e">
        <f>INDEX(#REF!,MATCH(F5391,#REF!,0),2)</f>
        <v>#REF!</v>
      </c>
      <c r="Q5391" s="2560"/>
      <c r="R5391" s="2560"/>
      <c r="S5391" s="2560"/>
      <c r="T5391" s="2560"/>
      <c r="U5391" s="2560"/>
      <c r="V5391" s="2560"/>
      <c r="W5391" s="2560"/>
      <c r="X5391" s="1782"/>
    </row>
    <row r="5392" spans="1:24" ht="26.45" customHeight="1">
      <c r="A5392" s="79">
        <v>7230</v>
      </c>
      <c r="B5392" s="412" t="s">
        <v>1248</v>
      </c>
      <c r="E5392" s="2262" t="s">
        <v>2867</v>
      </c>
      <c r="F5392" s="1945">
        <v>2312</v>
      </c>
      <c r="G5392" s="1946" t="s">
        <v>251</v>
      </c>
      <c r="H5392" s="1947">
        <v>3000</v>
      </c>
      <c r="I5392" s="1947"/>
      <c r="J5392" s="1947"/>
      <c r="K5392" s="1948"/>
      <c r="L5392" s="1947">
        <v>3000</v>
      </c>
      <c r="M5392" s="1762"/>
      <c r="N5392" s="2847"/>
      <c r="O5392" s="86"/>
      <c r="P5392" s="1817" t="e">
        <f>INDEX(#REF!,MATCH(F5392,#REF!,0),2)</f>
        <v>#REF!</v>
      </c>
      <c r="Q5392" s="2560"/>
      <c r="R5392" s="2560"/>
      <c r="S5392" s="2560"/>
      <c r="T5392" s="2560"/>
      <c r="U5392" s="2560"/>
      <c r="V5392" s="2560"/>
      <c r="W5392" s="2560"/>
      <c r="X5392" s="1782"/>
    </row>
    <row r="5393" spans="1:24" ht="27" customHeight="1">
      <c r="B5393" s="412" t="s">
        <v>1248</v>
      </c>
      <c r="E5393" s="2263" t="s">
        <v>2867</v>
      </c>
      <c r="F5393" s="1936">
        <v>2312</v>
      </c>
      <c r="G5393" s="1953" t="s">
        <v>2810</v>
      </c>
      <c r="H5393" s="1949"/>
      <c r="I5393" s="1949">
        <v>1500</v>
      </c>
      <c r="J5393" s="1949"/>
      <c r="K5393" s="1950"/>
      <c r="L5393" s="1954"/>
      <c r="M5393" s="1764">
        <v>1500</v>
      </c>
      <c r="N5393" s="2847"/>
      <c r="O5393" s="86"/>
      <c r="P5393" s="1817" t="e">
        <f>INDEX(#REF!,MATCH(F5393,#REF!,0),2)</f>
        <v>#REF!</v>
      </c>
      <c r="Q5393" s="2560"/>
      <c r="R5393" s="2560"/>
      <c r="S5393" s="2560"/>
      <c r="T5393" s="2560"/>
      <c r="U5393" s="2560"/>
      <c r="V5393" s="2560"/>
      <c r="W5393" s="2560"/>
      <c r="X5393" s="1782"/>
    </row>
    <row r="5394" spans="1:24">
      <c r="B5394" s="412" t="s">
        <v>1248</v>
      </c>
      <c r="E5394" s="2263" t="s">
        <v>2867</v>
      </c>
      <c r="F5394" s="1936">
        <v>2312</v>
      </c>
      <c r="G5394" s="1953" t="s">
        <v>2811</v>
      </c>
      <c r="H5394" s="1949"/>
      <c r="I5394" s="1949">
        <v>1500</v>
      </c>
      <c r="J5394" s="1949"/>
      <c r="K5394" s="1950"/>
      <c r="L5394" s="1954"/>
      <c r="M5394" s="1764">
        <v>1500</v>
      </c>
      <c r="N5394" s="2847"/>
      <c r="O5394" s="86"/>
      <c r="P5394" s="1817" t="e">
        <f>INDEX(#REF!,MATCH(F5394,#REF!,0),2)</f>
        <v>#REF!</v>
      </c>
      <c r="Q5394" s="2559"/>
      <c r="R5394" s="2559"/>
      <c r="S5394" s="2559"/>
      <c r="T5394" s="2559"/>
      <c r="U5394" s="2559"/>
      <c r="V5394" s="2559"/>
      <c r="W5394" s="2559"/>
      <c r="X5394" s="2559"/>
    </row>
    <row r="5395" spans="1:24">
      <c r="A5395" s="79">
        <v>7230</v>
      </c>
      <c r="B5395" s="412" t="s">
        <v>1248</v>
      </c>
      <c r="E5395" s="2262" t="s">
        <v>2867</v>
      </c>
      <c r="F5395" s="1945">
        <v>2350</v>
      </c>
      <c r="G5395" s="1946" t="s">
        <v>251</v>
      </c>
      <c r="H5395" s="1947">
        <v>195506</v>
      </c>
      <c r="I5395" s="1947"/>
      <c r="J5395" s="1947"/>
      <c r="K5395" s="1948"/>
      <c r="L5395" s="1947">
        <v>185000</v>
      </c>
      <c r="M5395" s="3804"/>
      <c r="N5395" s="3506"/>
      <c r="O5395" s="86"/>
      <c r="P5395" s="1817" t="e">
        <f>INDEX(#REF!,MATCH(F5395,#REF!,0),2)</f>
        <v>#REF!</v>
      </c>
      <c r="Q5395" s="2560"/>
      <c r="R5395" s="2560"/>
      <c r="S5395" s="2560"/>
      <c r="T5395" s="2560"/>
      <c r="U5395" s="2560"/>
      <c r="V5395" s="2560"/>
      <c r="W5395" s="2560"/>
      <c r="X5395" s="1782"/>
    </row>
    <row r="5396" spans="1:24">
      <c r="B5396" s="412" t="s">
        <v>1248</v>
      </c>
      <c r="E5396" s="2263" t="s">
        <v>2867</v>
      </c>
      <c r="F5396" s="1936">
        <v>2350</v>
      </c>
      <c r="G5396" s="1953" t="s">
        <v>5659</v>
      </c>
      <c r="H5396" s="1949"/>
      <c r="I5396" s="1949">
        <v>70000</v>
      </c>
      <c r="J5396" s="1949"/>
      <c r="K5396" s="1950"/>
      <c r="L5396" s="1949"/>
      <c r="M5396" s="4336">
        <v>120000</v>
      </c>
      <c r="N5396" s="241" t="s">
        <v>6060</v>
      </c>
      <c r="O5396" s="86"/>
      <c r="P5396" s="1817" t="e">
        <f>INDEX(#REF!,MATCH(F5396,#REF!,0),2)</f>
        <v>#REF!</v>
      </c>
      <c r="Q5396" s="2560"/>
      <c r="R5396" s="2560"/>
      <c r="S5396" s="2560"/>
      <c r="T5396" s="2560"/>
      <c r="U5396" s="2560"/>
      <c r="V5396" s="2560"/>
      <c r="W5396" s="2560"/>
      <c r="X5396" s="1782"/>
    </row>
    <row r="5397" spans="1:24" ht="22.5">
      <c r="B5397" s="412" t="s">
        <v>1248</v>
      </c>
      <c r="E5397" s="2263" t="s">
        <v>2867</v>
      </c>
      <c r="F5397" s="1936">
        <v>2350</v>
      </c>
      <c r="G5397" s="4185" t="s">
        <v>6084</v>
      </c>
      <c r="H5397" s="4179"/>
      <c r="I5397" s="4179">
        <v>43540</v>
      </c>
      <c r="J5397" s="4179"/>
      <c r="K5397" s="4203"/>
      <c r="L5397" s="4182"/>
      <c r="M5397" s="4336"/>
      <c r="N5397" s="241"/>
      <c r="O5397" s="86"/>
      <c r="P5397" s="1817" t="e">
        <f>INDEX(#REF!,MATCH(F5397,#REF!,0),2)</f>
        <v>#REF!</v>
      </c>
      <c r="Q5397" s="2560"/>
      <c r="R5397" s="2560"/>
      <c r="S5397" s="2560"/>
      <c r="T5397" s="2560"/>
      <c r="U5397" s="2560"/>
      <c r="V5397" s="2560"/>
      <c r="W5397" s="2560"/>
      <c r="X5397" s="1782"/>
    </row>
    <row r="5398" spans="1:24">
      <c r="B5398" s="412" t="s">
        <v>1248</v>
      </c>
      <c r="E5398" s="2263" t="s">
        <v>2867</v>
      </c>
      <c r="F5398" s="1936">
        <v>2350</v>
      </c>
      <c r="G5398" s="1953" t="s">
        <v>2866</v>
      </c>
      <c r="H5398" s="1949"/>
      <c r="I5398" s="1949">
        <v>80000</v>
      </c>
      <c r="J5398" s="1949"/>
      <c r="K5398" s="1950"/>
      <c r="L5398" s="1949"/>
      <c r="M5398" s="1764">
        <v>65000</v>
      </c>
      <c r="N5398" s="2847"/>
      <c r="O5398" s="86"/>
      <c r="P5398" s="1817" t="e">
        <f>INDEX(#REF!,MATCH(F5398,#REF!,0),2)</f>
        <v>#REF!</v>
      </c>
    </row>
    <row r="5399" spans="1:24">
      <c r="B5399" s="412" t="s">
        <v>1248</v>
      </c>
      <c r="E5399" s="2263" t="s">
        <v>2867</v>
      </c>
      <c r="F5399" s="1936">
        <v>2350</v>
      </c>
      <c r="G5399" s="1953" t="s">
        <v>1180</v>
      </c>
      <c r="H5399" s="1949"/>
      <c r="I5399" s="1949">
        <v>1966</v>
      </c>
      <c r="J5399" s="1949"/>
      <c r="K5399" s="1950"/>
      <c r="L5399" s="1949"/>
      <c r="M5399" s="1764"/>
      <c r="N5399" s="2847"/>
      <c r="O5399" s="86"/>
      <c r="P5399" s="1817" t="e">
        <f>INDEX(#REF!,MATCH(F5399,#REF!,0),2)</f>
        <v>#REF!</v>
      </c>
    </row>
    <row r="5400" spans="1:24">
      <c r="B5400" s="1945" t="s">
        <v>1249</v>
      </c>
      <c r="E5400" s="2262" t="s">
        <v>2867</v>
      </c>
      <c r="F5400" s="1945">
        <v>5250</v>
      </c>
      <c r="G5400" s="1946" t="s">
        <v>3012</v>
      </c>
      <c r="H5400" s="1947"/>
      <c r="I5400" s="1947"/>
      <c r="J5400" s="1947"/>
      <c r="K5400" s="1948"/>
      <c r="L5400" s="1947">
        <v>0</v>
      </c>
      <c r="M5400" s="3804"/>
      <c r="N5400" s="2847"/>
      <c r="P5400" s="1817"/>
    </row>
    <row r="5401" spans="1:24" ht="22.5">
      <c r="B5401" s="1527" t="s">
        <v>1249</v>
      </c>
      <c r="E5401" s="2264" t="s">
        <v>2867</v>
      </c>
      <c r="F5401" s="1527">
        <v>5250</v>
      </c>
      <c r="G5401" s="2062" t="s">
        <v>3017</v>
      </c>
      <c r="H5401" s="2063"/>
      <c r="I5401" s="2063"/>
      <c r="J5401" s="2063"/>
      <c r="K5401" s="2064"/>
      <c r="L5401" s="2063"/>
      <c r="M5401" s="1764"/>
      <c r="N5401" s="2847"/>
    </row>
    <row r="5402" spans="1:24">
      <c r="B5402" s="1527" t="s">
        <v>1249</v>
      </c>
      <c r="E5402" s="2264" t="s">
        <v>2867</v>
      </c>
      <c r="F5402" s="1527">
        <v>5250</v>
      </c>
      <c r="G5402" s="2062" t="s">
        <v>3018</v>
      </c>
      <c r="H5402" s="2063"/>
      <c r="I5402" s="2063"/>
      <c r="J5402" s="2063"/>
      <c r="K5402" s="2064"/>
      <c r="L5402" s="2063"/>
      <c r="M5402" s="1764"/>
      <c r="N5402" s="2847"/>
    </row>
    <row r="5403" spans="1:24" ht="22.5">
      <c r="B5403" s="1527" t="s">
        <v>1249</v>
      </c>
      <c r="E5403" s="2264" t="s">
        <v>2867</v>
      </c>
      <c r="F5403" s="1527">
        <v>5250</v>
      </c>
      <c r="G5403" s="1884" t="s">
        <v>3232</v>
      </c>
      <c r="H5403" s="1949"/>
      <c r="I5403" s="1949"/>
      <c r="J5403" s="1949"/>
      <c r="K5403" s="1950"/>
      <c r="L5403" s="1949"/>
      <c r="M5403" s="1764"/>
      <c r="N5403" s="2847"/>
    </row>
    <row r="5404" spans="1:24" ht="22.5">
      <c r="B5404" s="1527" t="s">
        <v>1249</v>
      </c>
      <c r="E5404" s="2264" t="s">
        <v>2867</v>
      </c>
      <c r="F5404" s="1527">
        <v>5250</v>
      </c>
      <c r="G5404" s="1884" t="s">
        <v>3104</v>
      </c>
      <c r="H5404" s="2063"/>
      <c r="I5404" s="2063"/>
      <c r="J5404" s="2063"/>
      <c r="K5404" s="2064"/>
      <c r="L5404" s="2063"/>
      <c r="M5404" s="1764"/>
      <c r="N5404" s="2847"/>
    </row>
    <row r="5405" spans="1:24">
      <c r="B5405" s="1945" t="s">
        <v>663</v>
      </c>
      <c r="E5405" s="2262" t="s">
        <v>2861</v>
      </c>
      <c r="F5405" s="1945">
        <v>1000</v>
      </c>
      <c r="G5405" s="1946" t="s">
        <v>663</v>
      </c>
      <c r="H5405" s="3851">
        <v>269010</v>
      </c>
      <c r="I5405" s="3852">
        <v>0</v>
      </c>
      <c r="J5405" s="1947"/>
      <c r="K5405" s="1948"/>
      <c r="L5405" s="1947">
        <v>157864</v>
      </c>
      <c r="M5405" s="1762">
        <v>0</v>
      </c>
      <c r="N5405" s="2847"/>
    </row>
    <row r="5406" spans="1:24">
      <c r="B5406" s="1936" t="s">
        <v>663</v>
      </c>
      <c r="E5406" s="2263" t="s">
        <v>2861</v>
      </c>
      <c r="F5406" s="1936">
        <v>1000</v>
      </c>
      <c r="G5406" s="1953" t="s">
        <v>1146</v>
      </c>
      <c r="H5406" s="3848"/>
      <c r="I5406" s="1772">
        <v>37696</v>
      </c>
      <c r="J5406" s="1949"/>
      <c r="K5406" s="1950"/>
      <c r="L5406" s="3853"/>
      <c r="M5406" s="1764">
        <v>22887</v>
      </c>
      <c r="N5406" s="3854">
        <f>M5406/I5406-1</f>
        <v>-0.39285335314091685</v>
      </c>
    </row>
    <row r="5407" spans="1:24">
      <c r="B5407" s="1936" t="s">
        <v>663</v>
      </c>
      <c r="E5407" s="2263" t="s">
        <v>2861</v>
      </c>
      <c r="F5407" s="1936">
        <v>1000</v>
      </c>
      <c r="G5407" s="1953" t="s">
        <v>1633</v>
      </c>
      <c r="H5407" s="3848"/>
      <c r="I5407" s="1772">
        <v>85462</v>
      </c>
      <c r="J5407" s="1949"/>
      <c r="K5407" s="1950"/>
      <c r="L5407" s="3853"/>
      <c r="M5407" s="1764">
        <v>47962</v>
      </c>
      <c r="N5407" s="3854">
        <f>M5407/I5407-1</f>
        <v>-0.43879150967681546</v>
      </c>
    </row>
    <row r="5408" spans="1:24">
      <c r="B5408" s="1936" t="s">
        <v>663</v>
      </c>
      <c r="E5408" s="2263" t="s">
        <v>2861</v>
      </c>
      <c r="F5408" s="1936">
        <v>1000</v>
      </c>
      <c r="G5408" s="1953" t="s">
        <v>1147</v>
      </c>
      <c r="H5408" s="3848"/>
      <c r="I5408" s="1772">
        <v>145852</v>
      </c>
      <c r="J5408" s="1949"/>
      <c r="K5408" s="1950"/>
      <c r="L5408" s="3853"/>
      <c r="M5408" s="1764">
        <v>87015</v>
      </c>
      <c r="N5408" s="3854">
        <f>M5408/I5408-1</f>
        <v>-0.40340207881962542</v>
      </c>
    </row>
    <row r="5409" spans="2:14">
      <c r="B5409" s="1945" t="s">
        <v>1248</v>
      </c>
      <c r="E5409" s="2262" t="s">
        <v>2861</v>
      </c>
      <c r="F5409" s="1945">
        <v>2000</v>
      </c>
      <c r="G5409" s="1946" t="s">
        <v>2862</v>
      </c>
      <c r="H5409" s="3851">
        <v>1859629</v>
      </c>
      <c r="I5409" s="3852">
        <v>0</v>
      </c>
      <c r="J5409" s="1947"/>
      <c r="K5409" s="1948"/>
      <c r="L5409" s="1947">
        <v>1358673</v>
      </c>
      <c r="M5409" s="1762">
        <v>0</v>
      </c>
      <c r="N5409" s="2847"/>
    </row>
    <row r="5410" spans="2:14" ht="22.5">
      <c r="B5410" s="1936" t="s">
        <v>1248</v>
      </c>
      <c r="E5410" s="2263" t="s">
        <v>2861</v>
      </c>
      <c r="F5410" s="1936">
        <v>2000</v>
      </c>
      <c r="G5410" s="1953" t="s">
        <v>1146</v>
      </c>
      <c r="H5410" s="3848"/>
      <c r="I5410" s="1772">
        <v>1558983</v>
      </c>
      <c r="J5410" s="1949"/>
      <c r="K5410" s="1950"/>
      <c r="L5410" s="3853"/>
      <c r="M5410" s="1764">
        <v>1174199</v>
      </c>
      <c r="N5410" s="2846" t="s">
        <v>5338</v>
      </c>
    </row>
    <row r="5411" spans="2:14">
      <c r="B5411" s="1936" t="s">
        <v>1248</v>
      </c>
      <c r="E5411" s="2263" t="s">
        <v>2861</v>
      </c>
      <c r="F5411" s="1936">
        <v>2000</v>
      </c>
      <c r="G5411" s="1953" t="s">
        <v>1633</v>
      </c>
      <c r="H5411" s="3848"/>
      <c r="I5411" s="1772">
        <v>113137</v>
      </c>
      <c r="J5411" s="1949"/>
      <c r="K5411" s="1950"/>
      <c r="L5411" s="3853"/>
      <c r="M5411" s="1764">
        <v>68775</v>
      </c>
      <c r="N5411" s="2846" t="s">
        <v>5339</v>
      </c>
    </row>
    <row r="5412" spans="2:14" ht="22.5">
      <c r="B5412" s="1936" t="s">
        <v>1248</v>
      </c>
      <c r="E5412" s="2263" t="s">
        <v>2861</v>
      </c>
      <c r="F5412" s="1936">
        <v>2000</v>
      </c>
      <c r="G5412" s="1953" t="s">
        <v>1147</v>
      </c>
      <c r="H5412" s="3848"/>
      <c r="I5412" s="1772">
        <v>187509</v>
      </c>
      <c r="J5412" s="1949"/>
      <c r="K5412" s="1950"/>
      <c r="L5412" s="3853"/>
      <c r="M5412" s="1764">
        <v>115699</v>
      </c>
      <c r="N5412" s="2846" t="s">
        <v>5341</v>
      </c>
    </row>
    <row r="5413" spans="2:14">
      <c r="B5413" s="1945" t="s">
        <v>1250</v>
      </c>
      <c r="E5413" s="2262" t="s">
        <v>2861</v>
      </c>
      <c r="F5413" s="1945">
        <v>5000</v>
      </c>
      <c r="G5413" s="1946" t="s">
        <v>1250</v>
      </c>
      <c r="H5413" s="3851">
        <v>45111</v>
      </c>
      <c r="I5413" s="3852">
        <v>0</v>
      </c>
      <c r="J5413" s="1947"/>
      <c r="K5413" s="1948"/>
      <c r="L5413" s="1947">
        <v>57500</v>
      </c>
      <c r="M5413" s="1762">
        <v>0</v>
      </c>
      <c r="N5413" s="2847"/>
    </row>
    <row r="5414" spans="2:14">
      <c r="B5414" s="1936" t="s">
        <v>1250</v>
      </c>
      <c r="E5414" s="2263" t="s">
        <v>2861</v>
      </c>
      <c r="F5414" s="1936">
        <v>5000</v>
      </c>
      <c r="G5414" s="1953" t="s">
        <v>1146</v>
      </c>
      <c r="H5414" s="3848"/>
      <c r="I5414" s="1772">
        <v>35097</v>
      </c>
      <c r="J5414" s="1949"/>
      <c r="K5414" s="1950"/>
      <c r="L5414" s="3853"/>
      <c r="M5414" s="1764">
        <v>20000</v>
      </c>
      <c r="N5414" s="2847" t="s">
        <v>5337</v>
      </c>
    </row>
    <row r="5415" spans="2:14">
      <c r="B5415" s="1936" t="s">
        <v>1250</v>
      </c>
      <c r="E5415" s="2263" t="s">
        <v>2861</v>
      </c>
      <c r="F5415" s="1936">
        <v>5000</v>
      </c>
      <c r="G5415" s="1953" t="s">
        <v>1633</v>
      </c>
      <c r="H5415" s="3848"/>
      <c r="I5415" s="1772">
        <v>6014</v>
      </c>
      <c r="J5415" s="1949"/>
      <c r="K5415" s="1950"/>
      <c r="L5415" s="3853"/>
      <c r="M5415" s="1764">
        <v>35000</v>
      </c>
      <c r="N5415" s="2847" t="s">
        <v>5340</v>
      </c>
    </row>
    <row r="5416" spans="2:14">
      <c r="B5416" s="1936" t="s">
        <v>1250</v>
      </c>
      <c r="E5416" s="2263" t="s">
        <v>2861</v>
      </c>
      <c r="F5416" s="1936">
        <v>5000</v>
      </c>
      <c r="G5416" s="1953" t="s">
        <v>1147</v>
      </c>
      <c r="H5416" s="3848"/>
      <c r="I5416" s="1772">
        <v>4000</v>
      </c>
      <c r="J5416" s="1949"/>
      <c r="K5416" s="1950"/>
      <c r="L5416" s="3853"/>
      <c r="M5416" s="1764">
        <v>2500</v>
      </c>
      <c r="N5416" s="2847"/>
    </row>
    <row r="5417" spans="2:14">
      <c r="N5417" s="2847"/>
    </row>
    <row r="5418" spans="2:14">
      <c r="H5418" s="1222"/>
      <c r="I5418" s="1222"/>
      <c r="J5418" s="1222"/>
      <c r="K5418" s="1222"/>
      <c r="L5418" s="1222"/>
    </row>
    <row r="5419" spans="2:14">
      <c r="H5419" s="4076"/>
      <c r="I5419" s="3858"/>
      <c r="J5419" s="3858"/>
      <c r="K5419" s="3858"/>
      <c r="L5419" s="3858"/>
      <c r="M5419" s="3858"/>
    </row>
    <row r="5420" spans="2:14">
      <c r="I5420" s="2554"/>
    </row>
    <row r="5421" spans="2:14">
      <c r="H5421" s="4076"/>
      <c r="L5421" s="4076"/>
    </row>
    <row r="5422" spans="2:14">
      <c r="L5422" s="4089"/>
    </row>
    <row r="5425" spans="7:7">
      <c r="G5425" s="159" t="s">
        <v>947</v>
      </c>
    </row>
  </sheetData>
  <dataConsolidate link="1"/>
  <mergeCells count="2">
    <mergeCell ref="J170:J172"/>
    <mergeCell ref="J1317:J1318"/>
  </mergeCells>
  <pageMargins left="0.7" right="0.7" top="0.75" bottom="0.75" header="0.3" footer="0.3"/>
  <pageSetup paperSize="9" scale="80" orientation="portrait" r:id="rId1"/>
  <rowBreaks count="1" manualBreakCount="1">
    <brk id="1549" max="16383"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75"/>
  <sheetViews>
    <sheetView topLeftCell="D1" zoomScale="130" zoomScaleNormal="130" workbookViewId="0">
      <selection activeCell="G39" sqref="G39:G40"/>
    </sheetView>
  </sheetViews>
  <sheetFormatPr defaultRowHeight="12" outlineLevelRow="1" outlineLevelCol="1"/>
  <cols>
    <col min="1" max="2" width="9.140625" style="1665" hidden="1" customWidth="1" outlineLevel="1"/>
    <col min="3" max="3" width="9.140625" style="1858" hidden="1" customWidth="1" outlineLevel="1"/>
    <col min="4" max="4" width="10.140625" customWidth="1" collapsed="1"/>
    <col min="5" max="5" width="34.85546875" customWidth="1"/>
    <col min="6" max="6" width="16.42578125" style="1256" customWidth="1"/>
    <col min="7" max="7" width="17.28515625" style="2121" customWidth="1"/>
    <col min="8" max="8" width="17.7109375" customWidth="1"/>
    <col min="9" max="9" width="19.85546875" style="1829" customWidth="1" outlineLevel="1"/>
    <col min="10" max="10" width="59.85546875" style="1123" customWidth="1" outlineLevel="1"/>
    <col min="11" max="11" width="9.7109375" customWidth="1"/>
    <col min="12" max="12" width="36.140625" style="77" customWidth="1" outlineLevel="1"/>
    <col min="13" max="13" width="14.7109375" customWidth="1" outlineLevel="1"/>
    <col min="14" max="14" width="12.42578125" customWidth="1" outlineLevel="1"/>
    <col min="15" max="16" width="2.85546875" customWidth="1" outlineLevel="1"/>
    <col min="17" max="19" width="2.85546875" customWidth="1"/>
    <col min="20" max="20" width="8.85546875" customWidth="1"/>
    <col min="21" max="21" width="2.85546875" customWidth="1"/>
    <col min="22" max="24" width="3.85546875" customWidth="1"/>
    <col min="25" max="25" width="6.85546875" customWidth="1"/>
    <col min="26" max="48" width="3.85546875" customWidth="1"/>
    <col min="49" max="49" width="6.85546875" customWidth="1"/>
    <col min="50" max="50" width="8.85546875" customWidth="1"/>
    <col min="51" max="55" width="3.85546875" customWidth="1"/>
    <col min="56" max="56" width="11.85546875" bestFit="1" customWidth="1"/>
    <col min="57" max="57" width="3.85546875" customWidth="1"/>
    <col min="58" max="58" width="5.85546875" customWidth="1"/>
    <col min="59" max="59" width="3.85546875" customWidth="1"/>
    <col min="60" max="60" width="11.85546875" bestFit="1" customWidth="1"/>
    <col min="61" max="68" width="3.85546875" customWidth="1"/>
    <col min="69" max="69" width="10.85546875" bestFit="1" customWidth="1"/>
    <col min="70" max="85" width="3.85546875" customWidth="1"/>
    <col min="86" max="86" width="11.85546875" bestFit="1" customWidth="1"/>
    <col min="87" max="93" width="3.85546875" customWidth="1"/>
    <col min="94" max="94" width="11.85546875" bestFit="1" customWidth="1"/>
    <col min="95" max="111" width="3.85546875" customWidth="1"/>
    <col min="112" max="112" width="11.85546875" bestFit="1" customWidth="1"/>
    <col min="113" max="119" width="3.85546875" customWidth="1"/>
    <col min="120" max="120" width="5.85546875" customWidth="1"/>
    <col min="121" max="124" width="3.85546875" customWidth="1"/>
    <col min="125" max="125" width="5.85546875" customWidth="1"/>
    <col min="126" max="128" width="3.85546875" customWidth="1"/>
    <col min="129" max="129" width="5.85546875" customWidth="1"/>
    <col min="130" max="130" width="3.85546875" customWidth="1"/>
    <col min="131" max="131" width="10.85546875" bestFit="1" customWidth="1"/>
    <col min="132" max="145" width="3.85546875" customWidth="1"/>
    <col min="146" max="146" width="6.85546875" customWidth="1"/>
    <col min="147" max="150" width="3.85546875" customWidth="1"/>
    <col min="151" max="151" width="5.85546875" customWidth="1"/>
    <col min="152" max="154" width="3.85546875" customWidth="1"/>
    <col min="155" max="159" width="4.85546875" customWidth="1"/>
    <col min="160" max="160" width="9.85546875" bestFit="1" customWidth="1"/>
    <col min="161" max="174" width="4.85546875" customWidth="1"/>
    <col min="175" max="175" width="6.85546875" customWidth="1"/>
    <col min="176" max="179" width="4.85546875" customWidth="1"/>
    <col min="180" max="180" width="6.85546875" customWidth="1"/>
    <col min="181" max="188" width="4.85546875" customWidth="1"/>
    <col min="189" max="189" width="7.85546875" customWidth="1"/>
    <col min="190" max="193" width="4.85546875" customWidth="1"/>
    <col min="194" max="194" width="6.85546875" customWidth="1"/>
    <col min="195" max="195" width="4.85546875" customWidth="1"/>
    <col min="196" max="196" width="8.85546875" customWidth="1"/>
    <col min="197" max="205" width="4.85546875" customWidth="1"/>
    <col min="206" max="206" width="6.85546875" customWidth="1"/>
    <col min="207" max="207" width="9.85546875" bestFit="1" customWidth="1"/>
    <col min="208" max="209" width="4.85546875" customWidth="1"/>
    <col min="210" max="210" width="11.85546875" bestFit="1" customWidth="1"/>
    <col min="211" max="211" width="6.85546875" customWidth="1"/>
    <col min="212" max="214" width="4.85546875" customWidth="1"/>
    <col min="215" max="215" width="7.85546875" customWidth="1"/>
    <col min="216" max="218" width="4.85546875" customWidth="1"/>
    <col min="219" max="219" width="11.85546875" bestFit="1" customWidth="1"/>
    <col min="220" max="223" width="4.85546875" customWidth="1"/>
    <col min="224" max="224" width="11.85546875" bestFit="1" customWidth="1"/>
    <col min="225" max="233" width="4.85546875" customWidth="1"/>
    <col min="234" max="234" width="7.85546875" customWidth="1"/>
    <col min="235" max="236" width="4.85546875" customWidth="1"/>
    <col min="237" max="237" width="10.85546875" bestFit="1" customWidth="1"/>
    <col min="238" max="238" width="4.85546875" customWidth="1"/>
    <col min="239" max="239" width="6.85546875" customWidth="1"/>
    <col min="240" max="242" width="4.85546875" customWidth="1"/>
    <col min="243" max="243" width="11.85546875" bestFit="1" customWidth="1"/>
    <col min="244" max="248" width="4.85546875" customWidth="1"/>
    <col min="249" max="250" width="11.85546875" bestFit="1" customWidth="1"/>
    <col min="251" max="252" width="4.85546875" customWidth="1"/>
    <col min="253" max="253" width="6.85546875" customWidth="1"/>
    <col min="254" max="254" width="11.85546875" bestFit="1" customWidth="1"/>
    <col min="255" max="272" width="4.85546875" customWidth="1"/>
    <col min="273" max="273" width="11.85546875" bestFit="1" customWidth="1"/>
    <col min="274" max="283" width="4.85546875" customWidth="1"/>
    <col min="284" max="284" width="7.85546875" customWidth="1"/>
    <col min="285" max="285" width="6.85546875" customWidth="1"/>
    <col min="286" max="286" width="4.85546875" customWidth="1"/>
    <col min="287" max="287" width="8.85546875" customWidth="1"/>
    <col min="288" max="292" width="4.85546875" customWidth="1"/>
    <col min="293" max="293" width="11.85546875" bestFit="1" customWidth="1"/>
    <col min="294" max="313" width="4.85546875" customWidth="1"/>
    <col min="314" max="314" width="11.85546875" bestFit="1" customWidth="1"/>
    <col min="315" max="322" width="4.85546875" customWidth="1"/>
    <col min="323" max="323" width="6.85546875" customWidth="1"/>
    <col min="324" max="329" width="4.85546875" customWidth="1"/>
    <col min="330" max="330" width="11.85546875" bestFit="1" customWidth="1"/>
    <col min="331" max="331" width="4.85546875" customWidth="1"/>
    <col min="332" max="332" width="8.85546875" customWidth="1"/>
    <col min="333" max="364" width="4.85546875" customWidth="1"/>
    <col min="365" max="365" width="11.85546875" bestFit="1" customWidth="1"/>
    <col min="366" max="368" width="4.85546875" customWidth="1"/>
    <col min="369" max="369" width="9.85546875" bestFit="1" customWidth="1"/>
    <col min="370" max="376" width="4.85546875" customWidth="1"/>
    <col min="377" max="377" width="11.85546875" bestFit="1" customWidth="1"/>
    <col min="378" max="390" width="4.85546875" customWidth="1"/>
    <col min="391" max="391" width="9.85546875" bestFit="1" customWidth="1"/>
    <col min="392" max="392" width="6.85546875" customWidth="1"/>
    <col min="393" max="393" width="9.85546875" bestFit="1" customWidth="1"/>
    <col min="394" max="394" width="7.85546875" customWidth="1"/>
    <col min="395" max="405" width="4.85546875" customWidth="1"/>
    <col min="406" max="406" width="7.85546875" customWidth="1"/>
    <col min="407" max="414" width="4.85546875" customWidth="1"/>
    <col min="415" max="415" width="10.85546875" bestFit="1" customWidth="1"/>
    <col min="416" max="419" width="4.85546875" customWidth="1"/>
    <col min="420" max="420" width="7.85546875" customWidth="1"/>
    <col min="421" max="426" width="4.85546875" customWidth="1"/>
    <col min="427" max="427" width="9.85546875" bestFit="1" customWidth="1"/>
    <col min="428" max="435" width="4.85546875" customWidth="1"/>
    <col min="436" max="436" width="7.85546875" customWidth="1"/>
    <col min="437" max="444" width="4.85546875" customWidth="1"/>
    <col min="445" max="445" width="7.85546875" customWidth="1"/>
    <col min="446" max="457" width="4.85546875" customWidth="1"/>
    <col min="458" max="458" width="11.85546875" bestFit="1" customWidth="1"/>
    <col min="459" max="468" width="4.85546875" customWidth="1"/>
    <col min="469" max="469" width="7.85546875" customWidth="1"/>
    <col min="470" max="470" width="4.85546875" customWidth="1"/>
    <col min="471" max="471" width="9.85546875" bestFit="1" customWidth="1"/>
    <col min="472" max="480" width="4.85546875" customWidth="1"/>
    <col min="481" max="482" width="11.85546875" bestFit="1" customWidth="1"/>
    <col min="483" max="483" width="4.85546875" customWidth="1"/>
    <col min="484" max="484" width="11.85546875" bestFit="1" customWidth="1"/>
    <col min="485" max="494" width="4.85546875" customWidth="1"/>
    <col min="495" max="495" width="11.85546875" bestFit="1" customWidth="1"/>
    <col min="496" max="504" width="4.85546875" customWidth="1"/>
    <col min="505" max="505" width="11.85546875" bestFit="1" customWidth="1"/>
    <col min="506" max="507" width="4.85546875" customWidth="1"/>
    <col min="508" max="514" width="5.85546875" customWidth="1"/>
    <col min="515" max="515" width="7.85546875" customWidth="1"/>
    <col min="516" max="520" width="5.85546875" customWidth="1"/>
    <col min="521" max="521" width="8.85546875" customWidth="1"/>
    <col min="522" max="522" width="7.85546875" customWidth="1"/>
    <col min="523" max="528" width="5.85546875" customWidth="1"/>
    <col min="529" max="529" width="11.85546875" bestFit="1" customWidth="1"/>
    <col min="530" max="531" width="5.85546875" customWidth="1"/>
    <col min="532" max="532" width="11.85546875" bestFit="1" customWidth="1"/>
    <col min="533" max="539" width="5.85546875" customWidth="1"/>
    <col min="540" max="540" width="7.85546875" customWidth="1"/>
    <col min="541" max="543" width="5.85546875" customWidth="1"/>
    <col min="544" max="544" width="8.85546875" customWidth="1"/>
    <col min="545" max="545" width="5.85546875" customWidth="1"/>
    <col min="546" max="546" width="11.85546875" bestFit="1" customWidth="1"/>
    <col min="547" max="547" width="5.85546875" customWidth="1"/>
    <col min="548" max="548" width="10.85546875" bestFit="1" customWidth="1"/>
    <col min="549" max="554" width="5.85546875" customWidth="1"/>
    <col min="555" max="555" width="9.85546875" bestFit="1" customWidth="1"/>
    <col min="556" max="556" width="5.85546875" customWidth="1"/>
    <col min="557" max="557" width="8.85546875" customWidth="1"/>
    <col min="558" max="574" width="5.85546875" customWidth="1"/>
    <col min="575" max="575" width="8.85546875" customWidth="1"/>
    <col min="576" max="576" width="11.85546875" bestFit="1" customWidth="1"/>
    <col min="577" max="581" width="5.85546875" customWidth="1"/>
    <col min="582" max="582" width="7.85546875" customWidth="1"/>
    <col min="583" max="584" width="5.85546875" customWidth="1"/>
    <col min="585" max="586" width="11.85546875" bestFit="1" customWidth="1"/>
    <col min="587" max="587" width="5.85546875" customWidth="1"/>
    <col min="588" max="588" width="9.85546875" bestFit="1" customWidth="1"/>
    <col min="589" max="601" width="5.85546875" customWidth="1"/>
    <col min="602" max="602" width="11.85546875" bestFit="1" customWidth="1"/>
    <col min="603" max="605" width="5.85546875" customWidth="1"/>
    <col min="606" max="606" width="11.85546875" bestFit="1" customWidth="1"/>
    <col min="607" max="607" width="5.85546875" customWidth="1"/>
    <col min="608" max="608" width="8.85546875" customWidth="1"/>
    <col min="609" max="609" width="5.85546875" customWidth="1"/>
    <col min="610" max="610" width="10.85546875" bestFit="1" customWidth="1"/>
    <col min="611" max="612" width="5.85546875" customWidth="1"/>
    <col min="613" max="613" width="11.85546875" bestFit="1" customWidth="1"/>
    <col min="614" max="615" width="5.85546875" customWidth="1"/>
    <col min="616" max="616" width="7.85546875" customWidth="1"/>
    <col min="617" max="620" width="5.85546875" customWidth="1"/>
    <col min="621" max="621" width="11.85546875" bestFit="1" customWidth="1"/>
    <col min="622" max="622" width="5.85546875" customWidth="1"/>
    <col min="623" max="623" width="11.85546875" bestFit="1" customWidth="1"/>
    <col min="624" max="628" width="5.85546875" customWidth="1"/>
    <col min="629" max="629" width="11.85546875" bestFit="1" customWidth="1"/>
    <col min="630" max="631" width="5.85546875" customWidth="1"/>
    <col min="632" max="632" width="11.85546875" bestFit="1" customWidth="1"/>
    <col min="633" max="635" width="5.85546875" customWidth="1"/>
    <col min="636" max="636" width="11.85546875" bestFit="1" customWidth="1"/>
    <col min="637" max="639" width="5.85546875" customWidth="1"/>
    <col min="640" max="640" width="11.85546875" bestFit="1" customWidth="1"/>
    <col min="641" max="643" width="5.85546875" customWidth="1"/>
    <col min="644" max="644" width="8.85546875" customWidth="1"/>
    <col min="645" max="645" width="5.85546875" customWidth="1"/>
    <col min="646" max="646" width="11.85546875" bestFit="1" customWidth="1"/>
    <col min="647" max="652" width="5.85546875" customWidth="1"/>
    <col min="653" max="653" width="9.85546875" bestFit="1" customWidth="1"/>
    <col min="654" max="656" width="5.85546875" customWidth="1"/>
    <col min="657" max="657" width="9.85546875" bestFit="1" customWidth="1"/>
    <col min="658" max="661" width="5.85546875" customWidth="1"/>
    <col min="662" max="662" width="11.85546875" bestFit="1" customWidth="1"/>
    <col min="663" max="664" width="5.85546875" customWidth="1"/>
    <col min="665" max="665" width="9.85546875" bestFit="1" customWidth="1"/>
    <col min="666" max="668" width="5.85546875" customWidth="1"/>
    <col min="669" max="669" width="11.85546875" bestFit="1" customWidth="1"/>
    <col min="670" max="671" width="5.85546875" customWidth="1"/>
    <col min="672" max="672" width="9.85546875" bestFit="1" customWidth="1"/>
    <col min="673" max="677" width="5.85546875" customWidth="1"/>
    <col min="678" max="678" width="10.85546875" bestFit="1" customWidth="1"/>
    <col min="679" max="681" width="5.85546875" customWidth="1"/>
    <col min="682" max="682" width="8.85546875" customWidth="1"/>
    <col min="683" max="688" width="5.85546875" customWidth="1"/>
    <col min="689" max="689" width="9.85546875" bestFit="1" customWidth="1"/>
    <col min="690" max="692" width="5.85546875" customWidth="1"/>
    <col min="693" max="693" width="10.85546875" bestFit="1" customWidth="1"/>
    <col min="694" max="699" width="5.85546875" customWidth="1"/>
    <col min="700" max="700" width="11.85546875" bestFit="1" customWidth="1"/>
    <col min="701" max="705" width="5.85546875" customWidth="1"/>
    <col min="706" max="707" width="11.85546875" bestFit="1" customWidth="1"/>
    <col min="708" max="715" width="5.85546875" customWidth="1"/>
    <col min="716" max="716" width="8.85546875" customWidth="1"/>
    <col min="717" max="720" width="5.85546875" customWidth="1"/>
    <col min="721" max="721" width="11.85546875" bestFit="1" customWidth="1"/>
    <col min="722" max="723" width="5.85546875" customWidth="1"/>
    <col min="724" max="724" width="9.85546875" bestFit="1" customWidth="1"/>
    <col min="725" max="727" width="5.85546875" customWidth="1"/>
    <col min="728" max="728" width="11.85546875" bestFit="1" customWidth="1"/>
    <col min="729" max="736" width="5.85546875" customWidth="1"/>
    <col min="737" max="737" width="8.85546875" customWidth="1"/>
    <col min="738" max="738" width="5.85546875" customWidth="1"/>
    <col min="739" max="739" width="7.85546875" customWidth="1"/>
    <col min="740" max="740" width="11.85546875" bestFit="1" customWidth="1"/>
    <col min="741" max="741" width="8.85546875" customWidth="1"/>
    <col min="742" max="746" width="5.85546875" customWidth="1"/>
    <col min="747" max="747" width="10.85546875" bestFit="1" customWidth="1"/>
    <col min="748" max="749" width="11.85546875" bestFit="1" customWidth="1"/>
    <col min="750" max="753" width="5.85546875" customWidth="1"/>
    <col min="754" max="754" width="11.85546875" bestFit="1" customWidth="1"/>
    <col min="755" max="760" width="5.85546875" customWidth="1"/>
    <col min="761" max="761" width="11.85546875" bestFit="1" customWidth="1"/>
    <col min="762" max="762" width="5.85546875" customWidth="1"/>
    <col min="763" max="763" width="11.85546875" bestFit="1" customWidth="1"/>
    <col min="764" max="765" width="5.85546875" customWidth="1"/>
    <col min="766" max="766" width="9.85546875" bestFit="1" customWidth="1"/>
    <col min="767" max="767" width="11.85546875" bestFit="1" customWidth="1"/>
    <col min="768" max="768" width="10.85546875" bestFit="1" customWidth="1"/>
    <col min="769" max="769" width="5.85546875" customWidth="1"/>
    <col min="770" max="770" width="11.85546875" bestFit="1" customWidth="1"/>
    <col min="771" max="771" width="10.85546875" bestFit="1" customWidth="1"/>
    <col min="772" max="773" width="5.85546875" customWidth="1"/>
    <col min="774" max="774" width="11.85546875" bestFit="1" customWidth="1"/>
    <col min="775" max="775" width="7.85546875" customWidth="1"/>
    <col min="776" max="777" width="5.85546875" customWidth="1"/>
    <col min="778" max="778" width="11.85546875" bestFit="1" customWidth="1"/>
    <col min="779" max="789" width="5.85546875" customWidth="1"/>
    <col min="790" max="790" width="11.85546875" bestFit="1" customWidth="1"/>
    <col min="791" max="791" width="5.85546875" customWidth="1"/>
    <col min="792" max="792" width="11.85546875" bestFit="1" customWidth="1"/>
    <col min="793" max="793" width="5.85546875" customWidth="1"/>
    <col min="794" max="794" width="9.85546875" bestFit="1" customWidth="1"/>
    <col min="795" max="795" width="5.85546875" customWidth="1"/>
    <col min="796" max="796" width="10.85546875" bestFit="1" customWidth="1"/>
    <col min="797" max="797" width="8.85546875" customWidth="1"/>
    <col min="798" max="798" width="5.85546875" customWidth="1"/>
    <col min="799" max="799" width="11.85546875" bestFit="1" customWidth="1"/>
    <col min="800" max="800" width="9.85546875" bestFit="1" customWidth="1"/>
    <col min="801" max="801" width="11.85546875" bestFit="1" customWidth="1"/>
    <col min="802" max="802" width="6.85546875" customWidth="1"/>
    <col min="803" max="803" width="11.85546875" bestFit="1" customWidth="1"/>
    <col min="804" max="806" width="6.85546875" customWidth="1"/>
    <col min="807" max="807" width="11.85546875" bestFit="1" customWidth="1"/>
    <col min="808" max="808" width="6.85546875" customWidth="1"/>
    <col min="809" max="810" width="11.85546875" bestFit="1" customWidth="1"/>
    <col min="811" max="815" width="6.85546875" customWidth="1"/>
    <col min="816" max="816" width="9.85546875" bestFit="1" customWidth="1"/>
    <col min="817" max="818" width="10.85546875" bestFit="1" customWidth="1"/>
    <col min="819" max="819" width="11.85546875" bestFit="1" customWidth="1"/>
    <col min="820" max="822" width="6.85546875" customWidth="1"/>
    <col min="823" max="824" width="11.85546875" bestFit="1" customWidth="1"/>
    <col min="825" max="826" width="6.85546875" customWidth="1"/>
    <col min="827" max="827" width="11.85546875" bestFit="1" customWidth="1"/>
    <col min="828" max="828" width="10.85546875" bestFit="1" customWidth="1"/>
    <col min="829" max="829" width="6.85546875" customWidth="1"/>
    <col min="830" max="830" width="8.85546875" customWidth="1"/>
    <col min="831" max="832" width="6.85546875" customWidth="1"/>
    <col min="833" max="833" width="9.85546875" bestFit="1" customWidth="1"/>
    <col min="834" max="834" width="6.85546875" customWidth="1"/>
    <col min="835" max="835" width="10.85546875" bestFit="1" customWidth="1"/>
    <col min="836" max="837" width="11.85546875" bestFit="1" customWidth="1"/>
    <col min="838" max="838" width="6.85546875" customWidth="1"/>
    <col min="839" max="839" width="9.85546875" bestFit="1" customWidth="1"/>
    <col min="840" max="842" width="6.85546875" customWidth="1"/>
    <col min="843" max="843" width="9.85546875" bestFit="1" customWidth="1"/>
    <col min="844" max="844" width="6.85546875" customWidth="1"/>
    <col min="845" max="845" width="10.85546875" bestFit="1" customWidth="1"/>
    <col min="846" max="846" width="6.85546875" customWidth="1"/>
    <col min="847" max="847" width="11.85546875" bestFit="1" customWidth="1"/>
    <col min="848" max="848" width="10.85546875" bestFit="1" customWidth="1"/>
    <col min="849" max="850" width="11.85546875" bestFit="1" customWidth="1"/>
    <col min="851" max="858" width="6.85546875" customWidth="1"/>
    <col min="859" max="860" width="11.85546875" bestFit="1" customWidth="1"/>
    <col min="861" max="864" width="7.85546875" customWidth="1"/>
    <col min="865" max="866" width="11.85546875" bestFit="1" customWidth="1"/>
    <col min="867" max="867" width="7.85546875" customWidth="1"/>
    <col min="868" max="868" width="8.85546875" customWidth="1"/>
    <col min="869" max="869" width="6.85546875" customWidth="1"/>
    <col min="870" max="870" width="11.42578125" bestFit="1" customWidth="1"/>
  </cols>
  <sheetData>
    <row r="1" spans="4:11" ht="37.9" customHeight="1" thickBot="1">
      <c r="D1" s="91" t="s">
        <v>1</v>
      </c>
      <c r="E1" s="92" t="s">
        <v>2</v>
      </c>
      <c r="F1" s="3">
        <v>2023</v>
      </c>
      <c r="G1" s="289">
        <v>2024</v>
      </c>
      <c r="H1" s="289" t="s">
        <v>577</v>
      </c>
      <c r="I1" s="1124" t="s">
        <v>576</v>
      </c>
      <c r="J1" s="1192" t="s">
        <v>3141</v>
      </c>
    </row>
    <row r="2" spans="4:11" ht="16.899999999999999" customHeight="1">
      <c r="D2" s="93" t="s">
        <v>7</v>
      </c>
      <c r="E2" s="94" t="s">
        <v>8</v>
      </c>
      <c r="F2" s="1258">
        <v>31344871</v>
      </c>
      <c r="G2" s="4399">
        <f>G3+G6+G9+G12+G15</f>
        <v>38004623.609999999</v>
      </c>
      <c r="H2" s="95">
        <f t="shared" ref="H2:H19" si="0">G2-F2</f>
        <v>6659752.6099999994</v>
      </c>
      <c r="I2" s="1820">
        <f>H2/F2</f>
        <v>0.21246706071943952</v>
      </c>
      <c r="J2" s="1151" t="s">
        <v>3142</v>
      </c>
    </row>
    <row r="3" spans="4:11" ht="21.6" customHeight="1">
      <c r="D3" s="96" t="s">
        <v>10</v>
      </c>
      <c r="E3" s="97" t="s">
        <v>11</v>
      </c>
      <c r="F3" s="1259">
        <v>28441559</v>
      </c>
      <c r="G3" s="3789">
        <f>SUM(G4:G5)</f>
        <v>34831773</v>
      </c>
      <c r="H3" s="98">
        <f>G3-F3</f>
        <v>6390214</v>
      </c>
      <c r="I3" s="1821">
        <f>H3/F3</f>
        <v>0.22467875266612494</v>
      </c>
      <c r="J3" s="2583" t="s">
        <v>3443</v>
      </c>
    </row>
    <row r="4" spans="4:11" ht="15" hidden="1" customHeight="1" outlineLevel="1">
      <c r="D4" s="100" t="s">
        <v>15</v>
      </c>
      <c r="E4" s="101" t="s">
        <v>16</v>
      </c>
      <c r="F4" s="1260">
        <v>29459153</v>
      </c>
      <c r="G4" s="317">
        <v>34831773</v>
      </c>
      <c r="H4" s="317">
        <f>G4-F4</f>
        <v>5372620</v>
      </c>
      <c r="I4" s="1822">
        <f>H4/F4</f>
        <v>0.18237523665395267</v>
      </c>
      <c r="J4" s="360"/>
    </row>
    <row r="5" spans="4:11" ht="15" hidden="1" customHeight="1" outlineLevel="1">
      <c r="D5" s="100" t="s">
        <v>153</v>
      </c>
      <c r="E5" s="101" t="s">
        <v>1833</v>
      </c>
      <c r="F5" s="1261">
        <v>0</v>
      </c>
      <c r="G5" s="3790">
        <v>0</v>
      </c>
      <c r="H5" s="317">
        <f t="shared" si="0"/>
        <v>0</v>
      </c>
      <c r="I5" s="1822" t="e">
        <f>H5/F5</f>
        <v>#DIV/0!</v>
      </c>
      <c r="J5" s="360"/>
    </row>
    <row r="6" spans="4:11" ht="27.6" customHeight="1" collapsed="1">
      <c r="D6" s="104" t="s">
        <v>18</v>
      </c>
      <c r="E6" s="105" t="s">
        <v>19</v>
      </c>
      <c r="F6" s="1259">
        <v>1998295</v>
      </c>
      <c r="G6" s="3789">
        <f>SUM(G7:G8)</f>
        <v>2040017.74</v>
      </c>
      <c r="H6" s="106">
        <f t="shared" si="0"/>
        <v>41722.739999999991</v>
      </c>
      <c r="I6" s="1823">
        <f t="shared" ref="I6:I19" si="1">H6/F6</f>
        <v>2.0879169491991919E-2</v>
      </c>
      <c r="J6" s="1125"/>
      <c r="K6" s="156"/>
    </row>
    <row r="7" spans="4:11" ht="21" hidden="1" customHeight="1" outlineLevel="1">
      <c r="D7" s="100" t="s">
        <v>21</v>
      </c>
      <c r="E7" s="101" t="s">
        <v>16</v>
      </c>
      <c r="F7" s="1239">
        <v>1807872</v>
      </c>
      <c r="G7" s="393">
        <v>1900000</v>
      </c>
      <c r="H7" s="102">
        <f t="shared" si="0"/>
        <v>92128</v>
      </c>
      <c r="I7" s="1824">
        <f t="shared" si="1"/>
        <v>5.0959359954687054E-2</v>
      </c>
      <c r="J7" s="1125" t="s">
        <v>2946</v>
      </c>
    </row>
    <row r="8" spans="4:11" ht="21" hidden="1" customHeight="1" outlineLevel="1">
      <c r="D8" s="100" t="s">
        <v>23</v>
      </c>
      <c r="E8" s="101" t="s">
        <v>24</v>
      </c>
      <c r="F8" s="1239">
        <v>190423</v>
      </c>
      <c r="G8" s="393">
        <v>140017.74</v>
      </c>
      <c r="H8" s="102">
        <f t="shared" si="0"/>
        <v>-50405.260000000009</v>
      </c>
      <c r="I8" s="1822">
        <f t="shared" si="1"/>
        <v>-0.26470153290306325</v>
      </c>
      <c r="J8" s="1192"/>
    </row>
    <row r="9" spans="4:11" ht="27.6" customHeight="1" collapsed="1">
      <c r="D9" s="104" t="s">
        <v>26</v>
      </c>
      <c r="E9" s="105" t="s">
        <v>2966</v>
      </c>
      <c r="F9" s="1259">
        <v>412472</v>
      </c>
      <c r="G9" s="3789">
        <f>SUM(G10:G11)</f>
        <v>410966.93</v>
      </c>
      <c r="H9" s="106">
        <f t="shared" si="0"/>
        <v>-1505.070000000007</v>
      </c>
      <c r="I9" s="1823">
        <f t="shared" si="1"/>
        <v>-3.6489022285149221E-3</v>
      </c>
      <c r="J9" s="1192"/>
    </row>
    <row r="10" spans="4:11" ht="21" hidden="1" customHeight="1" outlineLevel="1">
      <c r="D10" s="100" t="s">
        <v>29</v>
      </c>
      <c r="E10" s="101" t="s">
        <v>30</v>
      </c>
      <c r="F10" s="1262">
        <v>326353</v>
      </c>
      <c r="G10" s="394">
        <f>350049+940</f>
        <v>350989</v>
      </c>
      <c r="H10" s="108">
        <f t="shared" si="0"/>
        <v>24636</v>
      </c>
      <c r="I10" s="1825">
        <f t="shared" si="1"/>
        <v>7.5488811195239508E-2</v>
      </c>
      <c r="J10" s="1192"/>
    </row>
    <row r="11" spans="4:11" ht="21" hidden="1" customHeight="1" outlineLevel="1">
      <c r="D11" s="100" t="s">
        <v>32</v>
      </c>
      <c r="E11" s="101" t="s">
        <v>24</v>
      </c>
      <c r="F11" s="1262">
        <v>86119</v>
      </c>
      <c r="G11" s="394">
        <v>59977.93</v>
      </c>
      <c r="H11" s="102">
        <f t="shared" si="0"/>
        <v>-26141.07</v>
      </c>
      <c r="I11" s="1822">
        <f t="shared" si="1"/>
        <v>-0.30354590740719239</v>
      </c>
      <c r="J11" s="1192"/>
    </row>
    <row r="12" spans="4:11" ht="34.15" customHeight="1" collapsed="1">
      <c r="D12" s="104" t="s">
        <v>34</v>
      </c>
      <c r="E12" s="105" t="s">
        <v>2965</v>
      </c>
      <c r="F12" s="1259">
        <v>492545</v>
      </c>
      <c r="G12" s="3789">
        <f>SUM(G13:G14)</f>
        <v>721865.94</v>
      </c>
      <c r="H12" s="106">
        <f t="shared" si="0"/>
        <v>229320.93999999994</v>
      </c>
      <c r="I12" s="1823">
        <f t="shared" si="1"/>
        <v>0.46558373346597759</v>
      </c>
      <c r="J12" s="1192" t="s">
        <v>5663</v>
      </c>
    </row>
    <row r="13" spans="4:11" ht="21.6" hidden="1" customHeight="1" outlineLevel="1">
      <c r="D13" s="100" t="s">
        <v>37</v>
      </c>
      <c r="E13" s="101" t="s">
        <v>30</v>
      </c>
      <c r="F13" s="1262">
        <v>431787</v>
      </c>
      <c r="G13" s="108">
        <v>650000</v>
      </c>
      <c r="H13" s="108">
        <f t="shared" si="0"/>
        <v>218213</v>
      </c>
      <c r="I13" s="1825">
        <f t="shared" si="1"/>
        <v>0.50537186158916314</v>
      </c>
      <c r="J13" s="1192" t="s">
        <v>5662</v>
      </c>
    </row>
    <row r="14" spans="4:11" ht="21.6" hidden="1" customHeight="1" outlineLevel="1">
      <c r="D14" s="100" t="s">
        <v>39</v>
      </c>
      <c r="E14" s="101" t="s">
        <v>24</v>
      </c>
      <c r="F14" s="1262">
        <v>60758</v>
      </c>
      <c r="G14" s="102">
        <v>71865.94</v>
      </c>
      <c r="H14" s="102">
        <f t="shared" si="0"/>
        <v>11107.940000000002</v>
      </c>
      <c r="I14" s="1822">
        <f t="shared" si="1"/>
        <v>0.18282267355739165</v>
      </c>
      <c r="J14" s="360"/>
    </row>
    <row r="15" spans="4:11" ht="17.45" customHeight="1" collapsed="1">
      <c r="D15" s="104" t="s">
        <v>40</v>
      </c>
      <c r="E15" s="105" t="s">
        <v>1794</v>
      </c>
      <c r="F15" s="1259">
        <v>0</v>
      </c>
      <c r="G15" s="3789">
        <v>0</v>
      </c>
      <c r="H15" s="106">
        <f t="shared" si="0"/>
        <v>0</v>
      </c>
      <c r="I15" s="1823"/>
      <c r="J15" s="360"/>
    </row>
    <row r="16" spans="4:11" ht="29.45" customHeight="1">
      <c r="D16" s="104" t="s">
        <v>43</v>
      </c>
      <c r="E16" s="105" t="s">
        <v>44</v>
      </c>
      <c r="F16" s="362">
        <v>160000</v>
      </c>
      <c r="G16" s="106">
        <v>160000</v>
      </c>
      <c r="H16" s="106">
        <f t="shared" si="0"/>
        <v>0</v>
      </c>
      <c r="I16" s="1823">
        <f t="shared" si="1"/>
        <v>0</v>
      </c>
      <c r="J16" s="360"/>
    </row>
    <row r="17" spans="3:10" ht="17.45" customHeight="1">
      <c r="D17" s="104" t="s">
        <v>71</v>
      </c>
      <c r="E17" s="105" t="s">
        <v>72</v>
      </c>
      <c r="F17" s="362">
        <v>65000</v>
      </c>
      <c r="G17" s="106">
        <v>65000</v>
      </c>
      <c r="H17" s="106">
        <f t="shared" si="0"/>
        <v>0</v>
      </c>
      <c r="I17" s="1823">
        <f t="shared" si="1"/>
        <v>0</v>
      </c>
      <c r="J17" s="360"/>
    </row>
    <row r="18" spans="3:10" ht="16.899999999999999" customHeight="1">
      <c r="D18" s="104" t="s">
        <v>79</v>
      </c>
      <c r="E18" s="105" t="s">
        <v>80</v>
      </c>
      <c r="F18" s="362">
        <v>6453</v>
      </c>
      <c r="G18" s="106">
        <f>66891-14600-7208-3630-35000</f>
        <v>6453</v>
      </c>
      <c r="H18" s="106">
        <f t="shared" si="0"/>
        <v>0</v>
      </c>
      <c r="I18" s="1823">
        <f t="shared" si="1"/>
        <v>0</v>
      </c>
      <c r="J18" s="1192"/>
    </row>
    <row r="19" spans="3:10" ht="30" customHeight="1">
      <c r="D19" s="110" t="s">
        <v>85</v>
      </c>
      <c r="E19" s="105" t="s">
        <v>86</v>
      </c>
      <c r="F19" s="1263">
        <v>433856</v>
      </c>
      <c r="G19" s="4632">
        <f>5856</f>
        <v>5856</v>
      </c>
      <c r="H19" s="106">
        <f t="shared" si="0"/>
        <v>-428000</v>
      </c>
      <c r="I19" s="1823">
        <f t="shared" si="1"/>
        <v>-0.98650243398731374</v>
      </c>
      <c r="J19" s="360" t="s">
        <v>6062</v>
      </c>
    </row>
    <row r="20" spans="3:10" ht="17.45" customHeight="1">
      <c r="D20" s="110" t="s">
        <v>89</v>
      </c>
      <c r="E20" s="105" t="s">
        <v>90</v>
      </c>
      <c r="F20" s="362">
        <v>0</v>
      </c>
      <c r="G20" s="106">
        <f>G22+G23</f>
        <v>0</v>
      </c>
      <c r="H20" s="106">
        <f>G20-F20+F22</f>
        <v>0</v>
      </c>
      <c r="I20" s="1823"/>
      <c r="J20" s="360"/>
    </row>
    <row r="21" spans="3:10" ht="17.45" hidden="1" customHeight="1" outlineLevel="1">
      <c r="D21" s="114" t="s">
        <v>110</v>
      </c>
      <c r="E21" s="115" t="s">
        <v>111</v>
      </c>
      <c r="F21" s="1868"/>
      <c r="G21" s="2568"/>
      <c r="H21" s="116"/>
      <c r="I21" s="1826"/>
      <c r="J21" s="360"/>
    </row>
    <row r="22" spans="3:10" ht="18" hidden="1" customHeight="1" outlineLevel="1">
      <c r="D22" s="114"/>
      <c r="E22" s="115"/>
      <c r="F22" s="116"/>
      <c r="G22" s="2568"/>
      <c r="H22" s="116"/>
      <c r="I22" s="1826"/>
      <c r="J22" s="360"/>
    </row>
    <row r="23" spans="3:10" ht="17.45" hidden="1" customHeight="1" outlineLevel="1">
      <c r="D23" s="1908"/>
      <c r="E23" s="1909" t="s">
        <v>2667</v>
      </c>
      <c r="F23" s="1276"/>
      <c r="G23" s="2569"/>
      <c r="H23" s="1276"/>
      <c r="I23" s="1910"/>
      <c r="J23" s="360"/>
    </row>
    <row r="24" spans="3:10" ht="33.6" customHeight="1" collapsed="1">
      <c r="D24" s="110" t="s">
        <v>114</v>
      </c>
      <c r="E24" s="105" t="s">
        <v>115</v>
      </c>
      <c r="F24" s="362">
        <v>342100</v>
      </c>
      <c r="G24" s="363">
        <f>G25+G26</f>
        <v>295000</v>
      </c>
      <c r="H24" s="106">
        <f>G24-F24</f>
        <v>-47100</v>
      </c>
      <c r="I24" s="1823">
        <f>H24/F24</f>
        <v>-0.1376790412160187</v>
      </c>
      <c r="J24" s="1192"/>
    </row>
    <row r="25" spans="3:10" ht="37.9" hidden="1" customHeight="1" outlineLevel="1">
      <c r="D25" s="100" t="s">
        <v>117</v>
      </c>
      <c r="E25" s="101" t="s">
        <v>118</v>
      </c>
      <c r="F25" s="1239">
        <v>295000</v>
      </c>
      <c r="G25" s="102">
        <v>295000</v>
      </c>
      <c r="H25" s="102">
        <f>G25-F25</f>
        <v>0</v>
      </c>
      <c r="I25" s="1822">
        <f>H25/F25</f>
        <v>0</v>
      </c>
      <c r="J25" s="360"/>
    </row>
    <row r="26" spans="3:10" ht="37.9" hidden="1" customHeight="1" outlineLevel="1">
      <c r="D26" s="100" t="s">
        <v>117</v>
      </c>
      <c r="E26" s="101" t="s">
        <v>688</v>
      </c>
      <c r="F26" s="1239"/>
      <c r="G26" s="102"/>
      <c r="H26" s="102">
        <f>G26-F26</f>
        <v>0</v>
      </c>
      <c r="I26" s="1822"/>
      <c r="J26" s="360"/>
    </row>
    <row r="27" spans="3:10" ht="46.9" customHeight="1" collapsed="1" thickBot="1">
      <c r="D27" s="110" t="s">
        <v>120</v>
      </c>
      <c r="E27" s="105" t="s">
        <v>121</v>
      </c>
      <c r="F27" s="362">
        <v>4234051</v>
      </c>
      <c r="G27" s="363">
        <f>G28+G31+G34+G38+G42</f>
        <v>2143137</v>
      </c>
      <c r="H27" s="106">
        <f>G27-F27</f>
        <v>-2090914</v>
      </c>
      <c r="I27" s="1823">
        <f>H27/F27</f>
        <v>-0.4938329746146185</v>
      </c>
      <c r="J27" s="2119"/>
    </row>
    <row r="28" spans="3:10" ht="31.15" hidden="1" customHeight="1" outlineLevel="1">
      <c r="D28" s="4795" t="s">
        <v>123</v>
      </c>
      <c r="E28" s="4796" t="s">
        <v>3046</v>
      </c>
      <c r="F28" s="4797">
        <v>149000</v>
      </c>
      <c r="G28" s="4798">
        <f>G29+G30</f>
        <v>149000</v>
      </c>
      <c r="H28" s="4799">
        <f t="shared" ref="H28:H42" si="2">G28-F28</f>
        <v>0</v>
      </c>
      <c r="I28" s="4800">
        <f t="shared" ref="I28:I42" si="3">H28/F28</f>
        <v>0</v>
      </c>
      <c r="J28" s="1152"/>
    </row>
    <row r="29" spans="3:10" ht="33.6" hidden="1" customHeight="1" outlineLevel="1">
      <c r="C29" t="s">
        <v>125</v>
      </c>
      <c r="D29" s="117" t="s">
        <v>124</v>
      </c>
      <c r="E29" s="2065" t="s">
        <v>3019</v>
      </c>
      <c r="F29" s="2066">
        <v>24000</v>
      </c>
      <c r="G29" s="1267">
        <v>24000</v>
      </c>
      <c r="H29" s="452">
        <f t="shared" si="2"/>
        <v>0</v>
      </c>
      <c r="I29" s="1827">
        <f t="shared" si="3"/>
        <v>0</v>
      </c>
      <c r="J29" s="1152"/>
    </row>
    <row r="30" spans="3:10" ht="27" hidden="1" customHeight="1" outlineLevel="1">
      <c r="C30" t="s">
        <v>127</v>
      </c>
      <c r="D30" s="117" t="s">
        <v>126</v>
      </c>
      <c r="E30" s="2065" t="s">
        <v>3020</v>
      </c>
      <c r="F30" s="2066">
        <v>125000</v>
      </c>
      <c r="G30" s="1267">
        <f>125000</f>
        <v>125000</v>
      </c>
      <c r="H30" s="452">
        <f t="shared" si="2"/>
        <v>0</v>
      </c>
      <c r="I30" s="1827">
        <f t="shared" si="3"/>
        <v>0</v>
      </c>
      <c r="J30" s="1152"/>
    </row>
    <row r="31" spans="3:10" ht="18" hidden="1" customHeight="1" outlineLevel="1">
      <c r="D31" s="4795" t="s">
        <v>129</v>
      </c>
      <c r="E31" s="4796" t="s">
        <v>1156</v>
      </c>
      <c r="F31" s="4798">
        <v>0</v>
      </c>
      <c r="G31" s="4798">
        <f>G32+G33</f>
        <v>0</v>
      </c>
      <c r="H31" s="4799">
        <f t="shared" si="2"/>
        <v>0</v>
      </c>
      <c r="I31" s="4800" t="e">
        <f t="shared" si="3"/>
        <v>#DIV/0!</v>
      </c>
      <c r="J31" s="1152"/>
    </row>
    <row r="32" spans="3:10" ht="26.45" hidden="1" customHeight="1" outlineLevel="1">
      <c r="D32" s="117" t="s">
        <v>132</v>
      </c>
      <c r="E32" s="1207" t="s">
        <v>1152</v>
      </c>
      <c r="F32" s="1153"/>
      <c r="G32" s="1153"/>
      <c r="H32" s="452">
        <f t="shared" si="2"/>
        <v>0</v>
      </c>
      <c r="I32" s="1827" t="e">
        <f t="shared" si="3"/>
        <v>#DIV/0!</v>
      </c>
      <c r="J32" s="1152"/>
    </row>
    <row r="33" spans="1:195" ht="30" hidden="1" customHeight="1" outlineLevel="1">
      <c r="D33" s="117" t="s">
        <v>134</v>
      </c>
      <c r="E33" s="118" t="s">
        <v>1155</v>
      </c>
      <c r="F33" s="1153"/>
      <c r="G33" s="1153"/>
      <c r="H33" s="452">
        <f t="shared" si="2"/>
        <v>0</v>
      </c>
      <c r="I33" s="1827" t="e">
        <f t="shared" si="3"/>
        <v>#DIV/0!</v>
      </c>
      <c r="J33" s="1152"/>
    </row>
    <row r="34" spans="1:195" ht="18" hidden="1" customHeight="1" outlineLevel="1">
      <c r="D34" s="4795" t="s">
        <v>136</v>
      </c>
      <c r="E34" s="4796" t="s">
        <v>130</v>
      </c>
      <c r="F34" s="4797">
        <f>F35+F36+F37</f>
        <v>157000</v>
      </c>
      <c r="G34" s="4798">
        <f>G35+G36+G37</f>
        <v>180000</v>
      </c>
      <c r="H34" s="4799">
        <f t="shared" si="2"/>
        <v>23000</v>
      </c>
      <c r="I34" s="4800">
        <f t="shared" si="3"/>
        <v>0.1464968152866242</v>
      </c>
      <c r="J34" s="1152"/>
    </row>
    <row r="35" spans="1:195" ht="18" hidden="1" customHeight="1" outlineLevel="1">
      <c r="C35" t="s">
        <v>131</v>
      </c>
      <c r="D35" s="2057" t="s">
        <v>1157</v>
      </c>
      <c r="E35" s="2065" t="s">
        <v>1159</v>
      </c>
      <c r="F35" s="2066">
        <v>120000</v>
      </c>
      <c r="G35" s="1267">
        <v>143000</v>
      </c>
      <c r="H35" s="452">
        <f t="shared" si="2"/>
        <v>23000</v>
      </c>
      <c r="I35" s="1827">
        <f t="shared" si="3"/>
        <v>0.19166666666666668</v>
      </c>
      <c r="J35" s="1152"/>
    </row>
    <row r="36" spans="1:195" ht="18" hidden="1" customHeight="1" outlineLevel="1">
      <c r="C36" t="s">
        <v>133</v>
      </c>
      <c r="D36" s="2057" t="s">
        <v>1158</v>
      </c>
      <c r="E36" s="2065" t="s">
        <v>1160</v>
      </c>
      <c r="F36" s="2066">
        <v>36000</v>
      </c>
      <c r="G36" s="1267">
        <f>21000+15000</f>
        <v>36000</v>
      </c>
      <c r="H36" s="452">
        <f t="shared" si="2"/>
        <v>0</v>
      </c>
      <c r="I36" s="1827">
        <f t="shared" si="3"/>
        <v>0</v>
      </c>
      <c r="J36" s="1152"/>
    </row>
    <row r="37" spans="1:195" ht="18" hidden="1" customHeight="1" outlineLevel="1">
      <c r="C37" t="s">
        <v>2043</v>
      </c>
      <c r="D37" s="2057" t="s">
        <v>1161</v>
      </c>
      <c r="E37" s="2067" t="s">
        <v>1162</v>
      </c>
      <c r="F37" s="2066">
        <v>1000</v>
      </c>
      <c r="G37" s="1267">
        <v>1000</v>
      </c>
      <c r="H37" s="452">
        <f t="shared" si="2"/>
        <v>0</v>
      </c>
      <c r="I37" s="1827">
        <f t="shared" si="3"/>
        <v>0</v>
      </c>
      <c r="J37" s="1152"/>
    </row>
    <row r="38" spans="1:195" ht="30.6" hidden="1" customHeight="1" outlineLevel="1">
      <c r="D38" s="4795" t="s">
        <v>138</v>
      </c>
      <c r="E38" s="4796" t="s">
        <v>137</v>
      </c>
      <c r="F38" s="4797">
        <f>F39+F40+F41</f>
        <v>2291250</v>
      </c>
      <c r="G38" s="4798">
        <f>G39+G40+G41</f>
        <v>1712137</v>
      </c>
      <c r="H38" s="4799">
        <f>G38-F38</f>
        <v>-579113</v>
      </c>
      <c r="I38" s="4800">
        <f t="shared" si="3"/>
        <v>-0.25274980905619204</v>
      </c>
      <c r="J38" s="1152"/>
    </row>
    <row r="39" spans="1:195" ht="26.45" hidden="1" customHeight="1" outlineLevel="1">
      <c r="C39" t="s">
        <v>2044</v>
      </c>
      <c r="D39" s="2057" t="s">
        <v>1126</v>
      </c>
      <c r="E39" s="2065" t="s">
        <v>3021</v>
      </c>
      <c r="F39" s="2066">
        <v>115000</v>
      </c>
      <c r="G39" s="1267">
        <f>115000+20600</f>
        <v>135600</v>
      </c>
      <c r="H39" s="452">
        <f t="shared" si="2"/>
        <v>20600</v>
      </c>
      <c r="I39" s="1827">
        <f t="shared" si="3"/>
        <v>0.17913043478260871</v>
      </c>
      <c r="J39" s="2068" t="s">
        <v>3024</v>
      </c>
    </row>
    <row r="40" spans="1:195" ht="29.45" hidden="1" customHeight="1" outlineLevel="1">
      <c r="C40" t="s">
        <v>3022</v>
      </c>
      <c r="D40" s="2057" t="s">
        <v>1127</v>
      </c>
      <c r="E40" s="2065" t="s">
        <v>3023</v>
      </c>
      <c r="F40" s="2066">
        <v>2500</v>
      </c>
      <c r="G40" s="1267">
        <v>2500</v>
      </c>
      <c r="H40" s="452">
        <f t="shared" si="2"/>
        <v>0</v>
      </c>
      <c r="I40" s="1827">
        <f t="shared" si="3"/>
        <v>0</v>
      </c>
      <c r="J40" s="1152"/>
    </row>
    <row r="41" spans="1:195" ht="27.6" hidden="1" customHeight="1" outlineLevel="1">
      <c r="D41" s="498" t="s">
        <v>1128</v>
      </c>
      <c r="E41" s="499" t="s">
        <v>1163</v>
      </c>
      <c r="F41" s="1264">
        <f>3779448-1530698-25000-50000</f>
        <v>2173750</v>
      </c>
      <c r="G41" s="1153">
        <v>1574037</v>
      </c>
      <c r="H41" s="452">
        <f t="shared" si="2"/>
        <v>-599713</v>
      </c>
      <c r="I41" s="1827">
        <f t="shared" si="3"/>
        <v>-0.27588867165037378</v>
      </c>
      <c r="J41" s="1152"/>
    </row>
    <row r="42" spans="1:195" ht="36" hidden="1" customHeight="1" outlineLevel="1" thickBot="1">
      <c r="D42" s="4795" t="s">
        <v>1129</v>
      </c>
      <c r="E42" s="4801" t="s">
        <v>1694</v>
      </c>
      <c r="F42" s="4802">
        <v>102000</v>
      </c>
      <c r="G42" s="4803">
        <f>75000+27000</f>
        <v>102000</v>
      </c>
      <c r="H42" s="4804">
        <f t="shared" si="2"/>
        <v>0</v>
      </c>
      <c r="I42" s="4805">
        <f t="shared" si="3"/>
        <v>0</v>
      </c>
      <c r="J42" s="2068" t="s">
        <v>3073</v>
      </c>
      <c r="N42">
        <v>66588</v>
      </c>
    </row>
    <row r="43" spans="1:195" ht="23.45" customHeight="1" collapsed="1" thickBot="1">
      <c r="D43" s="120"/>
      <c r="E43" s="121" t="s">
        <v>139</v>
      </c>
      <c r="F43" s="1265">
        <v>36539231</v>
      </c>
      <c r="G43" s="4575">
        <f>G3+G6+G9+G12+G16+G17+G18+G19+G20+G24+G27</f>
        <v>40680069.609999999</v>
      </c>
      <c r="H43" s="234">
        <f>G43-F43</f>
        <v>4140838.6099999994</v>
      </c>
      <c r="I43" s="1828">
        <f>H43/F43</f>
        <v>0.11332582806682492</v>
      </c>
      <c r="J43" s="360"/>
    </row>
    <row r="44" spans="1:195">
      <c r="N44" s="84"/>
    </row>
    <row r="45" spans="1:195" ht="15.75" thickBot="1">
      <c r="D45" s="4814" t="s">
        <v>149</v>
      </c>
      <c r="E45" s="4814"/>
      <c r="F45" s="1164"/>
      <c r="G45" s="1323"/>
      <c r="H45" s="1320"/>
      <c r="I45" s="1830"/>
      <c r="J45" s="360"/>
    </row>
    <row r="46" spans="1:195" ht="43.5" thickBot="1">
      <c r="A46" s="1857"/>
      <c r="B46" s="1857"/>
      <c r="D46" s="91" t="s">
        <v>1</v>
      </c>
      <c r="E46" s="92" t="s">
        <v>2</v>
      </c>
      <c r="F46" s="3">
        <v>2023</v>
      </c>
      <c r="G46" s="4574">
        <v>2024</v>
      </c>
      <c r="H46" s="289" t="s">
        <v>577</v>
      </c>
      <c r="I46" s="1124" t="s">
        <v>576</v>
      </c>
      <c r="J46" s="1127"/>
      <c r="L46" s="2575"/>
      <c r="M46" s="2575"/>
    </row>
    <row r="47" spans="1:195" s="477" customFormat="1" ht="15">
      <c r="A47" s="2122"/>
      <c r="B47" s="2122"/>
      <c r="C47" s="2122"/>
      <c r="D47" s="472"/>
      <c r="E47" s="473" t="s">
        <v>663</v>
      </c>
      <c r="F47" s="474">
        <f>F59+F89+F95+F101+F165+F221+F262</f>
        <v>14846493.156486504</v>
      </c>
      <c r="G47" s="474">
        <f>G59+G89+G95+G101+G165+G221+G262</f>
        <v>16952903.919833388</v>
      </c>
      <c r="H47" s="475">
        <f t="shared" ref="H47:H115" si="4">G47-F47</f>
        <v>2106410.7633468844</v>
      </c>
      <c r="I47" s="1831">
        <f>IFERROR(H47/F47,"-")</f>
        <v>0.14187934761055565</v>
      </c>
      <c r="J47" s="1136"/>
      <c r="K47" s="1229"/>
      <c r="L47" s="2017"/>
      <c r="M47" s="2576"/>
      <c r="N47" s="2577"/>
      <c r="O47" s="1861"/>
      <c r="P47" s="1860"/>
      <c r="Q47" s="1860"/>
      <c r="R47" s="1860"/>
      <c r="S47" s="1860"/>
      <c r="T47" s="1860"/>
      <c r="U47" s="1860"/>
      <c r="V47" s="1860"/>
      <c r="W47" s="1860"/>
      <c r="X47" s="1860"/>
      <c r="Y47" s="1860"/>
      <c r="Z47" s="1860"/>
      <c r="AA47" s="1860"/>
      <c r="AB47" s="1860"/>
      <c r="AC47" s="1860"/>
      <c r="AD47" s="1860"/>
      <c r="AE47" s="1860"/>
      <c r="AF47" s="1860"/>
      <c r="AG47" s="1860"/>
      <c r="AH47" s="1860"/>
      <c r="AI47" s="1860"/>
      <c r="AJ47" s="1860"/>
      <c r="AK47" s="1860"/>
      <c r="AL47" s="1860"/>
      <c r="AM47" s="1860"/>
      <c r="AN47" s="1860"/>
      <c r="AO47" s="1860"/>
      <c r="AP47" s="1860"/>
      <c r="AQ47" s="1860"/>
      <c r="AR47" s="1860"/>
      <c r="AS47" s="1860"/>
      <c r="AT47" s="1860"/>
      <c r="AU47" s="1860"/>
      <c r="AV47" s="1860"/>
      <c r="AW47" s="1860"/>
      <c r="AX47" s="1860"/>
      <c r="AY47" s="1860"/>
      <c r="AZ47" s="1860"/>
      <c r="BA47" s="1860"/>
      <c r="BB47" s="1860"/>
      <c r="BC47" s="1860"/>
      <c r="BD47" s="1860"/>
      <c r="BE47" s="1860"/>
      <c r="BF47" s="1860"/>
      <c r="BG47" s="1860"/>
      <c r="BH47" s="1860"/>
      <c r="BI47" s="1860"/>
      <c r="BJ47" s="1860"/>
      <c r="BK47" s="1860"/>
      <c r="BL47" s="1860"/>
      <c r="BM47" s="1860"/>
      <c r="BN47" s="1860"/>
      <c r="BO47" s="1860"/>
      <c r="BP47" s="1860"/>
      <c r="BQ47" s="1860"/>
      <c r="BR47" s="1860"/>
      <c r="BS47" s="1860"/>
      <c r="BT47" s="1860"/>
      <c r="BU47" s="1860"/>
      <c r="BV47" s="1860"/>
      <c r="BW47" s="1860"/>
      <c r="BX47" s="1860"/>
      <c r="BY47" s="1860"/>
      <c r="BZ47" s="1860"/>
      <c r="CA47" s="1860"/>
      <c r="CB47" s="1860"/>
      <c r="CC47" s="1860"/>
      <c r="CD47" s="1860"/>
      <c r="CE47" s="1860"/>
      <c r="CF47" s="1860"/>
      <c r="CG47" s="1860"/>
      <c r="CH47" s="1860"/>
      <c r="CI47" s="1860"/>
      <c r="CJ47" s="1860"/>
      <c r="CK47" s="1860"/>
      <c r="CL47" s="1860"/>
      <c r="CM47" s="1860"/>
      <c r="CN47" s="1860"/>
      <c r="CO47" s="1860"/>
      <c r="CP47" s="1860"/>
      <c r="CQ47" s="1860"/>
      <c r="CR47" s="1860"/>
      <c r="CS47" s="1860"/>
      <c r="CT47" s="1860"/>
      <c r="CU47" s="1860"/>
      <c r="CV47" s="1860"/>
      <c r="CW47" s="1860"/>
      <c r="CX47" s="1860"/>
      <c r="CY47" s="1860"/>
      <c r="CZ47" s="1860"/>
      <c r="DA47" s="1860"/>
      <c r="DB47" s="1860"/>
      <c r="DC47" s="1860"/>
      <c r="DD47" s="1860"/>
      <c r="DE47" s="1860"/>
      <c r="DF47" s="1860"/>
      <c r="DG47" s="1860"/>
      <c r="DH47" s="1860"/>
      <c r="DI47" s="1860"/>
      <c r="DJ47" s="1860"/>
      <c r="DK47" s="1860"/>
      <c r="DL47" s="1860"/>
      <c r="DM47" s="1860"/>
      <c r="DN47" s="1860"/>
      <c r="DO47" s="1860"/>
      <c r="DP47" s="1860"/>
      <c r="DQ47" s="1860"/>
      <c r="DR47" s="1860"/>
      <c r="DS47" s="1860"/>
      <c r="DT47" s="1860"/>
      <c r="DU47" s="1860"/>
      <c r="DV47" s="1860"/>
      <c r="DW47" s="1860"/>
      <c r="DX47" s="1860"/>
      <c r="DY47" s="1860"/>
      <c r="DZ47" s="1860"/>
      <c r="EA47" s="1860"/>
      <c r="EB47" s="1860"/>
      <c r="EC47" s="1860"/>
      <c r="ED47" s="1860"/>
      <c r="EE47" s="1860"/>
      <c r="EF47" s="1860"/>
      <c r="EG47" s="1860"/>
      <c r="EH47" s="1860"/>
      <c r="EI47" s="1860"/>
      <c r="EJ47" s="1860"/>
      <c r="EK47" s="1860"/>
      <c r="EL47" s="1860"/>
      <c r="EM47" s="1860"/>
      <c r="EN47" s="1860"/>
      <c r="EO47" s="1860"/>
      <c r="EP47" s="1860"/>
      <c r="EQ47" s="1860"/>
      <c r="ER47" s="1860"/>
      <c r="ES47" s="1860"/>
      <c r="ET47" s="1860"/>
      <c r="EU47" s="1860"/>
      <c r="EV47" s="1860"/>
      <c r="EW47" s="1860"/>
      <c r="EX47" s="1860"/>
      <c r="EY47" s="1860"/>
      <c r="EZ47" s="1860"/>
      <c r="FA47" s="1860"/>
      <c r="FB47" s="1860"/>
      <c r="FC47" s="1860"/>
      <c r="FD47" s="1860"/>
      <c r="FE47" s="1860"/>
      <c r="FF47" s="1860"/>
      <c r="FG47" s="1860"/>
      <c r="FH47" s="1860"/>
      <c r="FI47" s="1860"/>
      <c r="FJ47" s="1860"/>
      <c r="FK47" s="1860"/>
      <c r="FL47" s="1860"/>
      <c r="FM47" s="1860"/>
      <c r="FN47" s="1860"/>
      <c r="FO47" s="1860"/>
      <c r="FP47" s="1860"/>
      <c r="FQ47" s="1860"/>
      <c r="FR47" s="1860"/>
      <c r="FS47" s="1860"/>
      <c r="FT47" s="1860"/>
      <c r="FU47" s="1860"/>
      <c r="FV47" s="1860"/>
      <c r="FW47" s="1860"/>
      <c r="FX47" s="1860"/>
      <c r="FY47" s="1860"/>
      <c r="FZ47" s="1860"/>
      <c r="GA47" s="1860"/>
      <c r="GB47" s="1860"/>
      <c r="GC47" s="1860"/>
      <c r="GD47" s="1860"/>
      <c r="GE47" s="1860"/>
      <c r="GF47" s="1860"/>
      <c r="GG47" s="1860"/>
      <c r="GH47" s="1860"/>
      <c r="GI47" s="1860"/>
      <c r="GJ47" s="1860"/>
      <c r="GK47" s="1860"/>
      <c r="GL47" s="1860"/>
      <c r="GM47" s="1860"/>
    </row>
    <row r="48" spans="1:195" s="477" customFormat="1" ht="14.25">
      <c r="A48" s="2122"/>
      <c r="B48" s="2122"/>
      <c r="C48" s="2122"/>
      <c r="D48" s="478"/>
      <c r="E48" s="479" t="s">
        <v>579</v>
      </c>
      <c r="F48" s="474">
        <f>F60+F90+F96+F97+F102+F166+F222+F263</f>
        <v>11857388.152825</v>
      </c>
      <c r="G48" s="474">
        <f>G60+G90+G96+G97+G102+G166+G222+G263</f>
        <v>11504468.65958116</v>
      </c>
      <c r="H48" s="475">
        <f t="shared" si="4"/>
        <v>-352919.49324383959</v>
      </c>
      <c r="I48" s="1831">
        <f t="shared" ref="I48:I115" si="5">IFERROR(H48/F48,"-")</f>
        <v>-2.9763678872210757E-2</v>
      </c>
      <c r="J48" s="1135"/>
      <c r="K48" s="1229"/>
      <c r="L48" s="2017"/>
      <c r="M48" s="2576"/>
      <c r="N48" s="2577"/>
      <c r="O48" s="1861"/>
      <c r="P48" s="1860"/>
      <c r="Q48" s="1860"/>
      <c r="R48" s="1860"/>
      <c r="S48" s="1860"/>
      <c r="T48" s="1860"/>
      <c r="U48" s="1860"/>
      <c r="V48" s="1860"/>
      <c r="W48" s="1860"/>
      <c r="X48" s="1860"/>
      <c r="Y48" s="1860"/>
      <c r="Z48" s="1860"/>
      <c r="AA48" s="1860"/>
      <c r="AB48" s="1860"/>
      <c r="AC48" s="1860"/>
      <c r="AD48" s="1860"/>
      <c r="AE48" s="1860"/>
      <c r="AF48" s="1860"/>
      <c r="AG48" s="1860"/>
      <c r="AH48" s="1860"/>
      <c r="AI48" s="1860"/>
      <c r="AJ48" s="1860"/>
      <c r="AK48" s="1860"/>
      <c r="AL48" s="1860"/>
      <c r="AM48" s="1860"/>
      <c r="AN48" s="1860"/>
      <c r="AO48" s="1860"/>
      <c r="AP48" s="1860"/>
      <c r="AQ48" s="1860"/>
      <c r="AR48" s="1860"/>
      <c r="AS48" s="1860"/>
      <c r="AT48" s="1860"/>
      <c r="AU48" s="1860"/>
      <c r="AV48" s="1860"/>
      <c r="AW48" s="1860"/>
      <c r="AX48" s="1860"/>
      <c r="AY48" s="1860"/>
      <c r="AZ48" s="1860"/>
      <c r="BA48" s="1860"/>
      <c r="BB48" s="1860"/>
      <c r="BC48" s="1860"/>
      <c r="BD48" s="1860"/>
      <c r="BE48" s="1860"/>
      <c r="BF48" s="1860"/>
      <c r="BG48" s="1860"/>
      <c r="BH48" s="1860"/>
      <c r="BI48" s="1860"/>
      <c r="BJ48" s="1860"/>
      <c r="BK48" s="1860"/>
      <c r="BL48" s="1860"/>
      <c r="BM48" s="1860"/>
      <c r="BN48" s="1860"/>
      <c r="BO48" s="1860"/>
      <c r="BP48" s="1860"/>
      <c r="BQ48" s="1860"/>
      <c r="BR48" s="1860"/>
      <c r="BS48" s="1860"/>
      <c r="BT48" s="1860"/>
      <c r="BU48" s="1860"/>
      <c r="BV48" s="1860"/>
      <c r="BW48" s="1860"/>
      <c r="BX48" s="1860"/>
      <c r="BY48" s="1860"/>
      <c r="BZ48" s="1860"/>
      <c r="CA48" s="1860"/>
      <c r="CB48" s="1860"/>
      <c r="CC48" s="1860"/>
      <c r="CD48" s="1860"/>
      <c r="CE48" s="1860"/>
      <c r="CF48" s="1860"/>
      <c r="CG48" s="1860"/>
      <c r="CH48" s="1860"/>
      <c r="CI48" s="1860"/>
      <c r="CJ48" s="1860"/>
      <c r="CK48" s="1860"/>
      <c r="CL48" s="1860"/>
      <c r="CM48" s="1860"/>
      <c r="CN48" s="1860"/>
      <c r="CO48" s="1860"/>
      <c r="CP48" s="1860"/>
      <c r="CQ48" s="1860"/>
      <c r="CR48" s="1860"/>
      <c r="CS48" s="1860"/>
      <c r="CT48" s="1860"/>
      <c r="CU48" s="1860"/>
      <c r="CV48" s="1860"/>
      <c r="CW48" s="1860"/>
      <c r="CX48" s="1860"/>
      <c r="CY48" s="1860"/>
      <c r="CZ48" s="1860"/>
      <c r="DA48" s="1860"/>
      <c r="DB48" s="1860"/>
      <c r="DC48" s="1860"/>
      <c r="DD48" s="1860"/>
      <c r="DE48" s="1860"/>
      <c r="DF48" s="1860"/>
      <c r="DG48" s="1860"/>
      <c r="DH48" s="1860"/>
      <c r="DI48" s="1860"/>
      <c r="DJ48" s="1860"/>
      <c r="DK48" s="1860"/>
      <c r="DL48" s="1860"/>
      <c r="DM48" s="1860"/>
      <c r="DN48" s="1860"/>
      <c r="DO48" s="1860"/>
      <c r="DP48" s="1860"/>
      <c r="DQ48" s="1860"/>
      <c r="DR48" s="1860"/>
      <c r="DS48" s="1860"/>
      <c r="DT48" s="1860"/>
      <c r="DU48" s="1860"/>
      <c r="DV48" s="1860"/>
      <c r="DW48" s="1860"/>
      <c r="DX48" s="1860"/>
      <c r="DY48" s="1860"/>
      <c r="DZ48" s="1860"/>
      <c r="EA48" s="1860"/>
      <c r="EB48" s="1860"/>
      <c r="EC48" s="1860"/>
      <c r="ED48" s="1860"/>
      <c r="EE48" s="1860"/>
      <c r="EF48" s="1860"/>
      <c r="EG48" s="1860"/>
      <c r="EH48" s="1860"/>
      <c r="EI48" s="1860"/>
      <c r="EJ48" s="1860"/>
      <c r="EK48" s="1860"/>
      <c r="EL48" s="1860"/>
      <c r="EM48" s="1860"/>
      <c r="EN48" s="1860"/>
      <c r="EO48" s="1860"/>
      <c r="EP48" s="1860"/>
      <c r="EQ48" s="1860"/>
      <c r="ER48" s="1860"/>
      <c r="ES48" s="1860"/>
      <c r="ET48" s="1860"/>
      <c r="EU48" s="1860"/>
      <c r="EV48" s="1860"/>
      <c r="EW48" s="1860"/>
      <c r="EX48" s="1860"/>
      <c r="EY48" s="1860"/>
      <c r="EZ48" s="1860"/>
      <c r="FA48" s="1860"/>
      <c r="FB48" s="1860"/>
      <c r="FC48" s="1860"/>
      <c r="FD48" s="1860"/>
      <c r="FE48" s="1860"/>
      <c r="FF48" s="1860"/>
      <c r="FG48" s="1860"/>
      <c r="FH48" s="1860"/>
      <c r="FI48" s="1860"/>
      <c r="FJ48" s="1860"/>
      <c r="FK48" s="1860"/>
      <c r="FL48" s="1860"/>
      <c r="FM48" s="1860"/>
      <c r="FN48" s="1860"/>
      <c r="FO48" s="1860"/>
      <c r="FP48" s="1860"/>
      <c r="FQ48" s="1860"/>
      <c r="FR48" s="1860"/>
      <c r="FS48" s="1860"/>
      <c r="FT48" s="1860"/>
      <c r="FU48" s="1860"/>
      <c r="FV48" s="1860"/>
      <c r="FW48" s="1860"/>
      <c r="FX48" s="1860"/>
      <c r="FY48" s="1860"/>
      <c r="FZ48" s="1860"/>
      <c r="GA48" s="1860"/>
      <c r="GB48" s="1860"/>
      <c r="GC48" s="1860"/>
      <c r="GD48" s="1860"/>
      <c r="GE48" s="1860"/>
      <c r="GF48" s="1860"/>
      <c r="GG48" s="1860"/>
      <c r="GH48" s="1860"/>
      <c r="GI48" s="1860"/>
      <c r="GJ48" s="1860"/>
      <c r="GK48" s="1860"/>
      <c r="GL48" s="1860"/>
      <c r="GM48" s="1860"/>
    </row>
    <row r="49" spans="1:195" s="477" customFormat="1" ht="14.25">
      <c r="A49" s="2122"/>
      <c r="B49" s="2122"/>
      <c r="C49" s="2122"/>
      <c r="D49" s="3933"/>
      <c r="E49" s="479" t="s">
        <v>2649</v>
      </c>
      <c r="F49" s="3939">
        <f>SUM(F91,F167,F264)</f>
        <v>566502</v>
      </c>
      <c r="G49" s="474">
        <f>SUM(G91,G167,G264)</f>
        <v>582664</v>
      </c>
      <c r="H49" s="475">
        <f>G49-F49</f>
        <v>16162</v>
      </c>
      <c r="I49" s="1831">
        <f>IFERROR(H49/F49,"-")</f>
        <v>2.8529466797998948E-2</v>
      </c>
      <c r="J49" s="3938"/>
      <c r="K49" s="1229"/>
      <c r="L49" s="2017"/>
      <c r="M49" s="2576"/>
      <c r="N49" s="2577"/>
      <c r="O49" s="1861"/>
      <c r="P49" s="1860"/>
      <c r="Q49" s="1860"/>
      <c r="R49" s="1860"/>
      <c r="S49" s="1860"/>
      <c r="T49" s="1860"/>
      <c r="U49" s="1860"/>
      <c r="V49" s="1860"/>
      <c r="W49" s="1860"/>
      <c r="X49" s="1860"/>
      <c r="Y49" s="1860"/>
      <c r="Z49" s="1860"/>
      <c r="AA49" s="1860"/>
      <c r="AB49" s="1860"/>
      <c r="AC49" s="1860"/>
      <c r="AD49" s="1860"/>
      <c r="AE49" s="1860"/>
      <c r="AF49" s="1860"/>
      <c r="AG49" s="1860"/>
      <c r="AH49" s="1860"/>
      <c r="AI49" s="1860"/>
      <c r="AJ49" s="1860"/>
      <c r="AK49" s="1860"/>
      <c r="AL49" s="1860"/>
      <c r="AM49" s="1860"/>
      <c r="AN49" s="1860"/>
      <c r="AO49" s="1860"/>
      <c r="AP49" s="1860"/>
      <c r="AQ49" s="1860"/>
      <c r="AR49" s="1860"/>
      <c r="AS49" s="1860"/>
      <c r="AT49" s="1860"/>
      <c r="AU49" s="1860"/>
      <c r="AV49" s="1860"/>
      <c r="AW49" s="1860"/>
      <c r="AX49" s="1860"/>
      <c r="AY49" s="1860"/>
      <c r="AZ49" s="1860"/>
      <c r="BA49" s="1860"/>
      <c r="BB49" s="1860"/>
      <c r="BC49" s="1860"/>
      <c r="BD49" s="1860"/>
      <c r="BE49" s="1860"/>
      <c r="BF49" s="1860"/>
      <c r="BG49" s="1860"/>
      <c r="BH49" s="1860"/>
      <c r="BI49" s="1860"/>
      <c r="BJ49" s="1860"/>
      <c r="BK49" s="1860"/>
      <c r="BL49" s="1860"/>
      <c r="BM49" s="1860"/>
      <c r="BN49" s="1860"/>
      <c r="BO49" s="1860"/>
      <c r="BP49" s="1860"/>
      <c r="BQ49" s="1860"/>
      <c r="BR49" s="1860"/>
      <c r="BS49" s="1860"/>
      <c r="BT49" s="1860"/>
      <c r="BU49" s="1860"/>
      <c r="BV49" s="1860"/>
      <c r="BW49" s="1860"/>
      <c r="BX49" s="1860"/>
      <c r="BY49" s="1860"/>
      <c r="BZ49" s="1860"/>
      <c r="CA49" s="1860"/>
      <c r="CB49" s="1860"/>
      <c r="CC49" s="1860"/>
      <c r="CD49" s="1860"/>
      <c r="CE49" s="1860"/>
      <c r="CF49" s="1860"/>
      <c r="CG49" s="1860"/>
      <c r="CH49" s="1860"/>
      <c r="CI49" s="1860"/>
      <c r="CJ49" s="1860"/>
      <c r="CK49" s="1860"/>
      <c r="CL49" s="1860"/>
      <c r="CM49" s="1860"/>
      <c r="CN49" s="1860"/>
      <c r="CO49" s="1860"/>
      <c r="CP49" s="1860"/>
      <c r="CQ49" s="1860"/>
      <c r="CR49" s="1860"/>
      <c r="CS49" s="1860"/>
      <c r="CT49" s="1860"/>
      <c r="CU49" s="1860"/>
      <c r="CV49" s="1860"/>
      <c r="CW49" s="1860"/>
      <c r="CX49" s="1860"/>
      <c r="CY49" s="1860"/>
      <c r="CZ49" s="1860"/>
      <c r="DA49" s="1860"/>
      <c r="DB49" s="1860"/>
      <c r="DC49" s="1860"/>
      <c r="DD49" s="1860"/>
      <c r="DE49" s="1860"/>
      <c r="DF49" s="1860"/>
      <c r="DG49" s="1860"/>
      <c r="DH49" s="1860"/>
      <c r="DI49" s="1860"/>
      <c r="DJ49" s="1860"/>
      <c r="DK49" s="1860"/>
      <c r="DL49" s="1860"/>
      <c r="DM49" s="1860"/>
      <c r="DN49" s="1860"/>
      <c r="DO49" s="1860"/>
      <c r="DP49" s="1860"/>
      <c r="DQ49" s="1860"/>
      <c r="DR49" s="1860"/>
      <c r="DS49" s="1860"/>
      <c r="DT49" s="1860"/>
      <c r="DU49" s="1860"/>
      <c r="DV49" s="1860"/>
      <c r="DW49" s="1860"/>
      <c r="DX49" s="1860"/>
      <c r="DY49" s="1860"/>
      <c r="DZ49" s="1860"/>
      <c r="EA49" s="1860"/>
      <c r="EB49" s="1860"/>
      <c r="EC49" s="1860"/>
      <c r="ED49" s="1860"/>
      <c r="EE49" s="1860"/>
      <c r="EF49" s="1860"/>
      <c r="EG49" s="1860"/>
      <c r="EH49" s="1860"/>
      <c r="EI49" s="1860"/>
      <c r="EJ49" s="1860"/>
      <c r="EK49" s="1860"/>
      <c r="EL49" s="1860"/>
      <c r="EM49" s="1860"/>
      <c r="EN49" s="1860"/>
      <c r="EO49" s="1860"/>
      <c r="EP49" s="1860"/>
      <c r="EQ49" s="1860"/>
      <c r="ER49" s="1860"/>
      <c r="ES49" s="1860"/>
      <c r="ET49" s="1860"/>
      <c r="EU49" s="1860"/>
      <c r="EV49" s="1860"/>
      <c r="EW49" s="1860"/>
      <c r="EX49" s="1860"/>
      <c r="EY49" s="1860"/>
      <c r="EZ49" s="1860"/>
      <c r="FA49" s="1860"/>
      <c r="FB49" s="1860"/>
      <c r="FC49" s="1860"/>
      <c r="FD49" s="1860"/>
      <c r="FE49" s="1860"/>
      <c r="FF49" s="1860"/>
      <c r="FG49" s="1860"/>
      <c r="FH49" s="1860"/>
      <c r="FI49" s="1860"/>
      <c r="FJ49" s="1860"/>
      <c r="FK49" s="1860"/>
      <c r="FL49" s="1860"/>
      <c r="FM49" s="1860"/>
      <c r="FN49" s="1860"/>
      <c r="FO49" s="1860"/>
      <c r="FP49" s="1860"/>
      <c r="FQ49" s="1860"/>
      <c r="FR49" s="1860"/>
      <c r="FS49" s="1860"/>
      <c r="FT49" s="1860"/>
      <c r="FU49" s="1860"/>
      <c r="FV49" s="1860"/>
      <c r="FW49" s="1860"/>
      <c r="FX49" s="1860"/>
      <c r="FY49" s="1860"/>
      <c r="FZ49" s="1860"/>
      <c r="GA49" s="1860"/>
      <c r="GB49" s="1860"/>
      <c r="GC49" s="1860"/>
      <c r="GD49" s="1860"/>
      <c r="GE49" s="1860"/>
      <c r="GF49" s="1860"/>
      <c r="GG49" s="1860"/>
      <c r="GH49" s="1860"/>
      <c r="GI49" s="1860"/>
      <c r="GJ49" s="1860"/>
      <c r="GK49" s="1860"/>
      <c r="GL49" s="1860"/>
      <c r="GM49" s="1860"/>
    </row>
    <row r="50" spans="1:195" s="477" customFormat="1" ht="14.25">
      <c r="A50" s="2122"/>
      <c r="B50" s="2122"/>
      <c r="C50" s="2122"/>
      <c r="D50" s="472"/>
      <c r="E50" s="473" t="s">
        <v>578</v>
      </c>
      <c r="F50" s="474">
        <f>F61+F92+F98+F103+F168+F224+F265</f>
        <v>350559.62400000001</v>
      </c>
      <c r="G50" s="474">
        <f>G61+G92+G98+G103+G168+G224+G265</f>
        <v>368749.45</v>
      </c>
      <c r="H50" s="475">
        <f t="shared" si="4"/>
        <v>18189.826000000001</v>
      </c>
      <c r="I50" s="1831">
        <f t="shared" si="5"/>
        <v>5.1887966424792833E-2</v>
      </c>
      <c r="J50" s="1135"/>
      <c r="K50" s="1229"/>
      <c r="L50" s="2017"/>
      <c r="M50" s="2576"/>
      <c r="N50" s="2577"/>
      <c r="O50" s="1861"/>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c r="AL50" s="1860"/>
      <c r="AM50" s="1860"/>
      <c r="AN50" s="1860"/>
      <c r="AO50" s="1860"/>
      <c r="AP50" s="1860"/>
      <c r="AQ50" s="1860"/>
      <c r="AR50" s="1860"/>
      <c r="AS50" s="1860"/>
      <c r="AT50" s="1860"/>
      <c r="AU50" s="1860"/>
      <c r="AV50" s="1860"/>
      <c r="AW50" s="1860"/>
      <c r="AX50" s="1860"/>
      <c r="AY50" s="1860"/>
      <c r="AZ50" s="1860"/>
      <c r="BA50" s="1860"/>
      <c r="BB50" s="1860"/>
      <c r="BC50" s="1860"/>
      <c r="BD50" s="1860"/>
      <c r="BE50" s="1860"/>
      <c r="BF50" s="1860"/>
      <c r="BG50" s="1860"/>
      <c r="BH50" s="1860"/>
      <c r="BI50" s="1860"/>
      <c r="BJ50" s="1860"/>
      <c r="BK50" s="1860"/>
      <c r="BL50" s="1860"/>
      <c r="BM50" s="1860"/>
      <c r="BN50" s="1860"/>
      <c r="BO50" s="1860"/>
      <c r="BP50" s="1860"/>
      <c r="BQ50" s="1860"/>
      <c r="BR50" s="1860"/>
      <c r="BS50" s="1860"/>
      <c r="BT50" s="1860"/>
      <c r="BU50" s="1860"/>
      <c r="BV50" s="1860"/>
      <c r="BW50" s="1860"/>
      <c r="BX50" s="1860"/>
      <c r="BY50" s="1860"/>
      <c r="BZ50" s="1860"/>
      <c r="CA50" s="1860"/>
      <c r="CB50" s="1860"/>
      <c r="CC50" s="1860"/>
      <c r="CD50" s="1860"/>
      <c r="CE50" s="1860"/>
      <c r="CF50" s="1860"/>
      <c r="CG50" s="1860"/>
      <c r="CH50" s="1860"/>
      <c r="CI50" s="1860"/>
      <c r="CJ50" s="1860"/>
      <c r="CK50" s="1860"/>
      <c r="CL50" s="1860"/>
      <c r="CM50" s="1860"/>
      <c r="CN50" s="1860"/>
      <c r="CO50" s="1860"/>
      <c r="CP50" s="1860"/>
      <c r="CQ50" s="1860"/>
      <c r="CR50" s="1860"/>
      <c r="CS50" s="1860"/>
      <c r="CT50" s="1860"/>
      <c r="CU50" s="1860"/>
      <c r="CV50" s="1860"/>
      <c r="CW50" s="1860"/>
      <c r="CX50" s="1860"/>
      <c r="CY50" s="1860"/>
      <c r="CZ50" s="1860"/>
      <c r="DA50" s="1860"/>
      <c r="DB50" s="1860"/>
      <c r="DC50" s="1860"/>
      <c r="DD50" s="1860"/>
      <c r="DE50" s="1860"/>
      <c r="DF50" s="1860"/>
      <c r="DG50" s="1860"/>
      <c r="DH50" s="1860"/>
      <c r="DI50" s="1860"/>
      <c r="DJ50" s="1860"/>
      <c r="DK50" s="1860"/>
      <c r="DL50" s="1860"/>
      <c r="DM50" s="1860"/>
      <c r="DN50" s="1860"/>
      <c r="DO50" s="1860"/>
      <c r="DP50" s="1860"/>
      <c r="DQ50" s="1860"/>
      <c r="DR50" s="1860"/>
      <c r="DS50" s="1860"/>
      <c r="DT50" s="1860"/>
      <c r="DU50" s="1860"/>
      <c r="DV50" s="1860"/>
      <c r="DW50" s="1860"/>
      <c r="DX50" s="1860"/>
      <c r="DY50" s="1860"/>
      <c r="DZ50" s="1860"/>
      <c r="EA50" s="1860"/>
      <c r="EB50" s="1860"/>
      <c r="EC50" s="1860"/>
      <c r="ED50" s="1860"/>
      <c r="EE50" s="1860"/>
      <c r="EF50" s="1860"/>
      <c r="EG50" s="1860"/>
      <c r="EH50" s="1860"/>
      <c r="EI50" s="1860"/>
      <c r="EJ50" s="1860"/>
      <c r="EK50" s="1860"/>
      <c r="EL50" s="1860"/>
      <c r="EM50" s="1860"/>
      <c r="EN50" s="1860"/>
      <c r="EO50" s="1860"/>
      <c r="EP50" s="1860"/>
      <c r="EQ50" s="1860"/>
      <c r="ER50" s="1860"/>
      <c r="ES50" s="1860"/>
      <c r="ET50" s="1860"/>
      <c r="EU50" s="1860"/>
      <c r="EV50" s="1860"/>
      <c r="EW50" s="1860"/>
      <c r="EX50" s="1860"/>
      <c r="EY50" s="1860"/>
      <c r="EZ50" s="1860"/>
      <c r="FA50" s="1860"/>
      <c r="FB50" s="1860"/>
      <c r="FC50" s="1860"/>
      <c r="FD50" s="1860"/>
      <c r="FE50" s="1860"/>
      <c r="FF50" s="1860"/>
      <c r="FG50" s="1860"/>
      <c r="FH50" s="1860"/>
      <c r="FI50" s="1860"/>
      <c r="FJ50" s="1860"/>
      <c r="FK50" s="1860"/>
      <c r="FL50" s="1860"/>
      <c r="FM50" s="1860"/>
      <c r="FN50" s="1860"/>
      <c r="FO50" s="1860"/>
      <c r="FP50" s="1860"/>
      <c r="FQ50" s="1860"/>
      <c r="FR50" s="1860"/>
      <c r="FS50" s="1860"/>
      <c r="FT50" s="1860"/>
      <c r="FU50" s="1860"/>
      <c r="FV50" s="1860"/>
      <c r="FW50" s="1860"/>
      <c r="FX50" s="1860"/>
      <c r="FY50" s="1860"/>
      <c r="FZ50" s="1860"/>
      <c r="GA50" s="1860"/>
      <c r="GB50" s="1860"/>
      <c r="GC50" s="1860"/>
      <c r="GD50" s="1860"/>
      <c r="GE50" s="1860"/>
      <c r="GF50" s="1860"/>
      <c r="GG50" s="1860"/>
      <c r="GH50" s="1860"/>
      <c r="GI50" s="1860"/>
      <c r="GJ50" s="1860"/>
      <c r="GK50" s="1860"/>
      <c r="GL50" s="1860"/>
      <c r="GM50" s="1860"/>
    </row>
    <row r="51" spans="1:195" s="467" customFormat="1" ht="15">
      <c r="A51" s="2122"/>
      <c r="B51" s="2122"/>
      <c r="C51" s="2122"/>
      <c r="D51" s="469"/>
      <c r="E51" s="470" t="s">
        <v>1647</v>
      </c>
      <c r="F51" s="471">
        <f>F62</f>
        <v>1224463.3380284801</v>
      </c>
      <c r="G51" s="471">
        <f>G62</f>
        <v>2229302</v>
      </c>
      <c r="H51" s="464">
        <f t="shared" si="4"/>
        <v>1004838.6619715199</v>
      </c>
      <c r="I51" s="1832">
        <f t="shared" si="5"/>
        <v>0.82063597231863239</v>
      </c>
      <c r="J51" s="1137"/>
      <c r="K51" s="1229"/>
      <c r="L51" s="2017"/>
      <c r="M51" s="2576"/>
      <c r="N51" s="2577"/>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c r="AL51" s="1861"/>
      <c r="AM51" s="1861"/>
      <c r="AN51" s="1861"/>
      <c r="AO51" s="1861"/>
      <c r="AP51" s="1861"/>
      <c r="AQ51" s="1861"/>
      <c r="AR51" s="1861"/>
      <c r="AS51" s="1861"/>
      <c r="AT51" s="1861"/>
      <c r="AU51" s="1861"/>
      <c r="AV51" s="1861"/>
      <c r="AW51" s="1861"/>
      <c r="AX51" s="1861"/>
      <c r="AY51" s="1861"/>
      <c r="AZ51" s="1861"/>
      <c r="BA51" s="1861"/>
      <c r="BB51" s="1861"/>
      <c r="BC51" s="1861"/>
      <c r="BD51" s="1861"/>
      <c r="BE51" s="1861"/>
      <c r="BF51" s="1861"/>
      <c r="BG51" s="1861"/>
      <c r="BH51" s="1861"/>
      <c r="BI51" s="1861"/>
      <c r="BJ51" s="1861"/>
      <c r="BK51" s="1861"/>
      <c r="BL51" s="1861"/>
      <c r="BM51" s="1861"/>
      <c r="BN51" s="1861"/>
      <c r="BO51" s="1861"/>
      <c r="BP51" s="1861"/>
      <c r="BQ51" s="1861"/>
      <c r="BR51" s="1861"/>
      <c r="BS51" s="1861"/>
      <c r="BT51" s="1861"/>
      <c r="BU51" s="1861"/>
      <c r="BV51" s="1861"/>
      <c r="BW51" s="1861"/>
      <c r="BX51" s="1861"/>
      <c r="BY51" s="1861"/>
      <c r="BZ51" s="1861"/>
      <c r="CA51" s="1861"/>
      <c r="CB51" s="1861"/>
      <c r="CC51" s="1861"/>
      <c r="CD51" s="1861"/>
      <c r="CE51" s="1861"/>
      <c r="CF51" s="1861"/>
      <c r="CG51" s="1861"/>
      <c r="CH51" s="1861"/>
      <c r="CI51" s="1861"/>
      <c r="CJ51" s="1861"/>
      <c r="CK51" s="1861"/>
      <c r="CL51" s="1861"/>
      <c r="CM51" s="1861"/>
      <c r="CN51" s="1861"/>
      <c r="CO51" s="1861"/>
      <c r="CP51" s="1861"/>
      <c r="CQ51" s="1861"/>
      <c r="CR51" s="1861"/>
      <c r="CS51" s="1861"/>
      <c r="CT51" s="1861"/>
      <c r="CU51" s="1861"/>
      <c r="CV51" s="1861"/>
      <c r="CW51" s="1861"/>
      <c r="CX51" s="1861"/>
      <c r="CY51" s="1861"/>
      <c r="CZ51" s="1861"/>
      <c r="DA51" s="1861"/>
      <c r="DB51" s="1861"/>
      <c r="DC51" s="1861"/>
      <c r="DD51" s="1861"/>
      <c r="DE51" s="1861"/>
      <c r="DF51" s="1861"/>
      <c r="DG51" s="1861"/>
      <c r="DH51" s="1861"/>
      <c r="DI51" s="1861"/>
      <c r="DJ51" s="1861"/>
      <c r="DK51" s="1861"/>
      <c r="DL51" s="1861"/>
      <c r="DM51" s="1861"/>
      <c r="DN51" s="1861"/>
      <c r="DO51" s="1861"/>
      <c r="DP51" s="1861"/>
      <c r="DQ51" s="1861"/>
      <c r="DR51" s="1861"/>
      <c r="DS51" s="1861"/>
      <c r="DT51" s="1861"/>
      <c r="DU51" s="1861"/>
      <c r="DV51" s="1861"/>
      <c r="DW51" s="1861"/>
      <c r="DX51" s="1861"/>
      <c r="DY51" s="1861"/>
      <c r="DZ51" s="1861"/>
      <c r="EA51" s="1861"/>
      <c r="EB51" s="1861"/>
      <c r="EC51" s="1861"/>
      <c r="ED51" s="1861"/>
      <c r="EE51" s="1861"/>
      <c r="EF51" s="1861"/>
      <c r="EG51" s="1861"/>
      <c r="EH51" s="1861"/>
      <c r="EI51" s="1861"/>
      <c r="EJ51" s="1861"/>
      <c r="EK51" s="1861"/>
      <c r="EL51" s="1861"/>
      <c r="EM51" s="1861"/>
      <c r="EN51" s="1861"/>
      <c r="EO51" s="1861"/>
      <c r="EP51" s="1861"/>
      <c r="EQ51" s="1861"/>
      <c r="ER51" s="1861"/>
      <c r="ES51" s="1861"/>
      <c r="ET51" s="1861"/>
      <c r="EU51" s="1861"/>
      <c r="EV51" s="1861"/>
      <c r="EW51" s="1861"/>
      <c r="EX51" s="1861"/>
      <c r="EY51" s="1861"/>
      <c r="EZ51" s="1861"/>
      <c r="FA51" s="1861"/>
      <c r="FB51" s="1861"/>
      <c r="FC51" s="1861"/>
      <c r="FD51" s="1861"/>
      <c r="FE51" s="1861"/>
      <c r="FF51" s="1861"/>
      <c r="FG51" s="1861"/>
      <c r="FH51" s="1861"/>
      <c r="FI51" s="1861"/>
      <c r="FJ51" s="1861"/>
      <c r="FK51" s="1861"/>
      <c r="FL51" s="1861"/>
      <c r="FM51" s="1861"/>
      <c r="FN51" s="1861"/>
      <c r="FO51" s="1861"/>
      <c r="FP51" s="1861"/>
      <c r="FQ51" s="1861"/>
      <c r="FR51" s="1861"/>
      <c r="FS51" s="1861"/>
      <c r="FT51" s="1861"/>
      <c r="FU51" s="1861"/>
      <c r="FV51" s="1861"/>
      <c r="FW51" s="1861"/>
      <c r="FX51" s="1861"/>
      <c r="FY51" s="1861"/>
      <c r="FZ51" s="1861"/>
      <c r="GA51" s="1861"/>
      <c r="GB51" s="1861"/>
      <c r="GC51" s="1861"/>
      <c r="GD51" s="1861"/>
      <c r="GE51" s="1861"/>
      <c r="GF51" s="1861"/>
      <c r="GG51" s="1861"/>
      <c r="GH51" s="1861"/>
      <c r="GI51" s="1861"/>
      <c r="GJ51" s="1861"/>
      <c r="GK51" s="1861"/>
      <c r="GL51" s="1861"/>
      <c r="GM51" s="1861"/>
    </row>
    <row r="52" spans="1:195" s="467" customFormat="1" ht="15">
      <c r="A52" s="2122"/>
      <c r="B52" s="2122"/>
      <c r="C52" s="2122"/>
      <c r="D52" s="1230"/>
      <c r="E52" s="1231" t="s">
        <v>164</v>
      </c>
      <c r="F52" s="1232">
        <f>F63</f>
        <v>4428486</v>
      </c>
      <c r="G52" s="1232">
        <f>G63</f>
        <v>6416104</v>
      </c>
      <c r="H52" s="464">
        <f t="shared" si="4"/>
        <v>1987618</v>
      </c>
      <c r="I52" s="1832">
        <f t="shared" si="5"/>
        <v>0.44882562573303836</v>
      </c>
      <c r="J52" s="1233"/>
      <c r="K52" s="1229"/>
      <c r="L52" s="2017"/>
      <c r="M52" s="2576"/>
      <c r="N52" s="2577"/>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c r="AL52" s="1861"/>
      <c r="AM52" s="1861"/>
      <c r="AN52" s="1861"/>
      <c r="AO52" s="1861"/>
      <c r="AP52" s="1861"/>
      <c r="AQ52" s="1861"/>
      <c r="AR52" s="1861"/>
      <c r="AS52" s="1861"/>
      <c r="AT52" s="1861"/>
      <c r="AU52" s="1861"/>
      <c r="AV52" s="1861"/>
      <c r="AW52" s="1861"/>
      <c r="AX52" s="1861"/>
      <c r="AY52" s="1861"/>
      <c r="AZ52" s="1861"/>
      <c r="BA52" s="1861"/>
      <c r="BB52" s="1861"/>
      <c r="BC52" s="1861"/>
      <c r="BD52" s="1861"/>
      <c r="BE52" s="1861"/>
      <c r="BF52" s="1861"/>
      <c r="BG52" s="1861"/>
      <c r="BH52" s="1861"/>
      <c r="BI52" s="1861"/>
      <c r="BJ52" s="1861"/>
      <c r="BK52" s="1861"/>
      <c r="BL52" s="1861"/>
      <c r="BM52" s="1861"/>
      <c r="BN52" s="1861"/>
      <c r="BO52" s="1861"/>
      <c r="BP52" s="1861"/>
      <c r="BQ52" s="1861"/>
      <c r="BR52" s="1861"/>
      <c r="BS52" s="1861"/>
      <c r="BT52" s="1861"/>
      <c r="BU52" s="1861"/>
      <c r="BV52" s="1861"/>
      <c r="BW52" s="1861"/>
      <c r="BX52" s="1861"/>
      <c r="BY52" s="1861"/>
      <c r="BZ52" s="1861"/>
      <c r="CA52" s="1861"/>
      <c r="CB52" s="1861"/>
      <c r="CC52" s="1861"/>
      <c r="CD52" s="1861"/>
      <c r="CE52" s="1861"/>
      <c r="CF52" s="1861"/>
      <c r="CG52" s="1861"/>
      <c r="CH52" s="1861"/>
      <c r="CI52" s="1861"/>
      <c r="CJ52" s="1861"/>
      <c r="CK52" s="1861"/>
      <c r="CL52" s="1861"/>
      <c r="CM52" s="1861"/>
      <c r="CN52" s="1861"/>
      <c r="CO52" s="1861"/>
      <c r="CP52" s="1861"/>
      <c r="CQ52" s="1861"/>
      <c r="CR52" s="1861"/>
      <c r="CS52" s="1861"/>
      <c r="CT52" s="1861"/>
      <c r="CU52" s="1861"/>
      <c r="CV52" s="1861"/>
      <c r="CW52" s="1861"/>
      <c r="CX52" s="1861"/>
      <c r="CY52" s="1861"/>
      <c r="CZ52" s="1861"/>
      <c r="DA52" s="1861"/>
      <c r="DB52" s="1861"/>
      <c r="DC52" s="1861"/>
      <c r="DD52" s="1861"/>
      <c r="DE52" s="1861"/>
      <c r="DF52" s="1861"/>
      <c r="DG52" s="1861"/>
      <c r="DH52" s="1861"/>
      <c r="DI52" s="1861"/>
      <c r="DJ52" s="1861"/>
      <c r="DK52" s="1861"/>
      <c r="DL52" s="1861"/>
      <c r="DM52" s="1861"/>
      <c r="DN52" s="1861"/>
      <c r="DO52" s="1861"/>
      <c r="DP52" s="1861"/>
      <c r="DQ52" s="1861"/>
      <c r="DR52" s="1861"/>
      <c r="DS52" s="1861"/>
      <c r="DT52" s="1861"/>
      <c r="DU52" s="1861"/>
      <c r="DV52" s="1861"/>
      <c r="DW52" s="1861"/>
      <c r="DX52" s="1861"/>
      <c r="DY52" s="1861"/>
      <c r="DZ52" s="1861"/>
      <c r="EA52" s="1861"/>
      <c r="EB52" s="1861"/>
      <c r="EC52" s="1861"/>
      <c r="ED52" s="1861"/>
      <c r="EE52" s="1861"/>
      <c r="EF52" s="1861"/>
      <c r="EG52" s="1861"/>
      <c r="EH52" s="1861"/>
      <c r="EI52" s="1861"/>
      <c r="EJ52" s="1861"/>
      <c r="EK52" s="1861"/>
      <c r="EL52" s="1861"/>
      <c r="EM52" s="1861"/>
      <c r="EN52" s="1861"/>
      <c r="EO52" s="1861"/>
      <c r="EP52" s="1861"/>
      <c r="EQ52" s="1861"/>
      <c r="ER52" s="1861"/>
      <c r="ES52" s="1861"/>
      <c r="ET52" s="1861"/>
      <c r="EU52" s="1861"/>
      <c r="EV52" s="1861"/>
      <c r="EW52" s="1861"/>
      <c r="EX52" s="1861"/>
      <c r="EY52" s="1861"/>
      <c r="EZ52" s="1861"/>
      <c r="FA52" s="1861"/>
      <c r="FB52" s="1861"/>
      <c r="FC52" s="1861"/>
      <c r="FD52" s="1861"/>
      <c r="FE52" s="1861"/>
      <c r="FF52" s="1861"/>
      <c r="FG52" s="1861"/>
      <c r="FH52" s="1861"/>
      <c r="FI52" s="1861"/>
      <c r="FJ52" s="1861"/>
      <c r="FK52" s="1861"/>
      <c r="FL52" s="1861"/>
      <c r="FM52" s="1861"/>
      <c r="FN52" s="1861"/>
      <c r="FO52" s="1861"/>
      <c r="FP52" s="1861"/>
      <c r="FQ52" s="1861"/>
      <c r="FR52" s="1861"/>
      <c r="FS52" s="1861"/>
      <c r="FT52" s="1861"/>
      <c r="FU52" s="1861"/>
      <c r="FV52" s="1861"/>
      <c r="FW52" s="1861"/>
      <c r="FX52" s="1861"/>
      <c r="FY52" s="1861"/>
      <c r="FZ52" s="1861"/>
      <c r="GA52" s="1861"/>
      <c r="GB52" s="1861"/>
      <c r="GC52" s="1861"/>
      <c r="GD52" s="1861"/>
      <c r="GE52" s="1861"/>
      <c r="GF52" s="1861"/>
      <c r="GG52" s="1861"/>
      <c r="GH52" s="1861"/>
      <c r="GI52" s="1861"/>
      <c r="GJ52" s="1861"/>
      <c r="GK52" s="1861"/>
      <c r="GL52" s="1861"/>
      <c r="GM52" s="1861"/>
    </row>
    <row r="53" spans="1:195" s="468" customFormat="1" ht="15.75" thickBot="1">
      <c r="A53" s="2122"/>
      <c r="B53" s="2122"/>
      <c r="C53" s="2122"/>
      <c r="D53" s="1234"/>
      <c r="E53" s="1235" t="s">
        <v>531</v>
      </c>
      <c r="F53" s="1236">
        <f>F223</f>
        <v>894820.36</v>
      </c>
      <c r="G53" s="1236">
        <f>G223</f>
        <v>1083673</v>
      </c>
      <c r="H53" s="466">
        <f t="shared" si="4"/>
        <v>188852.64</v>
      </c>
      <c r="I53" s="1833">
        <f t="shared" si="5"/>
        <v>0.21105089741140895</v>
      </c>
      <c r="J53" s="1237"/>
      <c r="K53" s="1229"/>
      <c r="L53" s="2017"/>
      <c r="M53" s="2576"/>
      <c r="N53" s="2577"/>
      <c r="O53" s="481"/>
      <c r="P53" s="481"/>
      <c r="Q53" s="481"/>
      <c r="R53" s="481"/>
      <c r="S53" s="481"/>
      <c r="T53" s="481"/>
      <c r="U53" s="481"/>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1"/>
      <c r="BC53" s="481"/>
      <c r="BD53" s="481"/>
      <c r="BE53" s="481"/>
      <c r="BF53" s="481"/>
      <c r="BG53" s="481"/>
      <c r="BH53" s="481"/>
      <c r="BI53" s="481"/>
      <c r="BJ53" s="481"/>
      <c r="BK53" s="481"/>
      <c r="BL53" s="481"/>
      <c r="BM53" s="481"/>
      <c r="BN53" s="481"/>
      <c r="BO53" s="481"/>
      <c r="BP53" s="481"/>
      <c r="BQ53" s="481"/>
      <c r="BR53" s="481"/>
      <c r="BS53" s="481"/>
      <c r="BT53" s="481"/>
      <c r="BU53" s="481"/>
      <c r="BV53" s="481"/>
      <c r="BW53" s="481"/>
      <c r="BX53" s="481"/>
      <c r="BY53" s="481"/>
      <c r="BZ53" s="481"/>
      <c r="CA53" s="481"/>
      <c r="CB53" s="481"/>
      <c r="CC53" s="481"/>
      <c r="CD53" s="481"/>
      <c r="CE53" s="481"/>
      <c r="CF53" s="481"/>
      <c r="CG53" s="481"/>
      <c r="CH53" s="481"/>
      <c r="CI53" s="481"/>
      <c r="CJ53" s="481"/>
      <c r="CK53" s="481"/>
      <c r="CL53" s="481"/>
      <c r="CM53" s="481"/>
      <c r="CN53" s="481"/>
      <c r="CO53" s="481"/>
      <c r="CP53" s="481"/>
      <c r="CQ53" s="481"/>
      <c r="CR53" s="481"/>
      <c r="CS53" s="481"/>
      <c r="CT53" s="481"/>
      <c r="CU53" s="481"/>
      <c r="CV53" s="481"/>
      <c r="CW53" s="481"/>
      <c r="CX53" s="481"/>
      <c r="CY53" s="481"/>
      <c r="CZ53" s="481"/>
      <c r="DA53" s="481"/>
      <c r="DB53" s="481"/>
      <c r="DC53" s="481"/>
      <c r="DD53" s="481"/>
      <c r="DE53" s="481"/>
      <c r="DF53" s="481"/>
      <c r="DG53" s="481"/>
      <c r="DH53" s="481"/>
      <c r="DI53" s="481"/>
      <c r="DJ53" s="481"/>
      <c r="DK53" s="481"/>
      <c r="DL53" s="481"/>
      <c r="DM53" s="481"/>
      <c r="DN53" s="481"/>
      <c r="DO53" s="481"/>
      <c r="DP53" s="481"/>
      <c r="DQ53" s="481"/>
      <c r="DR53" s="481"/>
      <c r="DS53" s="481"/>
      <c r="DT53" s="481"/>
      <c r="DU53" s="481"/>
      <c r="DV53" s="481"/>
      <c r="DW53" s="481"/>
      <c r="DX53" s="481"/>
      <c r="DY53" s="481"/>
      <c r="DZ53" s="481"/>
      <c r="EA53" s="481"/>
      <c r="EB53" s="481"/>
      <c r="EC53" s="481"/>
      <c r="ED53" s="481"/>
      <c r="EE53" s="481"/>
      <c r="EF53" s="481"/>
      <c r="EG53" s="481"/>
      <c r="EH53" s="481"/>
      <c r="EI53" s="481"/>
      <c r="EJ53" s="481"/>
      <c r="EK53" s="481"/>
      <c r="EL53" s="481"/>
      <c r="EM53" s="481"/>
      <c r="EN53" s="481"/>
      <c r="EO53" s="481"/>
      <c r="EP53" s="481"/>
      <c r="EQ53" s="481"/>
      <c r="ER53" s="481"/>
      <c r="ES53" s="481"/>
      <c r="ET53" s="481"/>
      <c r="EU53" s="481"/>
      <c r="EV53" s="481"/>
      <c r="EW53" s="481"/>
      <c r="EX53" s="481"/>
      <c r="EY53" s="481"/>
      <c r="EZ53" s="481"/>
      <c r="FA53" s="481"/>
      <c r="FB53" s="481"/>
      <c r="FC53" s="481"/>
      <c r="FD53" s="481"/>
      <c r="FE53" s="481"/>
      <c r="FF53" s="481"/>
      <c r="FG53" s="481"/>
      <c r="FH53" s="481"/>
      <c r="FI53" s="481"/>
      <c r="FJ53" s="481"/>
      <c r="FK53" s="481"/>
      <c r="FL53" s="481"/>
      <c r="FM53" s="481"/>
      <c r="FN53" s="481"/>
      <c r="FO53" s="481"/>
      <c r="FP53" s="481"/>
      <c r="FQ53" s="481"/>
      <c r="FR53" s="481"/>
      <c r="FS53" s="481"/>
      <c r="FT53" s="481"/>
      <c r="FU53" s="481"/>
      <c r="FV53" s="481"/>
      <c r="FW53" s="481"/>
      <c r="FX53" s="481"/>
      <c r="FY53" s="481"/>
      <c r="FZ53" s="481"/>
      <c r="GA53" s="481"/>
      <c r="GB53" s="481"/>
      <c r="GC53" s="481"/>
      <c r="GD53" s="481"/>
      <c r="GE53" s="481"/>
      <c r="GF53" s="481"/>
      <c r="GG53" s="481"/>
      <c r="GH53" s="481"/>
      <c r="GI53" s="481"/>
      <c r="GJ53" s="481"/>
      <c r="GK53" s="481"/>
      <c r="GL53" s="481"/>
      <c r="GM53" s="481"/>
    </row>
    <row r="54" spans="1:195" s="1299" customFormat="1" ht="15" hidden="1" outlineLevel="1">
      <c r="A54" s="2003"/>
      <c r="B54" s="2003"/>
      <c r="C54" s="2003"/>
      <c r="D54" s="1312"/>
      <c r="E54" s="1313" t="s">
        <v>1109</v>
      </c>
      <c r="F54" s="1286">
        <f>F104+F170+F225+F266</f>
        <v>7197115.3144960217</v>
      </c>
      <c r="G54" s="2571">
        <f>G104+G170+G225+G266</f>
        <v>7674944.8403870976</v>
      </c>
      <c r="H54" s="1285">
        <f t="shared" si="4"/>
        <v>477829.52589107584</v>
      </c>
      <c r="I54" s="1834">
        <f t="shared" si="5"/>
        <v>6.6391811859490252E-2</v>
      </c>
      <c r="J54" s="1314"/>
      <c r="K54" s="1282"/>
      <c r="L54" s="1087"/>
      <c r="M54" s="2578"/>
      <c r="N54" s="2579"/>
      <c r="O54" s="1086"/>
      <c r="P54" s="1289"/>
      <c r="Q54" s="1289"/>
      <c r="R54" s="1289"/>
      <c r="S54" s="1289"/>
      <c r="T54" s="1289"/>
      <c r="U54" s="1289"/>
      <c r="V54" s="1289"/>
      <c r="W54" s="1289"/>
      <c r="X54" s="1289"/>
      <c r="Y54" s="1289"/>
      <c r="Z54" s="1289"/>
      <c r="AA54" s="1289"/>
      <c r="AB54" s="1289"/>
      <c r="AC54" s="1289"/>
      <c r="AD54" s="1289"/>
      <c r="AE54" s="1289"/>
      <c r="AF54" s="1289"/>
      <c r="AG54" s="1289"/>
      <c r="AH54" s="1289"/>
      <c r="AI54" s="1289"/>
      <c r="AJ54" s="1289"/>
      <c r="AK54" s="1289"/>
      <c r="AL54" s="1289"/>
      <c r="AM54" s="1289"/>
      <c r="AN54" s="1289"/>
      <c r="AO54" s="1289"/>
      <c r="AP54" s="1289"/>
      <c r="AQ54" s="1289"/>
      <c r="AR54" s="1289"/>
      <c r="AS54" s="1289"/>
      <c r="AT54" s="1289"/>
      <c r="AU54" s="1289"/>
      <c r="AV54" s="1289"/>
      <c r="AW54" s="1289"/>
      <c r="AX54" s="1289"/>
      <c r="AY54" s="1289"/>
      <c r="AZ54" s="1289"/>
      <c r="BA54" s="1289"/>
      <c r="BB54" s="1289"/>
      <c r="BC54" s="1289"/>
      <c r="BD54" s="1289"/>
      <c r="BE54" s="1289"/>
      <c r="BF54" s="1289"/>
      <c r="BG54" s="1289"/>
      <c r="BH54" s="1289"/>
      <c r="BI54" s="1289"/>
      <c r="BJ54" s="1289"/>
      <c r="BK54" s="1289"/>
      <c r="BL54" s="1289"/>
      <c r="BM54" s="1289"/>
      <c r="BN54" s="1289"/>
      <c r="BO54" s="1289"/>
      <c r="BP54" s="1289"/>
      <c r="BQ54" s="1289"/>
      <c r="BR54" s="1289"/>
      <c r="BS54" s="1289"/>
      <c r="BT54" s="1289"/>
      <c r="BU54" s="1289"/>
      <c r="BV54" s="1289"/>
      <c r="BW54" s="1289"/>
      <c r="BX54" s="1289"/>
      <c r="BY54" s="1289"/>
      <c r="BZ54" s="1289"/>
      <c r="CA54" s="1289"/>
      <c r="CB54" s="1289"/>
      <c r="CC54" s="1289"/>
      <c r="CD54" s="1289"/>
      <c r="CE54" s="1289"/>
      <c r="CF54" s="1289"/>
      <c r="CG54" s="1289"/>
      <c r="CH54" s="1289"/>
      <c r="CI54" s="1289"/>
      <c r="CJ54" s="1289"/>
      <c r="CK54" s="1289"/>
      <c r="CL54" s="1289"/>
      <c r="CM54" s="1289"/>
      <c r="CN54" s="1289"/>
      <c r="CO54" s="1289"/>
      <c r="CP54" s="1289"/>
      <c r="CQ54" s="1289"/>
      <c r="CR54" s="1289"/>
      <c r="CS54" s="1289"/>
      <c r="CT54" s="1289"/>
      <c r="CU54" s="1289"/>
      <c r="CV54" s="1289"/>
      <c r="CW54" s="1289"/>
      <c r="CX54" s="1289"/>
      <c r="CY54" s="1289"/>
      <c r="CZ54" s="1289"/>
      <c r="DA54" s="1289"/>
      <c r="DB54" s="1289"/>
      <c r="DC54" s="1289"/>
      <c r="DD54" s="1289"/>
      <c r="DE54" s="1289"/>
      <c r="DF54" s="1289"/>
      <c r="DG54" s="1289"/>
      <c r="DH54" s="1289"/>
      <c r="DI54" s="1289"/>
      <c r="DJ54" s="1289"/>
      <c r="DK54" s="1289"/>
      <c r="DL54" s="1289"/>
      <c r="DM54" s="1289"/>
      <c r="DN54" s="1289"/>
      <c r="DO54" s="1289"/>
      <c r="DP54" s="1289"/>
      <c r="DQ54" s="1289"/>
      <c r="DR54" s="1289"/>
      <c r="DS54" s="1289"/>
      <c r="DT54" s="1289"/>
      <c r="DU54" s="1289"/>
      <c r="DV54" s="1289"/>
      <c r="DW54" s="1289"/>
      <c r="DX54" s="1289"/>
      <c r="DY54" s="1289"/>
      <c r="DZ54" s="1289"/>
      <c r="EA54" s="1289"/>
      <c r="EB54" s="1289"/>
      <c r="EC54" s="1289"/>
      <c r="ED54" s="1289"/>
      <c r="EE54" s="1289"/>
      <c r="EF54" s="1289"/>
      <c r="EG54" s="1289"/>
      <c r="EH54" s="1289"/>
      <c r="EI54" s="1289"/>
      <c r="EJ54" s="1289"/>
      <c r="EK54" s="1289"/>
      <c r="EL54" s="1289"/>
      <c r="EM54" s="1289"/>
      <c r="EN54" s="1289"/>
      <c r="EO54" s="1289"/>
      <c r="EP54" s="1289"/>
      <c r="EQ54" s="1289"/>
      <c r="ER54" s="1289"/>
      <c r="ES54" s="1289"/>
      <c r="ET54" s="1289"/>
      <c r="EU54" s="1289"/>
      <c r="EV54" s="1289"/>
      <c r="EW54" s="1289"/>
      <c r="EX54" s="1289"/>
      <c r="EY54" s="1289"/>
      <c r="EZ54" s="1289"/>
      <c r="FA54" s="1289"/>
      <c r="FB54" s="1289"/>
      <c r="FC54" s="1289"/>
      <c r="FD54" s="1289"/>
      <c r="FE54" s="1289"/>
      <c r="FF54" s="1289"/>
      <c r="FG54" s="1289"/>
      <c r="FH54" s="1289"/>
      <c r="FI54" s="1289"/>
      <c r="FJ54" s="1289"/>
      <c r="FK54" s="1289"/>
      <c r="FL54" s="1289"/>
      <c r="FM54" s="1289"/>
      <c r="FN54" s="1289"/>
      <c r="FO54" s="1289"/>
      <c r="FP54" s="1289"/>
      <c r="FQ54" s="1289"/>
      <c r="FR54" s="1289"/>
      <c r="FS54" s="1289"/>
      <c r="FT54" s="1289"/>
      <c r="FU54" s="1289"/>
      <c r="FV54" s="1289"/>
      <c r="FW54" s="1289"/>
      <c r="FX54" s="1289"/>
      <c r="FY54" s="1289"/>
      <c r="FZ54" s="1289"/>
      <c r="GA54" s="1289"/>
      <c r="GB54" s="1289"/>
      <c r="GC54" s="1289"/>
      <c r="GD54" s="1289"/>
      <c r="GE54" s="1289"/>
      <c r="GF54" s="1289"/>
      <c r="GG54" s="1289"/>
      <c r="GH54" s="1289"/>
      <c r="GI54" s="1289"/>
      <c r="GJ54" s="1289"/>
      <c r="GK54" s="1289"/>
      <c r="GL54" s="1289"/>
      <c r="GM54" s="1289"/>
    </row>
    <row r="55" spans="1:195" s="1299" customFormat="1" ht="15" hidden="1" outlineLevel="1">
      <c r="A55" s="2003"/>
      <c r="B55" s="2003"/>
      <c r="C55" s="2003"/>
      <c r="D55" s="1312"/>
      <c r="E55" s="1313" t="s">
        <v>1084</v>
      </c>
      <c r="F55" s="1286">
        <f>F169</f>
        <v>367107</v>
      </c>
      <c r="G55" s="2571">
        <f>G169</f>
        <v>482480</v>
      </c>
      <c r="H55" s="1285">
        <f t="shared" si="4"/>
        <v>115373</v>
      </c>
      <c r="I55" s="1834">
        <f t="shared" si="5"/>
        <v>0.31427621919494864</v>
      </c>
      <c r="J55" s="1314"/>
      <c r="K55" s="1282"/>
      <c r="L55" s="1087"/>
      <c r="M55" s="2578"/>
      <c r="N55" s="2579"/>
      <c r="O55" s="1289"/>
      <c r="P55" s="1289"/>
      <c r="Q55" s="1289"/>
      <c r="R55" s="1289"/>
      <c r="S55" s="1289"/>
      <c r="T55" s="1289"/>
      <c r="U55" s="1289"/>
      <c r="V55" s="1289"/>
      <c r="W55" s="1289"/>
      <c r="X55" s="1289"/>
      <c r="Y55" s="1289"/>
      <c r="Z55" s="1289"/>
      <c r="AA55" s="1289"/>
      <c r="AB55" s="1289"/>
      <c r="AC55" s="1289"/>
      <c r="AD55" s="1289"/>
      <c r="AE55" s="1289"/>
      <c r="AF55" s="1289"/>
      <c r="AG55" s="1289"/>
      <c r="AH55" s="1289"/>
      <c r="AI55" s="1289"/>
      <c r="AJ55" s="1289"/>
      <c r="AK55" s="1289"/>
      <c r="AL55" s="1289"/>
      <c r="AM55" s="1289"/>
      <c r="AN55" s="1289"/>
      <c r="AO55" s="1289"/>
      <c r="AP55" s="1289"/>
      <c r="AQ55" s="1289"/>
      <c r="AR55" s="1289"/>
      <c r="AS55" s="1289"/>
      <c r="AT55" s="1289"/>
      <c r="AU55" s="1289"/>
      <c r="AV55" s="1289"/>
      <c r="AW55" s="1289"/>
      <c r="AX55" s="1289"/>
      <c r="AY55" s="1289"/>
      <c r="AZ55" s="1289"/>
      <c r="BA55" s="1289"/>
      <c r="BB55" s="1289"/>
      <c r="BC55" s="1289"/>
      <c r="BD55" s="1289"/>
      <c r="BE55" s="1289"/>
      <c r="BF55" s="1289"/>
      <c r="BG55" s="1289"/>
      <c r="BH55" s="1289"/>
      <c r="BI55" s="1289"/>
      <c r="BJ55" s="1289"/>
      <c r="BK55" s="1289"/>
      <c r="BL55" s="1289"/>
      <c r="BM55" s="1289"/>
      <c r="BN55" s="1289"/>
      <c r="BO55" s="1289"/>
      <c r="BP55" s="1289"/>
      <c r="BQ55" s="1289"/>
      <c r="BR55" s="1289"/>
      <c r="BS55" s="1289"/>
      <c r="BT55" s="1289"/>
      <c r="BU55" s="1289"/>
      <c r="BV55" s="1289"/>
      <c r="BW55" s="1289"/>
      <c r="BX55" s="1289"/>
      <c r="BY55" s="1289"/>
      <c r="BZ55" s="1289"/>
      <c r="CA55" s="1289"/>
      <c r="CB55" s="1289"/>
      <c r="CC55" s="1289"/>
      <c r="CD55" s="1289"/>
      <c r="CE55" s="1289"/>
      <c r="CF55" s="1289"/>
      <c r="CG55" s="1289"/>
      <c r="CH55" s="1289"/>
      <c r="CI55" s="1289"/>
      <c r="CJ55" s="1289"/>
      <c r="CK55" s="1289"/>
      <c r="CL55" s="1289"/>
      <c r="CM55" s="1289"/>
      <c r="CN55" s="1289"/>
      <c r="CO55" s="1289"/>
      <c r="CP55" s="1289"/>
      <c r="CQ55" s="1289"/>
      <c r="CR55" s="1289"/>
      <c r="CS55" s="1289"/>
      <c r="CT55" s="1289"/>
      <c r="CU55" s="1289"/>
      <c r="CV55" s="1289"/>
      <c r="CW55" s="1289"/>
      <c r="CX55" s="1289"/>
      <c r="CY55" s="1289"/>
      <c r="CZ55" s="1289"/>
      <c r="DA55" s="1289"/>
      <c r="DB55" s="1289"/>
      <c r="DC55" s="1289"/>
      <c r="DD55" s="1289"/>
      <c r="DE55" s="1289"/>
      <c r="DF55" s="1289"/>
      <c r="DG55" s="1289"/>
      <c r="DH55" s="1289"/>
      <c r="DI55" s="1289"/>
      <c r="DJ55" s="1289"/>
      <c r="DK55" s="1289"/>
      <c r="DL55" s="1289"/>
      <c r="DM55" s="1289"/>
      <c r="DN55" s="1289"/>
      <c r="DO55" s="1289"/>
      <c r="DP55" s="1289"/>
      <c r="DQ55" s="1289"/>
      <c r="DR55" s="1289"/>
      <c r="DS55" s="1289"/>
      <c r="DT55" s="1289"/>
      <c r="DU55" s="1289"/>
      <c r="DV55" s="1289"/>
      <c r="DW55" s="1289"/>
      <c r="DX55" s="1289"/>
      <c r="DY55" s="1289"/>
      <c r="DZ55" s="1289"/>
      <c r="EA55" s="1289"/>
      <c r="EB55" s="1289"/>
      <c r="EC55" s="1289"/>
      <c r="ED55" s="1289"/>
      <c r="EE55" s="1289"/>
      <c r="EF55" s="1289"/>
      <c r="EG55" s="1289"/>
      <c r="EH55" s="1289"/>
      <c r="EI55" s="1289"/>
      <c r="EJ55" s="1289"/>
      <c r="EK55" s="1289"/>
      <c r="EL55" s="1289"/>
      <c r="EM55" s="1289"/>
      <c r="EN55" s="1289"/>
      <c r="EO55" s="1289"/>
      <c r="EP55" s="1289"/>
      <c r="EQ55" s="1289"/>
      <c r="ER55" s="1289"/>
      <c r="ES55" s="1289"/>
      <c r="ET55" s="1289"/>
      <c r="EU55" s="1289"/>
      <c r="EV55" s="1289"/>
      <c r="EW55" s="1289"/>
      <c r="EX55" s="1289"/>
      <c r="EY55" s="1289"/>
      <c r="EZ55" s="1289"/>
      <c r="FA55" s="1289"/>
      <c r="FB55" s="1289"/>
      <c r="FC55" s="1289"/>
      <c r="FD55" s="1289"/>
      <c r="FE55" s="1289"/>
      <c r="FF55" s="1289"/>
      <c r="FG55" s="1289"/>
      <c r="FH55" s="1289"/>
      <c r="FI55" s="1289"/>
      <c r="FJ55" s="1289"/>
      <c r="FK55" s="1289"/>
      <c r="FL55" s="1289"/>
      <c r="FM55" s="1289"/>
      <c r="FN55" s="1289"/>
      <c r="FO55" s="1289"/>
      <c r="FP55" s="1289"/>
      <c r="FQ55" s="1289"/>
      <c r="FR55" s="1289"/>
      <c r="FS55" s="1289"/>
      <c r="FT55" s="1289"/>
      <c r="FU55" s="1289"/>
      <c r="FV55" s="1289"/>
      <c r="FW55" s="1289"/>
      <c r="FX55" s="1289"/>
      <c r="FY55" s="1289"/>
      <c r="FZ55" s="1289"/>
      <c r="GA55" s="1289"/>
      <c r="GB55" s="1289"/>
      <c r="GC55" s="1289"/>
      <c r="GD55" s="1289"/>
      <c r="GE55" s="1289"/>
      <c r="GF55" s="1289"/>
      <c r="GG55" s="1289"/>
      <c r="GH55" s="1289"/>
      <c r="GI55" s="1289"/>
      <c r="GJ55" s="1289"/>
      <c r="GK55" s="1289"/>
      <c r="GL55" s="1289"/>
      <c r="GM55" s="1289"/>
    </row>
    <row r="56" spans="1:195" s="1299" customFormat="1" ht="15" hidden="1" outlineLevel="1">
      <c r="A56" s="2003"/>
      <c r="B56" s="2003"/>
      <c r="C56" s="2003"/>
      <c r="D56" s="1312"/>
      <c r="E56" s="1313" t="s">
        <v>1249</v>
      </c>
      <c r="F56" s="1286">
        <f>F64+F93+F99+F105+F171+F226+F267</f>
        <v>2124379.7999999998</v>
      </c>
      <c r="G56" s="2571">
        <f>G64+G93+G99+G105+G171+G226+G267</f>
        <v>4376281.79</v>
      </c>
      <c r="H56" s="1285">
        <f t="shared" si="4"/>
        <v>2251901.9900000002</v>
      </c>
      <c r="I56" s="1834">
        <f t="shared" si="5"/>
        <v>1.0600279620433222</v>
      </c>
      <c r="J56" s="1314"/>
      <c r="K56" s="1282"/>
      <c r="L56" s="1087"/>
      <c r="M56" s="2578"/>
      <c r="N56" s="2579"/>
      <c r="O56" s="1289"/>
      <c r="P56" s="1289"/>
      <c r="Q56" s="1289"/>
      <c r="R56" s="1289"/>
      <c r="S56" s="1289"/>
      <c r="T56" s="1289"/>
      <c r="U56" s="1289"/>
      <c r="V56" s="1289"/>
      <c r="W56" s="1289"/>
      <c r="X56" s="1289"/>
      <c r="Y56" s="1289"/>
      <c r="Z56" s="1289"/>
      <c r="AA56" s="1289"/>
      <c r="AB56" s="1289"/>
      <c r="AC56" s="1289"/>
      <c r="AD56" s="1289"/>
      <c r="AE56" s="1289"/>
      <c r="AF56" s="1289"/>
      <c r="AG56" s="1289"/>
      <c r="AH56" s="1289"/>
      <c r="AI56" s="1289"/>
      <c r="AJ56" s="1289"/>
      <c r="AK56" s="1289"/>
      <c r="AL56" s="1289"/>
      <c r="AM56" s="1289"/>
      <c r="AN56" s="1289"/>
      <c r="AO56" s="1289"/>
      <c r="AP56" s="1289"/>
      <c r="AQ56" s="1289"/>
      <c r="AR56" s="1289"/>
      <c r="AS56" s="1289"/>
      <c r="AT56" s="1289"/>
      <c r="AU56" s="1289"/>
      <c r="AV56" s="1289"/>
      <c r="AW56" s="1289"/>
      <c r="AX56" s="1289"/>
      <c r="AY56" s="1289"/>
      <c r="AZ56" s="1289"/>
      <c r="BA56" s="1289"/>
      <c r="BB56" s="1289"/>
      <c r="BC56" s="1289"/>
      <c r="BD56" s="1289"/>
      <c r="BE56" s="1289"/>
      <c r="BF56" s="1289"/>
      <c r="BG56" s="1289"/>
      <c r="BH56" s="1289"/>
      <c r="BI56" s="1289"/>
      <c r="BJ56" s="1289"/>
      <c r="BK56" s="1289"/>
      <c r="BL56" s="1289"/>
      <c r="BM56" s="1289"/>
      <c r="BN56" s="1289"/>
      <c r="BO56" s="1289"/>
      <c r="BP56" s="1289"/>
      <c r="BQ56" s="1289"/>
      <c r="BR56" s="1289"/>
      <c r="BS56" s="1289"/>
      <c r="BT56" s="1289"/>
      <c r="BU56" s="1289"/>
      <c r="BV56" s="1289"/>
      <c r="BW56" s="1289"/>
      <c r="BX56" s="1289"/>
      <c r="BY56" s="1289"/>
      <c r="BZ56" s="1289"/>
      <c r="CA56" s="1289"/>
      <c r="CB56" s="1289"/>
      <c r="CC56" s="1289"/>
      <c r="CD56" s="1289"/>
      <c r="CE56" s="1289"/>
      <c r="CF56" s="1289"/>
      <c r="CG56" s="1289"/>
      <c r="CH56" s="1289"/>
      <c r="CI56" s="1289"/>
      <c r="CJ56" s="1289"/>
      <c r="CK56" s="1289"/>
      <c r="CL56" s="1289"/>
      <c r="CM56" s="1289"/>
      <c r="CN56" s="1289"/>
      <c r="CO56" s="1289"/>
      <c r="CP56" s="1289"/>
      <c r="CQ56" s="1289"/>
      <c r="CR56" s="1289"/>
      <c r="CS56" s="1289"/>
      <c r="CT56" s="1289"/>
      <c r="CU56" s="1289"/>
      <c r="CV56" s="1289"/>
      <c r="CW56" s="1289"/>
      <c r="CX56" s="1289"/>
      <c r="CY56" s="1289"/>
      <c r="CZ56" s="1289"/>
      <c r="DA56" s="1289"/>
      <c r="DB56" s="1289"/>
      <c r="DC56" s="1289"/>
      <c r="DD56" s="1289"/>
      <c r="DE56" s="1289"/>
      <c r="DF56" s="1289"/>
      <c r="DG56" s="1289"/>
      <c r="DH56" s="1289"/>
      <c r="DI56" s="1289"/>
      <c r="DJ56" s="1289"/>
      <c r="DK56" s="1289"/>
      <c r="DL56" s="1289"/>
      <c r="DM56" s="1289"/>
      <c r="DN56" s="1289"/>
      <c r="DO56" s="1289"/>
      <c r="DP56" s="1289"/>
      <c r="DQ56" s="1289"/>
      <c r="DR56" s="1289"/>
      <c r="DS56" s="1289"/>
      <c r="DT56" s="1289"/>
      <c r="DU56" s="1289"/>
      <c r="DV56" s="1289"/>
      <c r="DW56" s="1289"/>
      <c r="DX56" s="1289"/>
      <c r="DY56" s="1289"/>
      <c r="DZ56" s="1289"/>
      <c r="EA56" s="1289"/>
      <c r="EB56" s="1289"/>
      <c r="EC56" s="1289"/>
      <c r="ED56" s="1289"/>
      <c r="EE56" s="1289"/>
      <c r="EF56" s="1289"/>
      <c r="EG56" s="1289"/>
      <c r="EH56" s="1289"/>
      <c r="EI56" s="1289"/>
      <c r="EJ56" s="1289"/>
      <c r="EK56" s="1289"/>
      <c r="EL56" s="1289"/>
      <c r="EM56" s="1289"/>
      <c r="EN56" s="1289"/>
      <c r="EO56" s="1289"/>
      <c r="EP56" s="1289"/>
      <c r="EQ56" s="1289"/>
      <c r="ER56" s="1289"/>
      <c r="ES56" s="1289"/>
      <c r="ET56" s="1289"/>
      <c r="EU56" s="1289"/>
      <c r="EV56" s="1289"/>
      <c r="EW56" s="1289"/>
      <c r="EX56" s="1289"/>
      <c r="EY56" s="1289"/>
      <c r="EZ56" s="1289"/>
      <c r="FA56" s="1289"/>
      <c r="FB56" s="1289"/>
      <c r="FC56" s="1289"/>
      <c r="FD56" s="1289"/>
      <c r="FE56" s="1289"/>
      <c r="FF56" s="1289"/>
      <c r="FG56" s="1289"/>
      <c r="FH56" s="1289"/>
      <c r="FI56" s="1289"/>
      <c r="FJ56" s="1289"/>
      <c r="FK56" s="1289"/>
      <c r="FL56" s="1289"/>
      <c r="FM56" s="1289"/>
      <c r="FN56" s="1289"/>
      <c r="FO56" s="1289"/>
      <c r="FP56" s="1289"/>
      <c r="FQ56" s="1289"/>
      <c r="FR56" s="1289"/>
      <c r="FS56" s="1289"/>
      <c r="FT56" s="1289"/>
      <c r="FU56" s="1289"/>
      <c r="FV56" s="1289"/>
      <c r="FW56" s="1289"/>
      <c r="FX56" s="1289"/>
      <c r="FY56" s="1289"/>
      <c r="FZ56" s="1289"/>
      <c r="GA56" s="1289"/>
      <c r="GB56" s="1289"/>
      <c r="GC56" s="1289"/>
      <c r="GD56" s="1289"/>
      <c r="GE56" s="1289"/>
      <c r="GF56" s="1289"/>
      <c r="GG56" s="1289"/>
      <c r="GH56" s="1289"/>
      <c r="GI56" s="1289"/>
      <c r="GJ56" s="1289"/>
      <c r="GK56" s="1289"/>
      <c r="GL56" s="1289"/>
      <c r="GM56" s="1289"/>
    </row>
    <row r="57" spans="1:195" s="1299" customFormat="1" ht="15.75" hidden="1" outlineLevel="1" thickBot="1">
      <c r="A57" s="2003"/>
      <c r="B57" s="2003"/>
      <c r="C57" s="2003"/>
      <c r="D57" s="1297"/>
      <c r="E57" s="1294" t="s">
        <v>566</v>
      </c>
      <c r="F57" s="1280">
        <f>F106+F172+F227</f>
        <v>2340573.98</v>
      </c>
      <c r="G57" s="1870">
        <f>G106+G172+G227</f>
        <v>3124218.3571699997</v>
      </c>
      <c r="H57" s="1285">
        <f t="shared" si="4"/>
        <v>783644.37716999976</v>
      </c>
      <c r="I57" s="1834">
        <f t="shared" si="5"/>
        <v>0.33480863406419642</v>
      </c>
      <c r="J57" s="1300"/>
      <c r="K57" s="1282"/>
      <c r="L57" s="1087"/>
      <c r="M57" s="2578"/>
      <c r="N57" s="2579"/>
      <c r="O57" s="1289"/>
      <c r="P57" s="1289"/>
      <c r="Q57" s="1289"/>
      <c r="R57" s="1289"/>
      <c r="S57" s="1289"/>
      <c r="T57" s="1289"/>
      <c r="U57" s="1289"/>
      <c r="V57" s="1289"/>
      <c r="W57" s="1289"/>
      <c r="X57" s="1289"/>
      <c r="Y57" s="1289"/>
      <c r="Z57" s="1289"/>
      <c r="AA57" s="1289"/>
      <c r="AB57" s="1289"/>
      <c r="AC57" s="1289"/>
      <c r="AD57" s="1289"/>
      <c r="AE57" s="1289"/>
      <c r="AF57" s="1289"/>
      <c r="AG57" s="1289"/>
      <c r="AH57" s="1289"/>
      <c r="AI57" s="1289"/>
      <c r="AJ57" s="1289"/>
      <c r="AK57" s="1289"/>
      <c r="AL57" s="1289"/>
      <c r="AM57" s="1289"/>
      <c r="AN57" s="1289"/>
      <c r="AO57" s="1289"/>
      <c r="AP57" s="1289"/>
      <c r="AQ57" s="1289"/>
      <c r="AR57" s="1289"/>
      <c r="AS57" s="1289"/>
      <c r="AT57" s="1289"/>
      <c r="AU57" s="1289"/>
      <c r="AV57" s="1289"/>
      <c r="AW57" s="1289"/>
      <c r="AX57" s="1289"/>
      <c r="AY57" s="1289"/>
      <c r="AZ57" s="1289"/>
      <c r="BA57" s="1289"/>
      <c r="BB57" s="1289"/>
      <c r="BC57" s="1289"/>
      <c r="BD57" s="1289"/>
      <c r="BE57" s="1289"/>
      <c r="BF57" s="1289"/>
      <c r="BG57" s="1289"/>
      <c r="BH57" s="1289"/>
      <c r="BI57" s="1289"/>
      <c r="BJ57" s="1289"/>
      <c r="BK57" s="1289"/>
      <c r="BL57" s="1289"/>
      <c r="BM57" s="1289"/>
      <c r="BN57" s="1289"/>
      <c r="BO57" s="1289"/>
      <c r="BP57" s="1289"/>
      <c r="BQ57" s="1289"/>
      <c r="BR57" s="1289"/>
      <c r="BS57" s="1289"/>
      <c r="BT57" s="1289"/>
      <c r="BU57" s="1289"/>
      <c r="BV57" s="1289"/>
      <c r="BW57" s="1289"/>
      <c r="BX57" s="1289"/>
      <c r="BY57" s="1289"/>
      <c r="BZ57" s="1289"/>
      <c r="CA57" s="1289"/>
      <c r="CB57" s="1289"/>
      <c r="CC57" s="1289"/>
      <c r="CD57" s="1289"/>
      <c r="CE57" s="1289"/>
      <c r="CF57" s="1289"/>
      <c r="CG57" s="1289"/>
      <c r="CH57" s="1289"/>
      <c r="CI57" s="1289"/>
      <c r="CJ57" s="1289"/>
      <c r="CK57" s="1289"/>
      <c r="CL57" s="1289"/>
      <c r="CM57" s="1289"/>
      <c r="CN57" s="1289"/>
      <c r="CO57" s="1289"/>
      <c r="CP57" s="1289"/>
      <c r="CQ57" s="1289"/>
      <c r="CR57" s="1289"/>
      <c r="CS57" s="1289"/>
      <c r="CT57" s="1289"/>
      <c r="CU57" s="1289"/>
      <c r="CV57" s="1289"/>
      <c r="CW57" s="1289"/>
      <c r="CX57" s="1289"/>
      <c r="CY57" s="1289"/>
      <c r="CZ57" s="1289"/>
      <c r="DA57" s="1289"/>
      <c r="DB57" s="1289"/>
      <c r="DC57" s="1289"/>
      <c r="DD57" s="1289"/>
      <c r="DE57" s="1289"/>
      <c r="DF57" s="1289"/>
      <c r="DG57" s="1289"/>
      <c r="DH57" s="1289"/>
      <c r="DI57" s="1289"/>
      <c r="DJ57" s="1289"/>
      <c r="DK57" s="1289"/>
      <c r="DL57" s="1289"/>
      <c r="DM57" s="1289"/>
      <c r="DN57" s="1289"/>
      <c r="DO57" s="1289"/>
      <c r="DP57" s="1289"/>
      <c r="DQ57" s="1289"/>
      <c r="DR57" s="1289"/>
      <c r="DS57" s="1289"/>
      <c r="DT57" s="1289"/>
      <c r="DU57" s="1289"/>
      <c r="DV57" s="1289"/>
      <c r="DW57" s="1289"/>
      <c r="DX57" s="1289"/>
      <c r="DY57" s="1289"/>
      <c r="DZ57" s="1289"/>
      <c r="EA57" s="1289"/>
      <c r="EB57" s="1289"/>
      <c r="EC57" s="1289"/>
      <c r="ED57" s="1289"/>
      <c r="EE57" s="1289"/>
      <c r="EF57" s="1289"/>
      <c r="EG57" s="1289"/>
      <c r="EH57" s="1289"/>
      <c r="EI57" s="1289"/>
      <c r="EJ57" s="1289"/>
      <c r="EK57" s="1289"/>
      <c r="EL57" s="1289"/>
      <c r="EM57" s="1289"/>
      <c r="EN57" s="1289"/>
      <c r="EO57" s="1289"/>
      <c r="EP57" s="1289"/>
      <c r="EQ57" s="1289"/>
      <c r="ER57" s="1289"/>
      <c r="ES57" s="1289"/>
      <c r="ET57" s="1289"/>
      <c r="EU57" s="1289"/>
      <c r="EV57" s="1289"/>
      <c r="EW57" s="1289"/>
      <c r="EX57" s="1289"/>
      <c r="EY57" s="1289"/>
      <c r="EZ57" s="1289"/>
      <c r="FA57" s="1289"/>
      <c r="FB57" s="1289"/>
      <c r="FC57" s="1289"/>
      <c r="FD57" s="1289"/>
      <c r="FE57" s="1289"/>
      <c r="FF57" s="1289"/>
      <c r="FG57" s="1289"/>
      <c r="FH57" s="1289"/>
      <c r="FI57" s="1289"/>
      <c r="FJ57" s="1289"/>
      <c r="FK57" s="1289"/>
      <c r="FL57" s="1289"/>
      <c r="FM57" s="1289"/>
      <c r="FN57" s="1289"/>
      <c r="FO57" s="1289"/>
      <c r="FP57" s="1289"/>
      <c r="FQ57" s="1289"/>
      <c r="FR57" s="1289"/>
      <c r="FS57" s="1289"/>
      <c r="FT57" s="1289"/>
      <c r="FU57" s="1289"/>
      <c r="FV57" s="1289"/>
      <c r="FW57" s="1289"/>
      <c r="FX57" s="1289"/>
      <c r="FY57" s="1289"/>
      <c r="FZ57" s="1289"/>
      <c r="GA57" s="1289"/>
      <c r="GB57" s="1289"/>
      <c r="GC57" s="1289"/>
      <c r="GD57" s="1289"/>
      <c r="GE57" s="1289"/>
      <c r="GF57" s="1289"/>
      <c r="GG57" s="1289"/>
      <c r="GH57" s="1289"/>
      <c r="GI57" s="1289"/>
      <c r="GJ57" s="1289"/>
      <c r="GK57" s="1289"/>
      <c r="GL57" s="1289"/>
      <c r="GM57" s="1289"/>
    </row>
    <row r="58" spans="1:195" ht="14.25" collapsed="1">
      <c r="A58" s="1854"/>
      <c r="D58" s="123" t="s">
        <v>10</v>
      </c>
      <c r="E58" s="124" t="s">
        <v>150</v>
      </c>
      <c r="F58" s="450">
        <f>F65+F70+F71+F76+F77+F78+F81+F82+F83</f>
        <v>8433604.0545738488</v>
      </c>
      <c r="G58" s="4064">
        <f>G65+G70+G71+G76+G77+G78+G81+G82+G83</f>
        <v>11584925.99087845</v>
      </c>
      <c r="H58" s="125">
        <f t="shared" si="4"/>
        <v>3151321.9363046009</v>
      </c>
      <c r="I58" s="1835">
        <f>IFERROR(H58/F58,"-")</f>
        <v>0.37366254283606365</v>
      </c>
      <c r="J58" s="1128"/>
      <c r="K58" s="227"/>
      <c r="M58" s="84"/>
      <c r="N58" s="2577"/>
    </row>
    <row r="59" spans="1:195" s="477" customFormat="1" ht="15">
      <c r="A59" s="2122"/>
      <c r="B59" s="2123"/>
      <c r="C59" s="2122"/>
      <c r="D59" s="472"/>
      <c r="E59" s="473" t="s">
        <v>663</v>
      </c>
      <c r="F59" s="474">
        <f>F66+F70+F72+F76+F77+F79+F84</f>
        <v>2229023.622545369</v>
      </c>
      <c r="G59" s="474">
        <f>G66+G70+G72+G76+G77+G79+G84</f>
        <v>2380641.70837845</v>
      </c>
      <c r="H59" s="475">
        <f t="shared" si="4"/>
        <v>151618.08583308104</v>
      </c>
      <c r="I59" s="1831">
        <f t="shared" si="5"/>
        <v>6.8019954701038637E-2</v>
      </c>
      <c r="J59" s="1136"/>
      <c r="K59" s="1229"/>
      <c r="L59" s="2017"/>
      <c r="M59" s="2576"/>
      <c r="N59" s="2577"/>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c r="AM59" s="1860"/>
      <c r="AN59" s="1860"/>
      <c r="AO59" s="1860"/>
      <c r="AP59" s="1860"/>
      <c r="AQ59" s="1860"/>
      <c r="AR59" s="1860"/>
      <c r="AS59" s="1860"/>
      <c r="AT59" s="1860"/>
      <c r="AU59" s="1860"/>
      <c r="AV59" s="1860"/>
      <c r="AW59" s="1860"/>
      <c r="AX59" s="1860"/>
      <c r="AY59" s="1860"/>
      <c r="AZ59" s="1860"/>
      <c r="BA59" s="1860"/>
      <c r="BB59" s="1860"/>
      <c r="BC59" s="1860"/>
      <c r="BD59" s="1860"/>
      <c r="BE59" s="1860"/>
      <c r="BF59" s="1860"/>
      <c r="BG59" s="1860"/>
      <c r="BH59" s="1860"/>
      <c r="BI59" s="1860"/>
      <c r="BJ59" s="1860"/>
      <c r="BK59" s="1860"/>
      <c r="BL59" s="1860"/>
      <c r="BM59" s="1860"/>
      <c r="BN59" s="1860"/>
      <c r="BO59" s="1860"/>
      <c r="BP59" s="1860"/>
      <c r="BQ59" s="1860"/>
      <c r="BR59" s="1860"/>
      <c r="BS59" s="1860"/>
      <c r="BT59" s="1860"/>
      <c r="BU59" s="1860"/>
      <c r="BV59" s="1860"/>
      <c r="BW59" s="1860"/>
      <c r="BX59" s="1860"/>
      <c r="BY59" s="1860"/>
      <c r="BZ59" s="1860"/>
      <c r="CA59" s="1860"/>
      <c r="CB59" s="1860"/>
      <c r="CC59" s="1860"/>
      <c r="CD59" s="1860"/>
      <c r="CE59" s="1860"/>
      <c r="CF59" s="1860"/>
      <c r="CG59" s="1860"/>
      <c r="CH59" s="1860"/>
      <c r="CI59" s="1860"/>
      <c r="CJ59" s="1860"/>
      <c r="CK59" s="1860"/>
      <c r="CL59" s="1860"/>
      <c r="CM59" s="1860"/>
      <c r="CN59" s="1860"/>
      <c r="CO59" s="1860"/>
      <c r="CP59" s="1860"/>
      <c r="CQ59" s="1860"/>
      <c r="CR59" s="1860"/>
      <c r="CS59" s="1860"/>
      <c r="CT59" s="1860"/>
      <c r="CU59" s="1860"/>
      <c r="CV59" s="1860"/>
      <c r="CW59" s="1860"/>
      <c r="CX59" s="1860"/>
      <c r="CY59" s="1860"/>
      <c r="CZ59" s="1860"/>
      <c r="DA59" s="1860"/>
      <c r="DB59" s="1860"/>
      <c r="DC59" s="1860"/>
      <c r="DD59" s="1860"/>
      <c r="DE59" s="1860"/>
      <c r="DF59" s="1860"/>
      <c r="DG59" s="1860"/>
      <c r="DH59" s="1860"/>
      <c r="DI59" s="1860"/>
      <c r="DJ59" s="1860"/>
      <c r="DK59" s="1860"/>
      <c r="DL59" s="1860"/>
      <c r="DM59" s="1860"/>
      <c r="DN59" s="1860"/>
      <c r="DO59" s="1860"/>
      <c r="DP59" s="1860"/>
      <c r="DQ59" s="1860"/>
      <c r="DR59" s="1860"/>
      <c r="DS59" s="1860"/>
      <c r="DT59" s="1860"/>
      <c r="DU59" s="1860"/>
      <c r="DV59" s="1860"/>
      <c r="DW59" s="1860"/>
      <c r="DX59" s="1860"/>
      <c r="DY59" s="1860"/>
      <c r="DZ59" s="1860"/>
      <c r="EA59" s="1860"/>
      <c r="EB59" s="1860"/>
      <c r="EC59" s="1860"/>
      <c r="ED59" s="1860"/>
      <c r="EE59" s="1860"/>
      <c r="EF59" s="1860"/>
      <c r="EG59" s="1860"/>
      <c r="EH59" s="1860"/>
      <c r="EI59" s="1860"/>
      <c r="EJ59" s="1860"/>
      <c r="EK59" s="1860"/>
      <c r="EL59" s="1860"/>
      <c r="EM59" s="1860"/>
      <c r="EN59" s="1860"/>
      <c r="EO59" s="1860"/>
      <c r="EP59" s="1860"/>
      <c r="EQ59" s="1860"/>
      <c r="ER59" s="1860"/>
      <c r="ES59" s="1860"/>
      <c r="ET59" s="1860"/>
      <c r="EU59" s="1860"/>
      <c r="EV59" s="1860"/>
      <c r="EW59" s="1860"/>
      <c r="EX59" s="1860"/>
      <c r="EY59" s="1860"/>
      <c r="EZ59" s="1860"/>
      <c r="FA59" s="1860"/>
      <c r="FB59" s="1860"/>
      <c r="FC59" s="1860"/>
      <c r="FD59" s="1860"/>
      <c r="FE59" s="1860"/>
      <c r="FF59" s="1860"/>
      <c r="FG59" s="1860"/>
      <c r="FH59" s="1860"/>
      <c r="FI59" s="1860"/>
      <c r="FJ59" s="1860"/>
      <c r="FK59" s="1860"/>
      <c r="FL59" s="1860"/>
      <c r="FM59" s="1860"/>
      <c r="FN59" s="1860"/>
      <c r="FO59" s="1860"/>
      <c r="FP59" s="1860"/>
      <c r="FQ59" s="1860"/>
      <c r="FR59" s="1860"/>
      <c r="FS59" s="1860"/>
      <c r="FT59" s="1860"/>
      <c r="FU59" s="1860"/>
      <c r="FV59" s="1860"/>
      <c r="FW59" s="1860"/>
      <c r="FX59" s="1860"/>
      <c r="FY59" s="1860"/>
      <c r="FZ59" s="1860"/>
      <c r="GA59" s="1860"/>
      <c r="GB59" s="1860"/>
      <c r="GC59" s="1860"/>
      <c r="GD59" s="1860"/>
      <c r="GE59" s="1860"/>
      <c r="GF59" s="1860"/>
      <c r="GG59" s="1860"/>
      <c r="GH59" s="1860"/>
      <c r="GI59" s="1860"/>
      <c r="GJ59" s="1860"/>
      <c r="GK59" s="1860"/>
      <c r="GL59" s="1860"/>
      <c r="GM59" s="1860"/>
    </row>
    <row r="60" spans="1:195" s="477" customFormat="1" ht="14.25">
      <c r="A60" s="2122"/>
      <c r="B60" s="2124"/>
      <c r="C60" s="2122"/>
      <c r="D60" s="478"/>
      <c r="E60" s="479" t="s">
        <v>579</v>
      </c>
      <c r="F60" s="474">
        <f>F67+F73+F85+F80</f>
        <v>506817.09400000004</v>
      </c>
      <c r="G60" s="474">
        <f>G67+G73+G85+G80</f>
        <v>520850.28250000003</v>
      </c>
      <c r="H60" s="475">
        <f t="shared" si="4"/>
        <v>14033.188499999989</v>
      </c>
      <c r="I60" s="1831">
        <f t="shared" si="5"/>
        <v>2.768886185200373E-2</v>
      </c>
      <c r="J60" s="1135"/>
      <c r="K60" s="1229"/>
      <c r="L60" s="2017"/>
      <c r="M60" s="2576"/>
      <c r="N60" s="2577"/>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c r="AM60" s="1860"/>
      <c r="AN60" s="1860"/>
      <c r="AO60" s="1860"/>
      <c r="AP60" s="1860"/>
      <c r="AQ60" s="1860"/>
      <c r="AR60" s="1860"/>
      <c r="AS60" s="1860"/>
      <c r="AT60" s="1860"/>
      <c r="AU60" s="1860"/>
      <c r="AV60" s="1860"/>
      <c r="AW60" s="1860"/>
      <c r="AX60" s="1860"/>
      <c r="AY60" s="1860"/>
      <c r="AZ60" s="1860"/>
      <c r="BA60" s="1860"/>
      <c r="BB60" s="1860"/>
      <c r="BC60" s="1860"/>
      <c r="BD60" s="1860"/>
      <c r="BE60" s="1860"/>
      <c r="BF60" s="1860"/>
      <c r="BG60" s="1860"/>
      <c r="BH60" s="1860"/>
      <c r="BI60" s="1860"/>
      <c r="BJ60" s="1860"/>
      <c r="BK60" s="1860"/>
      <c r="BL60" s="1860"/>
      <c r="BM60" s="1860"/>
      <c r="BN60" s="1860"/>
      <c r="BO60" s="1860"/>
      <c r="BP60" s="1860"/>
      <c r="BQ60" s="1860"/>
      <c r="BR60" s="1860"/>
      <c r="BS60" s="1860"/>
      <c r="BT60" s="1860"/>
      <c r="BU60" s="1860"/>
      <c r="BV60" s="1860"/>
      <c r="BW60" s="1860"/>
      <c r="BX60" s="1860"/>
      <c r="BY60" s="1860"/>
      <c r="BZ60" s="1860"/>
      <c r="CA60" s="1860"/>
      <c r="CB60" s="1860"/>
      <c r="CC60" s="1860"/>
      <c r="CD60" s="1860"/>
      <c r="CE60" s="1860"/>
      <c r="CF60" s="1860"/>
      <c r="CG60" s="1860"/>
      <c r="CH60" s="1860"/>
      <c r="CI60" s="1860"/>
      <c r="CJ60" s="1860"/>
      <c r="CK60" s="1860"/>
      <c r="CL60" s="1860"/>
      <c r="CM60" s="1860"/>
      <c r="CN60" s="1860"/>
      <c r="CO60" s="1860"/>
      <c r="CP60" s="1860"/>
      <c r="CQ60" s="1860"/>
      <c r="CR60" s="1860"/>
      <c r="CS60" s="1860"/>
      <c r="CT60" s="1860"/>
      <c r="CU60" s="1860"/>
      <c r="CV60" s="1860"/>
      <c r="CW60" s="1860"/>
      <c r="CX60" s="1860"/>
      <c r="CY60" s="1860"/>
      <c r="CZ60" s="1860"/>
      <c r="DA60" s="1860"/>
      <c r="DB60" s="1860"/>
      <c r="DC60" s="1860"/>
      <c r="DD60" s="1860"/>
      <c r="DE60" s="1860"/>
      <c r="DF60" s="1860"/>
      <c r="DG60" s="1860"/>
      <c r="DH60" s="1860"/>
      <c r="DI60" s="1860"/>
      <c r="DJ60" s="1860"/>
      <c r="DK60" s="1860"/>
      <c r="DL60" s="1860"/>
      <c r="DM60" s="1860"/>
      <c r="DN60" s="1860"/>
      <c r="DO60" s="1860"/>
      <c r="DP60" s="1860"/>
      <c r="DQ60" s="1860"/>
      <c r="DR60" s="1860"/>
      <c r="DS60" s="1860"/>
      <c r="DT60" s="1860"/>
      <c r="DU60" s="1860"/>
      <c r="DV60" s="1860"/>
      <c r="DW60" s="1860"/>
      <c r="DX60" s="1860"/>
      <c r="DY60" s="1860"/>
      <c r="DZ60" s="1860"/>
      <c r="EA60" s="1860"/>
      <c r="EB60" s="1860"/>
      <c r="EC60" s="1860"/>
      <c r="ED60" s="1860"/>
      <c r="EE60" s="1860"/>
      <c r="EF60" s="1860"/>
      <c r="EG60" s="1860"/>
      <c r="EH60" s="1860"/>
      <c r="EI60" s="1860"/>
      <c r="EJ60" s="1860"/>
      <c r="EK60" s="1860"/>
      <c r="EL60" s="1860"/>
      <c r="EM60" s="1860"/>
      <c r="EN60" s="1860"/>
      <c r="EO60" s="1860"/>
      <c r="EP60" s="1860"/>
      <c r="EQ60" s="1860"/>
      <c r="ER60" s="1860"/>
      <c r="ES60" s="1860"/>
      <c r="ET60" s="1860"/>
      <c r="EU60" s="1860"/>
      <c r="EV60" s="1860"/>
      <c r="EW60" s="1860"/>
      <c r="EX60" s="1860"/>
      <c r="EY60" s="1860"/>
      <c r="EZ60" s="1860"/>
      <c r="FA60" s="1860"/>
      <c r="FB60" s="1860"/>
      <c r="FC60" s="1860"/>
      <c r="FD60" s="1860"/>
      <c r="FE60" s="1860"/>
      <c r="FF60" s="1860"/>
      <c r="FG60" s="1860"/>
      <c r="FH60" s="1860"/>
      <c r="FI60" s="1860"/>
      <c r="FJ60" s="1860"/>
      <c r="FK60" s="1860"/>
      <c r="FL60" s="1860"/>
      <c r="FM60" s="1860"/>
      <c r="FN60" s="1860"/>
      <c r="FO60" s="1860"/>
      <c r="FP60" s="1860"/>
      <c r="FQ60" s="1860"/>
      <c r="FR60" s="1860"/>
      <c r="FS60" s="1860"/>
      <c r="FT60" s="1860"/>
      <c r="FU60" s="1860"/>
      <c r="FV60" s="1860"/>
      <c r="FW60" s="1860"/>
      <c r="FX60" s="1860"/>
      <c r="FY60" s="1860"/>
      <c r="FZ60" s="1860"/>
      <c r="GA60" s="1860"/>
      <c r="GB60" s="1860"/>
      <c r="GC60" s="1860"/>
      <c r="GD60" s="1860"/>
      <c r="GE60" s="1860"/>
      <c r="GF60" s="1860"/>
      <c r="GG60" s="1860"/>
      <c r="GH60" s="1860"/>
      <c r="GI60" s="1860"/>
      <c r="GJ60" s="1860"/>
      <c r="GK60" s="1860"/>
      <c r="GL60" s="1860"/>
      <c r="GM60" s="1860"/>
    </row>
    <row r="61" spans="1:195" s="477" customFormat="1" ht="14.25">
      <c r="A61" s="2122"/>
      <c r="B61" s="2124"/>
      <c r="C61" s="2122"/>
      <c r="D61" s="472"/>
      <c r="E61" s="473" t="s">
        <v>578</v>
      </c>
      <c r="F61" s="474">
        <f>F68+F74+F86</f>
        <v>44814</v>
      </c>
      <c r="G61" s="474">
        <f>G68+G74+G86</f>
        <v>38028</v>
      </c>
      <c r="H61" s="475">
        <f t="shared" si="4"/>
        <v>-6786</v>
      </c>
      <c r="I61" s="1831">
        <f t="shared" si="5"/>
        <v>-0.15142589369393494</v>
      </c>
      <c r="J61" s="1135"/>
      <c r="K61" s="1229"/>
      <c r="L61" s="2017"/>
      <c r="M61" s="2576"/>
      <c r="N61" s="2577"/>
      <c r="O61" s="1861"/>
      <c r="P61" s="1860"/>
      <c r="Q61" s="1860"/>
      <c r="R61" s="1860"/>
      <c r="S61" s="1860"/>
      <c r="T61" s="1860"/>
      <c r="U61" s="1860"/>
      <c r="V61" s="1860"/>
      <c r="W61" s="1860"/>
      <c r="X61" s="1860"/>
      <c r="Y61" s="1860"/>
      <c r="Z61" s="1860"/>
      <c r="AA61" s="1860"/>
      <c r="AB61" s="1860"/>
      <c r="AC61" s="1860"/>
      <c r="AD61" s="1860"/>
      <c r="AE61" s="1860"/>
      <c r="AF61" s="1860"/>
      <c r="AG61" s="1860"/>
      <c r="AH61" s="1860"/>
      <c r="AI61" s="1860"/>
      <c r="AJ61" s="1860"/>
      <c r="AK61" s="1860"/>
      <c r="AL61" s="1860"/>
      <c r="AM61" s="1860"/>
      <c r="AN61" s="1860"/>
      <c r="AO61" s="1860"/>
      <c r="AP61" s="1860"/>
      <c r="AQ61" s="1860"/>
      <c r="AR61" s="1860"/>
      <c r="AS61" s="1860"/>
      <c r="AT61" s="1860"/>
      <c r="AU61" s="1860"/>
      <c r="AV61" s="1860"/>
      <c r="AW61" s="1860"/>
      <c r="AX61" s="1860"/>
      <c r="AY61" s="1860"/>
      <c r="AZ61" s="1860"/>
      <c r="BA61" s="1860"/>
      <c r="BB61" s="1860"/>
      <c r="BC61" s="1860"/>
      <c r="BD61" s="1860"/>
      <c r="BE61" s="1860"/>
      <c r="BF61" s="1860"/>
      <c r="BG61" s="1860"/>
      <c r="BH61" s="1860"/>
      <c r="BI61" s="1860"/>
      <c r="BJ61" s="1860"/>
      <c r="BK61" s="1860"/>
      <c r="BL61" s="1860"/>
      <c r="BM61" s="1860"/>
      <c r="BN61" s="1860"/>
      <c r="BO61" s="1860"/>
      <c r="BP61" s="1860"/>
      <c r="BQ61" s="1860"/>
      <c r="BR61" s="1860"/>
      <c r="BS61" s="1860"/>
      <c r="BT61" s="1860"/>
      <c r="BU61" s="1860"/>
      <c r="BV61" s="1860"/>
      <c r="BW61" s="1860"/>
      <c r="BX61" s="1860"/>
      <c r="BY61" s="1860"/>
      <c r="BZ61" s="1860"/>
      <c r="CA61" s="1860"/>
      <c r="CB61" s="1860"/>
      <c r="CC61" s="1860"/>
      <c r="CD61" s="1860"/>
      <c r="CE61" s="1860"/>
      <c r="CF61" s="1860"/>
      <c r="CG61" s="1860"/>
      <c r="CH61" s="1860"/>
      <c r="CI61" s="1860"/>
      <c r="CJ61" s="1860"/>
      <c r="CK61" s="1860"/>
      <c r="CL61" s="1860"/>
      <c r="CM61" s="1860"/>
      <c r="CN61" s="1860"/>
      <c r="CO61" s="1860"/>
      <c r="CP61" s="1860"/>
      <c r="CQ61" s="1860"/>
      <c r="CR61" s="1860"/>
      <c r="CS61" s="1860"/>
      <c r="CT61" s="1860"/>
      <c r="CU61" s="1860"/>
      <c r="CV61" s="1860"/>
      <c r="CW61" s="1860"/>
      <c r="CX61" s="1860"/>
      <c r="CY61" s="1860"/>
      <c r="CZ61" s="1860"/>
      <c r="DA61" s="1860"/>
      <c r="DB61" s="1860"/>
      <c r="DC61" s="1860"/>
      <c r="DD61" s="1860"/>
      <c r="DE61" s="1860"/>
      <c r="DF61" s="1860"/>
      <c r="DG61" s="1860"/>
      <c r="DH61" s="1860"/>
      <c r="DI61" s="1860"/>
      <c r="DJ61" s="1860"/>
      <c r="DK61" s="1860"/>
      <c r="DL61" s="1860"/>
      <c r="DM61" s="1860"/>
      <c r="DN61" s="1860"/>
      <c r="DO61" s="1860"/>
      <c r="DP61" s="1860"/>
      <c r="DQ61" s="1860"/>
      <c r="DR61" s="1860"/>
      <c r="DS61" s="1860"/>
      <c r="DT61" s="1860"/>
      <c r="DU61" s="1860"/>
      <c r="DV61" s="1860"/>
      <c r="DW61" s="1860"/>
      <c r="DX61" s="1860"/>
      <c r="DY61" s="1860"/>
      <c r="DZ61" s="1860"/>
      <c r="EA61" s="1860"/>
      <c r="EB61" s="1860"/>
      <c r="EC61" s="1860"/>
      <c r="ED61" s="1860"/>
      <c r="EE61" s="1860"/>
      <c r="EF61" s="1860"/>
      <c r="EG61" s="1860"/>
      <c r="EH61" s="1860"/>
      <c r="EI61" s="1860"/>
      <c r="EJ61" s="1860"/>
      <c r="EK61" s="1860"/>
      <c r="EL61" s="1860"/>
      <c r="EM61" s="1860"/>
      <c r="EN61" s="1860"/>
      <c r="EO61" s="1860"/>
      <c r="EP61" s="1860"/>
      <c r="EQ61" s="1860"/>
      <c r="ER61" s="1860"/>
      <c r="ES61" s="1860"/>
      <c r="ET61" s="1860"/>
      <c r="EU61" s="1860"/>
      <c r="EV61" s="1860"/>
      <c r="EW61" s="1860"/>
      <c r="EX61" s="1860"/>
      <c r="EY61" s="1860"/>
      <c r="EZ61" s="1860"/>
      <c r="FA61" s="1860"/>
      <c r="FB61" s="1860"/>
      <c r="FC61" s="1860"/>
      <c r="FD61" s="1860"/>
      <c r="FE61" s="1860"/>
      <c r="FF61" s="1860"/>
      <c r="FG61" s="1860"/>
      <c r="FH61" s="1860"/>
      <c r="FI61" s="1860"/>
      <c r="FJ61" s="1860"/>
      <c r="FK61" s="1860"/>
      <c r="FL61" s="1860"/>
      <c r="FM61" s="1860"/>
      <c r="FN61" s="1860"/>
      <c r="FO61" s="1860"/>
      <c r="FP61" s="1860"/>
      <c r="FQ61" s="1860"/>
      <c r="FR61" s="1860"/>
      <c r="FS61" s="1860"/>
      <c r="FT61" s="1860"/>
      <c r="FU61" s="1860"/>
      <c r="FV61" s="1860"/>
      <c r="FW61" s="1860"/>
      <c r="FX61" s="1860"/>
      <c r="FY61" s="1860"/>
      <c r="FZ61" s="1860"/>
      <c r="GA61" s="1860"/>
      <c r="GB61" s="1860"/>
      <c r="GC61" s="1860"/>
      <c r="GD61" s="1860"/>
      <c r="GE61" s="1860"/>
      <c r="GF61" s="1860"/>
      <c r="GG61" s="1860"/>
      <c r="GH61" s="1860"/>
      <c r="GI61" s="1860"/>
      <c r="GJ61" s="1860"/>
      <c r="GK61" s="1860"/>
      <c r="GL61" s="1860"/>
      <c r="GM61" s="1860"/>
    </row>
    <row r="62" spans="1:195" s="467" customFormat="1" ht="15">
      <c r="A62" s="2122"/>
      <c r="B62" s="2124"/>
      <c r="C62" s="2122"/>
      <c r="D62" s="469"/>
      <c r="E62" s="470" t="s">
        <v>1647</v>
      </c>
      <c r="F62" s="471">
        <f>F81</f>
        <v>1224463.3380284801</v>
      </c>
      <c r="G62" s="471">
        <f>G81</f>
        <v>2229302</v>
      </c>
      <c r="H62" s="464">
        <f t="shared" si="4"/>
        <v>1004838.6619715199</v>
      </c>
      <c r="I62" s="1832">
        <f t="shared" si="5"/>
        <v>0.82063597231863239</v>
      </c>
      <c r="J62" s="1137"/>
      <c r="K62" s="1229"/>
      <c r="L62" s="2017"/>
      <c r="M62" s="2576"/>
      <c r="N62" s="2577"/>
      <c r="O62" s="1861"/>
      <c r="P62" s="1861"/>
      <c r="Q62" s="1861"/>
      <c r="R62" s="1861"/>
      <c r="S62" s="1861"/>
      <c r="T62" s="1861"/>
      <c r="U62" s="1861"/>
      <c r="V62" s="1861"/>
      <c r="W62" s="1861"/>
      <c r="X62" s="1861"/>
      <c r="Y62" s="1861"/>
      <c r="Z62" s="1861"/>
      <c r="AA62" s="1861"/>
      <c r="AB62" s="1861"/>
      <c r="AC62" s="1861"/>
      <c r="AD62" s="1861"/>
      <c r="AE62" s="1861"/>
      <c r="AF62" s="1861"/>
      <c r="AG62" s="1861"/>
      <c r="AH62" s="1861"/>
      <c r="AI62" s="1861"/>
      <c r="AJ62" s="1861"/>
      <c r="AK62" s="1861"/>
      <c r="AL62" s="1861"/>
      <c r="AM62" s="1861"/>
      <c r="AN62" s="1861"/>
      <c r="AO62" s="1861"/>
      <c r="AP62" s="1861"/>
      <c r="AQ62" s="1861"/>
      <c r="AR62" s="1861"/>
      <c r="AS62" s="1861"/>
      <c r="AT62" s="1861"/>
      <c r="AU62" s="1861"/>
      <c r="AV62" s="1861"/>
      <c r="AW62" s="1861"/>
      <c r="AX62" s="1861"/>
      <c r="AY62" s="1861"/>
      <c r="AZ62" s="1861"/>
      <c r="BA62" s="1861"/>
      <c r="BB62" s="1861"/>
      <c r="BC62" s="1861"/>
      <c r="BD62" s="1861"/>
      <c r="BE62" s="1861"/>
      <c r="BF62" s="1861"/>
      <c r="BG62" s="1861"/>
      <c r="BH62" s="1861"/>
      <c r="BI62" s="1861"/>
      <c r="BJ62" s="1861"/>
      <c r="BK62" s="1861"/>
      <c r="BL62" s="1861"/>
      <c r="BM62" s="1861"/>
      <c r="BN62" s="1861"/>
      <c r="BO62" s="1861"/>
      <c r="BP62" s="1861"/>
      <c r="BQ62" s="1861"/>
      <c r="BR62" s="1861"/>
      <c r="BS62" s="1861"/>
      <c r="BT62" s="1861"/>
      <c r="BU62" s="1861"/>
      <c r="BV62" s="1861"/>
      <c r="BW62" s="1861"/>
      <c r="BX62" s="1861"/>
      <c r="BY62" s="1861"/>
      <c r="BZ62" s="1861"/>
      <c r="CA62" s="1861"/>
      <c r="CB62" s="1861"/>
      <c r="CC62" s="1861"/>
      <c r="CD62" s="1861"/>
      <c r="CE62" s="1861"/>
      <c r="CF62" s="1861"/>
      <c r="CG62" s="1861"/>
      <c r="CH62" s="1861"/>
      <c r="CI62" s="1861"/>
      <c r="CJ62" s="1861"/>
      <c r="CK62" s="1861"/>
      <c r="CL62" s="1861"/>
      <c r="CM62" s="1861"/>
      <c r="CN62" s="1861"/>
      <c r="CO62" s="1861"/>
      <c r="CP62" s="1861"/>
      <c r="CQ62" s="1861"/>
      <c r="CR62" s="1861"/>
      <c r="CS62" s="1861"/>
      <c r="CT62" s="1861"/>
      <c r="CU62" s="1861"/>
      <c r="CV62" s="1861"/>
      <c r="CW62" s="1861"/>
      <c r="CX62" s="1861"/>
      <c r="CY62" s="1861"/>
      <c r="CZ62" s="1861"/>
      <c r="DA62" s="1861"/>
      <c r="DB62" s="1861"/>
      <c r="DC62" s="1861"/>
      <c r="DD62" s="1861"/>
      <c r="DE62" s="1861"/>
      <c r="DF62" s="1861"/>
      <c r="DG62" s="1861"/>
      <c r="DH62" s="1861"/>
      <c r="DI62" s="1861"/>
      <c r="DJ62" s="1861"/>
      <c r="DK62" s="1861"/>
      <c r="DL62" s="1861"/>
      <c r="DM62" s="1861"/>
      <c r="DN62" s="1861"/>
      <c r="DO62" s="1861"/>
      <c r="DP62" s="1861"/>
      <c r="DQ62" s="1861"/>
      <c r="DR62" s="1861"/>
      <c r="DS62" s="1861"/>
      <c r="DT62" s="1861"/>
      <c r="DU62" s="1861"/>
      <c r="DV62" s="1861"/>
      <c r="DW62" s="1861"/>
      <c r="DX62" s="1861"/>
      <c r="DY62" s="1861"/>
      <c r="DZ62" s="1861"/>
      <c r="EA62" s="1861"/>
      <c r="EB62" s="1861"/>
      <c r="EC62" s="1861"/>
      <c r="ED62" s="1861"/>
      <c r="EE62" s="1861"/>
      <c r="EF62" s="1861"/>
      <c r="EG62" s="1861"/>
      <c r="EH62" s="1861"/>
      <c r="EI62" s="1861"/>
      <c r="EJ62" s="1861"/>
      <c r="EK62" s="1861"/>
      <c r="EL62" s="1861"/>
      <c r="EM62" s="1861"/>
      <c r="EN62" s="1861"/>
      <c r="EO62" s="1861"/>
      <c r="EP62" s="1861"/>
      <c r="EQ62" s="1861"/>
      <c r="ER62" s="1861"/>
      <c r="ES62" s="1861"/>
      <c r="ET62" s="1861"/>
      <c r="EU62" s="1861"/>
      <c r="EV62" s="1861"/>
      <c r="EW62" s="1861"/>
      <c r="EX62" s="1861"/>
      <c r="EY62" s="1861"/>
      <c r="EZ62" s="1861"/>
      <c r="FA62" s="1861"/>
      <c r="FB62" s="1861"/>
      <c r="FC62" s="1861"/>
      <c r="FD62" s="1861"/>
      <c r="FE62" s="1861"/>
      <c r="FF62" s="1861"/>
      <c r="FG62" s="1861"/>
      <c r="FH62" s="1861"/>
      <c r="FI62" s="1861"/>
      <c r="FJ62" s="1861"/>
      <c r="FK62" s="1861"/>
      <c r="FL62" s="1861"/>
      <c r="FM62" s="1861"/>
      <c r="FN62" s="1861"/>
      <c r="FO62" s="1861"/>
      <c r="FP62" s="1861"/>
      <c r="FQ62" s="1861"/>
      <c r="FR62" s="1861"/>
      <c r="FS62" s="1861"/>
      <c r="FT62" s="1861"/>
      <c r="FU62" s="1861"/>
      <c r="FV62" s="1861"/>
      <c r="FW62" s="1861"/>
      <c r="FX62" s="1861"/>
      <c r="FY62" s="1861"/>
      <c r="FZ62" s="1861"/>
      <c r="GA62" s="1861"/>
      <c r="GB62" s="1861"/>
      <c r="GC62" s="1861"/>
      <c r="GD62" s="1861"/>
      <c r="GE62" s="1861"/>
      <c r="GF62" s="1861"/>
      <c r="GG62" s="1861"/>
      <c r="GH62" s="1861"/>
      <c r="GI62" s="1861"/>
      <c r="GJ62" s="1861"/>
      <c r="GK62" s="1861"/>
      <c r="GL62" s="1861"/>
      <c r="GM62" s="1861"/>
    </row>
    <row r="63" spans="1:195" s="467" customFormat="1" ht="15">
      <c r="A63" s="2122"/>
      <c r="B63" s="2124"/>
      <c r="C63" s="2122"/>
      <c r="D63" s="1230"/>
      <c r="E63" s="1231" t="s">
        <v>164</v>
      </c>
      <c r="F63" s="1232">
        <f>F82</f>
        <v>4428486</v>
      </c>
      <c r="G63" s="1232">
        <f>G82</f>
        <v>6416104</v>
      </c>
      <c r="H63" s="464">
        <f t="shared" si="4"/>
        <v>1987618</v>
      </c>
      <c r="I63" s="1832">
        <f t="shared" si="5"/>
        <v>0.44882562573303836</v>
      </c>
      <c r="J63" s="1233"/>
      <c r="K63" s="1229"/>
      <c r="L63" s="2017"/>
      <c r="M63" s="2576"/>
      <c r="N63" s="2577"/>
      <c r="O63" s="1861"/>
      <c r="P63" s="1861"/>
      <c r="Q63" s="1861"/>
      <c r="R63" s="1861"/>
      <c r="S63" s="1861"/>
      <c r="T63" s="1861"/>
      <c r="U63" s="1861"/>
      <c r="V63" s="1861"/>
      <c r="W63" s="1861"/>
      <c r="X63" s="1861"/>
      <c r="Y63" s="1861"/>
      <c r="Z63" s="1861"/>
      <c r="AA63" s="1861"/>
      <c r="AB63" s="1861"/>
      <c r="AC63" s="1861"/>
      <c r="AD63" s="1861"/>
      <c r="AE63" s="1861"/>
      <c r="AF63" s="1861"/>
      <c r="AG63" s="1861"/>
      <c r="AH63" s="1861"/>
      <c r="AI63" s="1861"/>
      <c r="AJ63" s="1861"/>
      <c r="AK63" s="1861"/>
      <c r="AL63" s="1861"/>
      <c r="AM63" s="1861"/>
      <c r="AN63" s="1861"/>
      <c r="AO63" s="1861"/>
      <c r="AP63" s="1861"/>
      <c r="AQ63" s="1861"/>
      <c r="AR63" s="1861"/>
      <c r="AS63" s="1861"/>
      <c r="AT63" s="1861"/>
      <c r="AU63" s="1861"/>
      <c r="AV63" s="1861"/>
      <c r="AW63" s="1861"/>
      <c r="AX63" s="1861"/>
      <c r="AY63" s="1861"/>
      <c r="AZ63" s="1861"/>
      <c r="BA63" s="1861"/>
      <c r="BB63" s="1861"/>
      <c r="BC63" s="1861"/>
      <c r="BD63" s="1861"/>
      <c r="BE63" s="1861"/>
      <c r="BF63" s="1861"/>
      <c r="BG63" s="1861"/>
      <c r="BH63" s="1861"/>
      <c r="BI63" s="1861"/>
      <c r="BJ63" s="1861"/>
      <c r="BK63" s="1861"/>
      <c r="BL63" s="1861"/>
      <c r="BM63" s="1861"/>
      <c r="BN63" s="1861"/>
      <c r="BO63" s="1861"/>
      <c r="BP63" s="1861"/>
      <c r="BQ63" s="1861"/>
      <c r="BR63" s="1861"/>
      <c r="BS63" s="1861"/>
      <c r="BT63" s="1861"/>
      <c r="BU63" s="1861"/>
      <c r="BV63" s="1861"/>
      <c r="BW63" s="1861"/>
      <c r="BX63" s="1861"/>
      <c r="BY63" s="1861"/>
      <c r="BZ63" s="1861"/>
      <c r="CA63" s="1861"/>
      <c r="CB63" s="1861"/>
      <c r="CC63" s="1861"/>
      <c r="CD63" s="1861"/>
      <c r="CE63" s="1861"/>
      <c r="CF63" s="1861"/>
      <c r="CG63" s="1861"/>
      <c r="CH63" s="1861"/>
      <c r="CI63" s="1861"/>
      <c r="CJ63" s="1861"/>
      <c r="CK63" s="1861"/>
      <c r="CL63" s="1861"/>
      <c r="CM63" s="1861"/>
      <c r="CN63" s="1861"/>
      <c r="CO63" s="1861"/>
      <c r="CP63" s="1861"/>
      <c r="CQ63" s="1861"/>
      <c r="CR63" s="1861"/>
      <c r="CS63" s="1861"/>
      <c r="CT63" s="1861"/>
      <c r="CU63" s="1861"/>
      <c r="CV63" s="1861"/>
      <c r="CW63" s="1861"/>
      <c r="CX63" s="1861"/>
      <c r="CY63" s="1861"/>
      <c r="CZ63" s="1861"/>
      <c r="DA63" s="1861"/>
      <c r="DB63" s="1861"/>
      <c r="DC63" s="1861"/>
      <c r="DD63" s="1861"/>
      <c r="DE63" s="1861"/>
      <c r="DF63" s="1861"/>
      <c r="DG63" s="1861"/>
      <c r="DH63" s="1861"/>
      <c r="DI63" s="1861"/>
      <c r="DJ63" s="1861"/>
      <c r="DK63" s="1861"/>
      <c r="DL63" s="1861"/>
      <c r="DM63" s="1861"/>
      <c r="DN63" s="1861"/>
      <c r="DO63" s="1861"/>
      <c r="DP63" s="1861"/>
      <c r="DQ63" s="1861"/>
      <c r="DR63" s="1861"/>
      <c r="DS63" s="1861"/>
      <c r="DT63" s="1861"/>
      <c r="DU63" s="1861"/>
      <c r="DV63" s="1861"/>
      <c r="DW63" s="1861"/>
      <c r="DX63" s="1861"/>
      <c r="DY63" s="1861"/>
      <c r="DZ63" s="1861"/>
      <c r="EA63" s="1861"/>
      <c r="EB63" s="1861"/>
      <c r="EC63" s="1861"/>
      <c r="ED63" s="1861"/>
      <c r="EE63" s="1861"/>
      <c r="EF63" s="1861"/>
      <c r="EG63" s="1861"/>
      <c r="EH63" s="1861"/>
      <c r="EI63" s="1861"/>
      <c r="EJ63" s="1861"/>
      <c r="EK63" s="1861"/>
      <c r="EL63" s="1861"/>
      <c r="EM63" s="1861"/>
      <c r="EN63" s="1861"/>
      <c r="EO63" s="1861"/>
      <c r="EP63" s="1861"/>
      <c r="EQ63" s="1861"/>
      <c r="ER63" s="1861"/>
      <c r="ES63" s="1861"/>
      <c r="ET63" s="1861"/>
      <c r="EU63" s="1861"/>
      <c r="EV63" s="1861"/>
      <c r="EW63" s="1861"/>
      <c r="EX63" s="1861"/>
      <c r="EY63" s="1861"/>
      <c r="EZ63" s="1861"/>
      <c r="FA63" s="1861"/>
      <c r="FB63" s="1861"/>
      <c r="FC63" s="1861"/>
      <c r="FD63" s="1861"/>
      <c r="FE63" s="1861"/>
      <c r="FF63" s="1861"/>
      <c r="FG63" s="1861"/>
      <c r="FH63" s="1861"/>
      <c r="FI63" s="1861"/>
      <c r="FJ63" s="1861"/>
      <c r="FK63" s="1861"/>
      <c r="FL63" s="1861"/>
      <c r="FM63" s="1861"/>
      <c r="FN63" s="1861"/>
      <c r="FO63" s="1861"/>
      <c r="FP63" s="1861"/>
      <c r="FQ63" s="1861"/>
      <c r="FR63" s="1861"/>
      <c r="FS63" s="1861"/>
      <c r="FT63" s="1861"/>
      <c r="FU63" s="1861"/>
      <c r="FV63" s="1861"/>
      <c r="FW63" s="1861"/>
      <c r="FX63" s="1861"/>
      <c r="FY63" s="1861"/>
      <c r="FZ63" s="1861"/>
      <c r="GA63" s="1861"/>
      <c r="GB63" s="1861"/>
      <c r="GC63" s="1861"/>
      <c r="GD63" s="1861"/>
      <c r="GE63" s="1861"/>
      <c r="GF63" s="1861"/>
      <c r="GG63" s="1861"/>
      <c r="GH63" s="1861"/>
      <c r="GI63" s="1861"/>
      <c r="GJ63" s="1861"/>
      <c r="GK63" s="1861"/>
      <c r="GL63" s="1861"/>
      <c r="GM63" s="1861"/>
    </row>
    <row r="64" spans="1:195" s="1299" customFormat="1" ht="15" hidden="1" outlineLevel="1">
      <c r="A64" s="1854"/>
      <c r="B64" s="1665"/>
      <c r="C64" s="1858"/>
      <c r="D64" s="1297"/>
      <c r="E64" s="1313" t="s">
        <v>1249</v>
      </c>
      <c r="F64" s="1280">
        <f>F69+F75+F87</f>
        <v>8000</v>
      </c>
      <c r="G64" s="1280">
        <f>G69+G75+G87</f>
        <v>8000</v>
      </c>
      <c r="H64" s="1285">
        <f t="shared" si="4"/>
        <v>0</v>
      </c>
      <c r="I64" s="1834">
        <f t="shared" si="5"/>
        <v>0</v>
      </c>
      <c r="J64" s="1300"/>
      <c r="K64" s="1282"/>
      <c r="L64" s="72"/>
      <c r="M64" s="1319"/>
      <c r="N64" s="2577"/>
      <c r="O64" s="1289"/>
      <c r="P64" s="1289"/>
      <c r="Q64" s="1289"/>
      <c r="R64" s="1289"/>
      <c r="S64" s="1289"/>
      <c r="T64" s="1289"/>
      <c r="U64" s="1289"/>
      <c r="V64" s="1289"/>
      <c r="W64" s="1289"/>
      <c r="X64" s="1289"/>
      <c r="Y64" s="1289"/>
      <c r="Z64" s="1289"/>
      <c r="AA64" s="1289"/>
      <c r="AB64" s="1289"/>
      <c r="AC64" s="1289"/>
      <c r="AD64" s="1289"/>
      <c r="AE64" s="1289"/>
      <c r="AF64" s="1289"/>
      <c r="AG64" s="1289"/>
      <c r="AH64" s="1289"/>
      <c r="AI64" s="1289"/>
      <c r="AJ64" s="1289"/>
      <c r="AK64" s="1289"/>
      <c r="AL64" s="1289"/>
      <c r="AM64" s="1289"/>
      <c r="AN64" s="1289"/>
      <c r="AO64" s="1289"/>
      <c r="AP64" s="1289"/>
      <c r="AQ64" s="1289"/>
      <c r="AR64" s="1289"/>
      <c r="AS64" s="1289"/>
      <c r="AT64" s="1289"/>
      <c r="AU64" s="1289"/>
      <c r="AV64" s="1289"/>
      <c r="AW64" s="1289"/>
      <c r="AX64" s="1289"/>
      <c r="AY64" s="1289"/>
      <c r="AZ64" s="1289"/>
      <c r="BA64" s="1289"/>
      <c r="BB64" s="1289"/>
      <c r="BC64" s="1289"/>
      <c r="BD64" s="1289"/>
      <c r="BE64" s="1289"/>
      <c r="BF64" s="1289"/>
      <c r="BG64" s="1289"/>
      <c r="BH64" s="1289"/>
      <c r="BI64" s="1289"/>
      <c r="BJ64" s="1289"/>
      <c r="BK64" s="1289"/>
      <c r="BL64" s="1289"/>
      <c r="BM64" s="1289"/>
      <c r="BN64" s="1289"/>
      <c r="BO64" s="1289"/>
      <c r="BP64" s="1289"/>
      <c r="BQ64" s="1289"/>
      <c r="BR64" s="1289"/>
      <c r="BS64" s="1289"/>
      <c r="BT64" s="1289"/>
      <c r="BU64" s="1289"/>
      <c r="BV64" s="1289"/>
      <c r="BW64" s="1289"/>
      <c r="BX64" s="1289"/>
      <c r="BY64" s="1289"/>
      <c r="BZ64" s="1289"/>
      <c r="CA64" s="1289"/>
      <c r="CB64" s="1289"/>
      <c r="CC64" s="1289"/>
      <c r="CD64" s="1289"/>
      <c r="CE64" s="1289"/>
      <c r="CF64" s="1289"/>
      <c r="CG64" s="1289"/>
      <c r="CH64" s="1289"/>
      <c r="CI64" s="1289"/>
      <c r="CJ64" s="1289"/>
      <c r="CK64" s="1289"/>
      <c r="CL64" s="1289"/>
      <c r="CM64" s="1289"/>
      <c r="CN64" s="1289"/>
      <c r="CO64" s="1289"/>
      <c r="CP64" s="1289"/>
      <c r="CQ64" s="1289"/>
      <c r="CR64" s="1289"/>
      <c r="CS64" s="1289"/>
      <c r="CT64" s="1289"/>
      <c r="CU64" s="1289"/>
      <c r="CV64" s="1289"/>
      <c r="CW64" s="1289"/>
      <c r="CX64" s="1289"/>
      <c r="CY64" s="1289"/>
      <c r="CZ64" s="1289"/>
      <c r="DA64" s="1289"/>
      <c r="DB64" s="1289"/>
      <c r="DC64" s="1289"/>
      <c r="DD64" s="1289"/>
      <c r="DE64" s="1289"/>
      <c r="DF64" s="1289"/>
      <c r="DG64" s="1289"/>
      <c r="DH64" s="1289"/>
      <c r="DI64" s="1289"/>
      <c r="DJ64" s="1289"/>
      <c r="DK64" s="1289"/>
      <c r="DL64" s="1289"/>
      <c r="DM64" s="1289"/>
      <c r="DN64" s="1289"/>
      <c r="DO64" s="1289"/>
      <c r="DP64" s="1289"/>
      <c r="DQ64" s="1289"/>
      <c r="DR64" s="1289"/>
      <c r="DS64" s="1289"/>
      <c r="DT64" s="1289"/>
      <c r="DU64" s="1289"/>
      <c r="DV64" s="1289"/>
      <c r="DW64" s="1289"/>
      <c r="DX64" s="1289"/>
      <c r="DY64" s="1289"/>
      <c r="DZ64" s="1289"/>
      <c r="EA64" s="1289"/>
      <c r="EB64" s="1289"/>
      <c r="EC64" s="1289"/>
      <c r="ED64" s="1289"/>
      <c r="EE64" s="1289"/>
      <c r="EF64" s="1289"/>
      <c r="EG64" s="1289"/>
      <c r="EH64" s="1289"/>
      <c r="EI64" s="1289"/>
      <c r="EJ64" s="1289"/>
      <c r="EK64" s="1289"/>
      <c r="EL64" s="1289"/>
      <c r="EM64" s="1289"/>
      <c r="EN64" s="1289"/>
      <c r="EO64" s="1289"/>
      <c r="EP64" s="1289"/>
      <c r="EQ64" s="1289"/>
      <c r="ER64" s="1289"/>
      <c r="ES64" s="1289"/>
      <c r="ET64" s="1289"/>
      <c r="EU64" s="1289"/>
      <c r="EV64" s="1289"/>
      <c r="EW64" s="1289"/>
      <c r="EX64" s="1289"/>
      <c r="EY64" s="1289"/>
      <c r="EZ64" s="1289"/>
      <c r="FA64" s="1289"/>
      <c r="FB64" s="1289"/>
      <c r="FC64" s="1289"/>
      <c r="FD64" s="1289"/>
      <c r="FE64" s="1289"/>
      <c r="FF64" s="1289"/>
      <c r="FG64" s="1289"/>
      <c r="FH64" s="1289"/>
      <c r="FI64" s="1289"/>
      <c r="FJ64" s="1289"/>
      <c r="FK64" s="1289"/>
      <c r="FL64" s="1289"/>
      <c r="FM64" s="1289"/>
      <c r="FN64" s="1289"/>
      <c r="FO64" s="1289"/>
      <c r="FP64" s="1289"/>
      <c r="FQ64" s="1289"/>
      <c r="FR64" s="1289"/>
      <c r="FS64" s="1289"/>
      <c r="FT64" s="1289"/>
      <c r="FU64" s="1289"/>
      <c r="FV64" s="1289"/>
      <c r="FW64" s="1289"/>
      <c r="FX64" s="1289"/>
      <c r="FY64" s="1289"/>
      <c r="FZ64" s="1289"/>
      <c r="GA64" s="1289"/>
      <c r="GB64" s="1289"/>
      <c r="GC64" s="1289"/>
      <c r="GD64" s="1289"/>
      <c r="GE64" s="1289"/>
      <c r="GF64" s="1289"/>
      <c r="GG64" s="1289"/>
      <c r="GH64" s="1289"/>
      <c r="GI64" s="1289"/>
      <c r="GJ64" s="1289"/>
      <c r="GK64" s="1289"/>
      <c r="GL64" s="1289"/>
      <c r="GM64" s="1289"/>
    </row>
    <row r="65" spans="1:195" ht="15" collapsed="1">
      <c r="D65" s="126" t="s">
        <v>13</v>
      </c>
      <c r="E65" s="127" t="s">
        <v>580</v>
      </c>
      <c r="F65" s="2">
        <f>F66+F67+F68</f>
        <v>1889858.5665221189</v>
      </c>
      <c r="G65" s="3793">
        <f>G66+G67+G68</f>
        <v>1983486.7499856404</v>
      </c>
      <c r="H65" s="116">
        <f t="shared" si="4"/>
        <v>93628.183463521535</v>
      </c>
      <c r="I65" s="1826">
        <f t="shared" si="5"/>
        <v>4.9542428794459581E-2</v>
      </c>
      <c r="J65" s="1129"/>
    </row>
    <row r="66" spans="1:195" s="50" customFormat="1" ht="30" hidden="1" outlineLevel="1">
      <c r="A66" s="1665" t="s">
        <v>658</v>
      </c>
      <c r="B66" s="1665" t="s">
        <v>663</v>
      </c>
      <c r="C66" s="1858"/>
      <c r="D66" s="160"/>
      <c r="E66" s="217" t="s">
        <v>663</v>
      </c>
      <c r="F66" s="364">
        <f>SUMIFS(INPUT!H:H,INPUT!E:E,BAZE_2024!A66,INPUT!B:B,BAZE_2024!B66)</f>
        <v>1572479.0125221189</v>
      </c>
      <c r="G66" s="3794">
        <f>SUMIFS(INPUT!L:L,INPUT!E:E,BAZE_2024!A66,INPUT!B:B,BAZE_2024!B66)</f>
        <v>1662929.4074856404</v>
      </c>
      <c r="H66" s="146">
        <f t="shared" si="4"/>
        <v>90450.39496352151</v>
      </c>
      <c r="I66" s="1836">
        <f t="shared" si="5"/>
        <v>5.7520891689642958E-2</v>
      </c>
      <c r="J66" s="2022" t="s">
        <v>5256</v>
      </c>
      <c r="K66" s="227"/>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50" customFormat="1" ht="54" hidden="1" customHeight="1" outlineLevel="1">
      <c r="A67" s="1665" t="s">
        <v>658</v>
      </c>
      <c r="B67" s="1665" t="s">
        <v>1248</v>
      </c>
      <c r="C67" s="1858"/>
      <c r="D67" s="216"/>
      <c r="E67" s="161" t="s">
        <v>579</v>
      </c>
      <c r="F67" s="364">
        <f>SUMIFS(INPUT!H:H,INPUT!E:E,BAZE_2024!A67,INPUT!B:B,BAZE_2024!B67)</f>
        <v>306779.554</v>
      </c>
      <c r="G67" s="3794">
        <f>SUMIFS(INPUT!L:L,INPUT!E:E,BAZE_2024!A67,INPUT!B:B,BAZE_2024!B67)</f>
        <v>310357.34250000003</v>
      </c>
      <c r="H67" s="146">
        <f t="shared" si="4"/>
        <v>3577.7885000000242</v>
      </c>
      <c r="I67" s="1836">
        <f>IFERROR(H67/F67,"-")</f>
        <v>1.1662408571074539E-2</v>
      </c>
      <c r="J67" s="2023" t="s">
        <v>5962</v>
      </c>
      <c r="K67" s="156">
        <v>-0.03</v>
      </c>
      <c r="L67" s="1222">
        <f>G67*K67</f>
        <v>-9310.7202749999997</v>
      </c>
      <c r="M67" s="2580"/>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50" customFormat="1" ht="15" hidden="1" outlineLevel="1">
      <c r="A68" s="1665" t="s">
        <v>658</v>
      </c>
      <c r="B68" s="1665" t="s">
        <v>1250</v>
      </c>
      <c r="C68" s="1858"/>
      <c r="D68" s="160"/>
      <c r="E68" s="161" t="s">
        <v>578</v>
      </c>
      <c r="F68" s="364">
        <f>SUMIFS(INPUT!H:H,INPUT!E:E,BAZE_2024!A68,INPUT!B:B,BAZE_2024!B68)</f>
        <v>10600</v>
      </c>
      <c r="G68" s="3794">
        <f>SUMIFS(INPUT!L:L,INPUT!E:E,BAZE_2024!A68,INPUT!B:B,BAZE_2024!B68)</f>
        <v>10200</v>
      </c>
      <c r="H68" s="146">
        <f t="shared" si="4"/>
        <v>-400</v>
      </c>
      <c r="I68" s="1836">
        <f t="shared" si="5"/>
        <v>-3.7735849056603772E-2</v>
      </c>
      <c r="J68" s="2022"/>
      <c r="K68" s="227"/>
      <c r="L68" s="77"/>
      <c r="M68" s="84"/>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row>
    <row r="69" spans="1:195" s="218" customFormat="1" ht="15" hidden="1" outlineLevel="1">
      <c r="A69" s="1665" t="s">
        <v>658</v>
      </c>
      <c r="B69" s="1665" t="s">
        <v>1249</v>
      </c>
      <c r="C69" s="1858"/>
      <c r="D69" s="160"/>
      <c r="E69" s="164" t="s">
        <v>1249</v>
      </c>
      <c r="F69" s="364">
        <f>SUMIFS(INPUT!H:H,INPUT!E:E,BAZE_2024!A69,INPUT!B:B,BAZE_2024!B69)</f>
        <v>0</v>
      </c>
      <c r="G69" s="3794">
        <f>SUMIFS(INPUT!L:L,INPUT!E:E,BAZE_2024!A69,INPUT!B:B,BAZE_2024!B69)</f>
        <v>0</v>
      </c>
      <c r="H69" s="373">
        <f t="shared" si="4"/>
        <v>0</v>
      </c>
      <c r="I69" s="1837" t="str">
        <f t="shared" si="5"/>
        <v>-</v>
      </c>
      <c r="J69" s="1667"/>
      <c r="K69" s="227"/>
      <c r="L69" s="77"/>
      <c r="M69" s="84"/>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226"/>
      <c r="AP69" s="226"/>
      <c r="AQ69" s="226"/>
      <c r="AR69" s="226"/>
      <c r="AS69" s="226"/>
      <c r="AT69" s="226"/>
      <c r="AU69" s="226"/>
      <c r="AV69" s="226"/>
      <c r="AW69" s="226"/>
      <c r="AX69" s="226"/>
      <c r="AY69" s="226"/>
      <c r="AZ69" s="226"/>
      <c r="BA69" s="226"/>
      <c r="BB69" s="226"/>
      <c r="BC69" s="226"/>
      <c r="BD69" s="226"/>
      <c r="BE69" s="226"/>
      <c r="BF69" s="226"/>
      <c r="BG69" s="226"/>
      <c r="BH69" s="226"/>
      <c r="BI69" s="226"/>
      <c r="BJ69" s="226"/>
      <c r="BK69" s="226"/>
      <c r="BL69" s="226"/>
      <c r="BM69" s="226"/>
      <c r="BN69" s="226"/>
      <c r="BO69" s="226"/>
      <c r="BP69" s="226"/>
      <c r="BQ69" s="226"/>
      <c r="BR69" s="226"/>
      <c r="BS69" s="226"/>
      <c r="BT69" s="226"/>
      <c r="BU69" s="226"/>
      <c r="BV69" s="226"/>
      <c r="BW69" s="226"/>
      <c r="BX69" s="226"/>
      <c r="BY69" s="226"/>
      <c r="BZ69" s="226"/>
      <c r="CA69" s="226"/>
      <c r="CB69" s="226"/>
      <c r="CC69" s="226"/>
      <c r="CD69" s="226"/>
      <c r="CE69" s="226"/>
      <c r="CF69" s="226"/>
      <c r="CG69" s="226"/>
      <c r="CH69" s="226"/>
      <c r="CI69" s="226"/>
      <c r="CJ69" s="226"/>
      <c r="CK69" s="226"/>
      <c r="CL69" s="226"/>
      <c r="CM69" s="226"/>
      <c r="CN69" s="226"/>
      <c r="CO69" s="226"/>
      <c r="CP69" s="226"/>
      <c r="CQ69" s="226"/>
      <c r="CR69" s="226"/>
      <c r="CS69" s="226"/>
      <c r="CT69" s="226"/>
      <c r="CU69" s="226"/>
      <c r="CV69" s="226"/>
      <c r="CW69" s="226"/>
      <c r="CX69" s="226"/>
      <c r="CY69" s="226"/>
      <c r="CZ69" s="226"/>
      <c r="DA69" s="226"/>
      <c r="DB69" s="226"/>
      <c r="DC69" s="226"/>
      <c r="DD69" s="226"/>
      <c r="DE69" s="226"/>
      <c r="DF69" s="226"/>
      <c r="DG69" s="226"/>
      <c r="DH69" s="226"/>
      <c r="DI69" s="226"/>
      <c r="DJ69" s="226"/>
      <c r="DK69" s="226"/>
      <c r="DL69" s="226"/>
      <c r="DM69" s="226"/>
      <c r="DN69" s="226"/>
      <c r="DO69" s="226"/>
      <c r="DP69" s="226"/>
      <c r="DQ69" s="226"/>
      <c r="DR69" s="226"/>
      <c r="DS69" s="226"/>
      <c r="DT69" s="226"/>
      <c r="DU69" s="226"/>
      <c r="DV69" s="226"/>
      <c r="DW69" s="226"/>
      <c r="DX69" s="226"/>
      <c r="DY69" s="226"/>
      <c r="DZ69" s="226"/>
      <c r="EA69" s="226"/>
      <c r="EB69" s="226"/>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6"/>
      <c r="FE69" s="226"/>
      <c r="FF69" s="226"/>
      <c r="FG69" s="226"/>
      <c r="FH69" s="226"/>
      <c r="FI69" s="226"/>
      <c r="FJ69" s="226"/>
      <c r="FK69" s="226"/>
      <c r="FL69" s="226"/>
      <c r="FM69" s="226"/>
      <c r="FN69" s="226"/>
      <c r="FO69" s="226"/>
      <c r="FP69" s="226"/>
      <c r="FQ69" s="226"/>
      <c r="FR69" s="226"/>
      <c r="FS69" s="226"/>
      <c r="FT69" s="226"/>
      <c r="FU69" s="226"/>
      <c r="FV69" s="226"/>
      <c r="FW69" s="226"/>
      <c r="FX69" s="226"/>
      <c r="FY69" s="226"/>
      <c r="FZ69" s="226"/>
      <c r="GA69" s="226"/>
      <c r="GB69" s="226"/>
      <c r="GC69" s="226"/>
      <c r="GD69" s="226"/>
      <c r="GE69" s="226"/>
      <c r="GF69" s="226"/>
      <c r="GG69" s="226"/>
      <c r="GH69" s="226"/>
      <c r="GI69" s="226"/>
      <c r="GJ69" s="226"/>
      <c r="GK69" s="226"/>
      <c r="GL69" s="226"/>
      <c r="GM69" s="226"/>
    </row>
    <row r="70" spans="1:195" ht="15" collapsed="1">
      <c r="A70" s="1665" t="s">
        <v>1925</v>
      </c>
      <c r="D70" s="126" t="s">
        <v>15</v>
      </c>
      <c r="E70" s="127" t="s">
        <v>152</v>
      </c>
      <c r="F70" s="116">
        <f>SUMIF(INPUT!E:E,BAZE_2024!A70,INPUT!H:H)</f>
        <v>355819</v>
      </c>
      <c r="G70" s="383">
        <f>SUMIF(INPUT!E:E,BAZE_2024!A70,INPUT!L:L)</f>
        <v>376850.10523802938</v>
      </c>
      <c r="H70" s="116">
        <f t="shared" si="4"/>
        <v>21031.105238029384</v>
      </c>
      <c r="I70" s="1826">
        <f t="shared" si="5"/>
        <v>5.9106189489682631E-2</v>
      </c>
      <c r="J70" s="2024" t="s">
        <v>5257</v>
      </c>
      <c r="K70" s="227"/>
      <c r="M70" s="84"/>
    </row>
    <row r="71" spans="1:195" ht="15">
      <c r="D71" s="126" t="s">
        <v>153</v>
      </c>
      <c r="E71" s="127" t="s">
        <v>154</v>
      </c>
      <c r="F71" s="116">
        <f>F72+F73+F74</f>
        <v>58895.469599999997</v>
      </c>
      <c r="G71" s="116">
        <f>G72+G73+G74</f>
        <v>62511.517776000001</v>
      </c>
      <c r="H71" s="116">
        <f t="shared" si="4"/>
        <v>3616.0481760000039</v>
      </c>
      <c r="I71" s="1826">
        <f t="shared" si="5"/>
        <v>6.1397730598959414E-2</v>
      </c>
      <c r="J71" s="2024" t="s">
        <v>5257</v>
      </c>
      <c r="K71" s="227"/>
      <c r="M71" s="84"/>
    </row>
    <row r="72" spans="1:195" s="50" customFormat="1" ht="15" hidden="1" outlineLevel="1">
      <c r="A72" s="1665" t="s">
        <v>3191</v>
      </c>
      <c r="B72" s="1665" t="s">
        <v>663</v>
      </c>
      <c r="C72" s="1858"/>
      <c r="D72" s="160"/>
      <c r="E72" s="217" t="s">
        <v>663</v>
      </c>
      <c r="F72" s="364">
        <f>SUMIFS(INPUT!H:H,INPUT!E:E,BAZE_2024!A72,INPUT!B:B,BAZE_2024!B72)</f>
        <v>55779.469599999997</v>
      </c>
      <c r="G72" s="389">
        <f>SUMIFS(INPUT!L:L,INPUT!E:E,BAZE_2024!A72,INPUT!B:B,BAZE_2024!B72)</f>
        <v>59156.077775999998</v>
      </c>
      <c r="H72" s="146">
        <f>G72-F72</f>
        <v>3376.6081760000015</v>
      </c>
      <c r="I72" s="1836">
        <f t="shared" si="5"/>
        <v>6.0534963853439039E-2</v>
      </c>
      <c r="J72" s="2022" t="s">
        <v>5257</v>
      </c>
      <c r="K72" s="227"/>
      <c r="L72" s="77"/>
      <c r="M72" s="84"/>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50" customFormat="1" ht="15" hidden="1" outlineLevel="1">
      <c r="A73" s="1665" t="s">
        <v>3191</v>
      </c>
      <c r="B73" s="1665" t="s">
        <v>1248</v>
      </c>
      <c r="C73" s="1858"/>
      <c r="D73" s="216"/>
      <c r="E73" s="161" t="s">
        <v>579</v>
      </c>
      <c r="F73" s="364">
        <f>SUMIFS(INPUT!H:H,INPUT!E:E,BAZE_2024!A73,INPUT!B:B,BAZE_2024!B73)</f>
        <v>3116</v>
      </c>
      <c r="G73" s="389">
        <f>SUMIFS(INPUT!L:L,INPUT!E:E,BAZE_2024!A73,INPUT!B:B,BAZE_2024!B73)</f>
        <v>3355.44</v>
      </c>
      <c r="H73" s="146">
        <f>G73-F73</f>
        <v>239.44000000000005</v>
      </c>
      <c r="I73" s="1836">
        <f t="shared" si="5"/>
        <v>7.6842105263157906E-2</v>
      </c>
      <c r="J73" s="2025"/>
      <c r="K73" s="227"/>
      <c r="L73" s="72"/>
      <c r="M73" s="1319"/>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50" customFormat="1" ht="15" hidden="1" outlineLevel="1">
      <c r="A74" s="1665" t="s">
        <v>3191</v>
      </c>
      <c r="B74" s="1665" t="s">
        <v>1250</v>
      </c>
      <c r="C74" s="1858"/>
      <c r="D74" s="160"/>
      <c r="E74" s="161" t="s">
        <v>578</v>
      </c>
      <c r="F74" s="364">
        <f>SUMIFS(INPUT!H:H,INPUT!E:E,BAZE_2024!A74,INPUT!B:B,BAZE_2024!B74)</f>
        <v>0</v>
      </c>
      <c r="G74" s="393">
        <f>SUMIFS(INPUT!L:L,INPUT!E:E,BAZE_2024!A74,INPUT!B:B,BAZE_2024!B74)</f>
        <v>0</v>
      </c>
      <c r="H74" s="146">
        <f>G74-F74</f>
        <v>0</v>
      </c>
      <c r="I74" s="1836" t="str">
        <f t="shared" si="5"/>
        <v>-</v>
      </c>
      <c r="J74" s="2023"/>
      <c r="K74" s="227"/>
      <c r="L74" s="77"/>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row>
    <row r="75" spans="1:195" s="218" customFormat="1" ht="15" hidden="1" outlineLevel="1">
      <c r="A75" s="1665" t="s">
        <v>3191</v>
      </c>
      <c r="B75" s="1665" t="s">
        <v>1249</v>
      </c>
      <c r="C75" s="1858"/>
      <c r="D75" s="163"/>
      <c r="E75" s="164" t="s">
        <v>1249</v>
      </c>
      <c r="F75" s="364">
        <f>SUMIFS(INPUT!H:H,INPUT!E:E,BAZE_2024!A75,INPUT!B:B,BAZE_2024!B75)</f>
        <v>0</v>
      </c>
      <c r="G75" s="393">
        <f>SUMIFS(INPUT!L:L,INPUT!E:E,BAZE_2024!A75,INPUT!B:B,BAZE_2024!B75)</f>
        <v>0</v>
      </c>
      <c r="H75" s="373">
        <f>G75-F75</f>
        <v>0</v>
      </c>
      <c r="I75" s="1837" t="str">
        <f t="shared" si="5"/>
        <v>-</v>
      </c>
      <c r="J75" s="2026"/>
      <c r="K75" s="227"/>
      <c r="L75" s="2012"/>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6"/>
      <c r="BR75" s="226"/>
      <c r="BS75" s="226"/>
      <c r="BT75" s="226"/>
      <c r="BU75" s="226"/>
      <c r="BV75" s="226"/>
      <c r="BW75" s="226"/>
      <c r="BX75" s="226"/>
      <c r="BY75" s="226"/>
      <c r="BZ75" s="226"/>
      <c r="CA75" s="226"/>
      <c r="CB75" s="226"/>
      <c r="CC75" s="226"/>
      <c r="CD75" s="226"/>
      <c r="CE75" s="226"/>
      <c r="CF75" s="226"/>
      <c r="CG75" s="226"/>
      <c r="CH75" s="226"/>
      <c r="CI75" s="226"/>
      <c r="CJ75" s="226"/>
      <c r="CK75" s="226"/>
      <c r="CL75" s="226"/>
      <c r="CM75" s="226"/>
      <c r="CN75" s="226"/>
      <c r="CO75" s="226"/>
      <c r="CP75" s="226"/>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c r="DW75" s="226"/>
      <c r="DX75" s="226"/>
      <c r="DY75" s="226"/>
      <c r="DZ75" s="226"/>
      <c r="EA75" s="226"/>
      <c r="EB75" s="226"/>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G75" s="226"/>
      <c r="FH75" s="226"/>
      <c r="FI75" s="226"/>
      <c r="FJ75" s="226"/>
      <c r="FK75" s="226"/>
      <c r="FL75" s="226"/>
      <c r="FM75" s="226"/>
      <c r="FN75" s="226"/>
      <c r="FO75" s="226"/>
      <c r="FP75" s="226"/>
      <c r="FQ75" s="226"/>
      <c r="FR75" s="226"/>
      <c r="FS75" s="226"/>
      <c r="FT75" s="226"/>
      <c r="FU75" s="226"/>
      <c r="FV75" s="226"/>
      <c r="FW75" s="226"/>
      <c r="FX75" s="226"/>
      <c r="FY75" s="226"/>
      <c r="FZ75" s="226"/>
      <c r="GA75" s="226"/>
      <c r="GB75" s="226"/>
      <c r="GC75" s="226"/>
      <c r="GD75" s="226"/>
      <c r="GE75" s="226"/>
      <c r="GF75" s="226"/>
      <c r="GG75" s="226"/>
      <c r="GH75" s="226"/>
      <c r="GI75" s="226"/>
      <c r="GJ75" s="226"/>
      <c r="GK75" s="226"/>
      <c r="GL75" s="226"/>
      <c r="GM75" s="226"/>
    </row>
    <row r="76" spans="1:195" ht="16.149999999999999" customHeight="1" collapsed="1">
      <c r="A76" s="1665" t="s">
        <v>1928</v>
      </c>
      <c r="D76" s="126" t="s">
        <v>155</v>
      </c>
      <c r="E76" s="127" t="s">
        <v>156</v>
      </c>
      <c r="F76" s="116">
        <f>SUMIF(INPUT!E:E,BAZE_2024!A76,INPUT!H:H)</f>
        <v>50294.195200000002</v>
      </c>
      <c r="G76" s="383">
        <f>SUMIF(INPUT!E:E,BAZE_2024!A76,INPUT!L:L)*0.85</f>
        <v>45279.369875199998</v>
      </c>
      <c r="H76" s="116">
        <f t="shared" si="4"/>
        <v>-5014.8253248000037</v>
      </c>
      <c r="I76" s="1826">
        <f t="shared" si="5"/>
        <v>-9.9709823466864092E-2</v>
      </c>
      <c r="J76" s="2024"/>
      <c r="K76" s="227"/>
    </row>
    <row r="77" spans="1:195" ht="15">
      <c r="A77" s="1665" t="s">
        <v>1954</v>
      </c>
      <c r="D77" s="126" t="s">
        <v>157</v>
      </c>
      <c r="E77" s="127" t="s">
        <v>158</v>
      </c>
      <c r="F77" s="116">
        <f>SUMIF(INPUT!E:E,BAZE_2024!A77,INPUT!H:H)</f>
        <v>6587.5</v>
      </c>
      <c r="G77" s="383">
        <f>SUMIF(INPUT!E:E,BAZE_2024!A77,INPUT!L:L)</f>
        <v>8039.5</v>
      </c>
      <c r="H77" s="116">
        <f t="shared" si="4"/>
        <v>1452</v>
      </c>
      <c r="I77" s="1826">
        <f t="shared" si="5"/>
        <v>0.22041745730550286</v>
      </c>
      <c r="J77" s="4261" t="s">
        <v>5970</v>
      </c>
      <c r="K77" s="227"/>
    </row>
    <row r="78" spans="1:195" ht="15">
      <c r="D78" s="126" t="s">
        <v>159</v>
      </c>
      <c r="E78" s="127" t="s">
        <v>161</v>
      </c>
      <c r="F78" s="116">
        <f>SUM(F79:F80)</f>
        <v>69620.138310000009</v>
      </c>
      <c r="G78" s="116">
        <f>SUM(G79:G80)</f>
        <v>53046.204242480002</v>
      </c>
      <c r="H78" s="116">
        <f t="shared" si="4"/>
        <v>-16573.934067520007</v>
      </c>
      <c r="I78" s="1826">
        <f t="shared" si="5"/>
        <v>-0.23806235479913407</v>
      </c>
      <c r="J78" s="2027" t="s">
        <v>5258</v>
      </c>
      <c r="K78" s="227"/>
    </row>
    <row r="79" spans="1:195" s="50" customFormat="1" ht="30" hidden="1" outlineLevel="1">
      <c r="A79" s="1665" t="s">
        <v>1118</v>
      </c>
      <c r="B79" s="1665" t="s">
        <v>663</v>
      </c>
      <c r="C79" s="1858"/>
      <c r="D79" s="160"/>
      <c r="E79" s="217" t="s">
        <v>663</v>
      </c>
      <c r="F79" s="364">
        <f>SUMIFS(INPUT!H:H,INPUT!E:E,BAZE_2024!A79,INPUT!B:B,BAZE_2024!B79)</f>
        <v>54620.138310000002</v>
      </c>
      <c r="G79" s="389">
        <f>SUMIFS(INPUT!L:L,INPUT!E:E,BAZE_2024!A79,INPUT!B:B,BAZE_2024!B79)*0.85</f>
        <v>53046.204242480002</v>
      </c>
      <c r="H79" s="146">
        <f>G79-F79</f>
        <v>-1573.9340675200001</v>
      </c>
      <c r="I79" s="1836">
        <f>IFERROR(H79/F79,"-")</f>
        <v>-2.8816002965555289E-2</v>
      </c>
      <c r="J79" s="2022" t="s">
        <v>6215</v>
      </c>
      <c r="K79" s="227"/>
      <c r="L79" s="77"/>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s="50" customFormat="1" ht="15" hidden="1" outlineLevel="1">
      <c r="A80" s="1665" t="s">
        <v>1118</v>
      </c>
      <c r="B80" s="1665" t="s">
        <v>1248</v>
      </c>
      <c r="C80" s="1858"/>
      <c r="D80" s="216"/>
      <c r="E80" s="161" t="s">
        <v>579</v>
      </c>
      <c r="F80" s="364">
        <f>SUMIFS(INPUT!H:H,INPUT!E:E,BAZE_2024!A80,INPUT!B:B,BAZE_2024!B80)</f>
        <v>15000</v>
      </c>
      <c r="G80" s="389">
        <f>SUMIFS(INPUT!L:L,INPUT!E:E,BAZE_2024!A80,INPUT!B:B,BAZE_2024!B80)</f>
        <v>0</v>
      </c>
      <c r="H80" s="146">
        <f>G80-F80</f>
        <v>-15000</v>
      </c>
      <c r="I80" s="1836">
        <f>IFERROR(H80/F80,"-")</f>
        <v>-1</v>
      </c>
      <c r="J80" s="2022" t="s">
        <v>5258</v>
      </c>
      <c r="K80" s="227"/>
      <c r="L80" s="77"/>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row>
    <row r="81" spans="1:195" ht="30" collapsed="1">
      <c r="A81" s="1665" t="s">
        <v>658</v>
      </c>
      <c r="B81" s="1665" t="s">
        <v>1298</v>
      </c>
      <c r="D81" s="126" t="s">
        <v>160</v>
      </c>
      <c r="E81" s="127" t="s">
        <v>1647</v>
      </c>
      <c r="F81" s="116">
        <f>SUMIFS(INPUT!H:H,INPUT!E:E,BAZE_2024!A81,INPUT!B:B,BAZE_2024!B81)</f>
        <v>1224463.3380284801</v>
      </c>
      <c r="G81" s="116">
        <f>SUMIFS(INPUT!L:L,INPUT!E:E,BAZE_2024!A81,INPUT!B:B,BAZE_2024!B81)</f>
        <v>2229302</v>
      </c>
      <c r="H81" s="116">
        <f t="shared" si="4"/>
        <v>1004838.6619715199</v>
      </c>
      <c r="I81" s="1826">
        <f t="shared" si="5"/>
        <v>0.82063597231863239</v>
      </c>
      <c r="J81" s="2027" t="s">
        <v>2519</v>
      </c>
      <c r="K81" s="227"/>
    </row>
    <row r="82" spans="1:195" ht="15">
      <c r="A82" s="1665" t="s">
        <v>658</v>
      </c>
      <c r="B82" s="1665" t="s">
        <v>1304</v>
      </c>
      <c r="D82" s="126" t="s">
        <v>162</v>
      </c>
      <c r="E82" s="127" t="s">
        <v>164</v>
      </c>
      <c r="F82" s="116">
        <f>SUMIFS(INPUT!H:H,INPUT!E:E,BAZE_2024!A82,INPUT!B:B,BAZE_2024!B82)</f>
        <v>4428486</v>
      </c>
      <c r="G82" s="116">
        <f>SUMIFS(INPUT!L:L,INPUT!E:E,BAZE_2024!A82,INPUT!B:B,BAZE_2024!B82)</f>
        <v>6416104</v>
      </c>
      <c r="H82" s="116">
        <f t="shared" si="4"/>
        <v>1987618</v>
      </c>
      <c r="I82" s="1826">
        <f t="shared" si="5"/>
        <v>0.44882562573303836</v>
      </c>
      <c r="J82" s="2024"/>
      <c r="K82" s="227"/>
    </row>
    <row r="83" spans="1:195" ht="15">
      <c r="D83" s="126" t="s">
        <v>1130</v>
      </c>
      <c r="E83" s="127" t="s">
        <v>1295</v>
      </c>
      <c r="F83" s="116">
        <f>F84+F85+F86</f>
        <v>349579.84691325005</v>
      </c>
      <c r="G83" s="116">
        <f>G84+G85+G86</f>
        <v>410306.54376110004</v>
      </c>
      <c r="H83" s="116">
        <f t="shared" ref="H83:H88" si="6">G83-F83</f>
        <v>60726.696847849991</v>
      </c>
      <c r="I83" s="1826">
        <f t="shared" si="5"/>
        <v>0.17371338017354193</v>
      </c>
      <c r="J83" s="2027"/>
      <c r="K83" s="227"/>
    </row>
    <row r="84" spans="1:195" s="50" customFormat="1" ht="30" hidden="1" outlineLevel="1">
      <c r="A84" s="1665" t="s">
        <v>1929</v>
      </c>
      <c r="B84" s="1665" t="s">
        <v>663</v>
      </c>
      <c r="C84" s="1858"/>
      <c r="D84" s="160"/>
      <c r="E84" s="217" t="s">
        <v>663</v>
      </c>
      <c r="F84" s="364">
        <f>SUMIFS(INPUT!H:H,INPUT!E:E,BAZE_2024!A84,INPUT!B:B,BAZE_2024!B84)</f>
        <v>133444.30691325001</v>
      </c>
      <c r="G84" s="389">
        <f>SUMIFS(INPUT!L:L,INPUT!E:E,BAZE_2024!A84,INPUT!B:B,BAZE_2024!B84)</f>
        <v>175341.04376110004</v>
      </c>
      <c r="H84" s="146">
        <f t="shared" si="6"/>
        <v>41896.736847850028</v>
      </c>
      <c r="I84" s="1836">
        <f t="shared" si="5"/>
        <v>0.3139642133634552</v>
      </c>
      <c r="J84" s="2022" t="s">
        <v>5736</v>
      </c>
      <c r="K84" s="227"/>
      <c r="L84" s="77"/>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50" customFormat="1" ht="15" hidden="1" outlineLevel="1">
      <c r="A85" s="1665" t="s">
        <v>1929</v>
      </c>
      <c r="B85" s="1665" t="s">
        <v>1248</v>
      </c>
      <c r="C85" s="1858"/>
      <c r="D85" s="216"/>
      <c r="E85" s="161" t="s">
        <v>579</v>
      </c>
      <c r="F85" s="364">
        <f>SUMIFS(INPUT!H:H,INPUT!E:E,BAZE_2024!A85,INPUT!B:B,BAZE_2024!B85)</f>
        <v>181921.54</v>
      </c>
      <c r="G85" s="389">
        <f>SUMIFS(INPUT!L:L,INPUT!E:E,BAZE_2024!A85,INPUT!B:B,BAZE_2024!B85)</f>
        <v>207137.5</v>
      </c>
      <c r="H85" s="146">
        <f t="shared" si="6"/>
        <v>25215.959999999992</v>
      </c>
      <c r="I85" s="1836">
        <f t="shared" si="5"/>
        <v>0.13860898495032523</v>
      </c>
      <c r="J85" s="2022" t="s">
        <v>5667</v>
      </c>
      <c r="K85" s="156">
        <v>-0.04</v>
      </c>
      <c r="L85" s="1222">
        <f>G85*K85</f>
        <v>-8285.5</v>
      </c>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50" customFormat="1" ht="15" hidden="1" outlineLevel="1">
      <c r="A86" s="1665" t="s">
        <v>1929</v>
      </c>
      <c r="B86" s="1665" t="s">
        <v>1250</v>
      </c>
      <c r="C86" s="1858"/>
      <c r="D86" s="160"/>
      <c r="E86" s="161" t="s">
        <v>578</v>
      </c>
      <c r="F86" s="364">
        <f>SUMIFS(INPUT!H:H,INPUT!E:E,BAZE_2024!A86,INPUT!B:B,BAZE_2024!B86)</f>
        <v>34214</v>
      </c>
      <c r="G86" s="389">
        <f>SUMIFS(INPUT!L:L,INPUT!E:E,BAZE_2024!A86,INPUT!B:B,BAZE_2024!B86)</f>
        <v>27828</v>
      </c>
      <c r="H86" s="146">
        <f t="shared" si="6"/>
        <v>-6386</v>
      </c>
      <c r="I86" s="1836">
        <f t="shared" si="5"/>
        <v>-0.18664874028175601</v>
      </c>
      <c r="J86" s="2023" t="s">
        <v>5282</v>
      </c>
      <c r="K86" s="227"/>
      <c r="L86" s="77"/>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row>
    <row r="87" spans="1:195" s="218" customFormat="1" ht="15" hidden="1" outlineLevel="1">
      <c r="A87" s="1665" t="s">
        <v>1929</v>
      </c>
      <c r="B87" s="1665" t="s">
        <v>1249</v>
      </c>
      <c r="C87" s="1858"/>
      <c r="D87" s="163"/>
      <c r="E87" s="164" t="s">
        <v>1249</v>
      </c>
      <c r="F87" s="364">
        <f>SUMIFS(INPUT!H:H,INPUT!E:E,BAZE_2024!A87,INPUT!B:B,BAZE_2024!B87)</f>
        <v>8000</v>
      </c>
      <c r="G87" s="389">
        <f>SUMIFS(INPUT!L:L,INPUT!E:E,BAZE_2024!A87,INPUT!B:B,BAZE_2024!B87)</f>
        <v>8000</v>
      </c>
      <c r="H87" s="373">
        <f t="shared" si="6"/>
        <v>0</v>
      </c>
      <c r="I87" s="1837">
        <f t="shared" si="5"/>
        <v>0</v>
      </c>
      <c r="J87" s="2026"/>
      <c r="K87" s="227"/>
      <c r="L87" s="2012"/>
      <c r="M87" s="226"/>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226"/>
      <c r="AT87" s="226"/>
      <c r="AU87" s="226"/>
      <c r="AV87" s="226"/>
      <c r="AW87" s="226"/>
      <c r="AX87" s="226"/>
      <c r="AY87" s="226"/>
      <c r="AZ87" s="226"/>
      <c r="BA87" s="226"/>
      <c r="BB87" s="226"/>
      <c r="BC87" s="226"/>
      <c r="BD87" s="226"/>
      <c r="BE87" s="226"/>
      <c r="BF87" s="226"/>
      <c r="BG87" s="226"/>
      <c r="BH87" s="226"/>
      <c r="BI87" s="226"/>
      <c r="BJ87" s="226"/>
      <c r="BK87" s="226"/>
      <c r="BL87" s="226"/>
      <c r="BM87" s="226"/>
      <c r="BN87" s="226"/>
      <c r="BO87" s="226"/>
      <c r="BP87" s="226"/>
      <c r="BQ87" s="226"/>
      <c r="BR87" s="226"/>
      <c r="BS87" s="226"/>
      <c r="BT87" s="226"/>
      <c r="BU87" s="226"/>
      <c r="BV87" s="226"/>
      <c r="BW87" s="226"/>
      <c r="BX87" s="226"/>
      <c r="BY87" s="226"/>
      <c r="BZ87" s="226"/>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c r="DG87" s="226"/>
      <c r="DH87" s="226"/>
      <c r="DI87" s="226"/>
      <c r="DJ87" s="226"/>
      <c r="DK87" s="226"/>
      <c r="DL87" s="226"/>
      <c r="DM87" s="226"/>
      <c r="DN87" s="226"/>
      <c r="DO87" s="226"/>
      <c r="DP87" s="226"/>
      <c r="DQ87" s="226"/>
      <c r="DR87" s="226"/>
      <c r="DS87" s="226"/>
      <c r="DT87" s="226"/>
      <c r="DU87" s="226"/>
      <c r="DV87" s="226"/>
      <c r="DW87" s="226"/>
      <c r="DX87" s="226"/>
      <c r="DY87" s="226"/>
      <c r="DZ87" s="226"/>
      <c r="EA87" s="226"/>
      <c r="EB87" s="226"/>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G87" s="226"/>
      <c r="FH87" s="226"/>
      <c r="FI87" s="226"/>
      <c r="FJ87" s="226"/>
      <c r="FK87" s="226"/>
      <c r="FL87" s="226"/>
      <c r="FM87" s="226"/>
      <c r="FN87" s="226"/>
      <c r="FO87" s="226"/>
      <c r="FP87" s="226"/>
      <c r="FQ87" s="226"/>
      <c r="FR87" s="226"/>
      <c r="FS87" s="226"/>
      <c r="FT87" s="226"/>
      <c r="FU87" s="226"/>
      <c r="FV87" s="226"/>
      <c r="FW87" s="226"/>
      <c r="FX87" s="226"/>
      <c r="FY87" s="226"/>
      <c r="FZ87" s="226"/>
      <c r="GA87" s="226"/>
      <c r="GB87" s="226"/>
      <c r="GC87" s="226"/>
      <c r="GD87" s="226"/>
      <c r="GE87" s="226"/>
      <c r="GF87" s="226"/>
      <c r="GG87" s="226"/>
      <c r="GH87" s="226"/>
      <c r="GI87" s="226"/>
      <c r="GJ87" s="226"/>
      <c r="GK87" s="226"/>
      <c r="GL87" s="226"/>
      <c r="GM87" s="226"/>
    </row>
    <row r="88" spans="1:195" ht="28.5" collapsed="1">
      <c r="D88" s="128" t="s">
        <v>18</v>
      </c>
      <c r="E88" s="129" t="s">
        <v>586</v>
      </c>
      <c r="F88" s="362">
        <f>F89+F90+F92+F91</f>
        <v>935951.53292284999</v>
      </c>
      <c r="G88" s="363">
        <f>G89+G90+G92+G91</f>
        <v>1025367.7769225</v>
      </c>
      <c r="H88" s="106">
        <f t="shared" si="6"/>
        <v>89416.243999650003</v>
      </c>
      <c r="I88" s="1823">
        <f>IFERROR(H88/F88,"-")</f>
        <v>9.5535122123701396E-2</v>
      </c>
      <c r="J88" s="2028"/>
      <c r="K88" s="227"/>
    </row>
    <row r="89" spans="1:195" s="50" customFormat="1" ht="13.15" hidden="1" customHeight="1" outlineLevel="1">
      <c r="A89" s="1665" t="s">
        <v>1908</v>
      </c>
      <c r="B89" s="1665" t="s">
        <v>663</v>
      </c>
      <c r="C89" s="1858"/>
      <c r="D89" s="160"/>
      <c r="E89" s="217" t="s">
        <v>663</v>
      </c>
      <c r="F89" s="364">
        <f>SUMIFS(INPUT!H:H,INPUT!E:E,BAZE_2024!A89,INPUT!B:B,BAZE_2024!B89)</f>
        <v>773929.53292284999</v>
      </c>
      <c r="G89" s="389">
        <f>SUMIFS(INPUT!L:L,INPUT!E:E,BAZE_2024!A89,INPUT!B:B,BAZE_2024!B89)</f>
        <v>840989.05692250002</v>
      </c>
      <c r="H89" s="146">
        <f>G89-F89</f>
        <v>67059.523999650031</v>
      </c>
      <c r="I89" s="1836">
        <f>IFERROR(H89/F89,"-")</f>
        <v>8.6648100565939939E-2</v>
      </c>
      <c r="J89" s="1275"/>
      <c r="K89" s="148"/>
      <c r="L89" s="77"/>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50" customFormat="1" ht="45" hidden="1" customHeight="1" outlineLevel="1">
      <c r="A90" s="1665" t="s">
        <v>1908</v>
      </c>
      <c r="B90" s="1665" t="s">
        <v>1248</v>
      </c>
      <c r="C90" s="1858"/>
      <c r="D90" s="216"/>
      <c r="E90" s="161" t="s">
        <v>579</v>
      </c>
      <c r="F90" s="364">
        <f>SUMIFS(INPUT!H:H,INPUT!E:E,BAZE_2024!A90,INPUT!B:B,BAZE_2024!B90)</f>
        <v>148231</v>
      </c>
      <c r="G90" s="389">
        <f>SUMIFS(INPUT!L:L,INPUT!E:E,BAZE_2024!A90,INPUT!B:B,BAZE_2024!B90)</f>
        <v>155275.72</v>
      </c>
      <c r="H90" s="146">
        <f t="shared" si="4"/>
        <v>7044.7200000000012</v>
      </c>
      <c r="I90" s="1836">
        <f t="shared" si="5"/>
        <v>4.7525281486328778E-2</v>
      </c>
      <c r="J90" s="2022" t="s">
        <v>6063</v>
      </c>
      <c r="K90" s="156">
        <v>-0.01</v>
      </c>
      <c r="L90" s="1222">
        <f>G90*K90</f>
        <v>-1552.7572</v>
      </c>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row>
    <row r="91" spans="1:195" s="2477" customFormat="1" ht="13.15" hidden="1" customHeight="1" outlineLevel="1">
      <c r="A91" s="2791" t="s">
        <v>1908</v>
      </c>
      <c r="B91" s="2791" t="s">
        <v>2649</v>
      </c>
      <c r="C91" s="1858"/>
      <c r="D91" s="2792"/>
      <c r="E91" s="2795" t="s">
        <v>2649</v>
      </c>
      <c r="F91" s="2572">
        <f>SUMIFS(INPUT!H:H,INPUT!E:E,BAZE_2024!A91,INPUT!B:B,BAZE_2024!B91)</f>
        <v>0</v>
      </c>
      <c r="G91" s="2572">
        <f>SUMIFS(INPUT!L:L,INPUT!E:E,BAZE_2024!A91,INPUT!B:B,BAZE_2024!B91)</f>
        <v>0</v>
      </c>
      <c r="H91" s="2796">
        <f>G91-F91</f>
        <v>0</v>
      </c>
      <c r="I91" s="2797" t="str">
        <f>IFERROR(H91/F91,"-")</f>
        <v>-</v>
      </c>
      <c r="J91" s="2798"/>
      <c r="K91" s="79"/>
      <c r="L91" s="224"/>
      <c r="M91" s="79"/>
      <c r="N91" s="79"/>
      <c r="O91" s="79"/>
      <c r="P91" s="79"/>
      <c r="Q91" s="79"/>
      <c r="R91" s="79"/>
      <c r="S91" s="79"/>
      <c r="T91" s="79"/>
      <c r="U91" s="79"/>
      <c r="V91" s="79"/>
      <c r="W91" s="79"/>
      <c r="X91" s="79"/>
      <c r="Y91" s="79"/>
      <c r="Z91" s="79"/>
      <c r="AA91" s="79"/>
      <c r="AB91" s="79"/>
      <c r="AC91" s="79"/>
      <c r="AD91" s="79"/>
      <c r="AE91" s="79"/>
      <c r="AF91" s="79"/>
      <c r="AG91" s="79"/>
      <c r="AH91" s="79"/>
      <c r="AI91" s="79"/>
      <c r="AJ91" s="79"/>
      <c r="AK91" s="79"/>
      <c r="AL91" s="79"/>
      <c r="AM91" s="79"/>
      <c r="AN91" s="79"/>
      <c r="AO91" s="79"/>
      <c r="AP91" s="79"/>
      <c r="AQ91" s="79"/>
      <c r="AR91" s="79"/>
      <c r="AS91" s="79"/>
      <c r="AT91" s="79"/>
      <c r="AU91" s="79"/>
      <c r="AV91" s="79"/>
      <c r="AW91" s="79"/>
      <c r="AX91" s="79"/>
      <c r="AY91" s="79"/>
      <c r="AZ91" s="79"/>
      <c r="BA91" s="79"/>
      <c r="BB91" s="79"/>
      <c r="BC91" s="79"/>
      <c r="BD91" s="79"/>
      <c r="BE91" s="79"/>
      <c r="BF91" s="79"/>
      <c r="BG91" s="79"/>
      <c r="BH91" s="79"/>
      <c r="BI91" s="79"/>
      <c r="BJ91" s="79"/>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c r="CJ91" s="79"/>
      <c r="CK91" s="79"/>
      <c r="CL91" s="79"/>
      <c r="CM91" s="79"/>
      <c r="CN91" s="79"/>
      <c r="CO91" s="79"/>
      <c r="CP91" s="79"/>
      <c r="CQ91" s="79"/>
      <c r="CR91" s="79"/>
      <c r="CS91" s="79"/>
      <c r="CT91" s="79"/>
      <c r="CU91" s="79"/>
      <c r="CV91" s="79"/>
      <c r="CW91" s="79"/>
      <c r="CX91" s="79"/>
      <c r="CY91" s="79"/>
      <c r="CZ91" s="79"/>
      <c r="DA91" s="79"/>
      <c r="DB91" s="79"/>
      <c r="DC91" s="79"/>
      <c r="DD91" s="79"/>
      <c r="DE91" s="79"/>
      <c r="DF91" s="79"/>
      <c r="DG91" s="79"/>
      <c r="DH91" s="79"/>
      <c r="DI91" s="79"/>
      <c r="DJ91" s="79"/>
      <c r="DK91" s="79"/>
      <c r="DL91" s="79"/>
      <c r="DM91" s="79"/>
      <c r="DN91" s="79"/>
      <c r="DO91" s="79"/>
      <c r="DP91" s="79"/>
      <c r="DQ91" s="79"/>
      <c r="DR91" s="79"/>
      <c r="DS91" s="79"/>
      <c r="DT91" s="79"/>
      <c r="DU91" s="79"/>
      <c r="DV91" s="79"/>
      <c r="DW91" s="79"/>
      <c r="DX91" s="79"/>
      <c r="DY91" s="79"/>
      <c r="DZ91" s="79"/>
      <c r="EA91" s="79"/>
      <c r="EB91" s="79"/>
      <c r="EC91" s="79"/>
      <c r="ED91" s="79"/>
      <c r="EE91" s="79"/>
      <c r="EF91" s="79"/>
      <c r="EG91" s="79"/>
      <c r="EH91" s="79"/>
      <c r="EI91" s="79"/>
      <c r="EJ91" s="79"/>
      <c r="EK91" s="79"/>
      <c r="EL91" s="79"/>
      <c r="EM91" s="79"/>
      <c r="EN91" s="79"/>
      <c r="EO91" s="79"/>
      <c r="EP91" s="79"/>
      <c r="EQ91" s="79"/>
      <c r="ER91" s="79"/>
      <c r="ES91" s="79"/>
      <c r="ET91" s="79"/>
      <c r="EU91" s="79"/>
      <c r="EV91" s="79"/>
      <c r="EW91" s="79"/>
      <c r="EX91" s="79"/>
      <c r="EY91" s="79"/>
      <c r="EZ91" s="79"/>
      <c r="FA91" s="79"/>
      <c r="FB91" s="79"/>
      <c r="FC91" s="79"/>
      <c r="FD91" s="79"/>
      <c r="FE91" s="79"/>
      <c r="FF91" s="79"/>
      <c r="FG91" s="79"/>
      <c r="FH91" s="79"/>
      <c r="FI91" s="79"/>
      <c r="FJ91" s="79"/>
      <c r="FK91" s="79"/>
      <c r="FL91" s="79"/>
      <c r="FM91" s="79"/>
      <c r="FN91" s="79"/>
      <c r="FO91" s="79"/>
      <c r="FP91" s="79"/>
      <c r="FQ91" s="79"/>
      <c r="FR91" s="79"/>
      <c r="FS91" s="79"/>
      <c r="FT91" s="79"/>
      <c r="FU91" s="79"/>
      <c r="FV91" s="79"/>
      <c r="FW91" s="79"/>
      <c r="FX91" s="79"/>
      <c r="FY91" s="79"/>
      <c r="FZ91" s="79"/>
      <c r="GA91" s="79"/>
      <c r="GB91" s="79"/>
      <c r="GC91" s="79"/>
      <c r="GD91" s="79"/>
      <c r="GE91" s="79"/>
      <c r="GF91" s="79"/>
      <c r="GG91" s="79"/>
      <c r="GH91" s="79"/>
      <c r="GI91" s="79"/>
      <c r="GJ91" s="79"/>
      <c r="GK91" s="79"/>
      <c r="GL91" s="79"/>
      <c r="GM91" s="79"/>
    </row>
    <row r="92" spans="1:195" s="50" customFormat="1" ht="13.15" hidden="1" customHeight="1" outlineLevel="1">
      <c r="A92" s="1665" t="s">
        <v>1908</v>
      </c>
      <c r="B92" s="1665" t="s">
        <v>1250</v>
      </c>
      <c r="C92" s="1858"/>
      <c r="D92" s="160"/>
      <c r="E92" s="161" t="s">
        <v>578</v>
      </c>
      <c r="F92" s="364">
        <f>SUMIFS(INPUT!H:H,INPUT!E:E,BAZE_2024!A92,INPUT!B:B,BAZE_2024!B92)</f>
        <v>13791</v>
      </c>
      <c r="G92" s="389">
        <f>SUMIFS(INPUT!L:L,INPUT!E:E,BAZE_2024!A92,INPUT!B:B,BAZE_2024!B92)</f>
        <v>29103</v>
      </c>
      <c r="H92" s="146">
        <f t="shared" si="4"/>
        <v>15312</v>
      </c>
      <c r="I92" s="1836">
        <f t="shared" si="5"/>
        <v>1.110289319121166</v>
      </c>
      <c r="J92" s="3800" t="s">
        <v>5737</v>
      </c>
      <c r="K92" s="148"/>
      <c r="L92" s="77"/>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row>
    <row r="93" spans="1:195" s="1299" customFormat="1" ht="13.15" hidden="1" customHeight="1" outlineLevel="1">
      <c r="A93" s="2127" t="s">
        <v>1908</v>
      </c>
      <c r="B93" s="2127" t="s">
        <v>1249</v>
      </c>
      <c r="C93" s="2128"/>
      <c r="D93" s="1297"/>
      <c r="E93" s="1294" t="s">
        <v>1249</v>
      </c>
      <c r="F93" s="1280">
        <f>SUMIFS(INPUT!H:H,INPUT!E:E,BAZE_2024!A93,INPUT!B:B,BAZE_2024!B93)</f>
        <v>0</v>
      </c>
      <c r="G93" s="380">
        <f>SUMIFS(INPUT!L:L,INPUT!E:E,BAZE_2024!A93,INPUT!B:B,BAZE_2024!B93)</f>
        <v>29000</v>
      </c>
      <c r="H93" s="1285">
        <f t="shared" si="4"/>
        <v>29000</v>
      </c>
      <c r="I93" s="1834" t="str">
        <f t="shared" si="5"/>
        <v>-</v>
      </c>
      <c r="J93" s="2031"/>
      <c r="K93" s="1289"/>
      <c r="L93" s="2014"/>
      <c r="M93" s="1289"/>
      <c r="N93" s="1289"/>
      <c r="O93" s="1289"/>
      <c r="P93" s="1289"/>
      <c r="Q93" s="1289"/>
      <c r="R93" s="1289"/>
      <c r="S93" s="1289"/>
      <c r="T93" s="1289"/>
      <c r="U93" s="1289"/>
      <c r="V93" s="1289"/>
      <c r="W93" s="1289"/>
      <c r="X93" s="1289"/>
      <c r="Y93" s="1289"/>
      <c r="Z93" s="1289"/>
      <c r="AA93" s="1289"/>
      <c r="AB93" s="1289"/>
      <c r="AC93" s="1289"/>
      <c r="AD93" s="1289"/>
      <c r="AE93" s="1289"/>
      <c r="AF93" s="1289"/>
      <c r="AG93" s="1289"/>
      <c r="AH93" s="1289"/>
      <c r="AI93" s="1289"/>
      <c r="AJ93" s="1289"/>
      <c r="AK93" s="1289"/>
      <c r="AL93" s="1289"/>
      <c r="AM93" s="1289"/>
      <c r="AN93" s="1289"/>
      <c r="AO93" s="1289"/>
      <c r="AP93" s="1289"/>
      <c r="AQ93" s="1289"/>
      <c r="AR93" s="1289"/>
      <c r="AS93" s="1289"/>
      <c r="AT93" s="1289"/>
      <c r="AU93" s="1289"/>
      <c r="AV93" s="1289"/>
      <c r="AW93" s="1289"/>
      <c r="AX93" s="1289"/>
      <c r="AY93" s="1289"/>
      <c r="AZ93" s="1289"/>
      <c r="BA93" s="1289"/>
      <c r="BB93" s="1289"/>
      <c r="BC93" s="1289"/>
      <c r="BD93" s="1289"/>
      <c r="BE93" s="1289"/>
      <c r="BF93" s="1289"/>
      <c r="BG93" s="1289"/>
      <c r="BH93" s="1289"/>
      <c r="BI93" s="1289"/>
      <c r="BJ93" s="1289"/>
      <c r="BK93" s="1289"/>
      <c r="BL93" s="1289"/>
      <c r="BM93" s="1289"/>
      <c r="BN93" s="1289"/>
      <c r="BO93" s="1289"/>
      <c r="BP93" s="1289"/>
      <c r="BQ93" s="1289"/>
      <c r="BR93" s="1289"/>
      <c r="BS93" s="1289"/>
      <c r="BT93" s="1289"/>
      <c r="BU93" s="1289"/>
      <c r="BV93" s="1289"/>
      <c r="BW93" s="1289"/>
      <c r="BX93" s="1289"/>
      <c r="BY93" s="1289"/>
      <c r="BZ93" s="1289"/>
      <c r="CA93" s="1289"/>
      <c r="CB93" s="1289"/>
      <c r="CC93" s="1289"/>
      <c r="CD93" s="1289"/>
      <c r="CE93" s="1289"/>
      <c r="CF93" s="1289"/>
      <c r="CG93" s="1289"/>
      <c r="CH93" s="1289"/>
      <c r="CI93" s="1289"/>
      <c r="CJ93" s="1289"/>
      <c r="CK93" s="1289"/>
      <c r="CL93" s="1289"/>
      <c r="CM93" s="1289"/>
      <c r="CN93" s="1289"/>
      <c r="CO93" s="1289"/>
      <c r="CP93" s="1289"/>
      <c r="CQ93" s="1289"/>
      <c r="CR93" s="1289"/>
      <c r="CS93" s="1289"/>
      <c r="CT93" s="1289"/>
      <c r="CU93" s="1289"/>
      <c r="CV93" s="1289"/>
      <c r="CW93" s="1289"/>
      <c r="CX93" s="1289"/>
      <c r="CY93" s="1289"/>
      <c r="CZ93" s="1289"/>
      <c r="DA93" s="1289"/>
      <c r="DB93" s="1289"/>
      <c r="DC93" s="1289"/>
      <c r="DD93" s="1289"/>
      <c r="DE93" s="1289"/>
      <c r="DF93" s="1289"/>
      <c r="DG93" s="1289"/>
      <c r="DH93" s="1289"/>
      <c r="DI93" s="1289"/>
      <c r="DJ93" s="1289"/>
      <c r="DK93" s="1289"/>
      <c r="DL93" s="1289"/>
      <c r="DM93" s="1289"/>
      <c r="DN93" s="1289"/>
      <c r="DO93" s="1289"/>
      <c r="DP93" s="1289"/>
      <c r="DQ93" s="1289"/>
      <c r="DR93" s="1289"/>
      <c r="DS93" s="1289"/>
      <c r="DT93" s="1289"/>
      <c r="DU93" s="1289"/>
      <c r="DV93" s="1289"/>
      <c r="DW93" s="1289"/>
      <c r="DX93" s="1289"/>
      <c r="DY93" s="1289"/>
      <c r="DZ93" s="1289"/>
      <c r="EA93" s="1289"/>
      <c r="EB93" s="1289"/>
      <c r="EC93" s="1289"/>
      <c r="ED93" s="1289"/>
      <c r="EE93" s="1289"/>
      <c r="EF93" s="1289"/>
      <c r="EG93" s="1289"/>
      <c r="EH93" s="1289"/>
      <c r="EI93" s="1289"/>
      <c r="EJ93" s="1289"/>
      <c r="EK93" s="1289"/>
      <c r="EL93" s="1289"/>
      <c r="EM93" s="1289"/>
      <c r="EN93" s="1289"/>
      <c r="EO93" s="1289"/>
      <c r="EP93" s="1289"/>
      <c r="EQ93" s="1289"/>
      <c r="ER93" s="1289"/>
      <c r="ES93" s="1289"/>
      <c r="ET93" s="1289"/>
      <c r="EU93" s="1289"/>
      <c r="EV93" s="1289"/>
      <c r="EW93" s="1289"/>
      <c r="EX93" s="1289"/>
      <c r="EY93" s="1289"/>
      <c r="EZ93" s="1289"/>
      <c r="FA93" s="1289"/>
      <c r="FB93" s="1289"/>
      <c r="FC93" s="1289"/>
      <c r="FD93" s="1289"/>
      <c r="FE93" s="1289"/>
      <c r="FF93" s="1289"/>
      <c r="FG93" s="1289"/>
      <c r="FH93" s="1289"/>
      <c r="FI93" s="1289"/>
      <c r="FJ93" s="1289"/>
      <c r="FK93" s="1289"/>
      <c r="FL93" s="1289"/>
      <c r="FM93" s="1289"/>
      <c r="FN93" s="1289"/>
      <c r="FO93" s="1289"/>
      <c r="FP93" s="1289"/>
      <c r="FQ93" s="1289"/>
      <c r="FR93" s="1289"/>
      <c r="FS93" s="1289"/>
      <c r="FT93" s="1289"/>
      <c r="FU93" s="1289"/>
      <c r="FV93" s="1289"/>
      <c r="FW93" s="1289"/>
      <c r="FX93" s="1289"/>
      <c r="FY93" s="1289"/>
      <c r="FZ93" s="1289"/>
      <c r="GA93" s="1289"/>
      <c r="GB93" s="1289"/>
      <c r="GC93" s="1289"/>
      <c r="GD93" s="1289"/>
      <c r="GE93" s="1289"/>
      <c r="GF93" s="1289"/>
      <c r="GG93" s="1289"/>
      <c r="GH93" s="1289"/>
      <c r="GI93" s="1289"/>
      <c r="GJ93" s="1289"/>
      <c r="GK93" s="1289"/>
      <c r="GL93" s="1289"/>
      <c r="GM93" s="1289"/>
    </row>
    <row r="94" spans="1:195" ht="14.25" collapsed="1">
      <c r="D94" s="128" t="s">
        <v>26</v>
      </c>
      <c r="E94" s="129" t="s">
        <v>168</v>
      </c>
      <c r="F94" s="362">
        <f>F95+F96+F97+F98</f>
        <v>206416.28000000003</v>
      </c>
      <c r="G94" s="363">
        <f>G95+G96+G97+G98</f>
        <v>177686.07229136</v>
      </c>
      <c r="H94" s="106">
        <f t="shared" si="4"/>
        <v>-28730.207708640024</v>
      </c>
      <c r="I94" s="1823">
        <f t="shared" si="5"/>
        <v>-0.1391857643623847</v>
      </c>
      <c r="J94" s="2029"/>
      <c r="K94" s="227"/>
    </row>
    <row r="95" spans="1:195" s="50" customFormat="1" ht="15" hidden="1" outlineLevel="1">
      <c r="A95" s="1665" t="s">
        <v>1938</v>
      </c>
      <c r="B95" s="1665" t="s">
        <v>663</v>
      </c>
      <c r="C95" s="1858"/>
      <c r="D95" s="160"/>
      <c r="E95" s="217" t="s">
        <v>663</v>
      </c>
      <c r="F95" s="364">
        <f>SUMIFS(INPUT!H:H,INPUT!E:E,BAZE_2024!A95,INPUT!B:B,BAZE_2024!B95)</f>
        <v>127004</v>
      </c>
      <c r="G95" s="389">
        <f>SUMIFS(INPUT!L:L,INPUT!E:E,BAZE_2024!A95,INPUT!B:B,BAZE_2024!B95)</f>
        <v>115371.87229135999</v>
      </c>
      <c r="H95" s="146">
        <f t="shared" si="4"/>
        <v>-11632.127708640008</v>
      </c>
      <c r="I95" s="1836">
        <f t="shared" si="5"/>
        <v>-9.1588672078359801E-2</v>
      </c>
      <c r="J95" s="1902" t="s">
        <v>5287</v>
      </c>
      <c r="K95" s="148"/>
      <c r="L95" s="77"/>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50" customFormat="1" ht="30" hidden="1" outlineLevel="1">
      <c r="A96" s="1665" t="s">
        <v>1938</v>
      </c>
      <c r="B96" s="1665" t="s">
        <v>1248</v>
      </c>
      <c r="C96" s="1858"/>
      <c r="D96" s="216"/>
      <c r="E96" s="161" t="s">
        <v>579</v>
      </c>
      <c r="F96" s="364">
        <f>SUMIFS(INPUT!H:H,INPUT!E:E,BAZE_2024!A96,INPUT!B:B,BAZE_2024!B96)</f>
        <v>30452.199999999997</v>
      </c>
      <c r="G96" s="389">
        <f>SUMIFS(INPUT!L:L,INPUT!E:E,BAZE_2024!A96,INPUT!B:B,BAZE_2024!B96)</f>
        <v>31237.75</v>
      </c>
      <c r="H96" s="146">
        <f t="shared" si="4"/>
        <v>785.55000000000291</v>
      </c>
      <c r="I96" s="1836">
        <f t="shared" si="5"/>
        <v>2.5796165794261267E-2</v>
      </c>
      <c r="J96" s="2022" t="s">
        <v>4732</v>
      </c>
      <c r="K96" s="156">
        <v>-0.01</v>
      </c>
      <c r="L96" s="1222">
        <f>G96*K96</f>
        <v>-312.3775</v>
      </c>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row>
    <row r="97" spans="1:195" s="218" customFormat="1" ht="30" hidden="1" outlineLevel="1">
      <c r="A97" s="1665" t="s">
        <v>1939</v>
      </c>
      <c r="B97" s="1665" t="s">
        <v>1248</v>
      </c>
      <c r="C97" s="1858"/>
      <c r="D97" s="1666"/>
      <c r="E97" s="1808" t="s">
        <v>1874</v>
      </c>
      <c r="F97" s="364">
        <f>SUMIFS(INPUT!H:H,INPUT!E:E,BAZE_2024!A97,INPUT!B:B,BAZE_2024!B97)</f>
        <v>45166.33</v>
      </c>
      <c r="G97" s="389">
        <f>SUMIFS(INPUT!L:L,INPUT!E:E,BAZE_2024!A97,INPUT!B:B,BAZE_2024!B97)</f>
        <v>29227</v>
      </c>
      <c r="H97" s="146">
        <f>G97-F97</f>
        <v>-15939.330000000002</v>
      </c>
      <c r="I97" s="1836">
        <f>IFERROR(H97/F97,"-")</f>
        <v>-0.35290292569708454</v>
      </c>
      <c r="J97" s="3816" t="s">
        <v>6216</v>
      </c>
      <c r="K97" s="447"/>
      <c r="L97" s="2012"/>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226"/>
      <c r="AT97" s="226"/>
      <c r="AU97" s="226"/>
      <c r="AV97" s="226"/>
      <c r="AW97" s="226"/>
      <c r="AX97" s="226"/>
      <c r="AY97" s="226"/>
      <c r="AZ97" s="226"/>
      <c r="BA97" s="226"/>
      <c r="BB97" s="226"/>
      <c r="BC97" s="226"/>
      <c r="BD97" s="226"/>
      <c r="BE97" s="226"/>
      <c r="BF97" s="226"/>
      <c r="BG97" s="226"/>
      <c r="BH97" s="226"/>
      <c r="BI97" s="226"/>
      <c r="BJ97" s="226"/>
      <c r="BK97" s="226"/>
      <c r="BL97" s="226"/>
      <c r="BM97" s="226"/>
      <c r="BN97" s="226"/>
      <c r="BO97" s="226"/>
      <c r="BP97" s="226"/>
      <c r="BQ97" s="226"/>
      <c r="BR97" s="226"/>
      <c r="BS97" s="226"/>
      <c r="BT97" s="226"/>
      <c r="BU97" s="226"/>
      <c r="BV97" s="226"/>
      <c r="BW97" s="226"/>
      <c r="BX97" s="226"/>
      <c r="BY97" s="226"/>
      <c r="BZ97" s="226"/>
      <c r="CA97" s="226"/>
      <c r="CB97" s="226"/>
      <c r="CC97" s="226"/>
      <c r="CD97" s="226"/>
      <c r="CE97" s="226"/>
      <c r="CF97" s="226"/>
      <c r="CG97" s="226"/>
      <c r="CH97" s="226"/>
      <c r="CI97" s="226"/>
      <c r="CJ97" s="226"/>
      <c r="CK97" s="226"/>
      <c r="CL97" s="226"/>
      <c r="CM97" s="226"/>
      <c r="CN97" s="226"/>
      <c r="CO97" s="226"/>
      <c r="CP97" s="226"/>
      <c r="CQ97" s="226"/>
      <c r="CR97" s="226"/>
      <c r="CS97" s="226"/>
      <c r="CT97" s="226"/>
      <c r="CU97" s="226"/>
      <c r="CV97" s="226"/>
      <c r="CW97" s="226"/>
      <c r="CX97" s="226"/>
      <c r="CY97" s="226"/>
      <c r="CZ97" s="226"/>
      <c r="DA97" s="226"/>
      <c r="DB97" s="226"/>
      <c r="DC97" s="226"/>
      <c r="DD97" s="226"/>
      <c r="DE97" s="226"/>
      <c r="DF97" s="226"/>
      <c r="DG97" s="226"/>
      <c r="DH97" s="226"/>
      <c r="DI97" s="226"/>
      <c r="DJ97" s="226"/>
      <c r="DK97" s="226"/>
      <c r="DL97" s="226"/>
      <c r="DM97" s="226"/>
      <c r="DN97" s="226"/>
      <c r="DO97" s="226"/>
      <c r="DP97" s="226"/>
      <c r="DQ97" s="226"/>
      <c r="DR97" s="226"/>
      <c r="DS97" s="226"/>
      <c r="DT97" s="226"/>
      <c r="DU97" s="226"/>
      <c r="DV97" s="226"/>
      <c r="DW97" s="226"/>
      <c r="DX97" s="226"/>
      <c r="DY97" s="226"/>
      <c r="DZ97" s="226"/>
      <c r="EA97" s="226"/>
      <c r="EB97" s="226"/>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G97" s="226"/>
      <c r="FH97" s="226"/>
      <c r="FI97" s="226"/>
      <c r="FJ97" s="226"/>
      <c r="FK97" s="226"/>
      <c r="FL97" s="226"/>
      <c r="FM97" s="226"/>
      <c r="FN97" s="226"/>
      <c r="FO97" s="226"/>
      <c r="FP97" s="226"/>
      <c r="FQ97" s="226"/>
      <c r="FR97" s="226"/>
      <c r="FS97" s="226"/>
      <c r="FT97" s="226"/>
      <c r="FU97" s="226"/>
      <c r="FV97" s="226"/>
      <c r="FW97" s="226"/>
      <c r="FX97" s="226"/>
      <c r="FY97" s="226"/>
      <c r="FZ97" s="226"/>
      <c r="GA97" s="226"/>
      <c r="GB97" s="226"/>
      <c r="GC97" s="226"/>
      <c r="GD97" s="226"/>
      <c r="GE97" s="226"/>
      <c r="GF97" s="226"/>
      <c r="GG97" s="226"/>
      <c r="GH97" s="226"/>
      <c r="GI97" s="226"/>
      <c r="GJ97" s="226"/>
      <c r="GK97" s="226"/>
      <c r="GL97" s="226"/>
      <c r="GM97" s="226"/>
    </row>
    <row r="98" spans="1:195" s="50" customFormat="1" ht="15" hidden="1" outlineLevel="1">
      <c r="A98" s="1665" t="s">
        <v>1938</v>
      </c>
      <c r="B98" s="1665" t="s">
        <v>1250</v>
      </c>
      <c r="C98" s="1858"/>
      <c r="D98" s="160"/>
      <c r="E98" s="161" t="s">
        <v>578</v>
      </c>
      <c r="F98" s="364">
        <f>SUMIFS(INPUT!H:H,INPUT!E:E,BAZE_2024!A98,INPUT!B:B,BAZE_2024!B98)</f>
        <v>3793.75</v>
      </c>
      <c r="G98" s="389">
        <f>SUMIFS(INPUT!L:L,INPUT!E:E,BAZE_2024!A98,INPUT!B:B,BAZE_2024!B98)</f>
        <v>1849.45</v>
      </c>
      <c r="H98" s="146">
        <f t="shared" si="4"/>
        <v>-1944.3</v>
      </c>
      <c r="I98" s="1836">
        <f t="shared" si="5"/>
        <v>-0.51250082372322903</v>
      </c>
      <c r="J98" s="1902"/>
      <c r="K98" s="148"/>
      <c r="L98" s="77"/>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row>
    <row r="99" spans="1:195" s="1299" customFormat="1" ht="15" hidden="1" outlineLevel="1">
      <c r="A99" s="2002" t="s">
        <v>1938</v>
      </c>
      <c r="B99" s="2002" t="s">
        <v>1249</v>
      </c>
      <c r="C99" s="2003"/>
      <c r="D99" s="1297"/>
      <c r="E99" s="1294" t="s">
        <v>1249</v>
      </c>
      <c r="F99" s="1279">
        <f>SUMIFS(INPUT!H:H,INPUT!E:E,BAZE_2024!A99,INPUT!B:B,BAZE_2024!B99)</f>
        <v>0</v>
      </c>
      <c r="G99" s="389">
        <f>SUMIFS(INPUT!L:L,INPUT!E:E,BAZE_2024!A99,INPUT!B:B,BAZE_2024!B99)</f>
        <v>16698</v>
      </c>
      <c r="H99" s="1285">
        <f t="shared" si="4"/>
        <v>16698</v>
      </c>
      <c r="I99" s="1834" t="str">
        <f t="shared" si="5"/>
        <v>-</v>
      </c>
      <c r="J99" s="2031"/>
      <c r="K99" s="1289"/>
      <c r="L99" s="2014"/>
      <c r="M99" s="1289"/>
      <c r="N99" s="1289"/>
      <c r="O99" s="1289"/>
      <c r="P99" s="1289"/>
      <c r="Q99" s="1289"/>
      <c r="R99" s="1289"/>
      <c r="S99" s="1289"/>
      <c r="T99" s="1289"/>
      <c r="U99" s="1289"/>
      <c r="V99" s="1289"/>
      <c r="W99" s="1289"/>
      <c r="X99" s="1289"/>
      <c r="Y99" s="1289"/>
      <c r="Z99" s="1289"/>
      <c r="AA99" s="1289"/>
      <c r="AB99" s="1289"/>
      <c r="AC99" s="1289"/>
      <c r="AD99" s="1289"/>
      <c r="AE99" s="1289"/>
      <c r="AF99" s="1289"/>
      <c r="AG99" s="1289"/>
      <c r="AH99" s="1289"/>
      <c r="AI99" s="1289"/>
      <c r="AJ99" s="1289"/>
      <c r="AK99" s="1289"/>
      <c r="AL99" s="1289"/>
      <c r="AM99" s="1289"/>
      <c r="AN99" s="1289"/>
      <c r="AO99" s="1289"/>
      <c r="AP99" s="1289"/>
      <c r="AQ99" s="1289"/>
      <c r="AR99" s="1289"/>
      <c r="AS99" s="1289"/>
      <c r="AT99" s="1289"/>
      <c r="AU99" s="1289"/>
      <c r="AV99" s="1289"/>
      <c r="AW99" s="1289"/>
      <c r="AX99" s="1289"/>
      <c r="AY99" s="1289"/>
      <c r="AZ99" s="1289"/>
      <c r="BA99" s="1289"/>
      <c r="BB99" s="1289"/>
      <c r="BC99" s="1289"/>
      <c r="BD99" s="1289"/>
      <c r="BE99" s="1289"/>
      <c r="BF99" s="1289"/>
      <c r="BG99" s="1289"/>
      <c r="BH99" s="1289"/>
      <c r="BI99" s="1289"/>
      <c r="BJ99" s="1289"/>
      <c r="BK99" s="1289"/>
      <c r="BL99" s="1289"/>
      <c r="BM99" s="1289"/>
      <c r="BN99" s="1289"/>
      <c r="BO99" s="1289"/>
      <c r="BP99" s="1289"/>
      <c r="BQ99" s="1289"/>
      <c r="BR99" s="1289"/>
      <c r="BS99" s="1289"/>
      <c r="BT99" s="1289"/>
      <c r="BU99" s="1289"/>
      <c r="BV99" s="1289"/>
      <c r="BW99" s="1289"/>
      <c r="BX99" s="1289"/>
      <c r="BY99" s="1289"/>
      <c r="BZ99" s="1289"/>
      <c r="CA99" s="1289"/>
      <c r="CB99" s="1289"/>
      <c r="CC99" s="1289"/>
      <c r="CD99" s="1289"/>
      <c r="CE99" s="1289"/>
      <c r="CF99" s="1289"/>
      <c r="CG99" s="1289"/>
      <c r="CH99" s="1289"/>
      <c r="CI99" s="1289"/>
      <c r="CJ99" s="1289"/>
      <c r="CK99" s="1289"/>
      <c r="CL99" s="1289"/>
      <c r="CM99" s="1289"/>
      <c r="CN99" s="1289"/>
      <c r="CO99" s="1289"/>
      <c r="CP99" s="1289"/>
      <c r="CQ99" s="1289"/>
      <c r="CR99" s="1289"/>
      <c r="CS99" s="1289"/>
      <c r="CT99" s="1289"/>
      <c r="CU99" s="1289"/>
      <c r="CV99" s="1289"/>
      <c r="CW99" s="1289"/>
      <c r="CX99" s="1289"/>
      <c r="CY99" s="1289"/>
      <c r="CZ99" s="1289"/>
      <c r="DA99" s="1289"/>
      <c r="DB99" s="1289"/>
      <c r="DC99" s="1289"/>
      <c r="DD99" s="1289"/>
      <c r="DE99" s="1289"/>
      <c r="DF99" s="1289"/>
      <c r="DG99" s="1289"/>
      <c r="DH99" s="1289"/>
      <c r="DI99" s="1289"/>
      <c r="DJ99" s="1289"/>
      <c r="DK99" s="1289"/>
      <c r="DL99" s="1289"/>
      <c r="DM99" s="1289"/>
      <c r="DN99" s="1289"/>
      <c r="DO99" s="1289"/>
      <c r="DP99" s="1289"/>
      <c r="DQ99" s="1289"/>
      <c r="DR99" s="1289"/>
      <c r="DS99" s="1289"/>
      <c r="DT99" s="1289"/>
      <c r="DU99" s="1289"/>
      <c r="DV99" s="1289"/>
      <c r="DW99" s="1289"/>
      <c r="DX99" s="1289"/>
      <c r="DY99" s="1289"/>
      <c r="DZ99" s="1289"/>
      <c r="EA99" s="1289"/>
      <c r="EB99" s="1289"/>
      <c r="EC99" s="1289"/>
      <c r="ED99" s="1289"/>
      <c r="EE99" s="1289"/>
      <c r="EF99" s="1289"/>
      <c r="EG99" s="1289"/>
      <c r="EH99" s="1289"/>
      <c r="EI99" s="1289"/>
      <c r="EJ99" s="1289"/>
      <c r="EK99" s="1289"/>
      <c r="EL99" s="1289"/>
      <c r="EM99" s="1289"/>
      <c r="EN99" s="1289"/>
      <c r="EO99" s="1289"/>
      <c r="EP99" s="1289"/>
      <c r="EQ99" s="1289"/>
      <c r="ER99" s="1289"/>
      <c r="ES99" s="1289"/>
      <c r="ET99" s="1289"/>
      <c r="EU99" s="1289"/>
      <c r="EV99" s="1289"/>
      <c r="EW99" s="1289"/>
      <c r="EX99" s="1289"/>
      <c r="EY99" s="1289"/>
      <c r="EZ99" s="1289"/>
      <c r="FA99" s="1289"/>
      <c r="FB99" s="1289"/>
      <c r="FC99" s="1289"/>
      <c r="FD99" s="1289"/>
      <c r="FE99" s="1289"/>
      <c r="FF99" s="1289"/>
      <c r="FG99" s="1289"/>
      <c r="FH99" s="1289"/>
      <c r="FI99" s="1289"/>
      <c r="FJ99" s="1289"/>
      <c r="FK99" s="1289"/>
      <c r="FL99" s="1289"/>
      <c r="FM99" s="1289"/>
      <c r="FN99" s="1289"/>
      <c r="FO99" s="1289"/>
      <c r="FP99" s="1289"/>
      <c r="FQ99" s="1289"/>
      <c r="FR99" s="1289"/>
      <c r="FS99" s="1289"/>
      <c r="FT99" s="1289"/>
      <c r="FU99" s="1289"/>
      <c r="FV99" s="1289"/>
      <c r="FW99" s="1289"/>
      <c r="FX99" s="1289"/>
      <c r="FY99" s="1289"/>
      <c r="FZ99" s="1289"/>
      <c r="GA99" s="1289"/>
      <c r="GB99" s="1289"/>
      <c r="GC99" s="1289"/>
      <c r="GD99" s="1289"/>
      <c r="GE99" s="1289"/>
      <c r="GF99" s="1289"/>
      <c r="GG99" s="1289"/>
      <c r="GH99" s="1289"/>
      <c r="GI99" s="1289"/>
      <c r="GJ99" s="1289"/>
      <c r="GK99" s="1289"/>
      <c r="GL99" s="1289"/>
      <c r="GM99" s="1289"/>
    </row>
    <row r="100" spans="1:195" ht="27" customHeight="1" collapsed="1">
      <c r="D100" s="128" t="s">
        <v>34</v>
      </c>
      <c r="E100" s="129" t="s">
        <v>169</v>
      </c>
      <c r="F100" s="362">
        <f>F108+F113+F137+F142+F150+F155+F161+F107</f>
        <v>8009063.8801219994</v>
      </c>
      <c r="G100" s="362">
        <f>G108+G113+G137+G142+G150+G155+G161+G107</f>
        <v>7852829.0056644836</v>
      </c>
      <c r="H100" s="106">
        <f t="shared" si="4"/>
        <v>-156234.87445751578</v>
      </c>
      <c r="I100" s="1823">
        <f t="shared" si="5"/>
        <v>-1.9507257876326976E-2</v>
      </c>
      <c r="J100" s="4347" t="s">
        <v>6078</v>
      </c>
      <c r="K100" s="227"/>
    </row>
    <row r="101" spans="1:195" s="477" customFormat="1" ht="15">
      <c r="A101" s="2124"/>
      <c r="B101" s="2124"/>
      <c r="C101" s="2122"/>
      <c r="D101" s="472"/>
      <c r="E101" s="473" t="s">
        <v>663</v>
      </c>
      <c r="F101" s="474">
        <f>F109+F114+F138+F143+F151+F156</f>
        <v>3245164.8627220001</v>
      </c>
      <c r="G101" s="474">
        <f>G109+G114+G138+G143+G151+G156</f>
        <v>3684446.0007311506</v>
      </c>
      <c r="H101" s="475">
        <f t="shared" si="4"/>
        <v>439281.13800915051</v>
      </c>
      <c r="I101" s="1831">
        <f t="shared" si="5"/>
        <v>0.13536481398997013</v>
      </c>
      <c r="J101" s="1136"/>
      <c r="K101" s="1229"/>
      <c r="L101" s="2013"/>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c r="AL101" s="1860"/>
      <c r="AM101" s="1860"/>
      <c r="AN101" s="1860"/>
      <c r="AO101" s="1860"/>
      <c r="AP101" s="1860"/>
      <c r="AQ101" s="1860"/>
      <c r="AR101" s="1860"/>
      <c r="AS101" s="1860"/>
      <c r="AT101" s="1860"/>
      <c r="AU101" s="1860"/>
      <c r="AV101" s="1860"/>
      <c r="AW101" s="1860"/>
      <c r="AX101" s="1860"/>
      <c r="AY101" s="1860"/>
      <c r="AZ101" s="1860"/>
      <c r="BA101" s="1860"/>
      <c r="BB101" s="1860"/>
      <c r="BC101" s="1860"/>
      <c r="BD101" s="1860"/>
      <c r="BE101" s="1860"/>
      <c r="BF101" s="1860"/>
      <c r="BG101" s="1860"/>
      <c r="BH101" s="1860"/>
      <c r="BI101" s="1860"/>
      <c r="BJ101" s="1860"/>
      <c r="BK101" s="1860"/>
      <c r="BL101" s="1860"/>
      <c r="BM101" s="1860"/>
      <c r="BN101" s="1860"/>
      <c r="BO101" s="1860"/>
      <c r="BP101" s="1860"/>
      <c r="BQ101" s="1860"/>
      <c r="BR101" s="1860"/>
      <c r="BS101" s="1860"/>
      <c r="BT101" s="1860"/>
      <c r="BU101" s="1860"/>
      <c r="BV101" s="1860"/>
      <c r="BW101" s="1860"/>
      <c r="BX101" s="1860"/>
      <c r="BY101" s="1860"/>
      <c r="BZ101" s="1860"/>
      <c r="CA101" s="1860"/>
      <c r="CB101" s="1860"/>
      <c r="CC101" s="1860"/>
      <c r="CD101" s="1860"/>
      <c r="CE101" s="1860"/>
      <c r="CF101" s="1860"/>
      <c r="CG101" s="1860"/>
      <c r="CH101" s="1860"/>
      <c r="CI101" s="1860"/>
      <c r="CJ101" s="1860"/>
      <c r="CK101" s="1860"/>
      <c r="CL101" s="1860"/>
      <c r="CM101" s="1860"/>
      <c r="CN101" s="1860"/>
      <c r="CO101" s="1860"/>
      <c r="CP101" s="1860"/>
      <c r="CQ101" s="1860"/>
      <c r="CR101" s="1860"/>
      <c r="CS101" s="1860"/>
      <c r="CT101" s="1860"/>
      <c r="CU101" s="1860"/>
      <c r="CV101" s="1860"/>
      <c r="CW101" s="1860"/>
      <c r="CX101" s="1860"/>
      <c r="CY101" s="1860"/>
      <c r="CZ101" s="1860"/>
      <c r="DA101" s="1860"/>
      <c r="DB101" s="1860"/>
      <c r="DC101" s="1860"/>
      <c r="DD101" s="1860"/>
      <c r="DE101" s="1860"/>
      <c r="DF101" s="1860"/>
      <c r="DG101" s="1860"/>
      <c r="DH101" s="1860"/>
      <c r="DI101" s="1860"/>
      <c r="DJ101" s="1860"/>
      <c r="DK101" s="1860"/>
      <c r="DL101" s="1860"/>
      <c r="DM101" s="1860"/>
      <c r="DN101" s="1860"/>
      <c r="DO101" s="1860"/>
      <c r="DP101" s="1860"/>
      <c r="DQ101" s="1860"/>
      <c r="DR101" s="1860"/>
      <c r="DS101" s="1860"/>
      <c r="DT101" s="1860"/>
      <c r="DU101" s="1860"/>
      <c r="DV101" s="1860"/>
      <c r="DW101" s="1860"/>
      <c r="DX101" s="1860"/>
      <c r="DY101" s="1860"/>
      <c r="DZ101" s="1860"/>
      <c r="EA101" s="1860"/>
      <c r="EB101" s="1860"/>
      <c r="EC101" s="1860"/>
      <c r="ED101" s="1860"/>
      <c r="EE101" s="1860"/>
      <c r="EF101" s="1860"/>
      <c r="EG101" s="1860"/>
      <c r="EH101" s="1860"/>
      <c r="EI101" s="1860"/>
      <c r="EJ101" s="1860"/>
      <c r="EK101" s="1860"/>
      <c r="EL101" s="1860"/>
      <c r="EM101" s="1860"/>
      <c r="EN101" s="1860"/>
      <c r="EO101" s="1860"/>
      <c r="EP101" s="1860"/>
      <c r="EQ101" s="1860"/>
      <c r="ER101" s="1860"/>
      <c r="ES101" s="1860"/>
      <c r="ET101" s="1860"/>
      <c r="EU101" s="1860"/>
      <c r="EV101" s="1860"/>
      <c r="EW101" s="1860"/>
      <c r="EX101" s="1860"/>
      <c r="EY101" s="1860"/>
      <c r="EZ101" s="1860"/>
      <c r="FA101" s="1860"/>
      <c r="FB101" s="1860"/>
      <c r="FC101" s="1860"/>
      <c r="FD101" s="1860"/>
      <c r="FE101" s="1860"/>
      <c r="FF101" s="1860"/>
      <c r="FG101" s="1860"/>
      <c r="FH101" s="1860"/>
      <c r="FI101" s="1860"/>
      <c r="FJ101" s="1860"/>
      <c r="FK101" s="1860"/>
      <c r="FL101" s="1860"/>
      <c r="FM101" s="1860"/>
      <c r="FN101" s="1860"/>
      <c r="FO101" s="1860"/>
      <c r="FP101" s="1860"/>
      <c r="FQ101" s="1860"/>
      <c r="FR101" s="1860"/>
      <c r="FS101" s="1860"/>
      <c r="FT101" s="1860"/>
      <c r="FU101" s="1860"/>
      <c r="FV101" s="1860"/>
      <c r="FW101" s="1860"/>
      <c r="FX101" s="1860"/>
      <c r="FY101" s="1860"/>
      <c r="FZ101" s="1860"/>
      <c r="GA101" s="1860"/>
      <c r="GB101" s="1860"/>
      <c r="GC101" s="1860"/>
      <c r="GD101" s="1860"/>
      <c r="GE101" s="1860"/>
      <c r="GF101" s="1860"/>
      <c r="GG101" s="1860"/>
      <c r="GH101" s="1860"/>
      <c r="GI101" s="1860"/>
      <c r="GJ101" s="1860"/>
      <c r="GK101" s="1860"/>
      <c r="GL101" s="1860"/>
      <c r="GM101" s="1860"/>
    </row>
    <row r="102" spans="1:195" s="477" customFormat="1" ht="14.25">
      <c r="A102" s="2124"/>
      <c r="B102" s="2124"/>
      <c r="C102" s="2122"/>
      <c r="D102" s="478"/>
      <c r="E102" s="479" t="s">
        <v>579</v>
      </c>
      <c r="F102" s="474">
        <f>F110+F115+F139+F144+F152+F157+F107+F162</f>
        <v>4642354.0174000002</v>
      </c>
      <c r="G102" s="474">
        <f>G110+G115+G139+G144+G152+G157+G107+G162</f>
        <v>4015783.0049333335</v>
      </c>
      <c r="H102" s="475">
        <f t="shared" si="4"/>
        <v>-626571.01246666675</v>
      </c>
      <c r="I102" s="1831">
        <f t="shared" si="5"/>
        <v>-0.13496838244524587</v>
      </c>
      <c r="J102" s="1135"/>
      <c r="K102" s="1229"/>
      <c r="L102" s="2013"/>
      <c r="M102" s="1860"/>
      <c r="N102" s="1860"/>
      <c r="O102" s="1860"/>
      <c r="P102" s="1860"/>
      <c r="Q102" s="1860"/>
      <c r="R102" s="1860"/>
      <c r="S102" s="1860"/>
      <c r="T102" s="1860"/>
      <c r="U102" s="1860"/>
      <c r="V102" s="1860"/>
      <c r="W102" s="1860"/>
      <c r="X102" s="1860"/>
      <c r="Y102" s="1860"/>
      <c r="Z102" s="1860"/>
      <c r="AA102" s="1860"/>
      <c r="AB102" s="1860"/>
      <c r="AC102" s="1860"/>
      <c r="AD102" s="1860"/>
      <c r="AE102" s="1860"/>
      <c r="AF102" s="1860"/>
      <c r="AG102" s="1860"/>
      <c r="AH102" s="1860"/>
      <c r="AI102" s="1860"/>
      <c r="AJ102" s="1860"/>
      <c r="AK102" s="1860"/>
      <c r="AL102" s="1860"/>
      <c r="AM102" s="1860"/>
      <c r="AN102" s="1860"/>
      <c r="AO102" s="1860"/>
      <c r="AP102" s="1860"/>
      <c r="AQ102" s="1860"/>
      <c r="AR102" s="1860"/>
      <c r="AS102" s="1860"/>
      <c r="AT102" s="1860"/>
      <c r="AU102" s="1860"/>
      <c r="AV102" s="1860"/>
      <c r="AW102" s="1860"/>
      <c r="AX102" s="1860"/>
      <c r="AY102" s="1860"/>
      <c r="AZ102" s="1860"/>
      <c r="BA102" s="1860"/>
      <c r="BB102" s="1860"/>
      <c r="BC102" s="1860"/>
      <c r="BD102" s="1860"/>
      <c r="BE102" s="1860"/>
      <c r="BF102" s="1860"/>
      <c r="BG102" s="1860"/>
      <c r="BH102" s="1860"/>
      <c r="BI102" s="1860"/>
      <c r="BJ102" s="1860"/>
      <c r="BK102" s="1860"/>
      <c r="BL102" s="1860"/>
      <c r="BM102" s="1860"/>
      <c r="BN102" s="1860"/>
      <c r="BO102" s="1860"/>
      <c r="BP102" s="1860"/>
      <c r="BQ102" s="1860"/>
      <c r="BR102" s="1860"/>
      <c r="BS102" s="1860"/>
      <c r="BT102" s="1860"/>
      <c r="BU102" s="1860"/>
      <c r="BV102" s="1860"/>
      <c r="BW102" s="1860"/>
      <c r="BX102" s="1860"/>
      <c r="BY102" s="1860"/>
      <c r="BZ102" s="1860"/>
      <c r="CA102" s="1860"/>
      <c r="CB102" s="1860"/>
      <c r="CC102" s="1860"/>
      <c r="CD102" s="1860"/>
      <c r="CE102" s="1860"/>
      <c r="CF102" s="1860"/>
      <c r="CG102" s="1860"/>
      <c r="CH102" s="1860"/>
      <c r="CI102" s="1860"/>
      <c r="CJ102" s="1860"/>
      <c r="CK102" s="1860"/>
      <c r="CL102" s="1860"/>
      <c r="CM102" s="1860"/>
      <c r="CN102" s="1860"/>
      <c r="CO102" s="1860"/>
      <c r="CP102" s="1860"/>
      <c r="CQ102" s="1860"/>
      <c r="CR102" s="1860"/>
      <c r="CS102" s="1860"/>
      <c r="CT102" s="1860"/>
      <c r="CU102" s="1860"/>
      <c r="CV102" s="1860"/>
      <c r="CW102" s="1860"/>
      <c r="CX102" s="1860"/>
      <c r="CY102" s="1860"/>
      <c r="CZ102" s="1860"/>
      <c r="DA102" s="1860"/>
      <c r="DB102" s="1860"/>
      <c r="DC102" s="1860"/>
      <c r="DD102" s="1860"/>
      <c r="DE102" s="1860"/>
      <c r="DF102" s="1860"/>
      <c r="DG102" s="1860"/>
      <c r="DH102" s="1860"/>
      <c r="DI102" s="1860"/>
      <c r="DJ102" s="1860"/>
      <c r="DK102" s="1860"/>
      <c r="DL102" s="1860"/>
      <c r="DM102" s="1860"/>
      <c r="DN102" s="1860"/>
      <c r="DO102" s="1860"/>
      <c r="DP102" s="1860"/>
      <c r="DQ102" s="1860"/>
      <c r="DR102" s="1860"/>
      <c r="DS102" s="1860"/>
      <c r="DT102" s="1860"/>
      <c r="DU102" s="1860"/>
      <c r="DV102" s="1860"/>
      <c r="DW102" s="1860"/>
      <c r="DX102" s="1860"/>
      <c r="DY102" s="1860"/>
      <c r="DZ102" s="1860"/>
      <c r="EA102" s="1860"/>
      <c r="EB102" s="1860"/>
      <c r="EC102" s="1860"/>
      <c r="ED102" s="1860"/>
      <c r="EE102" s="1860"/>
      <c r="EF102" s="1860"/>
      <c r="EG102" s="1860"/>
      <c r="EH102" s="1860"/>
      <c r="EI102" s="1860"/>
      <c r="EJ102" s="1860"/>
      <c r="EK102" s="1860"/>
      <c r="EL102" s="1860"/>
      <c r="EM102" s="1860"/>
      <c r="EN102" s="1860"/>
      <c r="EO102" s="1860"/>
      <c r="EP102" s="1860"/>
      <c r="EQ102" s="1860"/>
      <c r="ER102" s="1860"/>
      <c r="ES102" s="1860"/>
      <c r="ET102" s="1860"/>
      <c r="EU102" s="1860"/>
      <c r="EV102" s="1860"/>
      <c r="EW102" s="1860"/>
      <c r="EX102" s="1860"/>
      <c r="EY102" s="1860"/>
      <c r="EZ102" s="1860"/>
      <c r="FA102" s="1860"/>
      <c r="FB102" s="1860"/>
      <c r="FC102" s="1860"/>
      <c r="FD102" s="1860"/>
      <c r="FE102" s="1860"/>
      <c r="FF102" s="1860"/>
      <c r="FG102" s="1860"/>
      <c r="FH102" s="1860"/>
      <c r="FI102" s="1860"/>
      <c r="FJ102" s="1860"/>
      <c r="FK102" s="1860"/>
      <c r="FL102" s="1860"/>
      <c r="FM102" s="1860"/>
      <c r="FN102" s="1860"/>
      <c r="FO102" s="1860"/>
      <c r="FP102" s="1860"/>
      <c r="FQ102" s="1860"/>
      <c r="FR102" s="1860"/>
      <c r="FS102" s="1860"/>
      <c r="FT102" s="1860"/>
      <c r="FU102" s="1860"/>
      <c r="FV102" s="1860"/>
      <c r="FW102" s="1860"/>
      <c r="FX102" s="1860"/>
      <c r="FY102" s="1860"/>
      <c r="FZ102" s="1860"/>
      <c r="GA102" s="1860"/>
      <c r="GB102" s="1860"/>
      <c r="GC102" s="1860"/>
      <c r="GD102" s="1860"/>
      <c r="GE102" s="1860"/>
      <c r="GF102" s="1860"/>
      <c r="GG102" s="1860"/>
      <c r="GH102" s="1860"/>
      <c r="GI102" s="1860"/>
      <c r="GJ102" s="1860"/>
      <c r="GK102" s="1860"/>
      <c r="GL102" s="1860"/>
      <c r="GM102" s="1860"/>
    </row>
    <row r="103" spans="1:195" s="477" customFormat="1" ht="14.25">
      <c r="A103" s="2124"/>
      <c r="B103" s="2124"/>
      <c r="C103" s="2122"/>
      <c r="D103" s="472"/>
      <c r="E103" s="473" t="s">
        <v>578</v>
      </c>
      <c r="F103" s="474">
        <f>F111+F116+F140+F145+F153+F158</f>
        <v>121545</v>
      </c>
      <c r="G103" s="474">
        <f>G111+G116+G140+G145+G153+G158</f>
        <v>152600</v>
      </c>
      <c r="H103" s="475">
        <f t="shared" si="4"/>
        <v>31055</v>
      </c>
      <c r="I103" s="1831">
        <f t="shared" si="5"/>
        <v>0.25550207741988562</v>
      </c>
      <c r="J103" s="1135"/>
      <c r="K103" s="1229"/>
      <c r="L103" s="2013"/>
      <c r="M103" s="1860"/>
      <c r="N103" s="1860"/>
      <c r="O103" s="1860"/>
      <c r="P103" s="1860"/>
      <c r="Q103" s="1860"/>
      <c r="R103" s="1860"/>
      <c r="S103" s="1860"/>
      <c r="T103" s="1860"/>
      <c r="U103" s="1860"/>
      <c r="V103" s="1860"/>
      <c r="W103" s="1860"/>
      <c r="X103" s="1860"/>
      <c r="Y103" s="1860"/>
      <c r="Z103" s="1860"/>
      <c r="AA103" s="1860"/>
      <c r="AB103" s="1860"/>
      <c r="AC103" s="1860"/>
      <c r="AD103" s="1860"/>
      <c r="AE103" s="1860"/>
      <c r="AF103" s="1860"/>
      <c r="AG103" s="1860"/>
      <c r="AH103" s="1860"/>
      <c r="AI103" s="1860"/>
      <c r="AJ103" s="1860"/>
      <c r="AK103" s="1860"/>
      <c r="AL103" s="1860"/>
      <c r="AM103" s="1860"/>
      <c r="AN103" s="1860"/>
      <c r="AO103" s="1860"/>
      <c r="AP103" s="1860"/>
      <c r="AQ103" s="1860"/>
      <c r="AR103" s="1860"/>
      <c r="AS103" s="1860"/>
      <c r="AT103" s="1860"/>
      <c r="AU103" s="1860"/>
      <c r="AV103" s="1860"/>
      <c r="AW103" s="1860"/>
      <c r="AX103" s="1860"/>
      <c r="AY103" s="1860"/>
      <c r="AZ103" s="1860"/>
      <c r="BA103" s="1860"/>
      <c r="BB103" s="1860"/>
      <c r="BC103" s="1860"/>
      <c r="BD103" s="1860"/>
      <c r="BE103" s="1860"/>
      <c r="BF103" s="1860"/>
      <c r="BG103" s="1860"/>
      <c r="BH103" s="1860"/>
      <c r="BI103" s="1860"/>
      <c r="BJ103" s="1860"/>
      <c r="BK103" s="1860"/>
      <c r="BL103" s="1860"/>
      <c r="BM103" s="1860"/>
      <c r="BN103" s="1860"/>
      <c r="BO103" s="1860"/>
      <c r="BP103" s="1860"/>
      <c r="BQ103" s="1860"/>
      <c r="BR103" s="1860"/>
      <c r="BS103" s="1860"/>
      <c r="BT103" s="1860"/>
      <c r="BU103" s="1860"/>
      <c r="BV103" s="1860"/>
      <c r="BW103" s="1860"/>
      <c r="BX103" s="1860"/>
      <c r="BY103" s="1860"/>
      <c r="BZ103" s="1860"/>
      <c r="CA103" s="1860"/>
      <c r="CB103" s="1860"/>
      <c r="CC103" s="1860"/>
      <c r="CD103" s="1860"/>
      <c r="CE103" s="1860"/>
      <c r="CF103" s="1860"/>
      <c r="CG103" s="1860"/>
      <c r="CH103" s="1860"/>
      <c r="CI103" s="1860"/>
      <c r="CJ103" s="1860"/>
      <c r="CK103" s="1860"/>
      <c r="CL103" s="1860"/>
      <c r="CM103" s="1860"/>
      <c r="CN103" s="1860"/>
      <c r="CO103" s="1860"/>
      <c r="CP103" s="1860"/>
      <c r="CQ103" s="1860"/>
      <c r="CR103" s="1860"/>
      <c r="CS103" s="1860"/>
      <c r="CT103" s="1860"/>
      <c r="CU103" s="1860"/>
      <c r="CV103" s="1860"/>
      <c r="CW103" s="1860"/>
      <c r="CX103" s="1860"/>
      <c r="CY103" s="1860"/>
      <c r="CZ103" s="1860"/>
      <c r="DA103" s="1860"/>
      <c r="DB103" s="1860"/>
      <c r="DC103" s="1860"/>
      <c r="DD103" s="1860"/>
      <c r="DE103" s="1860"/>
      <c r="DF103" s="1860"/>
      <c r="DG103" s="1860"/>
      <c r="DH103" s="1860"/>
      <c r="DI103" s="1860"/>
      <c r="DJ103" s="1860"/>
      <c r="DK103" s="1860"/>
      <c r="DL103" s="1860"/>
      <c r="DM103" s="1860"/>
      <c r="DN103" s="1860"/>
      <c r="DO103" s="1860"/>
      <c r="DP103" s="1860"/>
      <c r="DQ103" s="1860"/>
      <c r="DR103" s="1860"/>
      <c r="DS103" s="1860"/>
      <c r="DT103" s="1860"/>
      <c r="DU103" s="1860"/>
      <c r="DV103" s="1860"/>
      <c r="DW103" s="1860"/>
      <c r="DX103" s="1860"/>
      <c r="DY103" s="1860"/>
      <c r="DZ103" s="1860"/>
      <c r="EA103" s="1860"/>
      <c r="EB103" s="1860"/>
      <c r="EC103" s="1860"/>
      <c r="ED103" s="1860"/>
      <c r="EE103" s="1860"/>
      <c r="EF103" s="1860"/>
      <c r="EG103" s="1860"/>
      <c r="EH103" s="1860"/>
      <c r="EI103" s="1860"/>
      <c r="EJ103" s="1860"/>
      <c r="EK103" s="1860"/>
      <c r="EL103" s="1860"/>
      <c r="EM103" s="1860"/>
      <c r="EN103" s="1860"/>
      <c r="EO103" s="1860"/>
      <c r="EP103" s="1860"/>
      <c r="EQ103" s="1860"/>
      <c r="ER103" s="1860"/>
      <c r="ES103" s="1860"/>
      <c r="ET103" s="1860"/>
      <c r="EU103" s="1860"/>
      <c r="EV103" s="1860"/>
      <c r="EW103" s="1860"/>
      <c r="EX103" s="1860"/>
      <c r="EY103" s="1860"/>
      <c r="EZ103" s="1860"/>
      <c r="FA103" s="1860"/>
      <c r="FB103" s="1860"/>
      <c r="FC103" s="1860"/>
      <c r="FD103" s="1860"/>
      <c r="FE103" s="1860"/>
      <c r="FF103" s="1860"/>
      <c r="FG103" s="1860"/>
      <c r="FH103" s="1860"/>
      <c r="FI103" s="1860"/>
      <c r="FJ103" s="1860"/>
      <c r="FK103" s="1860"/>
      <c r="FL103" s="1860"/>
      <c r="FM103" s="1860"/>
      <c r="FN103" s="1860"/>
      <c r="FO103" s="1860"/>
      <c r="FP103" s="1860"/>
      <c r="FQ103" s="1860"/>
      <c r="FR103" s="1860"/>
      <c r="FS103" s="1860"/>
      <c r="FT103" s="1860"/>
      <c r="FU103" s="1860"/>
      <c r="FV103" s="1860"/>
      <c r="FW103" s="1860"/>
      <c r="FX103" s="1860"/>
      <c r="FY103" s="1860"/>
      <c r="FZ103" s="1860"/>
      <c r="GA103" s="1860"/>
      <c r="GB103" s="1860"/>
      <c r="GC103" s="1860"/>
      <c r="GD103" s="1860"/>
      <c r="GE103" s="1860"/>
      <c r="GF103" s="1860"/>
      <c r="GG103" s="1860"/>
      <c r="GH103" s="1860"/>
      <c r="GI103" s="1860"/>
      <c r="GJ103" s="1860"/>
      <c r="GK103" s="1860"/>
      <c r="GL103" s="1860"/>
      <c r="GM103" s="1860"/>
    </row>
    <row r="104" spans="1:195" s="1291" customFormat="1" ht="15" hidden="1" outlineLevel="1">
      <c r="A104" s="1665"/>
      <c r="B104" s="1665"/>
      <c r="C104" s="1858"/>
      <c r="D104" s="1304"/>
      <c r="E104" s="1305" t="s">
        <v>1109</v>
      </c>
      <c r="F104" s="1281">
        <f>F117+F160+F163</f>
        <v>1200</v>
      </c>
      <c r="G104" s="1281">
        <f>G117+G160+G163</f>
        <v>1200</v>
      </c>
      <c r="H104" s="1284">
        <f>G104-F104</f>
        <v>0</v>
      </c>
      <c r="I104" s="1838">
        <f t="shared" si="5"/>
        <v>0</v>
      </c>
      <c r="J104" s="1301"/>
      <c r="K104" s="1282"/>
      <c r="L104" s="1087"/>
      <c r="M104" s="1086"/>
      <c r="N104" s="1086"/>
      <c r="O104" s="1086"/>
      <c r="P104" s="1086"/>
      <c r="Q104" s="1086"/>
      <c r="R104" s="1086"/>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6"/>
      <c r="BF104" s="1086"/>
      <c r="BG104" s="1086"/>
      <c r="BH104" s="1086"/>
      <c r="BI104" s="1086"/>
      <c r="BJ104" s="1086"/>
      <c r="BK104" s="1086"/>
      <c r="BL104" s="1086"/>
      <c r="BM104" s="1086"/>
      <c r="BN104" s="1086"/>
      <c r="BO104" s="1086"/>
      <c r="BP104" s="1086"/>
      <c r="BQ104" s="1086"/>
      <c r="BR104" s="1086"/>
      <c r="BS104" s="1086"/>
      <c r="BT104" s="1086"/>
      <c r="BU104" s="1086"/>
      <c r="BV104" s="1086"/>
      <c r="BW104" s="1086"/>
      <c r="BX104" s="1086"/>
      <c r="BY104" s="1086"/>
      <c r="BZ104" s="1086"/>
      <c r="CA104" s="1086"/>
      <c r="CB104" s="1086"/>
      <c r="CC104" s="1086"/>
      <c r="CD104" s="1086"/>
      <c r="CE104" s="1086"/>
      <c r="CF104" s="1086"/>
      <c r="CG104" s="1086"/>
      <c r="CH104" s="1086"/>
      <c r="CI104" s="1086"/>
      <c r="CJ104" s="1086"/>
      <c r="CK104" s="1086"/>
      <c r="CL104" s="1086"/>
      <c r="CM104" s="1086"/>
      <c r="CN104" s="1086"/>
      <c r="CO104" s="1086"/>
      <c r="CP104" s="1086"/>
      <c r="CQ104" s="1086"/>
      <c r="CR104" s="1086"/>
      <c r="CS104" s="1086"/>
      <c r="CT104" s="1086"/>
      <c r="CU104" s="1086"/>
      <c r="CV104" s="1086"/>
      <c r="CW104" s="1086"/>
      <c r="CX104" s="1086"/>
      <c r="CY104" s="1086"/>
      <c r="CZ104" s="1086"/>
      <c r="DA104" s="1086"/>
      <c r="DB104" s="1086"/>
      <c r="DC104" s="1086"/>
      <c r="DD104" s="1086"/>
      <c r="DE104" s="1086"/>
      <c r="DF104" s="1086"/>
      <c r="DG104" s="1086"/>
      <c r="DH104" s="1086"/>
      <c r="DI104" s="1086"/>
      <c r="DJ104" s="1086"/>
      <c r="DK104" s="1086"/>
      <c r="DL104" s="1086"/>
      <c r="DM104" s="1086"/>
      <c r="DN104" s="1086"/>
      <c r="DO104" s="1086"/>
      <c r="DP104" s="1086"/>
      <c r="DQ104" s="1086"/>
      <c r="DR104" s="1086"/>
      <c r="DS104" s="1086"/>
      <c r="DT104" s="1086"/>
      <c r="DU104" s="1086"/>
      <c r="DV104" s="1086"/>
      <c r="DW104" s="1086"/>
      <c r="DX104" s="1086"/>
      <c r="DY104" s="1086"/>
      <c r="DZ104" s="1086"/>
      <c r="EA104" s="1086"/>
      <c r="EB104" s="1086"/>
      <c r="EC104" s="1086"/>
      <c r="ED104" s="1086"/>
      <c r="EE104" s="1086"/>
      <c r="EF104" s="1086"/>
      <c r="EG104" s="1086"/>
      <c r="EH104" s="1086"/>
      <c r="EI104" s="1086"/>
      <c r="EJ104" s="1086"/>
      <c r="EK104" s="1086"/>
      <c r="EL104" s="1086"/>
      <c r="EM104" s="1086"/>
      <c r="EN104" s="1086"/>
      <c r="EO104" s="1086"/>
      <c r="EP104" s="1086"/>
      <c r="EQ104" s="1086"/>
      <c r="ER104" s="1086"/>
      <c r="ES104" s="1086"/>
      <c r="ET104" s="1086"/>
      <c r="EU104" s="1086"/>
      <c r="EV104" s="1086"/>
      <c r="EW104" s="1086"/>
      <c r="EX104" s="1086"/>
      <c r="EY104" s="1086"/>
      <c r="EZ104" s="1086"/>
      <c r="FA104" s="1086"/>
      <c r="FB104" s="1086"/>
      <c r="FC104" s="1086"/>
      <c r="FD104" s="1086"/>
      <c r="FE104" s="1086"/>
      <c r="FF104" s="1086"/>
      <c r="FG104" s="1086"/>
      <c r="FH104" s="1086"/>
      <c r="FI104" s="1086"/>
      <c r="FJ104" s="1086"/>
      <c r="FK104" s="1086"/>
      <c r="FL104" s="1086"/>
      <c r="FM104" s="1086"/>
      <c r="FN104" s="1086"/>
      <c r="FO104" s="1086"/>
      <c r="FP104" s="1086"/>
      <c r="FQ104" s="1086"/>
      <c r="FR104" s="1086"/>
      <c r="FS104" s="1086"/>
      <c r="FT104" s="1086"/>
      <c r="FU104" s="1086"/>
      <c r="FV104" s="1086"/>
      <c r="FW104" s="1086"/>
      <c r="FX104" s="1086"/>
      <c r="FY104" s="1086"/>
      <c r="FZ104" s="1086"/>
      <c r="GA104" s="1086"/>
      <c r="GB104" s="1086"/>
      <c r="GC104" s="1086"/>
      <c r="GD104" s="1086"/>
      <c r="GE104" s="1086"/>
      <c r="GF104" s="1086"/>
      <c r="GG104" s="1086"/>
      <c r="GH104" s="1086"/>
      <c r="GI104" s="1086"/>
      <c r="GJ104" s="1086"/>
      <c r="GK104" s="1086"/>
      <c r="GL104" s="1086"/>
      <c r="GM104" s="1086"/>
    </row>
    <row r="105" spans="1:195" s="1299" customFormat="1" ht="15" hidden="1" outlineLevel="1">
      <c r="A105" s="1665"/>
      <c r="B105" s="1665"/>
      <c r="C105" s="1858"/>
      <c r="D105" s="1297"/>
      <c r="E105" s="1305" t="s">
        <v>1249</v>
      </c>
      <c r="F105" s="1280">
        <f>F112+F118+F141+F146+F154</f>
        <v>776821</v>
      </c>
      <c r="G105" s="1280">
        <f>G112+G118+G141+G146+G154</f>
        <v>1536586.58</v>
      </c>
      <c r="H105" s="1285">
        <f t="shared" si="4"/>
        <v>759765.58000000007</v>
      </c>
      <c r="I105" s="1834">
        <f t="shared" si="5"/>
        <v>0.97804459457198001</v>
      </c>
      <c r="J105" s="1300"/>
      <c r="K105" s="1282"/>
      <c r="L105" s="2014"/>
      <c r="M105" s="1289"/>
      <c r="N105" s="1289"/>
      <c r="O105" s="1289"/>
      <c r="P105" s="1289"/>
      <c r="Q105" s="1289"/>
      <c r="R105" s="1289"/>
      <c r="S105" s="1289"/>
      <c r="T105" s="1289"/>
      <c r="U105" s="1289"/>
      <c r="V105" s="1289"/>
      <c r="W105" s="1289"/>
      <c r="X105" s="1289"/>
      <c r="Y105" s="1289"/>
      <c r="Z105" s="1289"/>
      <c r="AA105" s="1289"/>
      <c r="AB105" s="1289"/>
      <c r="AC105" s="1289"/>
      <c r="AD105" s="1289"/>
      <c r="AE105" s="1289"/>
      <c r="AF105" s="1289"/>
      <c r="AG105" s="1289"/>
      <c r="AH105" s="1289"/>
      <c r="AI105" s="1289"/>
      <c r="AJ105" s="1289"/>
      <c r="AK105" s="1289"/>
      <c r="AL105" s="1289"/>
      <c r="AM105" s="1289"/>
      <c r="AN105" s="1289"/>
      <c r="AO105" s="1289"/>
      <c r="AP105" s="1289"/>
      <c r="AQ105" s="1289"/>
      <c r="AR105" s="1289"/>
      <c r="AS105" s="1289"/>
      <c r="AT105" s="1289"/>
      <c r="AU105" s="1289"/>
      <c r="AV105" s="1289"/>
      <c r="AW105" s="1289"/>
      <c r="AX105" s="1289"/>
      <c r="AY105" s="1289"/>
      <c r="AZ105" s="1289"/>
      <c r="BA105" s="1289"/>
      <c r="BB105" s="1289"/>
      <c r="BC105" s="1289"/>
      <c r="BD105" s="1289"/>
      <c r="BE105" s="1289"/>
      <c r="BF105" s="1289"/>
      <c r="BG105" s="1289"/>
      <c r="BH105" s="1289"/>
      <c r="BI105" s="1289"/>
      <c r="BJ105" s="1289"/>
      <c r="BK105" s="1289"/>
      <c r="BL105" s="1289"/>
      <c r="BM105" s="1289"/>
      <c r="BN105" s="1289"/>
      <c r="BO105" s="1289"/>
      <c r="BP105" s="1289"/>
      <c r="BQ105" s="1289"/>
      <c r="BR105" s="1289"/>
      <c r="BS105" s="1289"/>
      <c r="BT105" s="1289"/>
      <c r="BU105" s="1289"/>
      <c r="BV105" s="1289"/>
      <c r="BW105" s="1289"/>
      <c r="BX105" s="1289"/>
      <c r="BY105" s="1289"/>
      <c r="BZ105" s="1289"/>
      <c r="CA105" s="1289"/>
      <c r="CB105" s="1289"/>
      <c r="CC105" s="1289"/>
      <c r="CD105" s="1289"/>
      <c r="CE105" s="1289"/>
      <c r="CF105" s="1289"/>
      <c r="CG105" s="1289"/>
      <c r="CH105" s="1289"/>
      <c r="CI105" s="1289"/>
      <c r="CJ105" s="1289"/>
      <c r="CK105" s="1289"/>
      <c r="CL105" s="1289"/>
      <c r="CM105" s="1289"/>
      <c r="CN105" s="1289"/>
      <c r="CO105" s="1289"/>
      <c r="CP105" s="1289"/>
      <c r="CQ105" s="1289"/>
      <c r="CR105" s="1289"/>
      <c r="CS105" s="1289"/>
      <c r="CT105" s="1289"/>
      <c r="CU105" s="1289"/>
      <c r="CV105" s="1289"/>
      <c r="CW105" s="1289"/>
      <c r="CX105" s="1289"/>
      <c r="CY105" s="1289"/>
      <c r="CZ105" s="1289"/>
      <c r="DA105" s="1289"/>
      <c r="DB105" s="1289"/>
      <c r="DC105" s="1289"/>
      <c r="DD105" s="1289"/>
      <c r="DE105" s="1289"/>
      <c r="DF105" s="1289"/>
      <c r="DG105" s="1289"/>
      <c r="DH105" s="1289"/>
      <c r="DI105" s="1289"/>
      <c r="DJ105" s="1289"/>
      <c r="DK105" s="1289"/>
      <c r="DL105" s="1289"/>
      <c r="DM105" s="1289"/>
      <c r="DN105" s="1289"/>
      <c r="DO105" s="1289"/>
      <c r="DP105" s="1289"/>
      <c r="DQ105" s="1289"/>
      <c r="DR105" s="1289"/>
      <c r="DS105" s="1289"/>
      <c r="DT105" s="1289"/>
      <c r="DU105" s="1289"/>
      <c r="DV105" s="1289"/>
      <c r="DW105" s="1289"/>
      <c r="DX105" s="1289"/>
      <c r="DY105" s="1289"/>
      <c r="DZ105" s="1289"/>
      <c r="EA105" s="1289"/>
      <c r="EB105" s="1289"/>
      <c r="EC105" s="1289"/>
      <c r="ED105" s="1289"/>
      <c r="EE105" s="1289"/>
      <c r="EF105" s="1289"/>
      <c r="EG105" s="1289"/>
      <c r="EH105" s="1289"/>
      <c r="EI105" s="1289"/>
      <c r="EJ105" s="1289"/>
      <c r="EK105" s="1289"/>
      <c r="EL105" s="1289"/>
      <c r="EM105" s="1289"/>
      <c r="EN105" s="1289"/>
      <c r="EO105" s="1289"/>
      <c r="EP105" s="1289"/>
      <c r="EQ105" s="1289"/>
      <c r="ER105" s="1289"/>
      <c r="ES105" s="1289"/>
      <c r="ET105" s="1289"/>
      <c r="EU105" s="1289"/>
      <c r="EV105" s="1289"/>
      <c r="EW105" s="1289"/>
      <c r="EX105" s="1289"/>
      <c r="EY105" s="1289"/>
      <c r="EZ105" s="1289"/>
      <c r="FA105" s="1289"/>
      <c r="FB105" s="1289"/>
      <c r="FC105" s="1289"/>
      <c r="FD105" s="1289"/>
      <c r="FE105" s="1289"/>
      <c r="FF105" s="1289"/>
      <c r="FG105" s="1289"/>
      <c r="FH105" s="1289"/>
      <c r="FI105" s="1289"/>
      <c r="FJ105" s="1289"/>
      <c r="FK105" s="1289"/>
      <c r="FL105" s="1289"/>
      <c r="FM105" s="1289"/>
      <c r="FN105" s="1289"/>
      <c r="FO105" s="1289"/>
      <c r="FP105" s="1289"/>
      <c r="FQ105" s="1289"/>
      <c r="FR105" s="1289"/>
      <c r="FS105" s="1289"/>
      <c r="FT105" s="1289"/>
      <c r="FU105" s="1289"/>
      <c r="FV105" s="1289"/>
      <c r="FW105" s="1289"/>
      <c r="FX105" s="1289"/>
      <c r="FY105" s="1289"/>
      <c r="FZ105" s="1289"/>
      <c r="GA105" s="1289"/>
      <c r="GB105" s="1289"/>
      <c r="GC105" s="1289"/>
      <c r="GD105" s="1289"/>
      <c r="GE105" s="1289"/>
      <c r="GF105" s="1289"/>
      <c r="GG105" s="1289"/>
      <c r="GH105" s="1289"/>
      <c r="GI105" s="1289"/>
      <c r="GJ105" s="1289"/>
      <c r="GK105" s="1289"/>
      <c r="GL105" s="1289"/>
      <c r="GM105" s="1289"/>
    </row>
    <row r="106" spans="1:195" s="1311" customFormat="1" ht="15" hidden="1" outlineLevel="1">
      <c r="A106" s="1665"/>
      <c r="B106" s="1665"/>
      <c r="C106" s="1858"/>
      <c r="D106" s="1306"/>
      <c r="E106" s="1307" t="s">
        <v>664</v>
      </c>
      <c r="F106" s="1308">
        <f>F119+F120</f>
        <v>1848693.98</v>
      </c>
      <c r="G106" s="1308">
        <f>G119+G120</f>
        <v>3120618.3571699997</v>
      </c>
      <c r="H106" s="1309">
        <f>G106-F106</f>
        <v>1271924.3771699998</v>
      </c>
      <c r="I106" s="1839">
        <f t="shared" si="5"/>
        <v>0.68801239736281272</v>
      </c>
      <c r="J106" s="1310"/>
      <c r="K106" s="1282"/>
      <c r="L106" s="2015"/>
      <c r="M106" s="1862"/>
      <c r="N106" s="1862"/>
      <c r="O106" s="1862"/>
      <c r="P106" s="1862"/>
      <c r="Q106" s="1862"/>
      <c r="R106" s="1862"/>
      <c r="S106" s="1862"/>
      <c r="T106" s="1862"/>
      <c r="U106" s="1862"/>
      <c r="V106" s="1862"/>
      <c r="W106" s="1862"/>
      <c r="X106" s="1862"/>
      <c r="Y106" s="1862"/>
      <c r="Z106" s="1862"/>
      <c r="AA106" s="1862"/>
      <c r="AB106" s="1862"/>
      <c r="AC106" s="1862"/>
      <c r="AD106" s="1862"/>
      <c r="AE106" s="1862"/>
      <c r="AF106" s="1862"/>
      <c r="AG106" s="1862"/>
      <c r="AH106" s="1862"/>
      <c r="AI106" s="1862"/>
      <c r="AJ106" s="1862"/>
      <c r="AK106" s="1862"/>
      <c r="AL106" s="1862"/>
      <c r="AM106" s="1862"/>
      <c r="AN106" s="1862"/>
      <c r="AO106" s="1862"/>
      <c r="AP106" s="1862"/>
      <c r="AQ106" s="1862"/>
      <c r="AR106" s="1862"/>
      <c r="AS106" s="1862"/>
      <c r="AT106" s="1862"/>
      <c r="AU106" s="1862"/>
      <c r="AV106" s="1862"/>
      <c r="AW106" s="1862"/>
      <c r="AX106" s="1862"/>
      <c r="AY106" s="1862"/>
      <c r="AZ106" s="1862"/>
      <c r="BA106" s="1862"/>
      <c r="BB106" s="1862"/>
      <c r="BC106" s="1862"/>
      <c r="BD106" s="1862"/>
      <c r="BE106" s="1862"/>
      <c r="BF106" s="1862"/>
      <c r="BG106" s="1862"/>
      <c r="BH106" s="1862"/>
      <c r="BI106" s="1862"/>
      <c r="BJ106" s="1862"/>
      <c r="BK106" s="1862"/>
      <c r="BL106" s="1862"/>
      <c r="BM106" s="1862"/>
      <c r="BN106" s="1862"/>
      <c r="BO106" s="1862"/>
      <c r="BP106" s="1862"/>
      <c r="BQ106" s="1862"/>
      <c r="BR106" s="1862"/>
      <c r="BS106" s="1862"/>
      <c r="BT106" s="1862"/>
      <c r="BU106" s="1862"/>
      <c r="BV106" s="1862"/>
      <c r="BW106" s="1862"/>
      <c r="BX106" s="1862"/>
      <c r="BY106" s="1862"/>
      <c r="BZ106" s="1862"/>
      <c r="CA106" s="1862"/>
      <c r="CB106" s="1862"/>
      <c r="CC106" s="1862"/>
      <c r="CD106" s="1862"/>
      <c r="CE106" s="1862"/>
      <c r="CF106" s="1862"/>
      <c r="CG106" s="1862"/>
      <c r="CH106" s="1862"/>
      <c r="CI106" s="1862"/>
      <c r="CJ106" s="1862"/>
      <c r="CK106" s="1862"/>
      <c r="CL106" s="1862"/>
      <c r="CM106" s="1862"/>
      <c r="CN106" s="1862"/>
      <c r="CO106" s="1862"/>
      <c r="CP106" s="1862"/>
      <c r="CQ106" s="1862"/>
      <c r="CR106" s="1862"/>
      <c r="CS106" s="1862"/>
      <c r="CT106" s="1862"/>
      <c r="CU106" s="1862"/>
      <c r="CV106" s="1862"/>
      <c r="CW106" s="1862"/>
      <c r="CX106" s="1862"/>
      <c r="CY106" s="1862"/>
      <c r="CZ106" s="1862"/>
      <c r="DA106" s="1862"/>
      <c r="DB106" s="1862"/>
      <c r="DC106" s="1862"/>
      <c r="DD106" s="1862"/>
      <c r="DE106" s="1862"/>
      <c r="DF106" s="1862"/>
      <c r="DG106" s="1862"/>
      <c r="DH106" s="1862"/>
      <c r="DI106" s="1862"/>
      <c r="DJ106" s="1862"/>
      <c r="DK106" s="1862"/>
      <c r="DL106" s="1862"/>
      <c r="DM106" s="1862"/>
      <c r="DN106" s="1862"/>
      <c r="DO106" s="1862"/>
      <c r="DP106" s="1862"/>
      <c r="DQ106" s="1862"/>
      <c r="DR106" s="1862"/>
      <c r="DS106" s="1862"/>
      <c r="DT106" s="1862"/>
      <c r="DU106" s="1862"/>
      <c r="DV106" s="1862"/>
      <c r="DW106" s="1862"/>
      <c r="DX106" s="1862"/>
      <c r="DY106" s="1862"/>
      <c r="DZ106" s="1862"/>
      <c r="EA106" s="1862"/>
      <c r="EB106" s="1862"/>
      <c r="EC106" s="1862"/>
      <c r="ED106" s="1862"/>
      <c r="EE106" s="1862"/>
      <c r="EF106" s="1862"/>
      <c r="EG106" s="1862"/>
      <c r="EH106" s="1862"/>
      <c r="EI106" s="1862"/>
      <c r="EJ106" s="1862"/>
      <c r="EK106" s="1862"/>
      <c r="EL106" s="1862"/>
      <c r="EM106" s="1862"/>
      <c r="EN106" s="1862"/>
      <c r="EO106" s="1862"/>
      <c r="EP106" s="1862"/>
      <c r="EQ106" s="1862"/>
      <c r="ER106" s="1862"/>
      <c r="ES106" s="1862"/>
      <c r="ET106" s="1862"/>
      <c r="EU106" s="1862"/>
      <c r="EV106" s="1862"/>
      <c r="EW106" s="1862"/>
      <c r="EX106" s="1862"/>
      <c r="EY106" s="1862"/>
      <c r="EZ106" s="1862"/>
      <c r="FA106" s="1862"/>
      <c r="FB106" s="1862"/>
      <c r="FC106" s="1862"/>
      <c r="FD106" s="1862"/>
      <c r="FE106" s="1862"/>
      <c r="FF106" s="1862"/>
      <c r="FG106" s="1862"/>
      <c r="FH106" s="1862"/>
      <c r="FI106" s="1862"/>
      <c r="FJ106" s="1862"/>
      <c r="FK106" s="1862"/>
      <c r="FL106" s="1862"/>
      <c r="FM106" s="1862"/>
      <c r="FN106" s="1862"/>
      <c r="FO106" s="1862"/>
      <c r="FP106" s="1862"/>
      <c r="FQ106" s="1862"/>
      <c r="FR106" s="1862"/>
      <c r="FS106" s="1862"/>
      <c r="FT106" s="1862"/>
      <c r="FU106" s="1862"/>
      <c r="FV106" s="1862"/>
      <c r="FW106" s="1862"/>
      <c r="FX106" s="1862"/>
      <c r="FY106" s="1862"/>
      <c r="FZ106" s="1862"/>
      <c r="GA106" s="1862"/>
      <c r="GB106" s="1862"/>
      <c r="GC106" s="1862"/>
      <c r="GD106" s="1862"/>
      <c r="GE106" s="1862"/>
      <c r="GF106" s="1862"/>
      <c r="GG106" s="1862"/>
      <c r="GH106" s="1862"/>
      <c r="GI106" s="1862"/>
      <c r="GJ106" s="1862"/>
      <c r="GK106" s="1862"/>
      <c r="GL106" s="1862"/>
      <c r="GM106" s="1862"/>
    </row>
    <row r="107" spans="1:195" ht="29.25" collapsed="1">
      <c r="A107" s="1665" t="s">
        <v>1933</v>
      </c>
      <c r="D107" s="126" t="s">
        <v>37</v>
      </c>
      <c r="E107" s="130" t="s">
        <v>165</v>
      </c>
      <c r="F107" s="374">
        <f>SUMIF(INPUT!E:E,BAZE_2024!A107,INPUT!H:H)</f>
        <v>70000</v>
      </c>
      <c r="G107" s="403">
        <f>SUMIF(INPUT!E:E,BAZE_2024!A107,INPUT!L:L)</f>
        <v>70000</v>
      </c>
      <c r="H107" s="131">
        <f>G107-F107</f>
        <v>0</v>
      </c>
      <c r="I107" s="1840">
        <f>IFERROR(H107/F107,"-")</f>
        <v>0</v>
      </c>
      <c r="J107" s="1138"/>
      <c r="K107" s="227"/>
    </row>
    <row r="108" spans="1:195" ht="15">
      <c r="D108" s="126" t="s">
        <v>39</v>
      </c>
      <c r="E108" s="130" t="s">
        <v>587</v>
      </c>
      <c r="F108" s="374">
        <f>F109+F110+F111</f>
        <v>313522.68738899997</v>
      </c>
      <c r="G108" s="403">
        <f>G109+G110+G111</f>
        <v>315451.62734220002</v>
      </c>
      <c r="H108" s="131">
        <f t="shared" si="4"/>
        <v>1928.9399532000534</v>
      </c>
      <c r="I108" s="1840">
        <f t="shared" si="5"/>
        <v>6.1524732684073401E-3</v>
      </c>
      <c r="J108" s="1138"/>
      <c r="K108" s="227"/>
    </row>
    <row r="109" spans="1:195" s="50" customFormat="1" ht="15" hidden="1" outlineLevel="1">
      <c r="A109" s="1665" t="s">
        <v>1922</v>
      </c>
      <c r="B109" s="1665" t="s">
        <v>663</v>
      </c>
      <c r="C109" s="1858"/>
      <c r="D109" s="160"/>
      <c r="E109" s="161" t="s">
        <v>663</v>
      </c>
      <c r="F109" s="364">
        <f>SUMIFS(INPUT!H:H,INPUT!E:E,BAZE_2024!A109,INPUT!B:B,BAZE_2024!B109)</f>
        <v>258192.92738899999</v>
      </c>
      <c r="G109" s="389">
        <f>SUMIFS(INPUT!L:L,INPUT!E:E,BAZE_2024!A109,INPUT!B:B,BAZE_2024!B109)</f>
        <v>279967.86734220001</v>
      </c>
      <c r="H109" s="102">
        <f t="shared" si="4"/>
        <v>21774.939953200024</v>
      </c>
      <c r="I109" s="1824">
        <f t="shared" si="5"/>
        <v>8.4335927298246044E-2</v>
      </c>
      <c r="J109" s="1130" t="s">
        <v>5288</v>
      </c>
      <c r="K109" s="227"/>
      <c r="L109" s="77"/>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row>
    <row r="110" spans="1:195" s="50" customFormat="1" ht="26.45" hidden="1" customHeight="1" outlineLevel="1">
      <c r="A110" s="1665" t="s">
        <v>1922</v>
      </c>
      <c r="B110" s="1665" t="s">
        <v>1248</v>
      </c>
      <c r="C110" s="1858"/>
      <c r="D110" s="216"/>
      <c r="E110" s="217" t="s">
        <v>579</v>
      </c>
      <c r="F110" s="364">
        <f>SUMIFS(INPUT!H:H,INPUT!E:E,BAZE_2024!A110,INPUT!B:B,BAZE_2024!B110)</f>
        <v>52429.759999999995</v>
      </c>
      <c r="G110" s="389">
        <f>SUMIFS(INPUT!L:L,INPUT!E:E,BAZE_2024!A110,INPUT!B:B,BAZE_2024!B110)</f>
        <v>32583.759999999998</v>
      </c>
      <c r="H110" s="146">
        <f t="shared" si="4"/>
        <v>-19845.999999999996</v>
      </c>
      <c r="I110" s="1836">
        <f t="shared" si="5"/>
        <v>-0.37852547865944836</v>
      </c>
      <c r="J110" s="2022"/>
      <c r="K110" s="156">
        <v>-0.01</v>
      </c>
      <c r="L110" s="1222">
        <f>G110*K110</f>
        <v>-325.83760000000001</v>
      </c>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50" customFormat="1" ht="15" hidden="1" outlineLevel="1">
      <c r="A111" s="1665" t="s">
        <v>1922</v>
      </c>
      <c r="B111" s="1665" t="s">
        <v>1250</v>
      </c>
      <c r="C111" s="1858"/>
      <c r="D111" s="160"/>
      <c r="E111" s="161" t="s">
        <v>578</v>
      </c>
      <c r="F111" s="364">
        <f>SUMIFS(INPUT!H:H,INPUT!E:E,BAZE_2024!A111,INPUT!B:B,BAZE_2024!B111)</f>
        <v>2900</v>
      </c>
      <c r="G111" s="389">
        <f>SUMIFS(INPUT!L:L,INPUT!E:E,BAZE_2024!A111,INPUT!B:B,BAZE_2024!B111)</f>
        <v>2900</v>
      </c>
      <c r="H111" s="146">
        <f t="shared" si="4"/>
        <v>0</v>
      </c>
      <c r="I111" s="1836">
        <f t="shared" si="5"/>
        <v>0</v>
      </c>
      <c r="J111" s="1275"/>
      <c r="K111" s="227"/>
      <c r="L111" s="77"/>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1299" customFormat="1" ht="15" hidden="1" outlineLevel="1">
      <c r="A112" s="2002" t="s">
        <v>1922</v>
      </c>
      <c r="B112" s="2002" t="s">
        <v>1249</v>
      </c>
      <c r="C112" s="2003"/>
      <c r="D112" s="1297"/>
      <c r="E112" s="1294" t="s">
        <v>1249</v>
      </c>
      <c r="F112" s="1279">
        <f>SUMIFS(INPUT!H:H,INPUT!E:E,BAZE_2024!A112,INPUT!B:B,BAZE_2024!B112)</f>
        <v>15000</v>
      </c>
      <c r="G112" s="389">
        <f>SUMIFS(INPUT!L:L,INPUT!E:E,BAZE_2024!A112,INPUT!B:B,BAZE_2024!B112)</f>
        <v>15000</v>
      </c>
      <c r="H112" s="1285">
        <f t="shared" si="4"/>
        <v>0</v>
      </c>
      <c r="I112" s="1834">
        <f t="shared" si="5"/>
        <v>0</v>
      </c>
      <c r="J112" s="2031"/>
      <c r="K112" s="1282"/>
      <c r="L112" s="2014"/>
      <c r="M112" s="1289"/>
      <c r="N112" s="1289"/>
      <c r="O112" s="1289"/>
      <c r="P112" s="1289"/>
      <c r="Q112" s="1289"/>
      <c r="R112" s="1289"/>
      <c r="S112" s="1289"/>
      <c r="T112" s="1289"/>
      <c r="U112" s="1289"/>
      <c r="V112" s="1289"/>
      <c r="W112" s="1289"/>
      <c r="X112" s="1289"/>
      <c r="Y112" s="1289"/>
      <c r="Z112" s="1289"/>
      <c r="AA112" s="1289"/>
      <c r="AB112" s="1289"/>
      <c r="AC112" s="1289"/>
      <c r="AD112" s="1289"/>
      <c r="AE112" s="1289"/>
      <c r="AF112" s="1289"/>
      <c r="AG112" s="1289"/>
      <c r="AH112" s="1289"/>
      <c r="AI112" s="1289"/>
      <c r="AJ112" s="1289"/>
      <c r="AK112" s="1289"/>
      <c r="AL112" s="1289"/>
      <c r="AM112" s="1289"/>
      <c r="AN112" s="1289"/>
      <c r="AO112" s="1289"/>
      <c r="AP112" s="1289"/>
      <c r="AQ112" s="1289"/>
      <c r="AR112" s="1289"/>
      <c r="AS112" s="1289"/>
      <c r="AT112" s="1289"/>
      <c r="AU112" s="1289"/>
      <c r="AV112" s="1289"/>
      <c r="AW112" s="1289"/>
      <c r="AX112" s="1289"/>
      <c r="AY112" s="1289"/>
      <c r="AZ112" s="1289"/>
      <c r="BA112" s="1289"/>
      <c r="BB112" s="1289"/>
      <c r="BC112" s="1289"/>
      <c r="BD112" s="1289"/>
      <c r="BE112" s="1289"/>
      <c r="BF112" s="1289"/>
      <c r="BG112" s="1289"/>
      <c r="BH112" s="1289"/>
      <c r="BI112" s="1289"/>
      <c r="BJ112" s="1289"/>
      <c r="BK112" s="1289"/>
      <c r="BL112" s="1289"/>
      <c r="BM112" s="1289"/>
      <c r="BN112" s="1289"/>
      <c r="BO112" s="1289"/>
      <c r="BP112" s="1289"/>
      <c r="BQ112" s="1289"/>
      <c r="BR112" s="1289"/>
      <c r="BS112" s="1289"/>
      <c r="BT112" s="1289"/>
      <c r="BU112" s="1289"/>
      <c r="BV112" s="1289"/>
      <c r="BW112" s="1289"/>
      <c r="BX112" s="1289"/>
      <c r="BY112" s="1289"/>
      <c r="BZ112" s="1289"/>
      <c r="CA112" s="1289"/>
      <c r="CB112" s="1289"/>
      <c r="CC112" s="1289"/>
      <c r="CD112" s="1289"/>
      <c r="CE112" s="1289"/>
      <c r="CF112" s="1289"/>
      <c r="CG112" s="1289"/>
      <c r="CH112" s="1289"/>
      <c r="CI112" s="1289"/>
      <c r="CJ112" s="1289"/>
      <c r="CK112" s="1289"/>
      <c r="CL112" s="1289"/>
      <c r="CM112" s="1289"/>
      <c r="CN112" s="1289"/>
      <c r="CO112" s="1289"/>
      <c r="CP112" s="1289"/>
      <c r="CQ112" s="1289"/>
      <c r="CR112" s="1289"/>
      <c r="CS112" s="1289"/>
      <c r="CT112" s="1289"/>
      <c r="CU112" s="1289"/>
      <c r="CV112" s="1289"/>
      <c r="CW112" s="1289"/>
      <c r="CX112" s="1289"/>
      <c r="CY112" s="1289"/>
      <c r="CZ112" s="1289"/>
      <c r="DA112" s="1289"/>
      <c r="DB112" s="1289"/>
      <c r="DC112" s="1289"/>
      <c r="DD112" s="1289"/>
      <c r="DE112" s="1289"/>
      <c r="DF112" s="1289"/>
      <c r="DG112" s="1289"/>
      <c r="DH112" s="1289"/>
      <c r="DI112" s="1289"/>
      <c r="DJ112" s="1289"/>
      <c r="DK112" s="1289"/>
      <c r="DL112" s="1289"/>
      <c r="DM112" s="1289"/>
      <c r="DN112" s="1289"/>
      <c r="DO112" s="1289"/>
      <c r="DP112" s="1289"/>
      <c r="DQ112" s="1289"/>
      <c r="DR112" s="1289"/>
      <c r="DS112" s="1289"/>
      <c r="DT112" s="1289"/>
      <c r="DU112" s="1289"/>
      <c r="DV112" s="1289"/>
      <c r="DW112" s="1289"/>
      <c r="DX112" s="1289"/>
      <c r="DY112" s="1289"/>
      <c r="DZ112" s="1289"/>
      <c r="EA112" s="1289"/>
      <c r="EB112" s="1289"/>
      <c r="EC112" s="1289"/>
      <c r="ED112" s="1289"/>
      <c r="EE112" s="1289"/>
      <c r="EF112" s="1289"/>
      <c r="EG112" s="1289"/>
      <c r="EH112" s="1289"/>
      <c r="EI112" s="1289"/>
      <c r="EJ112" s="1289"/>
      <c r="EK112" s="1289"/>
      <c r="EL112" s="1289"/>
      <c r="EM112" s="1289"/>
      <c r="EN112" s="1289"/>
      <c r="EO112" s="1289"/>
      <c r="EP112" s="1289"/>
      <c r="EQ112" s="1289"/>
      <c r="ER112" s="1289"/>
      <c r="ES112" s="1289"/>
      <c r="ET112" s="1289"/>
      <c r="EU112" s="1289"/>
      <c r="EV112" s="1289"/>
      <c r="EW112" s="1289"/>
      <c r="EX112" s="1289"/>
      <c r="EY112" s="1289"/>
      <c r="EZ112" s="1289"/>
      <c r="FA112" s="1289"/>
      <c r="FB112" s="1289"/>
      <c r="FC112" s="1289"/>
      <c r="FD112" s="1289"/>
      <c r="FE112" s="1289"/>
      <c r="FF112" s="1289"/>
      <c r="FG112" s="1289"/>
      <c r="FH112" s="1289"/>
      <c r="FI112" s="1289"/>
      <c r="FJ112" s="1289"/>
      <c r="FK112" s="1289"/>
      <c r="FL112" s="1289"/>
      <c r="FM112" s="1289"/>
      <c r="FN112" s="1289"/>
      <c r="FO112" s="1289"/>
      <c r="FP112" s="1289"/>
      <c r="FQ112" s="1289"/>
      <c r="FR112" s="1289"/>
      <c r="FS112" s="1289"/>
      <c r="FT112" s="1289"/>
      <c r="FU112" s="1289"/>
      <c r="FV112" s="1289"/>
      <c r="FW112" s="1289"/>
      <c r="FX112" s="1289"/>
      <c r="FY112" s="1289"/>
      <c r="FZ112" s="1289"/>
      <c r="GA112" s="1289"/>
      <c r="GB112" s="1289"/>
      <c r="GC112" s="1289"/>
      <c r="GD112" s="1289"/>
      <c r="GE112" s="1289"/>
      <c r="GF112" s="1289"/>
      <c r="GG112" s="1289"/>
      <c r="GH112" s="1289"/>
      <c r="GI112" s="1289"/>
      <c r="GJ112" s="1289"/>
      <c r="GK112" s="1289"/>
      <c r="GL112" s="1289"/>
      <c r="GM112" s="1289"/>
    </row>
    <row r="113" spans="1:195" ht="29.25" collapsed="1">
      <c r="D113" s="126" t="s">
        <v>2494</v>
      </c>
      <c r="E113" s="130" t="s">
        <v>1656</v>
      </c>
      <c r="F113" s="374">
        <f>F114+F115+F116</f>
        <v>380791.04988000001</v>
      </c>
      <c r="G113" s="403">
        <f>G114+G115+G116</f>
        <v>424516.63014720002</v>
      </c>
      <c r="H113" s="131">
        <f t="shared" si="4"/>
        <v>43725.580267200014</v>
      </c>
      <c r="I113" s="1840">
        <f t="shared" si="5"/>
        <v>0.11482827729532878</v>
      </c>
      <c r="J113" s="2030"/>
      <c r="K113" s="227"/>
    </row>
    <row r="114" spans="1:195" s="50" customFormat="1" ht="61.9" hidden="1" customHeight="1" outlineLevel="1">
      <c r="A114" s="1665" t="s">
        <v>2448</v>
      </c>
      <c r="B114" s="1665" t="s">
        <v>663</v>
      </c>
      <c r="C114" s="1858"/>
      <c r="D114" s="160"/>
      <c r="E114" s="161" t="s">
        <v>663</v>
      </c>
      <c r="F114" s="364">
        <f>SUMIFS(INPUT!H:H,INPUT!E:E,BAZE_2024!A114,INPUT!B:B,BAZE_2024!B114)</f>
        <v>209076.44988</v>
      </c>
      <c r="G114" s="389">
        <f>SUMIFS(INPUT!L:L,INPUT!E:E,BAZE_2024!A114,INPUT!B:B,BAZE_2024!B114)</f>
        <v>317271.0341472</v>
      </c>
      <c r="H114" s="146">
        <f t="shared" si="4"/>
        <v>108194.5842672</v>
      </c>
      <c r="I114" s="1836">
        <f t="shared" si="5"/>
        <v>0.51748814526599518</v>
      </c>
      <c r="J114" s="2022" t="s">
        <v>6217</v>
      </c>
      <c r="K114" s="227">
        <f>F114+90000</f>
        <v>299076.44987999997</v>
      </c>
      <c r="L114" s="77"/>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row>
    <row r="115" spans="1:195" s="50" customFormat="1" ht="15" hidden="1" customHeight="1" outlineLevel="1">
      <c r="A115" s="1665" t="s">
        <v>2448</v>
      </c>
      <c r="B115" s="1665" t="s">
        <v>1248</v>
      </c>
      <c r="C115" s="1858"/>
      <c r="D115" s="216"/>
      <c r="E115" s="217" t="s">
        <v>579</v>
      </c>
      <c r="F115" s="364">
        <f>SUMIFS(INPUT!H:H,INPUT!E:E,BAZE_2024!A115,INPUT!B:B,BAZE_2024!B115)</f>
        <v>165270.6</v>
      </c>
      <c r="G115" s="389">
        <f>SUMIFS(INPUT!L:L,INPUT!E:E,BAZE_2024!A115,INPUT!B:B,BAZE_2024!B115)</f>
        <v>103745.59600000001</v>
      </c>
      <c r="H115" s="146">
        <f t="shared" si="4"/>
        <v>-61525.004000000001</v>
      </c>
      <c r="I115" s="1836">
        <f t="shared" si="5"/>
        <v>-0.37226829212213181</v>
      </c>
      <c r="J115" s="2022"/>
      <c r="K115" s="156">
        <v>-0.01</v>
      </c>
      <c r="L115" s="1222">
        <f>G115*K115</f>
        <v>-1037.45596</v>
      </c>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50" customFormat="1" ht="15" hidden="1" outlineLevel="1">
      <c r="A116" s="1665" t="s">
        <v>2448</v>
      </c>
      <c r="B116" s="1665" t="s">
        <v>1250</v>
      </c>
      <c r="C116" s="1858"/>
      <c r="D116" s="160"/>
      <c r="E116" s="161" t="s">
        <v>578</v>
      </c>
      <c r="F116" s="364">
        <f>SUMIFS(INPUT!H:H,INPUT!E:E,BAZE_2024!A116,INPUT!B:B,BAZE_2024!B116)</f>
        <v>6444</v>
      </c>
      <c r="G116" s="389">
        <f>SUMIFS(INPUT!L:L,INPUT!E:E,BAZE_2024!A116,INPUT!B:B,BAZE_2024!B116)</f>
        <v>3500</v>
      </c>
      <c r="H116" s="146">
        <f t="shared" ref="H116:H154" si="7">G116-F116</f>
        <v>-2944</v>
      </c>
      <c r="I116" s="1836">
        <f t="shared" ref="I116:I160" si="8">IFERROR(H116/F116,"-")</f>
        <v>-0.45685909373060213</v>
      </c>
      <c r="J116" s="1275"/>
      <c r="K116" s="227"/>
      <c r="L116" s="77"/>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50" customFormat="1" ht="15" hidden="1" outlineLevel="1">
      <c r="A117" s="1665" t="s">
        <v>2448</v>
      </c>
      <c r="B117" s="1665" t="s">
        <v>512</v>
      </c>
      <c r="C117" s="1858"/>
      <c r="D117" s="460"/>
      <c r="E117" s="461" t="s">
        <v>1110</v>
      </c>
      <c r="F117" s="364">
        <f>SUMIFS(INPUT!H:H,INPUT!E:E,BAZE_2024!A117,INPUT!B:B,BAZE_2024!B117)</f>
        <v>1200</v>
      </c>
      <c r="G117" s="389">
        <f>SUMIFS(INPUT!L:L,INPUT!E:E,BAZE_2024!A117,INPUT!B:B,BAZE_2024!B117)</f>
        <v>1200</v>
      </c>
      <c r="H117" s="146">
        <f t="shared" si="7"/>
        <v>0</v>
      </c>
      <c r="I117" s="1836">
        <f t="shared" si="8"/>
        <v>0</v>
      </c>
      <c r="J117" s="1275"/>
      <c r="K117" s="227"/>
      <c r="L117" s="7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299" customFormat="1" ht="15" hidden="1" outlineLevel="1">
      <c r="A118" s="2127" t="s">
        <v>2448</v>
      </c>
      <c r="B118" s="2127" t="s">
        <v>1249</v>
      </c>
      <c r="C118" s="2128"/>
      <c r="D118" s="1297"/>
      <c r="E118" s="1294" t="s">
        <v>1249</v>
      </c>
      <c r="F118" s="1280">
        <f>SUMIFS(INPUT!H:H,INPUT!E:E,BAZE_2024!A118,INPUT!B:B,BAZE_2024!B118)</f>
        <v>446928</v>
      </c>
      <c r="G118" s="380">
        <f>SUMIFS(INPUT!L:L,INPUT!E:E,BAZE_2024!A118,INPUT!B:B,BAZE_2024!B118)</f>
        <v>1095672.58</v>
      </c>
      <c r="H118" s="1285">
        <f t="shared" si="7"/>
        <v>648744.58000000007</v>
      </c>
      <c r="I118" s="1834">
        <f t="shared" si="8"/>
        <v>1.4515639655604484</v>
      </c>
      <c r="J118" s="2031"/>
      <c r="K118" s="2129"/>
      <c r="L118" s="2014"/>
      <c r="M118" s="1289"/>
      <c r="N118" s="1289"/>
      <c r="O118" s="1289"/>
      <c r="P118" s="1289"/>
      <c r="Q118" s="1289"/>
      <c r="R118" s="1289"/>
      <c r="S118" s="1289"/>
      <c r="T118" s="1289"/>
      <c r="U118" s="1289"/>
      <c r="V118" s="1289"/>
      <c r="W118" s="1289"/>
      <c r="X118" s="1289"/>
      <c r="Y118" s="1289"/>
      <c r="Z118" s="1289"/>
      <c r="AA118" s="1289"/>
      <c r="AB118" s="1289"/>
      <c r="AC118" s="1289"/>
      <c r="AD118" s="1289"/>
      <c r="AE118" s="1289"/>
      <c r="AF118" s="1289"/>
      <c r="AG118" s="1289"/>
      <c r="AH118" s="1289"/>
      <c r="AI118" s="1289"/>
      <c r="AJ118" s="1289"/>
      <c r="AK118" s="1289"/>
      <c r="AL118" s="1289"/>
      <c r="AM118" s="1289"/>
      <c r="AN118" s="1289"/>
      <c r="AO118" s="1289"/>
      <c r="AP118" s="1289"/>
      <c r="AQ118" s="1289"/>
      <c r="AR118" s="1289"/>
      <c r="AS118" s="1289"/>
      <c r="AT118" s="1289"/>
      <c r="AU118" s="1289"/>
      <c r="AV118" s="1289"/>
      <c r="AW118" s="1289"/>
      <c r="AX118" s="1289"/>
      <c r="AY118" s="1289"/>
      <c r="AZ118" s="1289"/>
      <c r="BA118" s="1289"/>
      <c r="BB118" s="1289"/>
      <c r="BC118" s="1289"/>
      <c r="BD118" s="1289"/>
      <c r="BE118" s="1289"/>
      <c r="BF118" s="1289"/>
      <c r="BG118" s="1289"/>
      <c r="BH118" s="1289"/>
      <c r="BI118" s="1289"/>
      <c r="BJ118" s="1289"/>
      <c r="BK118" s="1289"/>
      <c r="BL118" s="1289"/>
      <c r="BM118" s="1289"/>
      <c r="BN118" s="1289"/>
      <c r="BO118" s="1289"/>
      <c r="BP118" s="1289"/>
      <c r="BQ118" s="1289"/>
      <c r="BR118" s="1289"/>
      <c r="BS118" s="1289"/>
      <c r="BT118" s="1289"/>
      <c r="BU118" s="1289"/>
      <c r="BV118" s="1289"/>
      <c r="BW118" s="1289"/>
      <c r="BX118" s="1289"/>
      <c r="BY118" s="1289"/>
      <c r="BZ118" s="1289"/>
      <c r="CA118" s="1289"/>
      <c r="CB118" s="1289"/>
      <c r="CC118" s="1289"/>
      <c r="CD118" s="1289"/>
      <c r="CE118" s="1289"/>
      <c r="CF118" s="1289"/>
      <c r="CG118" s="1289"/>
      <c r="CH118" s="1289"/>
      <c r="CI118" s="1289"/>
      <c r="CJ118" s="1289"/>
      <c r="CK118" s="1289"/>
      <c r="CL118" s="1289"/>
      <c r="CM118" s="1289"/>
      <c r="CN118" s="1289"/>
      <c r="CO118" s="1289"/>
      <c r="CP118" s="1289"/>
      <c r="CQ118" s="1289"/>
      <c r="CR118" s="1289"/>
      <c r="CS118" s="1289"/>
      <c r="CT118" s="1289"/>
      <c r="CU118" s="1289"/>
      <c r="CV118" s="1289"/>
      <c r="CW118" s="1289"/>
      <c r="CX118" s="1289"/>
      <c r="CY118" s="1289"/>
      <c r="CZ118" s="1289"/>
      <c r="DA118" s="1289"/>
      <c r="DB118" s="1289"/>
      <c r="DC118" s="1289"/>
      <c r="DD118" s="1289"/>
      <c r="DE118" s="1289"/>
      <c r="DF118" s="1289"/>
      <c r="DG118" s="1289"/>
      <c r="DH118" s="1289"/>
      <c r="DI118" s="1289"/>
      <c r="DJ118" s="1289"/>
      <c r="DK118" s="1289"/>
      <c r="DL118" s="1289"/>
      <c r="DM118" s="1289"/>
      <c r="DN118" s="1289"/>
      <c r="DO118" s="1289"/>
      <c r="DP118" s="1289"/>
      <c r="DQ118" s="1289"/>
      <c r="DR118" s="1289"/>
      <c r="DS118" s="1289"/>
      <c r="DT118" s="1289"/>
      <c r="DU118" s="1289"/>
      <c r="DV118" s="1289"/>
      <c r="DW118" s="1289"/>
      <c r="DX118" s="1289"/>
      <c r="DY118" s="1289"/>
      <c r="DZ118" s="1289"/>
      <c r="EA118" s="1289"/>
      <c r="EB118" s="1289"/>
      <c r="EC118" s="1289"/>
      <c r="ED118" s="1289"/>
      <c r="EE118" s="1289"/>
      <c r="EF118" s="1289"/>
      <c r="EG118" s="1289"/>
      <c r="EH118" s="1289"/>
      <c r="EI118" s="1289"/>
      <c r="EJ118" s="1289"/>
      <c r="EK118" s="1289"/>
      <c r="EL118" s="1289"/>
      <c r="EM118" s="1289"/>
      <c r="EN118" s="1289"/>
      <c r="EO118" s="1289"/>
      <c r="EP118" s="1289"/>
      <c r="EQ118" s="1289"/>
      <c r="ER118" s="1289"/>
      <c r="ES118" s="1289"/>
      <c r="ET118" s="1289"/>
      <c r="EU118" s="1289"/>
      <c r="EV118" s="1289"/>
      <c r="EW118" s="1289"/>
      <c r="EX118" s="1289"/>
      <c r="EY118" s="1289"/>
      <c r="EZ118" s="1289"/>
      <c r="FA118" s="1289"/>
      <c r="FB118" s="1289"/>
      <c r="FC118" s="1289"/>
      <c r="FD118" s="1289"/>
      <c r="FE118" s="1289"/>
      <c r="FF118" s="1289"/>
      <c r="FG118" s="1289"/>
      <c r="FH118" s="1289"/>
      <c r="FI118" s="1289"/>
      <c r="FJ118" s="1289"/>
      <c r="FK118" s="1289"/>
      <c r="FL118" s="1289"/>
      <c r="FM118" s="1289"/>
      <c r="FN118" s="1289"/>
      <c r="FO118" s="1289"/>
      <c r="FP118" s="1289"/>
      <c r="FQ118" s="1289"/>
      <c r="FR118" s="1289"/>
      <c r="FS118" s="1289"/>
      <c r="FT118" s="1289"/>
      <c r="FU118" s="1289"/>
      <c r="FV118" s="1289"/>
      <c r="FW118" s="1289"/>
      <c r="FX118" s="1289"/>
      <c r="FY118" s="1289"/>
      <c r="FZ118" s="1289"/>
      <c r="GA118" s="1289"/>
      <c r="GB118" s="1289"/>
      <c r="GC118" s="1289"/>
      <c r="GD118" s="1289"/>
      <c r="GE118" s="1289"/>
      <c r="GF118" s="1289"/>
      <c r="GG118" s="1289"/>
      <c r="GH118" s="1289"/>
      <c r="GI118" s="1289"/>
      <c r="GJ118" s="1289"/>
      <c r="GK118" s="1289"/>
      <c r="GL118" s="1289"/>
      <c r="GM118" s="1289"/>
    </row>
    <row r="119" spans="1:195" s="1299" customFormat="1" ht="16.149999999999999" hidden="1" customHeight="1" outlineLevel="1">
      <c r="A119" s="2127" t="s">
        <v>2448</v>
      </c>
      <c r="B119" s="2127" t="s">
        <v>566</v>
      </c>
      <c r="C119" s="2128"/>
      <c r="D119" s="1302"/>
      <c r="E119" s="2004" t="s">
        <v>112</v>
      </c>
      <c r="F119" s="1280">
        <f>SUMIFS(INPUT!H:H,INPUT!E:E,BAZE_2024!A119,INPUT!B:B,BAZE_2024!B119)</f>
        <v>22502</v>
      </c>
      <c r="G119" s="380">
        <f>SUMIFS(INPUT!L:L,INPUT!E:E,BAZE_2024!A119,INPUT!B:B,BAZE_2024!B119)</f>
        <v>62295.6</v>
      </c>
      <c r="H119" s="1285">
        <f t="shared" si="7"/>
        <v>39793.599999999999</v>
      </c>
      <c r="I119" s="1834">
        <f t="shared" si="8"/>
        <v>1.7684472491334102</v>
      </c>
      <c r="J119" s="2031"/>
      <c r="K119" s="2129"/>
      <c r="L119" s="2014"/>
      <c r="M119" s="1289"/>
      <c r="N119" s="1289"/>
      <c r="O119" s="1289"/>
      <c r="P119" s="1289"/>
      <c r="Q119" s="1289"/>
      <c r="R119" s="1289"/>
      <c r="S119" s="1289"/>
      <c r="T119" s="1289"/>
      <c r="U119" s="1289"/>
      <c r="V119" s="1289"/>
      <c r="W119" s="1289"/>
      <c r="X119" s="1289"/>
      <c r="Y119" s="1289"/>
      <c r="Z119" s="1289"/>
      <c r="AA119" s="1289"/>
      <c r="AB119" s="1289"/>
      <c r="AC119" s="1289"/>
      <c r="AD119" s="1289"/>
      <c r="AE119" s="1289"/>
      <c r="AF119" s="1289"/>
      <c r="AG119" s="1289"/>
      <c r="AH119" s="1289"/>
      <c r="AI119" s="1289"/>
      <c r="AJ119" s="1289"/>
      <c r="AK119" s="1289"/>
      <c r="AL119" s="1289"/>
      <c r="AM119" s="1289"/>
      <c r="AN119" s="1289"/>
      <c r="AO119" s="1289"/>
      <c r="AP119" s="1289"/>
      <c r="AQ119" s="1289"/>
      <c r="AR119" s="1289"/>
      <c r="AS119" s="1289"/>
      <c r="AT119" s="1289"/>
      <c r="AU119" s="1289"/>
      <c r="AV119" s="1289"/>
      <c r="AW119" s="1289"/>
      <c r="AX119" s="1289"/>
      <c r="AY119" s="1289"/>
      <c r="AZ119" s="1289"/>
      <c r="BA119" s="1289"/>
      <c r="BB119" s="1289"/>
      <c r="BC119" s="1289"/>
      <c r="BD119" s="1289"/>
      <c r="BE119" s="1289"/>
      <c r="BF119" s="1289"/>
      <c r="BG119" s="1289"/>
      <c r="BH119" s="1289"/>
      <c r="BI119" s="1289"/>
      <c r="BJ119" s="1289"/>
      <c r="BK119" s="1289"/>
      <c r="BL119" s="1289"/>
      <c r="BM119" s="1289"/>
      <c r="BN119" s="1289"/>
      <c r="BO119" s="1289"/>
      <c r="BP119" s="1289"/>
      <c r="BQ119" s="1289"/>
      <c r="BR119" s="1289"/>
      <c r="BS119" s="1289"/>
      <c r="BT119" s="1289"/>
      <c r="BU119" s="1289"/>
      <c r="BV119" s="1289"/>
      <c r="BW119" s="1289"/>
      <c r="BX119" s="1289"/>
      <c r="BY119" s="1289"/>
      <c r="BZ119" s="1289"/>
      <c r="CA119" s="1289"/>
      <c r="CB119" s="1289"/>
      <c r="CC119" s="1289"/>
      <c r="CD119" s="1289"/>
      <c r="CE119" s="1289"/>
      <c r="CF119" s="1289"/>
      <c r="CG119" s="1289"/>
      <c r="CH119" s="1289"/>
      <c r="CI119" s="1289"/>
      <c r="CJ119" s="1289"/>
      <c r="CK119" s="1289"/>
      <c r="CL119" s="1289"/>
      <c r="CM119" s="1289"/>
      <c r="CN119" s="1289"/>
      <c r="CO119" s="1289"/>
      <c r="CP119" s="1289"/>
      <c r="CQ119" s="1289"/>
      <c r="CR119" s="1289"/>
      <c r="CS119" s="1289"/>
      <c r="CT119" s="1289"/>
      <c r="CU119" s="1289"/>
      <c r="CV119" s="1289"/>
      <c r="CW119" s="1289"/>
      <c r="CX119" s="1289"/>
      <c r="CY119" s="1289"/>
      <c r="CZ119" s="1289"/>
      <c r="DA119" s="1289"/>
      <c r="DB119" s="1289"/>
      <c r="DC119" s="1289"/>
      <c r="DD119" s="1289"/>
      <c r="DE119" s="1289"/>
      <c r="DF119" s="1289"/>
      <c r="DG119" s="1289"/>
      <c r="DH119" s="1289"/>
      <c r="DI119" s="1289"/>
      <c r="DJ119" s="1289"/>
      <c r="DK119" s="1289"/>
      <c r="DL119" s="1289"/>
      <c r="DM119" s="1289"/>
      <c r="DN119" s="1289"/>
      <c r="DO119" s="1289"/>
      <c r="DP119" s="1289"/>
      <c r="DQ119" s="1289"/>
      <c r="DR119" s="1289"/>
      <c r="DS119" s="1289"/>
      <c r="DT119" s="1289"/>
      <c r="DU119" s="1289"/>
      <c r="DV119" s="1289"/>
      <c r="DW119" s="1289"/>
      <c r="DX119" s="1289"/>
      <c r="DY119" s="1289"/>
      <c r="DZ119" s="1289"/>
      <c r="EA119" s="1289"/>
      <c r="EB119" s="1289"/>
      <c r="EC119" s="1289"/>
      <c r="ED119" s="1289"/>
      <c r="EE119" s="1289"/>
      <c r="EF119" s="1289"/>
      <c r="EG119" s="1289"/>
      <c r="EH119" s="1289"/>
      <c r="EI119" s="1289"/>
      <c r="EJ119" s="1289"/>
      <c r="EK119" s="1289"/>
      <c r="EL119" s="1289"/>
      <c r="EM119" s="1289"/>
      <c r="EN119" s="1289"/>
      <c r="EO119" s="1289"/>
      <c r="EP119" s="1289"/>
      <c r="EQ119" s="1289"/>
      <c r="ER119" s="1289"/>
      <c r="ES119" s="1289"/>
      <c r="ET119" s="1289"/>
      <c r="EU119" s="1289"/>
      <c r="EV119" s="1289"/>
      <c r="EW119" s="1289"/>
      <c r="EX119" s="1289"/>
      <c r="EY119" s="1289"/>
      <c r="EZ119" s="1289"/>
      <c r="FA119" s="1289"/>
      <c r="FB119" s="1289"/>
      <c r="FC119" s="1289"/>
      <c r="FD119" s="1289"/>
      <c r="FE119" s="1289"/>
      <c r="FF119" s="1289"/>
      <c r="FG119" s="1289"/>
      <c r="FH119" s="1289"/>
      <c r="FI119" s="1289"/>
      <c r="FJ119" s="1289"/>
      <c r="FK119" s="1289"/>
      <c r="FL119" s="1289"/>
      <c r="FM119" s="1289"/>
      <c r="FN119" s="1289"/>
      <c r="FO119" s="1289"/>
      <c r="FP119" s="1289"/>
      <c r="FQ119" s="1289"/>
      <c r="FR119" s="1289"/>
      <c r="FS119" s="1289"/>
      <c r="FT119" s="1289"/>
      <c r="FU119" s="1289"/>
      <c r="FV119" s="1289"/>
      <c r="FW119" s="1289"/>
      <c r="FX119" s="1289"/>
      <c r="FY119" s="1289"/>
      <c r="FZ119" s="1289"/>
      <c r="GA119" s="1289"/>
      <c r="GB119" s="1289"/>
      <c r="GC119" s="1289"/>
      <c r="GD119" s="1289"/>
      <c r="GE119" s="1289"/>
      <c r="GF119" s="1289"/>
      <c r="GG119" s="1289"/>
      <c r="GH119" s="1289"/>
      <c r="GI119" s="1289"/>
      <c r="GJ119" s="1289"/>
      <c r="GK119" s="1289"/>
      <c r="GL119" s="1289"/>
      <c r="GM119" s="1289"/>
    </row>
    <row r="120" spans="1:195" s="226" customFormat="1" ht="15" hidden="1" outlineLevel="1">
      <c r="A120" s="1665"/>
      <c r="B120" s="1665"/>
      <c r="C120" s="1903"/>
      <c r="D120" s="1177" t="s">
        <v>2494</v>
      </c>
      <c r="E120" s="1193" t="s">
        <v>664</v>
      </c>
      <c r="F120" s="374">
        <f>SUM(F121:F135)</f>
        <v>1826191.98</v>
      </c>
      <c r="G120" s="374">
        <f>SUM(G121:G135)</f>
        <v>3058322.7571699996</v>
      </c>
      <c r="H120" s="225">
        <f t="shared" si="7"/>
        <v>1232130.7771699997</v>
      </c>
      <c r="I120" s="1841">
        <f t="shared" si="8"/>
        <v>0.67469947884121129</v>
      </c>
      <c r="J120" s="2032"/>
      <c r="K120" s="227"/>
      <c r="L120" s="2012"/>
    </row>
    <row r="121" spans="1:195" s="1299" customFormat="1" ht="1.9" hidden="1" customHeight="1" outlineLevel="1">
      <c r="A121" s="2127" t="s">
        <v>2447</v>
      </c>
      <c r="B121" s="2127"/>
      <c r="C121" s="2128"/>
      <c r="D121" s="1297" t="s">
        <v>2427</v>
      </c>
      <c r="E121" s="1294"/>
      <c r="F121" s="1280">
        <f>SUMIF(INPUT!E:E,BAZE_2024!A121,INPUT!H:H)</f>
        <v>51630</v>
      </c>
      <c r="G121" s="380">
        <f>SUMIF(INPUT!E:E,BAZE_2024!A121,INPUT!L:L)</f>
        <v>50000</v>
      </c>
      <c r="H121" s="1285"/>
      <c r="I121" s="1834"/>
      <c r="J121" s="2031"/>
      <c r="K121" s="2129"/>
      <c r="L121" s="2014"/>
      <c r="M121" s="1289"/>
      <c r="N121" s="1289"/>
      <c r="O121" s="1289"/>
      <c r="P121" s="1289"/>
      <c r="Q121" s="1289"/>
      <c r="R121" s="1289"/>
      <c r="S121" s="1289"/>
      <c r="T121" s="1289"/>
      <c r="U121" s="1289"/>
      <c r="V121" s="1289"/>
      <c r="W121" s="1289"/>
      <c r="X121" s="1289"/>
      <c r="Y121" s="1289"/>
      <c r="Z121" s="1289"/>
      <c r="AA121" s="1289"/>
      <c r="AB121" s="1289"/>
      <c r="AC121" s="1289"/>
      <c r="AD121" s="1289"/>
      <c r="AE121" s="1289"/>
      <c r="AF121" s="1289"/>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89"/>
      <c r="BF121" s="1289"/>
      <c r="BG121" s="1289"/>
      <c r="BH121" s="1289"/>
      <c r="BI121" s="1289"/>
      <c r="BJ121" s="1289"/>
      <c r="BK121" s="1289"/>
      <c r="BL121" s="1289"/>
      <c r="BM121" s="1289"/>
      <c r="BN121" s="1289"/>
      <c r="BO121" s="1289"/>
      <c r="BP121" s="1289"/>
      <c r="BQ121" s="1289"/>
      <c r="BR121" s="1289"/>
      <c r="BS121" s="1289"/>
      <c r="BT121" s="1289"/>
      <c r="BU121" s="1289"/>
      <c r="BV121" s="1289"/>
      <c r="BW121" s="1289"/>
      <c r="BX121" s="1289"/>
      <c r="BY121" s="1289"/>
      <c r="BZ121" s="1289"/>
      <c r="CA121" s="1289"/>
      <c r="CB121" s="1289"/>
      <c r="CC121" s="1289"/>
      <c r="CD121" s="1289"/>
      <c r="CE121" s="1289"/>
      <c r="CF121" s="1289"/>
      <c r="CG121" s="1289"/>
      <c r="CH121" s="1289"/>
      <c r="CI121" s="1289"/>
      <c r="CJ121" s="1289"/>
      <c r="CK121" s="1289"/>
      <c r="CL121" s="1289"/>
      <c r="CM121" s="1289"/>
      <c r="CN121" s="1289"/>
      <c r="CO121" s="1289"/>
      <c r="CP121" s="1289"/>
      <c r="CQ121" s="1289"/>
      <c r="CR121" s="1289"/>
      <c r="CS121" s="1289"/>
      <c r="CT121" s="1289"/>
      <c r="CU121" s="1289"/>
      <c r="CV121" s="1289"/>
      <c r="CW121" s="1289"/>
      <c r="CX121" s="1289"/>
      <c r="CY121" s="1289"/>
      <c r="CZ121" s="1289"/>
      <c r="DA121" s="1289"/>
      <c r="DB121" s="1289"/>
      <c r="DC121" s="1289"/>
      <c r="DD121" s="1289"/>
      <c r="DE121" s="1289"/>
      <c r="DF121" s="1289"/>
      <c r="DG121" s="1289"/>
      <c r="DH121" s="1289"/>
      <c r="DI121" s="1289"/>
      <c r="DJ121" s="1289"/>
      <c r="DK121" s="1289"/>
      <c r="DL121" s="1289"/>
      <c r="DM121" s="1289"/>
      <c r="DN121" s="1289"/>
      <c r="DO121" s="1289"/>
      <c r="DP121" s="1289"/>
      <c r="DQ121" s="1289"/>
      <c r="DR121" s="1289"/>
      <c r="DS121" s="1289"/>
      <c r="DT121" s="1289"/>
      <c r="DU121" s="1289"/>
      <c r="DV121" s="1289"/>
      <c r="DW121" s="1289"/>
      <c r="DX121" s="1289"/>
      <c r="DY121" s="1289"/>
      <c r="DZ121" s="1289"/>
      <c r="EA121" s="1289"/>
      <c r="EB121" s="1289"/>
      <c r="EC121" s="1289"/>
      <c r="ED121" s="1289"/>
      <c r="EE121" s="1289"/>
      <c r="EF121" s="1289"/>
      <c r="EG121" s="1289"/>
      <c r="EH121" s="1289"/>
      <c r="EI121" s="1289"/>
      <c r="EJ121" s="1289"/>
      <c r="EK121" s="1289"/>
      <c r="EL121" s="1289"/>
      <c r="EM121" s="1289"/>
      <c r="EN121" s="1289"/>
      <c r="EO121" s="1289"/>
      <c r="EP121" s="1289"/>
      <c r="EQ121" s="1289"/>
      <c r="ER121" s="1289"/>
      <c r="ES121" s="1289"/>
      <c r="ET121" s="1289"/>
      <c r="EU121" s="1289"/>
      <c r="EV121" s="1289"/>
      <c r="EW121" s="1289"/>
      <c r="EX121" s="1289"/>
      <c r="EY121" s="1289"/>
      <c r="EZ121" s="1289"/>
      <c r="FA121" s="1289"/>
      <c r="FB121" s="1289"/>
      <c r="FC121" s="1289"/>
      <c r="FD121" s="1289"/>
      <c r="FE121" s="1289"/>
      <c r="FF121" s="1289"/>
      <c r="FG121" s="1289"/>
      <c r="FH121" s="1289"/>
      <c r="FI121" s="1289"/>
      <c r="FJ121" s="1289"/>
      <c r="FK121" s="1289"/>
      <c r="FL121" s="1289"/>
      <c r="FM121" s="1289"/>
      <c r="FN121" s="1289"/>
      <c r="FO121" s="1289"/>
      <c r="FP121" s="1289"/>
      <c r="FQ121" s="1289"/>
      <c r="FR121" s="1289"/>
      <c r="FS121" s="1289"/>
      <c r="FT121" s="1289"/>
      <c r="FU121" s="1289"/>
      <c r="FV121" s="1289"/>
      <c r="FW121" s="1289"/>
      <c r="FX121" s="1289"/>
      <c r="FY121" s="1289"/>
      <c r="FZ121" s="1289"/>
      <c r="GA121" s="1289"/>
      <c r="GB121" s="1289"/>
      <c r="GC121" s="1289"/>
      <c r="GD121" s="1289"/>
      <c r="GE121" s="1289"/>
      <c r="GF121" s="1289"/>
      <c r="GG121" s="1289"/>
      <c r="GH121" s="1289"/>
      <c r="GI121" s="1289"/>
      <c r="GJ121" s="1289"/>
      <c r="GK121" s="1289"/>
      <c r="GL121" s="1289"/>
      <c r="GM121" s="1289"/>
    </row>
    <row r="122" spans="1:195" s="1299" customFormat="1" ht="1.9" hidden="1" customHeight="1" outlineLevel="1">
      <c r="A122" s="2127" t="s">
        <v>2449</v>
      </c>
      <c r="B122" s="2127"/>
      <c r="C122" s="2128"/>
      <c r="D122" s="3663" t="s">
        <v>2428</v>
      </c>
      <c r="E122" s="3664"/>
      <c r="F122" s="1280">
        <f>SUMIF(INPUT!E:E,BAZE_2024!A122,INPUT!H:H)</f>
        <v>208</v>
      </c>
      <c r="G122" s="380">
        <f>SUMIF(INPUT!E:E,BAZE_2024!A122,INPUT!L:L)</f>
        <v>0</v>
      </c>
      <c r="H122" s="3855"/>
      <c r="I122" s="3856"/>
      <c r="J122" s="3857"/>
      <c r="K122" s="2129"/>
      <c r="L122" s="2014"/>
      <c r="M122" s="1289"/>
      <c r="N122" s="1289"/>
      <c r="O122" s="1289"/>
      <c r="P122" s="1289"/>
      <c r="Q122" s="1289"/>
      <c r="R122" s="1289"/>
      <c r="S122" s="1289"/>
      <c r="T122" s="1289"/>
      <c r="U122" s="1289"/>
      <c r="V122" s="1289"/>
      <c r="W122" s="1289"/>
      <c r="X122" s="1289"/>
      <c r="Y122" s="1289"/>
      <c r="Z122" s="1289"/>
      <c r="AA122" s="1289"/>
      <c r="AB122" s="1289"/>
      <c r="AC122" s="1289"/>
      <c r="AD122" s="1289"/>
      <c r="AE122" s="1289"/>
      <c r="AF122" s="1289"/>
      <c r="AG122" s="1289"/>
      <c r="AH122" s="1289"/>
      <c r="AI122" s="1289"/>
      <c r="AJ122" s="1289"/>
      <c r="AK122" s="1289"/>
      <c r="AL122" s="1289"/>
      <c r="AM122" s="1289"/>
      <c r="AN122" s="1289"/>
      <c r="AO122" s="1289"/>
      <c r="AP122" s="1289"/>
      <c r="AQ122" s="1289"/>
      <c r="AR122" s="1289"/>
      <c r="AS122" s="1289"/>
      <c r="AT122" s="1289"/>
      <c r="AU122" s="1289"/>
      <c r="AV122" s="1289"/>
      <c r="AW122" s="1289"/>
      <c r="AX122" s="1289"/>
      <c r="AY122" s="1289"/>
      <c r="AZ122" s="1289"/>
      <c r="BA122" s="1289"/>
      <c r="BB122" s="1289"/>
      <c r="BC122" s="1289"/>
      <c r="BD122" s="1289"/>
      <c r="BE122" s="1289"/>
      <c r="BF122" s="1289"/>
      <c r="BG122" s="1289"/>
      <c r="BH122" s="1289"/>
      <c r="BI122" s="1289"/>
      <c r="BJ122" s="1289"/>
      <c r="BK122" s="1289"/>
      <c r="BL122" s="1289"/>
      <c r="BM122" s="1289"/>
      <c r="BN122" s="1289"/>
      <c r="BO122" s="1289"/>
      <c r="BP122" s="1289"/>
      <c r="BQ122" s="1289"/>
      <c r="BR122" s="1289"/>
      <c r="BS122" s="1289"/>
      <c r="BT122" s="1289"/>
      <c r="BU122" s="1289"/>
      <c r="BV122" s="1289"/>
      <c r="BW122" s="1289"/>
      <c r="BX122" s="1289"/>
      <c r="BY122" s="1289"/>
      <c r="BZ122" s="1289"/>
      <c r="CA122" s="1289"/>
      <c r="CB122" s="1289"/>
      <c r="CC122" s="1289"/>
      <c r="CD122" s="1289"/>
      <c r="CE122" s="1289"/>
      <c r="CF122" s="1289"/>
      <c r="CG122" s="1289"/>
      <c r="CH122" s="1289"/>
      <c r="CI122" s="1289"/>
      <c r="CJ122" s="1289"/>
      <c r="CK122" s="1289"/>
      <c r="CL122" s="1289"/>
      <c r="CM122" s="1289"/>
      <c r="CN122" s="1289"/>
      <c r="CO122" s="1289"/>
      <c r="CP122" s="1289"/>
      <c r="CQ122" s="1289"/>
      <c r="CR122" s="1289"/>
      <c r="CS122" s="1289"/>
      <c r="CT122" s="1289"/>
      <c r="CU122" s="1289"/>
      <c r="CV122" s="1289"/>
      <c r="CW122" s="1289"/>
      <c r="CX122" s="1289"/>
      <c r="CY122" s="1289"/>
      <c r="CZ122" s="1289"/>
      <c r="DA122" s="1289"/>
      <c r="DB122" s="1289"/>
      <c r="DC122" s="1289"/>
      <c r="DD122" s="1289"/>
      <c r="DE122" s="1289"/>
      <c r="DF122" s="1289"/>
      <c r="DG122" s="1289"/>
      <c r="DH122" s="1289"/>
      <c r="DI122" s="1289"/>
      <c r="DJ122" s="1289"/>
      <c r="DK122" s="1289"/>
      <c r="DL122" s="1289"/>
      <c r="DM122" s="1289"/>
      <c r="DN122" s="1289"/>
      <c r="DO122" s="1289"/>
      <c r="DP122" s="1289"/>
      <c r="DQ122" s="1289"/>
      <c r="DR122" s="1289"/>
      <c r="DS122" s="1289"/>
      <c r="DT122" s="1289"/>
      <c r="DU122" s="1289"/>
      <c r="DV122" s="1289"/>
      <c r="DW122" s="1289"/>
      <c r="DX122" s="1289"/>
      <c r="DY122" s="1289"/>
      <c r="DZ122" s="1289"/>
      <c r="EA122" s="1289"/>
      <c r="EB122" s="1289"/>
      <c r="EC122" s="1289"/>
      <c r="ED122" s="1289"/>
      <c r="EE122" s="1289"/>
      <c r="EF122" s="1289"/>
      <c r="EG122" s="1289"/>
      <c r="EH122" s="1289"/>
      <c r="EI122" s="1289"/>
      <c r="EJ122" s="1289"/>
      <c r="EK122" s="1289"/>
      <c r="EL122" s="1289"/>
      <c r="EM122" s="1289"/>
      <c r="EN122" s="1289"/>
      <c r="EO122" s="1289"/>
      <c r="EP122" s="1289"/>
      <c r="EQ122" s="1289"/>
      <c r="ER122" s="1289"/>
      <c r="ES122" s="1289"/>
      <c r="ET122" s="1289"/>
      <c r="EU122" s="1289"/>
      <c r="EV122" s="1289"/>
      <c r="EW122" s="1289"/>
      <c r="EX122" s="1289"/>
      <c r="EY122" s="1289"/>
      <c r="EZ122" s="1289"/>
      <c r="FA122" s="1289"/>
      <c r="FB122" s="1289"/>
      <c r="FC122" s="1289"/>
      <c r="FD122" s="1289"/>
      <c r="FE122" s="1289"/>
      <c r="FF122" s="1289"/>
      <c r="FG122" s="1289"/>
      <c r="FH122" s="1289"/>
      <c r="FI122" s="1289"/>
      <c r="FJ122" s="1289"/>
      <c r="FK122" s="1289"/>
      <c r="FL122" s="1289"/>
      <c r="FM122" s="1289"/>
      <c r="FN122" s="1289"/>
      <c r="FO122" s="1289"/>
      <c r="FP122" s="1289"/>
      <c r="FQ122" s="1289"/>
      <c r="FR122" s="1289"/>
      <c r="FS122" s="1289"/>
      <c r="FT122" s="1289"/>
      <c r="FU122" s="1289"/>
      <c r="FV122" s="1289"/>
      <c r="FW122" s="1289"/>
      <c r="FX122" s="1289"/>
      <c r="FY122" s="1289"/>
      <c r="FZ122" s="1289"/>
      <c r="GA122" s="1289"/>
      <c r="GB122" s="1289"/>
      <c r="GC122" s="1289"/>
      <c r="GD122" s="1289"/>
      <c r="GE122" s="1289"/>
      <c r="GF122" s="1289"/>
      <c r="GG122" s="1289"/>
      <c r="GH122" s="1289"/>
      <c r="GI122" s="1289"/>
      <c r="GJ122" s="1289"/>
      <c r="GK122" s="1289"/>
      <c r="GL122" s="1289"/>
      <c r="GM122" s="1289"/>
    </row>
    <row r="123" spans="1:195" s="1299" customFormat="1" ht="1.9" hidden="1" customHeight="1" outlineLevel="1">
      <c r="A123" s="2127" t="s">
        <v>3042</v>
      </c>
      <c r="B123" s="2127"/>
      <c r="C123" s="2128"/>
      <c r="D123" s="1297" t="s">
        <v>3429</v>
      </c>
      <c r="E123" s="3664"/>
      <c r="F123" s="1280">
        <f>SUMIF(INPUT!E:E,BAZE_2024!A123,INPUT!H:H)</f>
        <v>53240</v>
      </c>
      <c r="G123" s="380">
        <f>SUMIF(INPUT!E:E,BAZE_2024!A123,INPUT!L:L)</f>
        <v>0</v>
      </c>
      <c r="H123" s="3855"/>
      <c r="I123" s="3856"/>
      <c r="J123" s="3857"/>
      <c r="K123" s="2129"/>
      <c r="L123" s="2014"/>
      <c r="M123" s="1289"/>
      <c r="N123" s="1289"/>
      <c r="O123" s="1289"/>
      <c r="P123" s="1289"/>
      <c r="Q123" s="1289"/>
      <c r="R123" s="1289"/>
      <c r="S123" s="1289"/>
      <c r="T123" s="1289"/>
      <c r="U123" s="1289"/>
      <c r="V123" s="1289"/>
      <c r="W123" s="1289"/>
      <c r="X123" s="1289"/>
      <c r="Y123" s="1289"/>
      <c r="Z123" s="1289"/>
      <c r="AA123" s="1289"/>
      <c r="AB123" s="1289"/>
      <c r="AC123" s="1289"/>
      <c r="AD123" s="1289"/>
      <c r="AE123" s="1289"/>
      <c r="AF123" s="1289"/>
      <c r="AG123" s="1289"/>
      <c r="AH123" s="1289"/>
      <c r="AI123" s="1289"/>
      <c r="AJ123" s="1289"/>
      <c r="AK123" s="1289"/>
      <c r="AL123" s="1289"/>
      <c r="AM123" s="1289"/>
      <c r="AN123" s="1289"/>
      <c r="AO123" s="1289"/>
      <c r="AP123" s="1289"/>
      <c r="AQ123" s="1289"/>
      <c r="AR123" s="1289"/>
      <c r="AS123" s="1289"/>
      <c r="AT123" s="1289"/>
      <c r="AU123" s="1289"/>
      <c r="AV123" s="1289"/>
      <c r="AW123" s="1289"/>
      <c r="AX123" s="1289"/>
      <c r="AY123" s="1289"/>
      <c r="AZ123" s="1289"/>
      <c r="BA123" s="1289"/>
      <c r="BB123" s="1289"/>
      <c r="BC123" s="1289"/>
      <c r="BD123" s="1289"/>
      <c r="BE123" s="1289"/>
      <c r="BF123" s="1289"/>
      <c r="BG123" s="1289"/>
      <c r="BH123" s="1289"/>
      <c r="BI123" s="1289"/>
      <c r="BJ123" s="1289"/>
      <c r="BK123" s="1289"/>
      <c r="BL123" s="1289"/>
      <c r="BM123" s="1289"/>
      <c r="BN123" s="1289"/>
      <c r="BO123" s="1289"/>
      <c r="BP123" s="1289"/>
      <c r="BQ123" s="1289"/>
      <c r="BR123" s="1289"/>
      <c r="BS123" s="1289"/>
      <c r="BT123" s="1289"/>
      <c r="BU123" s="1289"/>
      <c r="BV123" s="1289"/>
      <c r="BW123" s="1289"/>
      <c r="BX123" s="1289"/>
      <c r="BY123" s="1289"/>
      <c r="BZ123" s="1289"/>
      <c r="CA123" s="1289"/>
      <c r="CB123" s="1289"/>
      <c r="CC123" s="1289"/>
      <c r="CD123" s="1289"/>
      <c r="CE123" s="1289"/>
      <c r="CF123" s="1289"/>
      <c r="CG123" s="1289"/>
      <c r="CH123" s="1289"/>
      <c r="CI123" s="1289"/>
      <c r="CJ123" s="1289"/>
      <c r="CK123" s="1289"/>
      <c r="CL123" s="1289"/>
      <c r="CM123" s="1289"/>
      <c r="CN123" s="1289"/>
      <c r="CO123" s="1289"/>
      <c r="CP123" s="1289"/>
      <c r="CQ123" s="1289"/>
      <c r="CR123" s="1289"/>
      <c r="CS123" s="1289"/>
      <c r="CT123" s="1289"/>
      <c r="CU123" s="1289"/>
      <c r="CV123" s="1289"/>
      <c r="CW123" s="1289"/>
      <c r="CX123" s="1289"/>
      <c r="CY123" s="1289"/>
      <c r="CZ123" s="1289"/>
      <c r="DA123" s="1289"/>
      <c r="DB123" s="1289"/>
      <c r="DC123" s="1289"/>
      <c r="DD123" s="1289"/>
      <c r="DE123" s="1289"/>
      <c r="DF123" s="1289"/>
      <c r="DG123" s="1289"/>
      <c r="DH123" s="1289"/>
      <c r="DI123" s="1289"/>
      <c r="DJ123" s="1289"/>
      <c r="DK123" s="1289"/>
      <c r="DL123" s="1289"/>
      <c r="DM123" s="1289"/>
      <c r="DN123" s="1289"/>
      <c r="DO123" s="1289"/>
      <c r="DP123" s="1289"/>
      <c r="DQ123" s="1289"/>
      <c r="DR123" s="1289"/>
      <c r="DS123" s="1289"/>
      <c r="DT123" s="1289"/>
      <c r="DU123" s="1289"/>
      <c r="DV123" s="1289"/>
      <c r="DW123" s="1289"/>
      <c r="DX123" s="1289"/>
      <c r="DY123" s="1289"/>
      <c r="DZ123" s="1289"/>
      <c r="EA123" s="1289"/>
      <c r="EB123" s="1289"/>
      <c r="EC123" s="1289"/>
      <c r="ED123" s="1289"/>
      <c r="EE123" s="1289"/>
      <c r="EF123" s="1289"/>
      <c r="EG123" s="1289"/>
      <c r="EH123" s="1289"/>
      <c r="EI123" s="1289"/>
      <c r="EJ123" s="1289"/>
      <c r="EK123" s="1289"/>
      <c r="EL123" s="1289"/>
      <c r="EM123" s="1289"/>
      <c r="EN123" s="1289"/>
      <c r="EO123" s="1289"/>
      <c r="EP123" s="1289"/>
      <c r="EQ123" s="1289"/>
      <c r="ER123" s="1289"/>
      <c r="ES123" s="1289"/>
      <c r="ET123" s="1289"/>
      <c r="EU123" s="1289"/>
      <c r="EV123" s="1289"/>
      <c r="EW123" s="1289"/>
      <c r="EX123" s="1289"/>
      <c r="EY123" s="1289"/>
      <c r="EZ123" s="1289"/>
      <c r="FA123" s="1289"/>
      <c r="FB123" s="1289"/>
      <c r="FC123" s="1289"/>
      <c r="FD123" s="1289"/>
      <c r="FE123" s="1289"/>
      <c r="FF123" s="1289"/>
      <c r="FG123" s="1289"/>
      <c r="FH123" s="1289"/>
      <c r="FI123" s="1289"/>
      <c r="FJ123" s="1289"/>
      <c r="FK123" s="1289"/>
      <c r="FL123" s="1289"/>
      <c r="FM123" s="1289"/>
      <c r="FN123" s="1289"/>
      <c r="FO123" s="1289"/>
      <c r="FP123" s="1289"/>
      <c r="FQ123" s="1289"/>
      <c r="FR123" s="1289"/>
      <c r="FS123" s="1289"/>
      <c r="FT123" s="1289"/>
      <c r="FU123" s="1289"/>
      <c r="FV123" s="1289"/>
      <c r="FW123" s="1289"/>
      <c r="FX123" s="1289"/>
      <c r="FY123" s="1289"/>
      <c r="FZ123" s="1289"/>
      <c r="GA123" s="1289"/>
      <c r="GB123" s="1289"/>
      <c r="GC123" s="1289"/>
      <c r="GD123" s="1289"/>
      <c r="GE123" s="1289"/>
      <c r="GF123" s="1289"/>
      <c r="GG123" s="1289"/>
      <c r="GH123" s="1289"/>
      <c r="GI123" s="1289"/>
      <c r="GJ123" s="1289"/>
      <c r="GK123" s="1289"/>
      <c r="GL123" s="1289"/>
      <c r="GM123" s="1289"/>
    </row>
    <row r="124" spans="1:195" s="1299" customFormat="1" ht="1.9" hidden="1" customHeight="1" outlineLevel="1">
      <c r="A124" s="2127" t="s">
        <v>2982</v>
      </c>
      <c r="B124" s="2127"/>
      <c r="C124" s="2128"/>
      <c r="D124" s="3663" t="s">
        <v>3430</v>
      </c>
      <c r="E124" s="3664"/>
      <c r="F124" s="1280">
        <f>SUMIF(INPUT!E:E,BAZE_2024!A124,INPUT!H:H)</f>
        <v>60000</v>
      </c>
      <c r="G124" s="380">
        <f>SUMIF(INPUT!E:E,BAZE_2024!A124,INPUT!L:L)</f>
        <v>49482</v>
      </c>
      <c r="H124" s="3855"/>
      <c r="I124" s="3856"/>
      <c r="J124" s="3857"/>
      <c r="K124" s="2129"/>
      <c r="L124" s="2014"/>
      <c r="M124" s="1289"/>
      <c r="N124" s="1289"/>
      <c r="O124" s="1289"/>
      <c r="P124" s="1289"/>
      <c r="Q124" s="1289"/>
      <c r="R124" s="1289"/>
      <c r="S124" s="1289"/>
      <c r="T124" s="1289"/>
      <c r="U124" s="1289"/>
      <c r="V124" s="1289"/>
      <c r="W124" s="1289"/>
      <c r="X124" s="1289"/>
      <c r="Y124" s="1289"/>
      <c r="Z124" s="1289"/>
      <c r="AA124" s="1289"/>
      <c r="AB124" s="1289"/>
      <c r="AC124" s="1289"/>
      <c r="AD124" s="1289"/>
      <c r="AE124" s="1289"/>
      <c r="AF124" s="1289"/>
      <c r="AG124" s="1289"/>
      <c r="AH124" s="1289"/>
      <c r="AI124" s="1289"/>
      <c r="AJ124" s="1289"/>
      <c r="AK124" s="1289"/>
      <c r="AL124" s="1289"/>
      <c r="AM124" s="1289"/>
      <c r="AN124" s="1289"/>
      <c r="AO124" s="1289"/>
      <c r="AP124" s="1289"/>
      <c r="AQ124" s="1289"/>
      <c r="AR124" s="1289"/>
      <c r="AS124" s="1289"/>
      <c r="AT124" s="1289"/>
      <c r="AU124" s="1289"/>
      <c r="AV124" s="1289"/>
      <c r="AW124" s="1289"/>
      <c r="AX124" s="1289"/>
      <c r="AY124" s="1289"/>
      <c r="AZ124" s="1289"/>
      <c r="BA124" s="1289"/>
      <c r="BB124" s="1289"/>
      <c r="BC124" s="1289"/>
      <c r="BD124" s="1289"/>
      <c r="BE124" s="1289"/>
      <c r="BF124" s="1289"/>
      <c r="BG124" s="1289"/>
      <c r="BH124" s="1289"/>
      <c r="BI124" s="1289"/>
      <c r="BJ124" s="1289"/>
      <c r="BK124" s="1289"/>
      <c r="BL124" s="1289"/>
      <c r="BM124" s="1289"/>
      <c r="BN124" s="1289"/>
      <c r="BO124" s="1289"/>
      <c r="BP124" s="1289"/>
      <c r="BQ124" s="1289"/>
      <c r="BR124" s="1289"/>
      <c r="BS124" s="1289"/>
      <c r="BT124" s="1289"/>
      <c r="BU124" s="1289"/>
      <c r="BV124" s="1289"/>
      <c r="BW124" s="1289"/>
      <c r="BX124" s="1289"/>
      <c r="BY124" s="1289"/>
      <c r="BZ124" s="1289"/>
      <c r="CA124" s="1289"/>
      <c r="CB124" s="1289"/>
      <c r="CC124" s="1289"/>
      <c r="CD124" s="1289"/>
      <c r="CE124" s="1289"/>
      <c r="CF124" s="1289"/>
      <c r="CG124" s="1289"/>
      <c r="CH124" s="1289"/>
      <c r="CI124" s="1289"/>
      <c r="CJ124" s="1289"/>
      <c r="CK124" s="1289"/>
      <c r="CL124" s="1289"/>
      <c r="CM124" s="1289"/>
      <c r="CN124" s="1289"/>
      <c r="CO124" s="1289"/>
      <c r="CP124" s="1289"/>
      <c r="CQ124" s="1289"/>
      <c r="CR124" s="1289"/>
      <c r="CS124" s="1289"/>
      <c r="CT124" s="1289"/>
      <c r="CU124" s="1289"/>
      <c r="CV124" s="1289"/>
      <c r="CW124" s="1289"/>
      <c r="CX124" s="1289"/>
      <c r="CY124" s="1289"/>
      <c r="CZ124" s="1289"/>
      <c r="DA124" s="1289"/>
      <c r="DB124" s="1289"/>
      <c r="DC124" s="1289"/>
      <c r="DD124" s="1289"/>
      <c r="DE124" s="1289"/>
      <c r="DF124" s="1289"/>
      <c r="DG124" s="1289"/>
      <c r="DH124" s="1289"/>
      <c r="DI124" s="1289"/>
      <c r="DJ124" s="1289"/>
      <c r="DK124" s="1289"/>
      <c r="DL124" s="1289"/>
      <c r="DM124" s="1289"/>
      <c r="DN124" s="1289"/>
      <c r="DO124" s="1289"/>
      <c r="DP124" s="1289"/>
      <c r="DQ124" s="1289"/>
      <c r="DR124" s="1289"/>
      <c r="DS124" s="1289"/>
      <c r="DT124" s="1289"/>
      <c r="DU124" s="1289"/>
      <c r="DV124" s="1289"/>
      <c r="DW124" s="1289"/>
      <c r="DX124" s="1289"/>
      <c r="DY124" s="1289"/>
      <c r="DZ124" s="1289"/>
      <c r="EA124" s="1289"/>
      <c r="EB124" s="1289"/>
      <c r="EC124" s="1289"/>
      <c r="ED124" s="1289"/>
      <c r="EE124" s="1289"/>
      <c r="EF124" s="1289"/>
      <c r="EG124" s="1289"/>
      <c r="EH124" s="1289"/>
      <c r="EI124" s="1289"/>
      <c r="EJ124" s="1289"/>
      <c r="EK124" s="1289"/>
      <c r="EL124" s="1289"/>
      <c r="EM124" s="1289"/>
      <c r="EN124" s="1289"/>
      <c r="EO124" s="1289"/>
      <c r="EP124" s="1289"/>
      <c r="EQ124" s="1289"/>
      <c r="ER124" s="1289"/>
      <c r="ES124" s="1289"/>
      <c r="ET124" s="1289"/>
      <c r="EU124" s="1289"/>
      <c r="EV124" s="1289"/>
      <c r="EW124" s="1289"/>
      <c r="EX124" s="1289"/>
      <c r="EY124" s="1289"/>
      <c r="EZ124" s="1289"/>
      <c r="FA124" s="1289"/>
      <c r="FB124" s="1289"/>
      <c r="FC124" s="1289"/>
      <c r="FD124" s="1289"/>
      <c r="FE124" s="1289"/>
      <c r="FF124" s="1289"/>
      <c r="FG124" s="1289"/>
      <c r="FH124" s="1289"/>
      <c r="FI124" s="1289"/>
      <c r="FJ124" s="1289"/>
      <c r="FK124" s="1289"/>
      <c r="FL124" s="1289"/>
      <c r="FM124" s="1289"/>
      <c r="FN124" s="1289"/>
      <c r="FO124" s="1289"/>
      <c r="FP124" s="1289"/>
      <c r="FQ124" s="1289"/>
      <c r="FR124" s="1289"/>
      <c r="FS124" s="1289"/>
      <c r="FT124" s="1289"/>
      <c r="FU124" s="1289"/>
      <c r="FV124" s="1289"/>
      <c r="FW124" s="1289"/>
      <c r="FX124" s="1289"/>
      <c r="FY124" s="1289"/>
      <c r="FZ124" s="1289"/>
      <c r="GA124" s="1289"/>
      <c r="GB124" s="1289"/>
      <c r="GC124" s="1289"/>
      <c r="GD124" s="1289"/>
      <c r="GE124" s="1289"/>
      <c r="GF124" s="1289"/>
      <c r="GG124" s="1289"/>
      <c r="GH124" s="1289"/>
      <c r="GI124" s="1289"/>
      <c r="GJ124" s="1289"/>
      <c r="GK124" s="1289"/>
      <c r="GL124" s="1289"/>
      <c r="GM124" s="1289"/>
    </row>
    <row r="125" spans="1:195" s="1299" customFormat="1" ht="1.9" hidden="1" customHeight="1" outlineLevel="1">
      <c r="A125" s="2127" t="s">
        <v>1886</v>
      </c>
      <c r="B125" s="2127"/>
      <c r="C125" s="2128"/>
      <c r="D125" s="1297" t="s">
        <v>3431</v>
      </c>
      <c r="E125" s="3664"/>
      <c r="F125" s="1280">
        <f>SUMIF(INPUT!E:E,BAZE_2024!A125,INPUT!H:H)</f>
        <v>85290</v>
      </c>
      <c r="G125" s="380">
        <f>SUMIF(INPUT!E:E,BAZE_2024!A125,INPUT!L:L)</f>
        <v>455284.00257000001</v>
      </c>
      <c r="H125" s="3855"/>
      <c r="I125" s="3856"/>
      <c r="J125" s="3857"/>
      <c r="K125" s="2129"/>
      <c r="L125" s="2014"/>
      <c r="M125" s="1289"/>
      <c r="N125" s="1289"/>
      <c r="O125" s="1289"/>
      <c r="P125" s="1289"/>
      <c r="Q125" s="1289"/>
      <c r="R125" s="1289"/>
      <c r="S125" s="1289"/>
      <c r="T125" s="1289"/>
      <c r="U125" s="1289"/>
      <c r="V125" s="1289"/>
      <c r="W125" s="1289"/>
      <c r="X125" s="1289"/>
      <c r="Y125" s="1289"/>
      <c r="Z125" s="1289"/>
      <c r="AA125" s="1289"/>
      <c r="AB125" s="1289"/>
      <c r="AC125" s="1289"/>
      <c r="AD125" s="1289"/>
      <c r="AE125" s="1289"/>
      <c r="AF125" s="1289"/>
      <c r="AG125" s="1289"/>
      <c r="AH125" s="1289"/>
      <c r="AI125" s="1289"/>
      <c r="AJ125" s="1289"/>
      <c r="AK125" s="1289"/>
      <c r="AL125" s="1289"/>
      <c r="AM125" s="1289"/>
      <c r="AN125" s="1289"/>
      <c r="AO125" s="1289"/>
      <c r="AP125" s="1289"/>
      <c r="AQ125" s="1289"/>
      <c r="AR125" s="1289"/>
      <c r="AS125" s="1289"/>
      <c r="AT125" s="1289"/>
      <c r="AU125" s="1289"/>
      <c r="AV125" s="1289"/>
      <c r="AW125" s="1289"/>
      <c r="AX125" s="1289"/>
      <c r="AY125" s="1289"/>
      <c r="AZ125" s="1289"/>
      <c r="BA125" s="1289"/>
      <c r="BB125" s="1289"/>
      <c r="BC125" s="1289"/>
      <c r="BD125" s="1289"/>
      <c r="BE125" s="1289"/>
      <c r="BF125" s="1289"/>
      <c r="BG125" s="1289"/>
      <c r="BH125" s="1289"/>
      <c r="BI125" s="1289"/>
      <c r="BJ125" s="1289"/>
      <c r="BK125" s="1289"/>
      <c r="BL125" s="1289"/>
      <c r="BM125" s="1289"/>
      <c r="BN125" s="1289"/>
      <c r="BO125" s="1289"/>
      <c r="BP125" s="1289"/>
      <c r="BQ125" s="1289"/>
      <c r="BR125" s="1289"/>
      <c r="BS125" s="1289"/>
      <c r="BT125" s="1289"/>
      <c r="BU125" s="1289"/>
      <c r="BV125" s="1289"/>
      <c r="BW125" s="1289"/>
      <c r="BX125" s="1289"/>
      <c r="BY125" s="1289"/>
      <c r="BZ125" s="1289"/>
      <c r="CA125" s="1289"/>
      <c r="CB125" s="1289"/>
      <c r="CC125" s="1289"/>
      <c r="CD125" s="1289"/>
      <c r="CE125" s="1289"/>
      <c r="CF125" s="1289"/>
      <c r="CG125" s="1289"/>
      <c r="CH125" s="1289"/>
      <c r="CI125" s="1289"/>
      <c r="CJ125" s="1289"/>
      <c r="CK125" s="1289"/>
      <c r="CL125" s="1289"/>
      <c r="CM125" s="1289"/>
      <c r="CN125" s="1289"/>
      <c r="CO125" s="1289"/>
      <c r="CP125" s="1289"/>
      <c r="CQ125" s="1289"/>
      <c r="CR125" s="1289"/>
      <c r="CS125" s="1289"/>
      <c r="CT125" s="1289"/>
      <c r="CU125" s="1289"/>
      <c r="CV125" s="1289"/>
      <c r="CW125" s="1289"/>
      <c r="CX125" s="1289"/>
      <c r="CY125" s="1289"/>
      <c r="CZ125" s="1289"/>
      <c r="DA125" s="1289"/>
      <c r="DB125" s="1289"/>
      <c r="DC125" s="1289"/>
      <c r="DD125" s="1289"/>
      <c r="DE125" s="1289"/>
      <c r="DF125" s="1289"/>
      <c r="DG125" s="1289"/>
      <c r="DH125" s="1289"/>
      <c r="DI125" s="1289"/>
      <c r="DJ125" s="1289"/>
      <c r="DK125" s="1289"/>
      <c r="DL125" s="1289"/>
      <c r="DM125" s="1289"/>
      <c r="DN125" s="1289"/>
      <c r="DO125" s="1289"/>
      <c r="DP125" s="1289"/>
      <c r="DQ125" s="1289"/>
      <c r="DR125" s="1289"/>
      <c r="DS125" s="1289"/>
      <c r="DT125" s="1289"/>
      <c r="DU125" s="1289"/>
      <c r="DV125" s="1289"/>
      <c r="DW125" s="1289"/>
      <c r="DX125" s="1289"/>
      <c r="DY125" s="1289"/>
      <c r="DZ125" s="1289"/>
      <c r="EA125" s="1289"/>
      <c r="EB125" s="1289"/>
      <c r="EC125" s="1289"/>
      <c r="ED125" s="1289"/>
      <c r="EE125" s="1289"/>
      <c r="EF125" s="1289"/>
      <c r="EG125" s="1289"/>
      <c r="EH125" s="1289"/>
      <c r="EI125" s="1289"/>
      <c r="EJ125" s="1289"/>
      <c r="EK125" s="1289"/>
      <c r="EL125" s="1289"/>
      <c r="EM125" s="1289"/>
      <c r="EN125" s="1289"/>
      <c r="EO125" s="1289"/>
      <c r="EP125" s="1289"/>
      <c r="EQ125" s="1289"/>
      <c r="ER125" s="1289"/>
      <c r="ES125" s="1289"/>
      <c r="ET125" s="1289"/>
      <c r="EU125" s="1289"/>
      <c r="EV125" s="1289"/>
      <c r="EW125" s="1289"/>
      <c r="EX125" s="1289"/>
      <c r="EY125" s="1289"/>
      <c r="EZ125" s="1289"/>
      <c r="FA125" s="1289"/>
      <c r="FB125" s="1289"/>
      <c r="FC125" s="1289"/>
      <c r="FD125" s="1289"/>
      <c r="FE125" s="1289"/>
      <c r="FF125" s="1289"/>
      <c r="FG125" s="1289"/>
      <c r="FH125" s="1289"/>
      <c r="FI125" s="1289"/>
      <c r="FJ125" s="1289"/>
      <c r="FK125" s="1289"/>
      <c r="FL125" s="1289"/>
      <c r="FM125" s="1289"/>
      <c r="FN125" s="1289"/>
      <c r="FO125" s="1289"/>
      <c r="FP125" s="1289"/>
      <c r="FQ125" s="1289"/>
      <c r="FR125" s="1289"/>
      <c r="FS125" s="1289"/>
      <c r="FT125" s="1289"/>
      <c r="FU125" s="1289"/>
      <c r="FV125" s="1289"/>
      <c r="FW125" s="1289"/>
      <c r="FX125" s="1289"/>
      <c r="FY125" s="1289"/>
      <c r="FZ125" s="1289"/>
      <c r="GA125" s="1289"/>
      <c r="GB125" s="1289"/>
      <c r="GC125" s="1289"/>
      <c r="GD125" s="1289"/>
      <c r="GE125" s="1289"/>
      <c r="GF125" s="1289"/>
      <c r="GG125" s="1289"/>
      <c r="GH125" s="1289"/>
      <c r="GI125" s="1289"/>
      <c r="GJ125" s="1289"/>
      <c r="GK125" s="1289"/>
      <c r="GL125" s="1289"/>
      <c r="GM125" s="1289"/>
    </row>
    <row r="126" spans="1:195" s="1299" customFormat="1" ht="1.9" hidden="1" customHeight="1" outlineLevel="1">
      <c r="A126" s="2127" t="s">
        <v>1891</v>
      </c>
      <c r="B126" s="2127"/>
      <c r="C126" s="2128"/>
      <c r="D126" s="3663" t="s">
        <v>3432</v>
      </c>
      <c r="E126" s="3664"/>
      <c r="F126" s="1280">
        <f>SUMIF(INPUT!E:E,BAZE_2024!A126,INPUT!H:H)</f>
        <v>236171</v>
      </c>
      <c r="G126" s="380">
        <f>SUMIF(INPUT!E:E,BAZE_2024!A126,INPUT!L:L)</f>
        <v>2419999.9999999995</v>
      </c>
      <c r="H126" s="3855"/>
      <c r="I126" s="3856"/>
      <c r="J126" s="3857"/>
      <c r="K126" s="2129"/>
      <c r="L126" s="2014"/>
      <c r="M126" s="1289"/>
      <c r="N126" s="1289"/>
      <c r="O126" s="1289"/>
      <c r="P126" s="1289"/>
      <c r="Q126" s="1289"/>
      <c r="R126" s="1289"/>
      <c r="S126" s="1289"/>
      <c r="T126" s="1289"/>
      <c r="U126" s="1289"/>
      <c r="V126" s="1289"/>
      <c r="W126" s="1289"/>
      <c r="X126" s="1289"/>
      <c r="Y126" s="1289"/>
      <c r="Z126" s="1289"/>
      <c r="AA126" s="1289"/>
      <c r="AB126" s="1289"/>
      <c r="AC126" s="1289"/>
      <c r="AD126" s="1289"/>
      <c r="AE126" s="1289"/>
      <c r="AF126" s="1289"/>
      <c r="AG126" s="1289"/>
      <c r="AH126" s="1289"/>
      <c r="AI126" s="1289"/>
      <c r="AJ126" s="1289"/>
      <c r="AK126" s="1289"/>
      <c r="AL126" s="1289"/>
      <c r="AM126" s="1289"/>
      <c r="AN126" s="1289"/>
      <c r="AO126" s="1289"/>
      <c r="AP126" s="1289"/>
      <c r="AQ126" s="1289"/>
      <c r="AR126" s="1289"/>
      <c r="AS126" s="1289"/>
      <c r="AT126" s="1289"/>
      <c r="AU126" s="1289"/>
      <c r="AV126" s="1289"/>
      <c r="AW126" s="1289"/>
      <c r="AX126" s="1289"/>
      <c r="AY126" s="1289"/>
      <c r="AZ126" s="1289"/>
      <c r="BA126" s="1289"/>
      <c r="BB126" s="1289"/>
      <c r="BC126" s="1289"/>
      <c r="BD126" s="1289"/>
      <c r="BE126" s="1289"/>
      <c r="BF126" s="1289"/>
      <c r="BG126" s="1289"/>
      <c r="BH126" s="1289"/>
      <c r="BI126" s="1289"/>
      <c r="BJ126" s="1289"/>
      <c r="BK126" s="1289"/>
      <c r="BL126" s="1289"/>
      <c r="BM126" s="1289"/>
      <c r="BN126" s="1289"/>
      <c r="BO126" s="1289"/>
      <c r="BP126" s="1289"/>
      <c r="BQ126" s="1289"/>
      <c r="BR126" s="1289"/>
      <c r="BS126" s="1289"/>
      <c r="BT126" s="1289"/>
      <c r="BU126" s="1289"/>
      <c r="BV126" s="1289"/>
      <c r="BW126" s="1289"/>
      <c r="BX126" s="1289"/>
      <c r="BY126" s="1289"/>
      <c r="BZ126" s="1289"/>
      <c r="CA126" s="1289"/>
      <c r="CB126" s="1289"/>
      <c r="CC126" s="1289"/>
      <c r="CD126" s="1289"/>
      <c r="CE126" s="1289"/>
      <c r="CF126" s="1289"/>
      <c r="CG126" s="1289"/>
      <c r="CH126" s="1289"/>
      <c r="CI126" s="1289"/>
      <c r="CJ126" s="1289"/>
      <c r="CK126" s="1289"/>
      <c r="CL126" s="1289"/>
      <c r="CM126" s="1289"/>
      <c r="CN126" s="1289"/>
      <c r="CO126" s="1289"/>
      <c r="CP126" s="1289"/>
      <c r="CQ126" s="1289"/>
      <c r="CR126" s="1289"/>
      <c r="CS126" s="1289"/>
      <c r="CT126" s="1289"/>
      <c r="CU126" s="1289"/>
      <c r="CV126" s="1289"/>
      <c r="CW126" s="1289"/>
      <c r="CX126" s="1289"/>
      <c r="CY126" s="1289"/>
      <c r="CZ126" s="1289"/>
      <c r="DA126" s="1289"/>
      <c r="DB126" s="1289"/>
      <c r="DC126" s="1289"/>
      <c r="DD126" s="1289"/>
      <c r="DE126" s="1289"/>
      <c r="DF126" s="1289"/>
      <c r="DG126" s="1289"/>
      <c r="DH126" s="1289"/>
      <c r="DI126" s="1289"/>
      <c r="DJ126" s="1289"/>
      <c r="DK126" s="1289"/>
      <c r="DL126" s="1289"/>
      <c r="DM126" s="1289"/>
      <c r="DN126" s="1289"/>
      <c r="DO126" s="1289"/>
      <c r="DP126" s="1289"/>
      <c r="DQ126" s="1289"/>
      <c r="DR126" s="1289"/>
      <c r="DS126" s="1289"/>
      <c r="DT126" s="1289"/>
      <c r="DU126" s="1289"/>
      <c r="DV126" s="1289"/>
      <c r="DW126" s="1289"/>
      <c r="DX126" s="1289"/>
      <c r="DY126" s="1289"/>
      <c r="DZ126" s="1289"/>
      <c r="EA126" s="1289"/>
      <c r="EB126" s="1289"/>
      <c r="EC126" s="1289"/>
      <c r="ED126" s="1289"/>
      <c r="EE126" s="1289"/>
      <c r="EF126" s="1289"/>
      <c r="EG126" s="1289"/>
      <c r="EH126" s="1289"/>
      <c r="EI126" s="1289"/>
      <c r="EJ126" s="1289"/>
      <c r="EK126" s="1289"/>
      <c r="EL126" s="1289"/>
      <c r="EM126" s="1289"/>
      <c r="EN126" s="1289"/>
      <c r="EO126" s="1289"/>
      <c r="EP126" s="1289"/>
      <c r="EQ126" s="1289"/>
      <c r="ER126" s="1289"/>
      <c r="ES126" s="1289"/>
      <c r="ET126" s="1289"/>
      <c r="EU126" s="1289"/>
      <c r="EV126" s="1289"/>
      <c r="EW126" s="1289"/>
      <c r="EX126" s="1289"/>
      <c r="EY126" s="1289"/>
      <c r="EZ126" s="1289"/>
      <c r="FA126" s="1289"/>
      <c r="FB126" s="1289"/>
      <c r="FC126" s="1289"/>
      <c r="FD126" s="1289"/>
      <c r="FE126" s="1289"/>
      <c r="FF126" s="1289"/>
      <c r="FG126" s="1289"/>
      <c r="FH126" s="1289"/>
      <c r="FI126" s="1289"/>
      <c r="FJ126" s="1289"/>
      <c r="FK126" s="1289"/>
      <c r="FL126" s="1289"/>
      <c r="FM126" s="1289"/>
      <c r="FN126" s="1289"/>
      <c r="FO126" s="1289"/>
      <c r="FP126" s="1289"/>
      <c r="FQ126" s="1289"/>
      <c r="FR126" s="1289"/>
      <c r="FS126" s="1289"/>
      <c r="FT126" s="1289"/>
      <c r="FU126" s="1289"/>
      <c r="FV126" s="1289"/>
      <c r="FW126" s="1289"/>
      <c r="FX126" s="1289"/>
      <c r="FY126" s="1289"/>
      <c r="FZ126" s="1289"/>
      <c r="GA126" s="1289"/>
      <c r="GB126" s="1289"/>
      <c r="GC126" s="1289"/>
      <c r="GD126" s="1289"/>
      <c r="GE126" s="1289"/>
      <c r="GF126" s="1289"/>
      <c r="GG126" s="1289"/>
      <c r="GH126" s="1289"/>
      <c r="GI126" s="1289"/>
      <c r="GJ126" s="1289"/>
      <c r="GK126" s="1289"/>
      <c r="GL126" s="1289"/>
      <c r="GM126" s="1289"/>
    </row>
    <row r="127" spans="1:195" s="1299" customFormat="1" ht="1.9" hidden="1" customHeight="1" outlineLevel="1">
      <c r="A127" s="2127" t="s">
        <v>1892</v>
      </c>
      <c r="B127" s="2127"/>
      <c r="C127" s="2128"/>
      <c r="D127" s="1297" t="s">
        <v>3433</v>
      </c>
      <c r="E127" s="3664"/>
      <c r="F127" s="1280">
        <f>SUMIF(INPUT!E:E,BAZE_2024!A127,INPUT!H:H)</f>
        <v>391244.98</v>
      </c>
      <c r="G127" s="380">
        <f>SUMIF(INPUT!E:E,BAZE_2024!A127,INPUT!L:L)</f>
        <v>0</v>
      </c>
      <c r="H127" s="3855"/>
      <c r="I127" s="3856"/>
      <c r="J127" s="3857"/>
      <c r="K127" s="2129"/>
      <c r="L127" s="2014"/>
      <c r="M127" s="1289"/>
      <c r="N127" s="1289"/>
      <c r="O127" s="1289"/>
      <c r="P127" s="1289"/>
      <c r="Q127" s="1289"/>
      <c r="R127" s="1289"/>
      <c r="S127" s="1289"/>
      <c r="T127" s="1289"/>
      <c r="U127" s="1289"/>
      <c r="V127" s="1289"/>
      <c r="W127" s="1289"/>
      <c r="X127" s="1289"/>
      <c r="Y127" s="1289"/>
      <c r="Z127" s="1289"/>
      <c r="AA127" s="1289"/>
      <c r="AB127" s="1289"/>
      <c r="AC127" s="1289"/>
      <c r="AD127" s="1289"/>
      <c r="AE127" s="1289"/>
      <c r="AF127" s="1289"/>
      <c r="AG127" s="1289"/>
      <c r="AH127" s="1289"/>
      <c r="AI127" s="1289"/>
      <c r="AJ127" s="1289"/>
      <c r="AK127" s="1289"/>
      <c r="AL127" s="1289"/>
      <c r="AM127" s="1289"/>
      <c r="AN127" s="1289"/>
      <c r="AO127" s="1289"/>
      <c r="AP127" s="1289"/>
      <c r="AQ127" s="1289"/>
      <c r="AR127" s="1289"/>
      <c r="AS127" s="1289"/>
      <c r="AT127" s="1289"/>
      <c r="AU127" s="1289"/>
      <c r="AV127" s="1289"/>
      <c r="AW127" s="1289"/>
      <c r="AX127" s="1289"/>
      <c r="AY127" s="1289"/>
      <c r="AZ127" s="1289"/>
      <c r="BA127" s="1289"/>
      <c r="BB127" s="1289"/>
      <c r="BC127" s="1289"/>
      <c r="BD127" s="1289"/>
      <c r="BE127" s="1289"/>
      <c r="BF127" s="1289"/>
      <c r="BG127" s="1289"/>
      <c r="BH127" s="1289"/>
      <c r="BI127" s="1289"/>
      <c r="BJ127" s="1289"/>
      <c r="BK127" s="1289"/>
      <c r="BL127" s="1289"/>
      <c r="BM127" s="1289"/>
      <c r="BN127" s="1289"/>
      <c r="BO127" s="1289"/>
      <c r="BP127" s="1289"/>
      <c r="BQ127" s="1289"/>
      <c r="BR127" s="1289"/>
      <c r="BS127" s="1289"/>
      <c r="BT127" s="1289"/>
      <c r="BU127" s="1289"/>
      <c r="BV127" s="1289"/>
      <c r="BW127" s="1289"/>
      <c r="BX127" s="1289"/>
      <c r="BY127" s="1289"/>
      <c r="BZ127" s="1289"/>
      <c r="CA127" s="1289"/>
      <c r="CB127" s="1289"/>
      <c r="CC127" s="1289"/>
      <c r="CD127" s="1289"/>
      <c r="CE127" s="1289"/>
      <c r="CF127" s="1289"/>
      <c r="CG127" s="1289"/>
      <c r="CH127" s="1289"/>
      <c r="CI127" s="1289"/>
      <c r="CJ127" s="1289"/>
      <c r="CK127" s="1289"/>
      <c r="CL127" s="1289"/>
      <c r="CM127" s="1289"/>
      <c r="CN127" s="1289"/>
      <c r="CO127" s="1289"/>
      <c r="CP127" s="1289"/>
      <c r="CQ127" s="1289"/>
      <c r="CR127" s="1289"/>
      <c r="CS127" s="1289"/>
      <c r="CT127" s="1289"/>
      <c r="CU127" s="1289"/>
      <c r="CV127" s="1289"/>
      <c r="CW127" s="1289"/>
      <c r="CX127" s="1289"/>
      <c r="CY127" s="1289"/>
      <c r="CZ127" s="1289"/>
      <c r="DA127" s="1289"/>
      <c r="DB127" s="1289"/>
      <c r="DC127" s="1289"/>
      <c r="DD127" s="1289"/>
      <c r="DE127" s="1289"/>
      <c r="DF127" s="1289"/>
      <c r="DG127" s="1289"/>
      <c r="DH127" s="1289"/>
      <c r="DI127" s="1289"/>
      <c r="DJ127" s="1289"/>
      <c r="DK127" s="1289"/>
      <c r="DL127" s="1289"/>
      <c r="DM127" s="1289"/>
      <c r="DN127" s="1289"/>
      <c r="DO127" s="1289"/>
      <c r="DP127" s="1289"/>
      <c r="DQ127" s="1289"/>
      <c r="DR127" s="1289"/>
      <c r="DS127" s="1289"/>
      <c r="DT127" s="1289"/>
      <c r="DU127" s="1289"/>
      <c r="DV127" s="1289"/>
      <c r="DW127" s="1289"/>
      <c r="DX127" s="1289"/>
      <c r="DY127" s="1289"/>
      <c r="DZ127" s="1289"/>
      <c r="EA127" s="1289"/>
      <c r="EB127" s="1289"/>
      <c r="EC127" s="1289"/>
      <c r="ED127" s="1289"/>
      <c r="EE127" s="1289"/>
      <c r="EF127" s="1289"/>
      <c r="EG127" s="1289"/>
      <c r="EH127" s="1289"/>
      <c r="EI127" s="1289"/>
      <c r="EJ127" s="1289"/>
      <c r="EK127" s="1289"/>
      <c r="EL127" s="1289"/>
      <c r="EM127" s="1289"/>
      <c r="EN127" s="1289"/>
      <c r="EO127" s="1289"/>
      <c r="EP127" s="1289"/>
      <c r="EQ127" s="1289"/>
      <c r="ER127" s="1289"/>
      <c r="ES127" s="1289"/>
      <c r="ET127" s="1289"/>
      <c r="EU127" s="1289"/>
      <c r="EV127" s="1289"/>
      <c r="EW127" s="1289"/>
      <c r="EX127" s="1289"/>
      <c r="EY127" s="1289"/>
      <c r="EZ127" s="1289"/>
      <c r="FA127" s="1289"/>
      <c r="FB127" s="1289"/>
      <c r="FC127" s="1289"/>
      <c r="FD127" s="1289"/>
      <c r="FE127" s="1289"/>
      <c r="FF127" s="1289"/>
      <c r="FG127" s="1289"/>
      <c r="FH127" s="1289"/>
      <c r="FI127" s="1289"/>
      <c r="FJ127" s="1289"/>
      <c r="FK127" s="1289"/>
      <c r="FL127" s="1289"/>
      <c r="FM127" s="1289"/>
      <c r="FN127" s="1289"/>
      <c r="FO127" s="1289"/>
      <c r="FP127" s="1289"/>
      <c r="FQ127" s="1289"/>
      <c r="FR127" s="1289"/>
      <c r="FS127" s="1289"/>
      <c r="FT127" s="1289"/>
      <c r="FU127" s="1289"/>
      <c r="FV127" s="1289"/>
      <c r="FW127" s="1289"/>
      <c r="FX127" s="1289"/>
      <c r="FY127" s="1289"/>
      <c r="FZ127" s="1289"/>
      <c r="GA127" s="1289"/>
      <c r="GB127" s="1289"/>
      <c r="GC127" s="1289"/>
      <c r="GD127" s="1289"/>
      <c r="GE127" s="1289"/>
      <c r="GF127" s="1289"/>
      <c r="GG127" s="1289"/>
      <c r="GH127" s="1289"/>
      <c r="GI127" s="1289"/>
      <c r="GJ127" s="1289"/>
      <c r="GK127" s="1289"/>
      <c r="GL127" s="1289"/>
      <c r="GM127" s="1289"/>
    </row>
    <row r="128" spans="1:195" s="1299" customFormat="1" ht="1.9" hidden="1" customHeight="1" outlineLevel="1">
      <c r="A128" s="2127" t="s">
        <v>1978</v>
      </c>
      <c r="B128" s="2127"/>
      <c r="C128" s="2128"/>
      <c r="D128" s="3663" t="s">
        <v>5344</v>
      </c>
      <c r="E128" s="3664"/>
      <c r="F128" s="1280">
        <f>SUMIF(INPUT!E:E,BAZE_2024!A128,INPUT!H:H)</f>
        <v>40898</v>
      </c>
      <c r="G128" s="380">
        <f>SUMIF(INPUT!E:E,BAZE_2024!A128,INPUT!L:L)</f>
        <v>0</v>
      </c>
      <c r="H128" s="3855"/>
      <c r="I128" s="3856"/>
      <c r="J128" s="3857"/>
      <c r="K128" s="2129"/>
      <c r="L128" s="2014"/>
      <c r="M128" s="1289"/>
      <c r="N128" s="1289"/>
      <c r="O128" s="1289"/>
      <c r="P128" s="1289"/>
      <c r="Q128" s="1289"/>
      <c r="R128" s="1289"/>
      <c r="S128" s="1289"/>
      <c r="T128" s="1289"/>
      <c r="U128" s="1289"/>
      <c r="V128" s="1289"/>
      <c r="W128" s="1289"/>
      <c r="X128" s="1289"/>
      <c r="Y128" s="1289"/>
      <c r="Z128" s="1289"/>
      <c r="AA128" s="1289"/>
      <c r="AB128" s="1289"/>
      <c r="AC128" s="1289"/>
      <c r="AD128" s="1289"/>
      <c r="AE128" s="1289"/>
      <c r="AF128" s="1289"/>
      <c r="AG128" s="1289"/>
      <c r="AH128" s="1289"/>
      <c r="AI128" s="1289"/>
      <c r="AJ128" s="1289"/>
      <c r="AK128" s="1289"/>
      <c r="AL128" s="1289"/>
      <c r="AM128" s="1289"/>
      <c r="AN128" s="1289"/>
      <c r="AO128" s="1289"/>
      <c r="AP128" s="1289"/>
      <c r="AQ128" s="1289"/>
      <c r="AR128" s="1289"/>
      <c r="AS128" s="1289"/>
      <c r="AT128" s="1289"/>
      <c r="AU128" s="1289"/>
      <c r="AV128" s="1289"/>
      <c r="AW128" s="1289"/>
      <c r="AX128" s="1289"/>
      <c r="AY128" s="1289"/>
      <c r="AZ128" s="1289"/>
      <c r="BA128" s="1289"/>
      <c r="BB128" s="1289"/>
      <c r="BC128" s="1289"/>
      <c r="BD128" s="1289"/>
      <c r="BE128" s="1289"/>
      <c r="BF128" s="1289"/>
      <c r="BG128" s="1289"/>
      <c r="BH128" s="1289"/>
      <c r="BI128" s="1289"/>
      <c r="BJ128" s="1289"/>
      <c r="BK128" s="1289"/>
      <c r="BL128" s="1289"/>
      <c r="BM128" s="1289"/>
      <c r="BN128" s="1289"/>
      <c r="BO128" s="1289"/>
      <c r="BP128" s="1289"/>
      <c r="BQ128" s="1289"/>
      <c r="BR128" s="1289"/>
      <c r="BS128" s="1289"/>
      <c r="BT128" s="1289"/>
      <c r="BU128" s="1289"/>
      <c r="BV128" s="1289"/>
      <c r="BW128" s="1289"/>
      <c r="BX128" s="1289"/>
      <c r="BY128" s="1289"/>
      <c r="BZ128" s="1289"/>
      <c r="CA128" s="1289"/>
      <c r="CB128" s="1289"/>
      <c r="CC128" s="1289"/>
      <c r="CD128" s="1289"/>
      <c r="CE128" s="1289"/>
      <c r="CF128" s="1289"/>
      <c r="CG128" s="1289"/>
      <c r="CH128" s="1289"/>
      <c r="CI128" s="1289"/>
      <c r="CJ128" s="1289"/>
      <c r="CK128" s="1289"/>
      <c r="CL128" s="1289"/>
      <c r="CM128" s="1289"/>
      <c r="CN128" s="1289"/>
      <c r="CO128" s="1289"/>
      <c r="CP128" s="1289"/>
      <c r="CQ128" s="1289"/>
      <c r="CR128" s="1289"/>
      <c r="CS128" s="1289"/>
      <c r="CT128" s="1289"/>
      <c r="CU128" s="1289"/>
      <c r="CV128" s="1289"/>
      <c r="CW128" s="1289"/>
      <c r="CX128" s="1289"/>
      <c r="CY128" s="1289"/>
      <c r="CZ128" s="1289"/>
      <c r="DA128" s="1289"/>
      <c r="DB128" s="1289"/>
      <c r="DC128" s="1289"/>
      <c r="DD128" s="1289"/>
      <c r="DE128" s="1289"/>
      <c r="DF128" s="1289"/>
      <c r="DG128" s="1289"/>
      <c r="DH128" s="1289"/>
      <c r="DI128" s="1289"/>
      <c r="DJ128" s="1289"/>
      <c r="DK128" s="1289"/>
      <c r="DL128" s="1289"/>
      <c r="DM128" s="1289"/>
      <c r="DN128" s="1289"/>
      <c r="DO128" s="1289"/>
      <c r="DP128" s="1289"/>
      <c r="DQ128" s="1289"/>
      <c r="DR128" s="1289"/>
      <c r="DS128" s="1289"/>
      <c r="DT128" s="1289"/>
      <c r="DU128" s="1289"/>
      <c r="DV128" s="1289"/>
      <c r="DW128" s="1289"/>
      <c r="DX128" s="1289"/>
      <c r="DY128" s="1289"/>
      <c r="DZ128" s="1289"/>
      <c r="EA128" s="1289"/>
      <c r="EB128" s="1289"/>
      <c r="EC128" s="1289"/>
      <c r="ED128" s="1289"/>
      <c r="EE128" s="1289"/>
      <c r="EF128" s="1289"/>
      <c r="EG128" s="1289"/>
      <c r="EH128" s="1289"/>
      <c r="EI128" s="1289"/>
      <c r="EJ128" s="1289"/>
      <c r="EK128" s="1289"/>
      <c r="EL128" s="1289"/>
      <c r="EM128" s="1289"/>
      <c r="EN128" s="1289"/>
      <c r="EO128" s="1289"/>
      <c r="EP128" s="1289"/>
      <c r="EQ128" s="1289"/>
      <c r="ER128" s="1289"/>
      <c r="ES128" s="1289"/>
      <c r="ET128" s="1289"/>
      <c r="EU128" s="1289"/>
      <c r="EV128" s="1289"/>
      <c r="EW128" s="1289"/>
      <c r="EX128" s="1289"/>
      <c r="EY128" s="1289"/>
      <c r="EZ128" s="1289"/>
      <c r="FA128" s="1289"/>
      <c r="FB128" s="1289"/>
      <c r="FC128" s="1289"/>
      <c r="FD128" s="1289"/>
      <c r="FE128" s="1289"/>
      <c r="FF128" s="1289"/>
      <c r="FG128" s="1289"/>
      <c r="FH128" s="1289"/>
      <c r="FI128" s="1289"/>
      <c r="FJ128" s="1289"/>
      <c r="FK128" s="1289"/>
      <c r="FL128" s="1289"/>
      <c r="FM128" s="1289"/>
      <c r="FN128" s="1289"/>
      <c r="FO128" s="1289"/>
      <c r="FP128" s="1289"/>
      <c r="FQ128" s="1289"/>
      <c r="FR128" s="1289"/>
      <c r="FS128" s="1289"/>
      <c r="FT128" s="1289"/>
      <c r="FU128" s="1289"/>
      <c r="FV128" s="1289"/>
      <c r="FW128" s="1289"/>
      <c r="FX128" s="1289"/>
      <c r="FY128" s="1289"/>
      <c r="FZ128" s="1289"/>
      <c r="GA128" s="1289"/>
      <c r="GB128" s="1289"/>
      <c r="GC128" s="1289"/>
      <c r="GD128" s="1289"/>
      <c r="GE128" s="1289"/>
      <c r="GF128" s="1289"/>
      <c r="GG128" s="1289"/>
      <c r="GH128" s="1289"/>
      <c r="GI128" s="1289"/>
      <c r="GJ128" s="1289"/>
      <c r="GK128" s="1289"/>
      <c r="GL128" s="1289"/>
      <c r="GM128" s="1289"/>
    </row>
    <row r="129" spans="1:195" s="1299" customFormat="1" ht="1.9" hidden="1" customHeight="1" outlineLevel="1">
      <c r="A129" s="2127" t="s">
        <v>3010</v>
      </c>
      <c r="B129" s="2127"/>
      <c r="C129" s="2128"/>
      <c r="D129" s="1297" t="s">
        <v>5345</v>
      </c>
      <c r="E129" s="3664"/>
      <c r="F129" s="1280">
        <f>SUMIF(INPUT!E:E,BAZE_2024!A129,INPUT!H:H)</f>
        <v>16371</v>
      </c>
      <c r="G129" s="380">
        <f>SUMIF(INPUT!E:E,BAZE_2024!A129,INPUT!L:L)</f>
        <v>0</v>
      </c>
      <c r="H129" s="3855"/>
      <c r="I129" s="3856"/>
      <c r="J129" s="3857"/>
      <c r="K129" s="2129"/>
      <c r="L129" s="2014"/>
      <c r="M129" s="1289"/>
      <c r="N129" s="1289"/>
      <c r="O129" s="1289"/>
      <c r="P129" s="1289"/>
      <c r="Q129" s="1289"/>
      <c r="R129" s="1289"/>
      <c r="S129" s="1289"/>
      <c r="T129" s="1289"/>
      <c r="U129" s="1289"/>
      <c r="V129" s="1289"/>
      <c r="W129" s="1289"/>
      <c r="X129" s="1289"/>
      <c r="Y129" s="1289"/>
      <c r="Z129" s="1289"/>
      <c r="AA129" s="1289"/>
      <c r="AB129" s="1289"/>
      <c r="AC129" s="1289"/>
      <c r="AD129" s="1289"/>
      <c r="AE129" s="1289"/>
      <c r="AF129" s="1289"/>
      <c r="AG129" s="1289"/>
      <c r="AH129" s="1289"/>
      <c r="AI129" s="1289"/>
      <c r="AJ129" s="1289"/>
      <c r="AK129" s="1289"/>
      <c r="AL129" s="1289"/>
      <c r="AM129" s="1289"/>
      <c r="AN129" s="1289"/>
      <c r="AO129" s="1289"/>
      <c r="AP129" s="1289"/>
      <c r="AQ129" s="1289"/>
      <c r="AR129" s="1289"/>
      <c r="AS129" s="1289"/>
      <c r="AT129" s="1289"/>
      <c r="AU129" s="1289"/>
      <c r="AV129" s="1289"/>
      <c r="AW129" s="1289"/>
      <c r="AX129" s="1289"/>
      <c r="AY129" s="1289"/>
      <c r="AZ129" s="1289"/>
      <c r="BA129" s="1289"/>
      <c r="BB129" s="1289"/>
      <c r="BC129" s="1289"/>
      <c r="BD129" s="1289"/>
      <c r="BE129" s="1289"/>
      <c r="BF129" s="1289"/>
      <c r="BG129" s="1289"/>
      <c r="BH129" s="1289"/>
      <c r="BI129" s="1289"/>
      <c r="BJ129" s="1289"/>
      <c r="BK129" s="1289"/>
      <c r="BL129" s="1289"/>
      <c r="BM129" s="1289"/>
      <c r="BN129" s="1289"/>
      <c r="BO129" s="1289"/>
      <c r="BP129" s="1289"/>
      <c r="BQ129" s="1289"/>
      <c r="BR129" s="1289"/>
      <c r="BS129" s="1289"/>
      <c r="BT129" s="1289"/>
      <c r="BU129" s="1289"/>
      <c r="BV129" s="1289"/>
      <c r="BW129" s="1289"/>
      <c r="BX129" s="1289"/>
      <c r="BY129" s="1289"/>
      <c r="BZ129" s="1289"/>
      <c r="CA129" s="1289"/>
      <c r="CB129" s="1289"/>
      <c r="CC129" s="1289"/>
      <c r="CD129" s="1289"/>
      <c r="CE129" s="1289"/>
      <c r="CF129" s="1289"/>
      <c r="CG129" s="1289"/>
      <c r="CH129" s="1289"/>
      <c r="CI129" s="1289"/>
      <c r="CJ129" s="1289"/>
      <c r="CK129" s="1289"/>
      <c r="CL129" s="1289"/>
      <c r="CM129" s="1289"/>
      <c r="CN129" s="1289"/>
      <c r="CO129" s="1289"/>
      <c r="CP129" s="1289"/>
      <c r="CQ129" s="1289"/>
      <c r="CR129" s="1289"/>
      <c r="CS129" s="1289"/>
      <c r="CT129" s="1289"/>
      <c r="CU129" s="1289"/>
      <c r="CV129" s="1289"/>
      <c r="CW129" s="1289"/>
      <c r="CX129" s="1289"/>
      <c r="CY129" s="1289"/>
      <c r="CZ129" s="1289"/>
      <c r="DA129" s="1289"/>
      <c r="DB129" s="1289"/>
      <c r="DC129" s="1289"/>
      <c r="DD129" s="1289"/>
      <c r="DE129" s="1289"/>
      <c r="DF129" s="1289"/>
      <c r="DG129" s="1289"/>
      <c r="DH129" s="1289"/>
      <c r="DI129" s="1289"/>
      <c r="DJ129" s="1289"/>
      <c r="DK129" s="1289"/>
      <c r="DL129" s="1289"/>
      <c r="DM129" s="1289"/>
      <c r="DN129" s="1289"/>
      <c r="DO129" s="1289"/>
      <c r="DP129" s="1289"/>
      <c r="DQ129" s="1289"/>
      <c r="DR129" s="1289"/>
      <c r="DS129" s="1289"/>
      <c r="DT129" s="1289"/>
      <c r="DU129" s="1289"/>
      <c r="DV129" s="1289"/>
      <c r="DW129" s="1289"/>
      <c r="DX129" s="1289"/>
      <c r="DY129" s="1289"/>
      <c r="DZ129" s="1289"/>
      <c r="EA129" s="1289"/>
      <c r="EB129" s="1289"/>
      <c r="EC129" s="1289"/>
      <c r="ED129" s="1289"/>
      <c r="EE129" s="1289"/>
      <c r="EF129" s="1289"/>
      <c r="EG129" s="1289"/>
      <c r="EH129" s="1289"/>
      <c r="EI129" s="1289"/>
      <c r="EJ129" s="1289"/>
      <c r="EK129" s="1289"/>
      <c r="EL129" s="1289"/>
      <c r="EM129" s="1289"/>
      <c r="EN129" s="1289"/>
      <c r="EO129" s="1289"/>
      <c r="EP129" s="1289"/>
      <c r="EQ129" s="1289"/>
      <c r="ER129" s="1289"/>
      <c r="ES129" s="1289"/>
      <c r="ET129" s="1289"/>
      <c r="EU129" s="1289"/>
      <c r="EV129" s="1289"/>
      <c r="EW129" s="1289"/>
      <c r="EX129" s="1289"/>
      <c r="EY129" s="1289"/>
      <c r="EZ129" s="1289"/>
      <c r="FA129" s="1289"/>
      <c r="FB129" s="1289"/>
      <c r="FC129" s="1289"/>
      <c r="FD129" s="1289"/>
      <c r="FE129" s="1289"/>
      <c r="FF129" s="1289"/>
      <c r="FG129" s="1289"/>
      <c r="FH129" s="1289"/>
      <c r="FI129" s="1289"/>
      <c r="FJ129" s="1289"/>
      <c r="FK129" s="1289"/>
      <c r="FL129" s="1289"/>
      <c r="FM129" s="1289"/>
      <c r="FN129" s="1289"/>
      <c r="FO129" s="1289"/>
      <c r="FP129" s="1289"/>
      <c r="FQ129" s="1289"/>
      <c r="FR129" s="1289"/>
      <c r="FS129" s="1289"/>
      <c r="FT129" s="1289"/>
      <c r="FU129" s="1289"/>
      <c r="FV129" s="1289"/>
      <c r="FW129" s="1289"/>
      <c r="FX129" s="1289"/>
      <c r="FY129" s="1289"/>
      <c r="FZ129" s="1289"/>
      <c r="GA129" s="1289"/>
      <c r="GB129" s="1289"/>
      <c r="GC129" s="1289"/>
      <c r="GD129" s="1289"/>
      <c r="GE129" s="1289"/>
      <c r="GF129" s="1289"/>
      <c r="GG129" s="1289"/>
      <c r="GH129" s="1289"/>
      <c r="GI129" s="1289"/>
      <c r="GJ129" s="1289"/>
      <c r="GK129" s="1289"/>
      <c r="GL129" s="1289"/>
      <c r="GM129" s="1289"/>
    </row>
    <row r="130" spans="1:195" s="1299" customFormat="1" ht="1.9" hidden="1" customHeight="1" outlineLevel="1">
      <c r="A130" s="2127" t="s">
        <v>1979</v>
      </c>
      <c r="B130" s="2127"/>
      <c r="C130" s="2128"/>
      <c r="D130" s="3663" t="s">
        <v>2970</v>
      </c>
      <c r="E130" s="3664"/>
      <c r="F130" s="1280">
        <f>SUMIF(INPUT!E:E,BAZE_2024!A130,INPUT!H:H)</f>
        <v>891139</v>
      </c>
      <c r="G130" s="380">
        <f>SUMIF(INPUT!E:E,BAZE_2024!A130,INPUT!L:L)</f>
        <v>0</v>
      </c>
      <c r="H130" s="3855"/>
      <c r="I130" s="3856"/>
      <c r="J130" s="3857"/>
      <c r="K130" s="2129"/>
      <c r="L130" s="2014"/>
      <c r="M130" s="1289"/>
      <c r="N130" s="1289"/>
      <c r="O130" s="1289"/>
      <c r="P130" s="1289"/>
      <c r="Q130" s="1289"/>
      <c r="R130" s="1289"/>
      <c r="S130" s="1289"/>
      <c r="T130" s="1289"/>
      <c r="U130" s="1289"/>
      <c r="V130" s="1289"/>
      <c r="W130" s="1289"/>
      <c r="X130" s="1289"/>
      <c r="Y130" s="1289"/>
      <c r="Z130" s="1289"/>
      <c r="AA130" s="1289"/>
      <c r="AB130" s="1289"/>
      <c r="AC130" s="1289"/>
      <c r="AD130" s="1289"/>
      <c r="AE130" s="1289"/>
      <c r="AF130" s="1289"/>
      <c r="AG130" s="1289"/>
      <c r="AH130" s="1289"/>
      <c r="AI130" s="1289"/>
      <c r="AJ130" s="1289"/>
      <c r="AK130" s="1289"/>
      <c r="AL130" s="1289"/>
      <c r="AM130" s="1289"/>
      <c r="AN130" s="1289"/>
      <c r="AO130" s="1289"/>
      <c r="AP130" s="1289"/>
      <c r="AQ130" s="1289"/>
      <c r="AR130" s="1289"/>
      <c r="AS130" s="1289"/>
      <c r="AT130" s="1289"/>
      <c r="AU130" s="1289"/>
      <c r="AV130" s="1289"/>
      <c r="AW130" s="1289"/>
      <c r="AX130" s="1289"/>
      <c r="AY130" s="1289"/>
      <c r="AZ130" s="1289"/>
      <c r="BA130" s="1289"/>
      <c r="BB130" s="1289"/>
      <c r="BC130" s="1289"/>
      <c r="BD130" s="1289"/>
      <c r="BE130" s="1289"/>
      <c r="BF130" s="1289"/>
      <c r="BG130" s="1289"/>
      <c r="BH130" s="1289"/>
      <c r="BI130" s="1289"/>
      <c r="BJ130" s="1289"/>
      <c r="BK130" s="1289"/>
      <c r="BL130" s="1289"/>
      <c r="BM130" s="1289"/>
      <c r="BN130" s="1289"/>
      <c r="BO130" s="1289"/>
      <c r="BP130" s="1289"/>
      <c r="BQ130" s="1289"/>
      <c r="BR130" s="1289"/>
      <c r="BS130" s="1289"/>
      <c r="BT130" s="1289"/>
      <c r="BU130" s="1289"/>
      <c r="BV130" s="1289"/>
      <c r="BW130" s="1289"/>
      <c r="BX130" s="1289"/>
      <c r="BY130" s="1289"/>
      <c r="BZ130" s="1289"/>
      <c r="CA130" s="1289"/>
      <c r="CB130" s="1289"/>
      <c r="CC130" s="1289"/>
      <c r="CD130" s="1289"/>
      <c r="CE130" s="1289"/>
      <c r="CF130" s="1289"/>
      <c r="CG130" s="1289"/>
      <c r="CH130" s="1289"/>
      <c r="CI130" s="1289"/>
      <c r="CJ130" s="1289"/>
      <c r="CK130" s="1289"/>
      <c r="CL130" s="1289"/>
      <c r="CM130" s="1289"/>
      <c r="CN130" s="1289"/>
      <c r="CO130" s="1289"/>
      <c r="CP130" s="1289"/>
      <c r="CQ130" s="1289"/>
      <c r="CR130" s="1289"/>
      <c r="CS130" s="1289"/>
      <c r="CT130" s="1289"/>
      <c r="CU130" s="1289"/>
      <c r="CV130" s="1289"/>
      <c r="CW130" s="1289"/>
      <c r="CX130" s="1289"/>
      <c r="CY130" s="1289"/>
      <c r="CZ130" s="1289"/>
      <c r="DA130" s="1289"/>
      <c r="DB130" s="1289"/>
      <c r="DC130" s="1289"/>
      <c r="DD130" s="1289"/>
      <c r="DE130" s="1289"/>
      <c r="DF130" s="1289"/>
      <c r="DG130" s="1289"/>
      <c r="DH130" s="1289"/>
      <c r="DI130" s="1289"/>
      <c r="DJ130" s="1289"/>
      <c r="DK130" s="1289"/>
      <c r="DL130" s="1289"/>
      <c r="DM130" s="1289"/>
      <c r="DN130" s="1289"/>
      <c r="DO130" s="1289"/>
      <c r="DP130" s="1289"/>
      <c r="DQ130" s="1289"/>
      <c r="DR130" s="1289"/>
      <c r="DS130" s="1289"/>
      <c r="DT130" s="1289"/>
      <c r="DU130" s="1289"/>
      <c r="DV130" s="1289"/>
      <c r="DW130" s="1289"/>
      <c r="DX130" s="1289"/>
      <c r="DY130" s="1289"/>
      <c r="DZ130" s="1289"/>
      <c r="EA130" s="1289"/>
      <c r="EB130" s="1289"/>
      <c r="EC130" s="1289"/>
      <c r="ED130" s="1289"/>
      <c r="EE130" s="1289"/>
      <c r="EF130" s="1289"/>
      <c r="EG130" s="1289"/>
      <c r="EH130" s="1289"/>
      <c r="EI130" s="1289"/>
      <c r="EJ130" s="1289"/>
      <c r="EK130" s="1289"/>
      <c r="EL130" s="1289"/>
      <c r="EM130" s="1289"/>
      <c r="EN130" s="1289"/>
      <c r="EO130" s="1289"/>
      <c r="EP130" s="1289"/>
      <c r="EQ130" s="1289"/>
      <c r="ER130" s="1289"/>
      <c r="ES130" s="1289"/>
      <c r="ET130" s="1289"/>
      <c r="EU130" s="1289"/>
      <c r="EV130" s="1289"/>
      <c r="EW130" s="1289"/>
      <c r="EX130" s="1289"/>
      <c r="EY130" s="1289"/>
      <c r="EZ130" s="1289"/>
      <c r="FA130" s="1289"/>
      <c r="FB130" s="1289"/>
      <c r="FC130" s="1289"/>
      <c r="FD130" s="1289"/>
      <c r="FE130" s="1289"/>
      <c r="FF130" s="1289"/>
      <c r="FG130" s="1289"/>
      <c r="FH130" s="1289"/>
      <c r="FI130" s="1289"/>
      <c r="FJ130" s="1289"/>
      <c r="FK130" s="1289"/>
      <c r="FL130" s="1289"/>
      <c r="FM130" s="1289"/>
      <c r="FN130" s="1289"/>
      <c r="FO130" s="1289"/>
      <c r="FP130" s="1289"/>
      <c r="FQ130" s="1289"/>
      <c r="FR130" s="1289"/>
      <c r="FS130" s="1289"/>
      <c r="FT130" s="1289"/>
      <c r="FU130" s="1289"/>
      <c r="FV130" s="1289"/>
      <c r="FW130" s="1289"/>
      <c r="FX130" s="1289"/>
      <c r="FY130" s="1289"/>
      <c r="FZ130" s="1289"/>
      <c r="GA130" s="1289"/>
      <c r="GB130" s="1289"/>
      <c r="GC130" s="1289"/>
      <c r="GD130" s="1289"/>
      <c r="GE130" s="1289"/>
      <c r="GF130" s="1289"/>
      <c r="GG130" s="1289"/>
      <c r="GH130" s="1289"/>
      <c r="GI130" s="1289"/>
      <c r="GJ130" s="1289"/>
      <c r="GK130" s="1289"/>
      <c r="GL130" s="1289"/>
      <c r="GM130" s="1289"/>
    </row>
    <row r="131" spans="1:195" s="1299" customFormat="1" ht="1.9" hidden="1" customHeight="1" outlineLevel="1">
      <c r="A131" s="2127" t="s">
        <v>5307</v>
      </c>
      <c r="B131" s="2127"/>
      <c r="C131" s="2128"/>
      <c r="D131" s="1297" t="s">
        <v>5346</v>
      </c>
      <c r="E131" s="3664"/>
      <c r="F131" s="1280">
        <f>SUMIF(INPUT!E:E,BAZE_2024!A131,INPUT!H:H)</f>
        <v>0</v>
      </c>
      <c r="G131" s="380">
        <f>SUMIF(INPUT!E:E,BAZE_2024!A131,INPUT!L:L)</f>
        <v>83556.7546</v>
      </c>
      <c r="H131" s="3855"/>
      <c r="I131" s="3856"/>
      <c r="J131" s="3857"/>
      <c r="K131" s="2129"/>
      <c r="L131" s="2014"/>
      <c r="M131" s="1289"/>
      <c r="N131" s="1289"/>
      <c r="O131" s="1289"/>
      <c r="P131" s="1289"/>
      <c r="Q131" s="1289"/>
      <c r="R131" s="1289"/>
      <c r="S131" s="1289"/>
      <c r="T131" s="1289"/>
      <c r="U131" s="1289"/>
      <c r="V131" s="1289"/>
      <c r="W131" s="1289"/>
      <c r="X131" s="1289"/>
      <c r="Y131" s="1289"/>
      <c r="Z131" s="1289"/>
      <c r="AA131" s="1289"/>
      <c r="AB131" s="1289"/>
      <c r="AC131" s="1289"/>
      <c r="AD131" s="1289"/>
      <c r="AE131" s="1289"/>
      <c r="AF131" s="1289"/>
      <c r="AG131" s="1289"/>
      <c r="AH131" s="1289"/>
      <c r="AI131" s="1289"/>
      <c r="AJ131" s="1289"/>
      <c r="AK131" s="1289"/>
      <c r="AL131" s="1289"/>
      <c r="AM131" s="1289"/>
      <c r="AN131" s="1289"/>
      <c r="AO131" s="1289"/>
      <c r="AP131" s="1289"/>
      <c r="AQ131" s="1289"/>
      <c r="AR131" s="1289"/>
      <c r="AS131" s="1289"/>
      <c r="AT131" s="1289"/>
      <c r="AU131" s="1289"/>
      <c r="AV131" s="1289"/>
      <c r="AW131" s="1289"/>
      <c r="AX131" s="1289"/>
      <c r="AY131" s="1289"/>
      <c r="AZ131" s="1289"/>
      <c r="BA131" s="1289"/>
      <c r="BB131" s="1289"/>
      <c r="BC131" s="1289"/>
      <c r="BD131" s="1289"/>
      <c r="BE131" s="1289"/>
      <c r="BF131" s="1289"/>
      <c r="BG131" s="1289"/>
      <c r="BH131" s="1289"/>
      <c r="BI131" s="1289"/>
      <c r="BJ131" s="1289"/>
      <c r="BK131" s="1289"/>
      <c r="BL131" s="1289"/>
      <c r="BM131" s="1289"/>
      <c r="BN131" s="1289"/>
      <c r="BO131" s="1289"/>
      <c r="BP131" s="1289"/>
      <c r="BQ131" s="1289"/>
      <c r="BR131" s="1289"/>
      <c r="BS131" s="1289"/>
      <c r="BT131" s="1289"/>
      <c r="BU131" s="1289"/>
      <c r="BV131" s="1289"/>
      <c r="BW131" s="1289"/>
      <c r="BX131" s="1289"/>
      <c r="BY131" s="1289"/>
      <c r="BZ131" s="1289"/>
      <c r="CA131" s="1289"/>
      <c r="CB131" s="1289"/>
      <c r="CC131" s="1289"/>
      <c r="CD131" s="1289"/>
      <c r="CE131" s="1289"/>
      <c r="CF131" s="1289"/>
      <c r="CG131" s="1289"/>
      <c r="CH131" s="1289"/>
      <c r="CI131" s="1289"/>
      <c r="CJ131" s="1289"/>
      <c r="CK131" s="1289"/>
      <c r="CL131" s="1289"/>
      <c r="CM131" s="1289"/>
      <c r="CN131" s="1289"/>
      <c r="CO131" s="1289"/>
      <c r="CP131" s="1289"/>
      <c r="CQ131" s="1289"/>
      <c r="CR131" s="1289"/>
      <c r="CS131" s="1289"/>
      <c r="CT131" s="1289"/>
      <c r="CU131" s="1289"/>
      <c r="CV131" s="1289"/>
      <c r="CW131" s="1289"/>
      <c r="CX131" s="1289"/>
      <c r="CY131" s="1289"/>
      <c r="CZ131" s="1289"/>
      <c r="DA131" s="1289"/>
      <c r="DB131" s="1289"/>
      <c r="DC131" s="1289"/>
      <c r="DD131" s="1289"/>
      <c r="DE131" s="1289"/>
      <c r="DF131" s="1289"/>
      <c r="DG131" s="1289"/>
      <c r="DH131" s="1289"/>
      <c r="DI131" s="1289"/>
      <c r="DJ131" s="1289"/>
      <c r="DK131" s="1289"/>
      <c r="DL131" s="1289"/>
      <c r="DM131" s="1289"/>
      <c r="DN131" s="1289"/>
      <c r="DO131" s="1289"/>
      <c r="DP131" s="1289"/>
      <c r="DQ131" s="1289"/>
      <c r="DR131" s="1289"/>
      <c r="DS131" s="1289"/>
      <c r="DT131" s="1289"/>
      <c r="DU131" s="1289"/>
      <c r="DV131" s="1289"/>
      <c r="DW131" s="1289"/>
      <c r="DX131" s="1289"/>
      <c r="DY131" s="1289"/>
      <c r="DZ131" s="1289"/>
      <c r="EA131" s="1289"/>
      <c r="EB131" s="1289"/>
      <c r="EC131" s="1289"/>
      <c r="ED131" s="1289"/>
      <c r="EE131" s="1289"/>
      <c r="EF131" s="1289"/>
      <c r="EG131" s="1289"/>
      <c r="EH131" s="1289"/>
      <c r="EI131" s="1289"/>
      <c r="EJ131" s="1289"/>
      <c r="EK131" s="1289"/>
      <c r="EL131" s="1289"/>
      <c r="EM131" s="1289"/>
      <c r="EN131" s="1289"/>
      <c r="EO131" s="1289"/>
      <c r="EP131" s="1289"/>
      <c r="EQ131" s="1289"/>
      <c r="ER131" s="1289"/>
      <c r="ES131" s="1289"/>
      <c r="ET131" s="1289"/>
      <c r="EU131" s="1289"/>
      <c r="EV131" s="1289"/>
      <c r="EW131" s="1289"/>
      <c r="EX131" s="1289"/>
      <c r="EY131" s="1289"/>
      <c r="EZ131" s="1289"/>
      <c r="FA131" s="1289"/>
      <c r="FB131" s="1289"/>
      <c r="FC131" s="1289"/>
      <c r="FD131" s="1289"/>
      <c r="FE131" s="1289"/>
      <c r="FF131" s="1289"/>
      <c r="FG131" s="1289"/>
      <c r="FH131" s="1289"/>
      <c r="FI131" s="1289"/>
      <c r="FJ131" s="1289"/>
      <c r="FK131" s="1289"/>
      <c r="FL131" s="1289"/>
      <c r="FM131" s="1289"/>
      <c r="FN131" s="1289"/>
      <c r="FO131" s="1289"/>
      <c r="FP131" s="1289"/>
      <c r="FQ131" s="1289"/>
      <c r="FR131" s="1289"/>
      <c r="FS131" s="1289"/>
      <c r="FT131" s="1289"/>
      <c r="FU131" s="1289"/>
      <c r="FV131" s="1289"/>
      <c r="FW131" s="1289"/>
      <c r="FX131" s="1289"/>
      <c r="FY131" s="1289"/>
      <c r="FZ131" s="1289"/>
      <c r="GA131" s="1289"/>
      <c r="GB131" s="1289"/>
      <c r="GC131" s="1289"/>
      <c r="GD131" s="1289"/>
      <c r="GE131" s="1289"/>
      <c r="GF131" s="1289"/>
      <c r="GG131" s="1289"/>
      <c r="GH131" s="1289"/>
      <c r="GI131" s="1289"/>
      <c r="GJ131" s="1289"/>
      <c r="GK131" s="1289"/>
      <c r="GL131" s="1289"/>
      <c r="GM131" s="1289"/>
    </row>
    <row r="132" spans="1:195" s="1299" customFormat="1" ht="1.9" hidden="1" customHeight="1" outlineLevel="1">
      <c r="A132" s="2127"/>
      <c r="B132" s="2127"/>
      <c r="C132" s="2128"/>
      <c r="D132" s="3663"/>
      <c r="E132" s="1294"/>
      <c r="F132" s="1280"/>
      <c r="G132" s="380"/>
      <c r="H132" s="1285"/>
      <c r="I132" s="1834"/>
      <c r="J132" s="2031"/>
      <c r="K132" s="2129"/>
      <c r="L132" s="2014"/>
      <c r="M132" s="1289"/>
      <c r="N132" s="1289"/>
      <c r="O132" s="1289"/>
      <c r="P132" s="1289"/>
      <c r="Q132" s="1289"/>
      <c r="R132" s="1289"/>
      <c r="S132" s="1289"/>
      <c r="T132" s="1289"/>
      <c r="U132" s="1289"/>
      <c r="V132" s="1289"/>
      <c r="W132" s="1289"/>
      <c r="X132" s="1289"/>
      <c r="Y132" s="1289"/>
      <c r="Z132" s="1289"/>
      <c r="AA132" s="1289"/>
      <c r="AB132" s="1289"/>
      <c r="AC132" s="1289"/>
      <c r="AD132" s="1289"/>
      <c r="AE132" s="1289"/>
      <c r="AF132" s="1289"/>
      <c r="AG132" s="1289"/>
      <c r="AH132" s="1289"/>
      <c r="AI132" s="1289"/>
      <c r="AJ132" s="1289"/>
      <c r="AK132" s="1289"/>
      <c r="AL132" s="1289"/>
      <c r="AM132" s="1289"/>
      <c r="AN132" s="1289"/>
      <c r="AO132" s="1289"/>
      <c r="AP132" s="1289"/>
      <c r="AQ132" s="1289"/>
      <c r="AR132" s="1289"/>
      <c r="AS132" s="1289"/>
      <c r="AT132" s="1289"/>
      <c r="AU132" s="1289"/>
      <c r="AV132" s="1289"/>
      <c r="AW132" s="1289"/>
      <c r="AX132" s="1289"/>
      <c r="AY132" s="1289"/>
      <c r="AZ132" s="1289"/>
      <c r="BA132" s="1289"/>
      <c r="BB132" s="1289"/>
      <c r="BC132" s="1289"/>
      <c r="BD132" s="1289"/>
      <c r="BE132" s="1289"/>
      <c r="BF132" s="1289"/>
      <c r="BG132" s="1289"/>
      <c r="BH132" s="1289"/>
      <c r="BI132" s="1289"/>
      <c r="BJ132" s="1289"/>
      <c r="BK132" s="1289"/>
      <c r="BL132" s="1289"/>
      <c r="BM132" s="1289"/>
      <c r="BN132" s="1289"/>
      <c r="BO132" s="1289"/>
      <c r="BP132" s="1289"/>
      <c r="BQ132" s="1289"/>
      <c r="BR132" s="1289"/>
      <c r="BS132" s="1289"/>
      <c r="BT132" s="1289"/>
      <c r="BU132" s="1289"/>
      <c r="BV132" s="1289"/>
      <c r="BW132" s="1289"/>
      <c r="BX132" s="1289"/>
      <c r="BY132" s="1289"/>
      <c r="BZ132" s="1289"/>
      <c r="CA132" s="1289"/>
      <c r="CB132" s="1289"/>
      <c r="CC132" s="1289"/>
      <c r="CD132" s="1289"/>
      <c r="CE132" s="1289"/>
      <c r="CF132" s="1289"/>
      <c r="CG132" s="1289"/>
      <c r="CH132" s="1289"/>
      <c r="CI132" s="1289"/>
      <c r="CJ132" s="1289"/>
      <c r="CK132" s="1289"/>
      <c r="CL132" s="1289"/>
      <c r="CM132" s="1289"/>
      <c r="CN132" s="1289"/>
      <c r="CO132" s="1289"/>
      <c r="CP132" s="1289"/>
      <c r="CQ132" s="1289"/>
      <c r="CR132" s="1289"/>
      <c r="CS132" s="1289"/>
      <c r="CT132" s="1289"/>
      <c r="CU132" s="1289"/>
      <c r="CV132" s="1289"/>
      <c r="CW132" s="1289"/>
      <c r="CX132" s="1289"/>
      <c r="CY132" s="1289"/>
      <c r="CZ132" s="1289"/>
      <c r="DA132" s="1289"/>
      <c r="DB132" s="1289"/>
      <c r="DC132" s="1289"/>
      <c r="DD132" s="1289"/>
      <c r="DE132" s="1289"/>
      <c r="DF132" s="1289"/>
      <c r="DG132" s="1289"/>
      <c r="DH132" s="1289"/>
      <c r="DI132" s="1289"/>
      <c r="DJ132" s="1289"/>
      <c r="DK132" s="1289"/>
      <c r="DL132" s="1289"/>
      <c r="DM132" s="1289"/>
      <c r="DN132" s="1289"/>
      <c r="DO132" s="1289"/>
      <c r="DP132" s="1289"/>
      <c r="DQ132" s="1289"/>
      <c r="DR132" s="1289"/>
      <c r="DS132" s="1289"/>
      <c r="DT132" s="1289"/>
      <c r="DU132" s="1289"/>
      <c r="DV132" s="1289"/>
      <c r="DW132" s="1289"/>
      <c r="DX132" s="1289"/>
      <c r="DY132" s="1289"/>
      <c r="DZ132" s="1289"/>
      <c r="EA132" s="1289"/>
      <c r="EB132" s="1289"/>
      <c r="EC132" s="1289"/>
      <c r="ED132" s="1289"/>
      <c r="EE132" s="1289"/>
      <c r="EF132" s="1289"/>
      <c r="EG132" s="1289"/>
      <c r="EH132" s="1289"/>
      <c r="EI132" s="1289"/>
      <c r="EJ132" s="1289"/>
      <c r="EK132" s="1289"/>
      <c r="EL132" s="1289"/>
      <c r="EM132" s="1289"/>
      <c r="EN132" s="1289"/>
      <c r="EO132" s="1289"/>
      <c r="EP132" s="1289"/>
      <c r="EQ132" s="1289"/>
      <c r="ER132" s="1289"/>
      <c r="ES132" s="1289"/>
      <c r="ET132" s="1289"/>
      <c r="EU132" s="1289"/>
      <c r="EV132" s="1289"/>
      <c r="EW132" s="1289"/>
      <c r="EX132" s="1289"/>
      <c r="EY132" s="1289"/>
      <c r="EZ132" s="1289"/>
      <c r="FA132" s="1289"/>
      <c r="FB132" s="1289"/>
      <c r="FC132" s="1289"/>
      <c r="FD132" s="1289"/>
      <c r="FE132" s="1289"/>
      <c r="FF132" s="1289"/>
      <c r="FG132" s="1289"/>
      <c r="FH132" s="1289"/>
      <c r="FI132" s="1289"/>
      <c r="FJ132" s="1289"/>
      <c r="FK132" s="1289"/>
      <c r="FL132" s="1289"/>
      <c r="FM132" s="1289"/>
      <c r="FN132" s="1289"/>
      <c r="FO132" s="1289"/>
      <c r="FP132" s="1289"/>
      <c r="FQ132" s="1289"/>
      <c r="FR132" s="1289"/>
      <c r="FS132" s="1289"/>
      <c r="FT132" s="1289"/>
      <c r="FU132" s="1289"/>
      <c r="FV132" s="1289"/>
      <c r="FW132" s="1289"/>
      <c r="FX132" s="1289"/>
      <c r="FY132" s="1289"/>
      <c r="FZ132" s="1289"/>
      <c r="GA132" s="1289"/>
      <c r="GB132" s="1289"/>
      <c r="GC132" s="1289"/>
      <c r="GD132" s="1289"/>
      <c r="GE132" s="1289"/>
      <c r="GF132" s="1289"/>
      <c r="GG132" s="1289"/>
      <c r="GH132" s="1289"/>
      <c r="GI132" s="1289"/>
      <c r="GJ132" s="1289"/>
      <c r="GK132" s="1289"/>
      <c r="GL132" s="1289"/>
      <c r="GM132" s="1289"/>
    </row>
    <row r="133" spans="1:195" s="1299" customFormat="1" ht="1.9" hidden="1" customHeight="1" outlineLevel="1">
      <c r="A133" s="2127"/>
      <c r="B133" s="2127"/>
      <c r="C133" s="2128"/>
      <c r="D133" s="1297"/>
      <c r="E133" s="1294"/>
      <c r="F133" s="1280"/>
      <c r="G133" s="380"/>
      <c r="H133" s="1285"/>
      <c r="I133" s="1834"/>
      <c r="J133" s="2031"/>
      <c r="K133" s="2129"/>
      <c r="L133" s="2014"/>
      <c r="M133" s="1289"/>
      <c r="N133" s="1289"/>
      <c r="O133" s="1289"/>
      <c r="P133" s="1289"/>
      <c r="Q133" s="1289"/>
      <c r="R133" s="1289"/>
      <c r="S133" s="1289"/>
      <c r="T133" s="1289"/>
      <c r="U133" s="1289"/>
      <c r="V133" s="1289"/>
      <c r="W133" s="1289"/>
      <c r="X133" s="1289"/>
      <c r="Y133" s="1289"/>
      <c r="Z133" s="1289"/>
      <c r="AA133" s="1289"/>
      <c r="AB133" s="1289"/>
      <c r="AC133" s="1289"/>
      <c r="AD133" s="1289"/>
      <c r="AE133" s="1289"/>
      <c r="AF133" s="1289"/>
      <c r="AG133" s="1289"/>
      <c r="AH133" s="1289"/>
      <c r="AI133" s="1289"/>
      <c r="AJ133" s="1289"/>
      <c r="AK133" s="1289"/>
      <c r="AL133" s="1289"/>
      <c r="AM133" s="1289"/>
      <c r="AN133" s="1289"/>
      <c r="AO133" s="1289"/>
      <c r="AP133" s="1289"/>
      <c r="AQ133" s="1289"/>
      <c r="AR133" s="1289"/>
      <c r="AS133" s="1289"/>
      <c r="AT133" s="1289"/>
      <c r="AU133" s="1289"/>
      <c r="AV133" s="1289"/>
      <c r="AW133" s="1289"/>
      <c r="AX133" s="1289"/>
      <c r="AY133" s="1289"/>
      <c r="AZ133" s="1289"/>
      <c r="BA133" s="1289"/>
      <c r="BB133" s="1289"/>
      <c r="BC133" s="1289"/>
      <c r="BD133" s="1289"/>
      <c r="BE133" s="1289"/>
      <c r="BF133" s="1289"/>
      <c r="BG133" s="1289"/>
      <c r="BH133" s="1289"/>
      <c r="BI133" s="1289"/>
      <c r="BJ133" s="1289"/>
      <c r="BK133" s="1289"/>
      <c r="BL133" s="1289"/>
      <c r="BM133" s="1289"/>
      <c r="BN133" s="1289"/>
      <c r="BO133" s="1289"/>
      <c r="BP133" s="1289"/>
      <c r="BQ133" s="1289"/>
      <c r="BR133" s="1289"/>
      <c r="BS133" s="1289"/>
      <c r="BT133" s="1289"/>
      <c r="BU133" s="1289"/>
      <c r="BV133" s="1289"/>
      <c r="BW133" s="1289"/>
      <c r="BX133" s="1289"/>
      <c r="BY133" s="1289"/>
      <c r="BZ133" s="1289"/>
      <c r="CA133" s="1289"/>
      <c r="CB133" s="1289"/>
      <c r="CC133" s="1289"/>
      <c r="CD133" s="1289"/>
      <c r="CE133" s="1289"/>
      <c r="CF133" s="1289"/>
      <c r="CG133" s="1289"/>
      <c r="CH133" s="1289"/>
      <c r="CI133" s="1289"/>
      <c r="CJ133" s="1289"/>
      <c r="CK133" s="1289"/>
      <c r="CL133" s="1289"/>
      <c r="CM133" s="1289"/>
      <c r="CN133" s="1289"/>
      <c r="CO133" s="1289"/>
      <c r="CP133" s="1289"/>
      <c r="CQ133" s="1289"/>
      <c r="CR133" s="1289"/>
      <c r="CS133" s="1289"/>
      <c r="CT133" s="1289"/>
      <c r="CU133" s="1289"/>
      <c r="CV133" s="1289"/>
      <c r="CW133" s="1289"/>
      <c r="CX133" s="1289"/>
      <c r="CY133" s="1289"/>
      <c r="CZ133" s="1289"/>
      <c r="DA133" s="1289"/>
      <c r="DB133" s="1289"/>
      <c r="DC133" s="1289"/>
      <c r="DD133" s="1289"/>
      <c r="DE133" s="1289"/>
      <c r="DF133" s="1289"/>
      <c r="DG133" s="1289"/>
      <c r="DH133" s="1289"/>
      <c r="DI133" s="1289"/>
      <c r="DJ133" s="1289"/>
      <c r="DK133" s="1289"/>
      <c r="DL133" s="1289"/>
      <c r="DM133" s="1289"/>
      <c r="DN133" s="1289"/>
      <c r="DO133" s="1289"/>
      <c r="DP133" s="1289"/>
      <c r="DQ133" s="1289"/>
      <c r="DR133" s="1289"/>
      <c r="DS133" s="1289"/>
      <c r="DT133" s="1289"/>
      <c r="DU133" s="1289"/>
      <c r="DV133" s="1289"/>
      <c r="DW133" s="1289"/>
      <c r="DX133" s="1289"/>
      <c r="DY133" s="1289"/>
      <c r="DZ133" s="1289"/>
      <c r="EA133" s="1289"/>
      <c r="EB133" s="1289"/>
      <c r="EC133" s="1289"/>
      <c r="ED133" s="1289"/>
      <c r="EE133" s="1289"/>
      <c r="EF133" s="1289"/>
      <c r="EG133" s="1289"/>
      <c r="EH133" s="1289"/>
      <c r="EI133" s="1289"/>
      <c r="EJ133" s="1289"/>
      <c r="EK133" s="1289"/>
      <c r="EL133" s="1289"/>
      <c r="EM133" s="1289"/>
      <c r="EN133" s="1289"/>
      <c r="EO133" s="1289"/>
      <c r="EP133" s="1289"/>
      <c r="EQ133" s="1289"/>
      <c r="ER133" s="1289"/>
      <c r="ES133" s="1289"/>
      <c r="ET133" s="1289"/>
      <c r="EU133" s="1289"/>
      <c r="EV133" s="1289"/>
      <c r="EW133" s="1289"/>
      <c r="EX133" s="1289"/>
      <c r="EY133" s="1289"/>
      <c r="EZ133" s="1289"/>
      <c r="FA133" s="1289"/>
      <c r="FB133" s="1289"/>
      <c r="FC133" s="1289"/>
      <c r="FD133" s="1289"/>
      <c r="FE133" s="1289"/>
      <c r="FF133" s="1289"/>
      <c r="FG133" s="1289"/>
      <c r="FH133" s="1289"/>
      <c r="FI133" s="1289"/>
      <c r="FJ133" s="1289"/>
      <c r="FK133" s="1289"/>
      <c r="FL133" s="1289"/>
      <c r="FM133" s="1289"/>
      <c r="FN133" s="1289"/>
      <c r="FO133" s="1289"/>
      <c r="FP133" s="1289"/>
      <c r="FQ133" s="1289"/>
      <c r="FR133" s="1289"/>
      <c r="FS133" s="1289"/>
      <c r="FT133" s="1289"/>
      <c r="FU133" s="1289"/>
      <c r="FV133" s="1289"/>
      <c r="FW133" s="1289"/>
      <c r="FX133" s="1289"/>
      <c r="FY133" s="1289"/>
      <c r="FZ133" s="1289"/>
      <c r="GA133" s="1289"/>
      <c r="GB133" s="1289"/>
      <c r="GC133" s="1289"/>
      <c r="GD133" s="1289"/>
      <c r="GE133" s="1289"/>
      <c r="GF133" s="1289"/>
      <c r="GG133" s="1289"/>
      <c r="GH133" s="1289"/>
      <c r="GI133" s="1289"/>
      <c r="GJ133" s="1289"/>
      <c r="GK133" s="1289"/>
      <c r="GL133" s="1289"/>
      <c r="GM133" s="1289"/>
    </row>
    <row r="134" spans="1:195" s="1299" customFormat="1" ht="1.9" hidden="1" customHeight="1" outlineLevel="1">
      <c r="A134" s="2127"/>
      <c r="B134" s="2127"/>
      <c r="C134" s="2128"/>
      <c r="D134" s="3663"/>
      <c r="E134" s="1294"/>
      <c r="F134" s="1280"/>
      <c r="G134" s="380"/>
      <c r="H134" s="1285"/>
      <c r="I134" s="1834"/>
      <c r="J134" s="2031"/>
      <c r="K134" s="2129"/>
      <c r="L134" s="2014"/>
      <c r="M134" s="1289"/>
      <c r="N134" s="1289"/>
      <c r="O134" s="1289"/>
      <c r="P134" s="1289"/>
      <c r="Q134" s="1289"/>
      <c r="R134" s="1289"/>
      <c r="S134" s="1289"/>
      <c r="T134" s="1289"/>
      <c r="U134" s="1289"/>
      <c r="V134" s="1289"/>
      <c r="W134" s="1289"/>
      <c r="X134" s="1289"/>
      <c r="Y134" s="1289"/>
      <c r="Z134" s="1289"/>
      <c r="AA134" s="1289"/>
      <c r="AB134" s="1289"/>
      <c r="AC134" s="1289"/>
      <c r="AD134" s="1289"/>
      <c r="AE134" s="1289"/>
      <c r="AF134" s="1289"/>
      <c r="AG134" s="1289"/>
      <c r="AH134" s="1289"/>
      <c r="AI134" s="1289"/>
      <c r="AJ134" s="1289"/>
      <c r="AK134" s="1289"/>
      <c r="AL134" s="1289"/>
      <c r="AM134" s="1289"/>
      <c r="AN134" s="1289"/>
      <c r="AO134" s="1289"/>
      <c r="AP134" s="1289"/>
      <c r="AQ134" s="1289"/>
      <c r="AR134" s="1289"/>
      <c r="AS134" s="1289"/>
      <c r="AT134" s="1289"/>
      <c r="AU134" s="1289"/>
      <c r="AV134" s="1289"/>
      <c r="AW134" s="1289"/>
      <c r="AX134" s="1289"/>
      <c r="AY134" s="1289"/>
      <c r="AZ134" s="1289"/>
      <c r="BA134" s="1289"/>
      <c r="BB134" s="1289"/>
      <c r="BC134" s="1289"/>
      <c r="BD134" s="1289"/>
      <c r="BE134" s="1289"/>
      <c r="BF134" s="1289"/>
      <c r="BG134" s="1289"/>
      <c r="BH134" s="1289"/>
      <c r="BI134" s="1289"/>
      <c r="BJ134" s="1289"/>
      <c r="BK134" s="1289"/>
      <c r="BL134" s="1289"/>
      <c r="BM134" s="1289"/>
      <c r="BN134" s="1289"/>
      <c r="BO134" s="1289"/>
      <c r="BP134" s="1289"/>
      <c r="BQ134" s="1289"/>
      <c r="BR134" s="1289"/>
      <c r="BS134" s="1289"/>
      <c r="BT134" s="1289"/>
      <c r="BU134" s="1289"/>
      <c r="BV134" s="1289"/>
      <c r="BW134" s="1289"/>
      <c r="BX134" s="1289"/>
      <c r="BY134" s="1289"/>
      <c r="BZ134" s="1289"/>
      <c r="CA134" s="1289"/>
      <c r="CB134" s="1289"/>
      <c r="CC134" s="1289"/>
      <c r="CD134" s="1289"/>
      <c r="CE134" s="1289"/>
      <c r="CF134" s="1289"/>
      <c r="CG134" s="1289"/>
      <c r="CH134" s="1289"/>
      <c r="CI134" s="1289"/>
      <c r="CJ134" s="1289"/>
      <c r="CK134" s="1289"/>
      <c r="CL134" s="1289"/>
      <c r="CM134" s="1289"/>
      <c r="CN134" s="1289"/>
      <c r="CO134" s="1289"/>
      <c r="CP134" s="1289"/>
      <c r="CQ134" s="1289"/>
      <c r="CR134" s="1289"/>
      <c r="CS134" s="1289"/>
      <c r="CT134" s="1289"/>
      <c r="CU134" s="1289"/>
      <c r="CV134" s="1289"/>
      <c r="CW134" s="1289"/>
      <c r="CX134" s="1289"/>
      <c r="CY134" s="1289"/>
      <c r="CZ134" s="1289"/>
      <c r="DA134" s="1289"/>
      <c r="DB134" s="1289"/>
      <c r="DC134" s="1289"/>
      <c r="DD134" s="1289"/>
      <c r="DE134" s="1289"/>
      <c r="DF134" s="1289"/>
      <c r="DG134" s="1289"/>
      <c r="DH134" s="1289"/>
      <c r="DI134" s="1289"/>
      <c r="DJ134" s="1289"/>
      <c r="DK134" s="1289"/>
      <c r="DL134" s="1289"/>
      <c r="DM134" s="1289"/>
      <c r="DN134" s="1289"/>
      <c r="DO134" s="1289"/>
      <c r="DP134" s="1289"/>
      <c r="DQ134" s="1289"/>
      <c r="DR134" s="1289"/>
      <c r="DS134" s="1289"/>
      <c r="DT134" s="1289"/>
      <c r="DU134" s="1289"/>
      <c r="DV134" s="1289"/>
      <c r="DW134" s="1289"/>
      <c r="DX134" s="1289"/>
      <c r="DY134" s="1289"/>
      <c r="DZ134" s="1289"/>
      <c r="EA134" s="1289"/>
      <c r="EB134" s="1289"/>
      <c r="EC134" s="1289"/>
      <c r="ED134" s="1289"/>
      <c r="EE134" s="1289"/>
      <c r="EF134" s="1289"/>
      <c r="EG134" s="1289"/>
      <c r="EH134" s="1289"/>
      <c r="EI134" s="1289"/>
      <c r="EJ134" s="1289"/>
      <c r="EK134" s="1289"/>
      <c r="EL134" s="1289"/>
      <c r="EM134" s="1289"/>
      <c r="EN134" s="1289"/>
      <c r="EO134" s="1289"/>
      <c r="EP134" s="1289"/>
      <c r="EQ134" s="1289"/>
      <c r="ER134" s="1289"/>
      <c r="ES134" s="1289"/>
      <c r="ET134" s="1289"/>
      <c r="EU134" s="1289"/>
      <c r="EV134" s="1289"/>
      <c r="EW134" s="1289"/>
      <c r="EX134" s="1289"/>
      <c r="EY134" s="1289"/>
      <c r="EZ134" s="1289"/>
      <c r="FA134" s="1289"/>
      <c r="FB134" s="1289"/>
      <c r="FC134" s="1289"/>
      <c r="FD134" s="1289"/>
      <c r="FE134" s="1289"/>
      <c r="FF134" s="1289"/>
      <c r="FG134" s="1289"/>
      <c r="FH134" s="1289"/>
      <c r="FI134" s="1289"/>
      <c r="FJ134" s="1289"/>
      <c r="FK134" s="1289"/>
      <c r="FL134" s="1289"/>
      <c r="FM134" s="1289"/>
      <c r="FN134" s="1289"/>
      <c r="FO134" s="1289"/>
      <c r="FP134" s="1289"/>
      <c r="FQ134" s="1289"/>
      <c r="FR134" s="1289"/>
      <c r="FS134" s="1289"/>
      <c r="FT134" s="1289"/>
      <c r="FU134" s="1289"/>
      <c r="FV134" s="1289"/>
      <c r="FW134" s="1289"/>
      <c r="FX134" s="1289"/>
      <c r="FY134" s="1289"/>
      <c r="FZ134" s="1289"/>
      <c r="GA134" s="1289"/>
      <c r="GB134" s="1289"/>
      <c r="GC134" s="1289"/>
      <c r="GD134" s="1289"/>
      <c r="GE134" s="1289"/>
      <c r="GF134" s="1289"/>
      <c r="GG134" s="1289"/>
      <c r="GH134" s="1289"/>
      <c r="GI134" s="1289"/>
      <c r="GJ134" s="1289"/>
      <c r="GK134" s="1289"/>
      <c r="GL134" s="1289"/>
      <c r="GM134" s="1289"/>
    </row>
    <row r="135" spans="1:195" s="1299" customFormat="1" ht="1.9" hidden="1" customHeight="1" outlineLevel="1">
      <c r="A135" s="2127"/>
      <c r="B135" s="2127"/>
      <c r="C135" s="2128"/>
      <c r="D135" s="1297"/>
      <c r="E135" s="1294"/>
      <c r="F135" s="1280"/>
      <c r="G135" s="380"/>
      <c r="H135" s="1285"/>
      <c r="I135" s="1834"/>
      <c r="J135" s="2031"/>
      <c r="K135" s="2129"/>
      <c r="L135" s="2014"/>
      <c r="M135" s="1289"/>
      <c r="N135" s="1289"/>
      <c r="O135" s="1289"/>
      <c r="P135" s="1289"/>
      <c r="Q135" s="1289"/>
      <c r="R135" s="1289"/>
      <c r="S135" s="1289"/>
      <c r="T135" s="1289"/>
      <c r="U135" s="1289"/>
      <c r="V135" s="1289"/>
      <c r="W135" s="1289"/>
      <c r="X135" s="1289"/>
      <c r="Y135" s="1289"/>
      <c r="Z135" s="1289"/>
      <c r="AA135" s="1289"/>
      <c r="AB135" s="1289"/>
      <c r="AC135" s="1289"/>
      <c r="AD135" s="1289"/>
      <c r="AE135" s="1289"/>
      <c r="AF135" s="1289"/>
      <c r="AG135" s="1289"/>
      <c r="AH135" s="1289"/>
      <c r="AI135" s="1289"/>
      <c r="AJ135" s="1289"/>
      <c r="AK135" s="1289"/>
      <c r="AL135" s="1289"/>
      <c r="AM135" s="1289"/>
      <c r="AN135" s="1289"/>
      <c r="AO135" s="1289"/>
      <c r="AP135" s="1289"/>
      <c r="AQ135" s="1289"/>
      <c r="AR135" s="1289"/>
      <c r="AS135" s="1289"/>
      <c r="AT135" s="1289"/>
      <c r="AU135" s="1289"/>
      <c r="AV135" s="1289"/>
      <c r="AW135" s="1289"/>
      <c r="AX135" s="1289"/>
      <c r="AY135" s="1289"/>
      <c r="AZ135" s="1289"/>
      <c r="BA135" s="1289"/>
      <c r="BB135" s="1289"/>
      <c r="BC135" s="1289"/>
      <c r="BD135" s="1289"/>
      <c r="BE135" s="1289"/>
      <c r="BF135" s="1289"/>
      <c r="BG135" s="1289"/>
      <c r="BH135" s="1289"/>
      <c r="BI135" s="1289"/>
      <c r="BJ135" s="1289"/>
      <c r="BK135" s="1289"/>
      <c r="BL135" s="1289"/>
      <c r="BM135" s="1289"/>
      <c r="BN135" s="1289"/>
      <c r="BO135" s="1289"/>
      <c r="BP135" s="1289"/>
      <c r="BQ135" s="1289"/>
      <c r="BR135" s="1289"/>
      <c r="BS135" s="1289"/>
      <c r="BT135" s="1289"/>
      <c r="BU135" s="1289"/>
      <c r="BV135" s="1289"/>
      <c r="BW135" s="1289"/>
      <c r="BX135" s="1289"/>
      <c r="BY135" s="1289"/>
      <c r="BZ135" s="1289"/>
      <c r="CA135" s="1289"/>
      <c r="CB135" s="1289"/>
      <c r="CC135" s="1289"/>
      <c r="CD135" s="1289"/>
      <c r="CE135" s="1289"/>
      <c r="CF135" s="1289"/>
      <c r="CG135" s="1289"/>
      <c r="CH135" s="1289"/>
      <c r="CI135" s="1289"/>
      <c r="CJ135" s="1289"/>
      <c r="CK135" s="1289"/>
      <c r="CL135" s="1289"/>
      <c r="CM135" s="1289"/>
      <c r="CN135" s="1289"/>
      <c r="CO135" s="1289"/>
      <c r="CP135" s="1289"/>
      <c r="CQ135" s="1289"/>
      <c r="CR135" s="1289"/>
      <c r="CS135" s="1289"/>
      <c r="CT135" s="1289"/>
      <c r="CU135" s="1289"/>
      <c r="CV135" s="1289"/>
      <c r="CW135" s="1289"/>
      <c r="CX135" s="1289"/>
      <c r="CY135" s="1289"/>
      <c r="CZ135" s="1289"/>
      <c r="DA135" s="1289"/>
      <c r="DB135" s="1289"/>
      <c r="DC135" s="1289"/>
      <c r="DD135" s="1289"/>
      <c r="DE135" s="1289"/>
      <c r="DF135" s="1289"/>
      <c r="DG135" s="1289"/>
      <c r="DH135" s="1289"/>
      <c r="DI135" s="1289"/>
      <c r="DJ135" s="1289"/>
      <c r="DK135" s="1289"/>
      <c r="DL135" s="1289"/>
      <c r="DM135" s="1289"/>
      <c r="DN135" s="1289"/>
      <c r="DO135" s="1289"/>
      <c r="DP135" s="1289"/>
      <c r="DQ135" s="1289"/>
      <c r="DR135" s="1289"/>
      <c r="DS135" s="1289"/>
      <c r="DT135" s="1289"/>
      <c r="DU135" s="1289"/>
      <c r="DV135" s="1289"/>
      <c r="DW135" s="1289"/>
      <c r="DX135" s="1289"/>
      <c r="DY135" s="1289"/>
      <c r="DZ135" s="1289"/>
      <c r="EA135" s="1289"/>
      <c r="EB135" s="1289"/>
      <c r="EC135" s="1289"/>
      <c r="ED135" s="1289"/>
      <c r="EE135" s="1289"/>
      <c r="EF135" s="1289"/>
      <c r="EG135" s="1289"/>
      <c r="EH135" s="1289"/>
      <c r="EI135" s="1289"/>
      <c r="EJ135" s="1289"/>
      <c r="EK135" s="1289"/>
      <c r="EL135" s="1289"/>
      <c r="EM135" s="1289"/>
      <c r="EN135" s="1289"/>
      <c r="EO135" s="1289"/>
      <c r="EP135" s="1289"/>
      <c r="EQ135" s="1289"/>
      <c r="ER135" s="1289"/>
      <c r="ES135" s="1289"/>
      <c r="ET135" s="1289"/>
      <c r="EU135" s="1289"/>
      <c r="EV135" s="1289"/>
      <c r="EW135" s="1289"/>
      <c r="EX135" s="1289"/>
      <c r="EY135" s="1289"/>
      <c r="EZ135" s="1289"/>
      <c r="FA135" s="1289"/>
      <c r="FB135" s="1289"/>
      <c r="FC135" s="1289"/>
      <c r="FD135" s="1289"/>
      <c r="FE135" s="1289"/>
      <c r="FF135" s="1289"/>
      <c r="FG135" s="1289"/>
      <c r="FH135" s="1289"/>
      <c r="FI135" s="1289"/>
      <c r="FJ135" s="1289"/>
      <c r="FK135" s="1289"/>
      <c r="FL135" s="1289"/>
      <c r="FM135" s="1289"/>
      <c r="FN135" s="1289"/>
      <c r="FO135" s="1289"/>
      <c r="FP135" s="1289"/>
      <c r="FQ135" s="1289"/>
      <c r="FR135" s="1289"/>
      <c r="FS135" s="1289"/>
      <c r="FT135" s="1289"/>
      <c r="FU135" s="1289"/>
      <c r="FV135" s="1289"/>
      <c r="FW135" s="1289"/>
      <c r="FX135" s="1289"/>
      <c r="FY135" s="1289"/>
      <c r="FZ135" s="1289"/>
      <c r="GA135" s="1289"/>
      <c r="GB135" s="1289"/>
      <c r="GC135" s="1289"/>
      <c r="GD135" s="1289"/>
      <c r="GE135" s="1289"/>
      <c r="GF135" s="1289"/>
      <c r="GG135" s="1289"/>
      <c r="GH135" s="1289"/>
      <c r="GI135" s="1289"/>
      <c r="GJ135" s="1289"/>
      <c r="GK135" s="1289"/>
      <c r="GL135" s="1289"/>
      <c r="GM135" s="1289"/>
    </row>
    <row r="136" spans="1:195" s="1299" customFormat="1" ht="1.9" hidden="1" customHeight="1" outlineLevel="1">
      <c r="A136" s="2127"/>
      <c r="B136" s="2127"/>
      <c r="C136" s="2128"/>
      <c r="D136" s="1297"/>
      <c r="E136" s="1294"/>
      <c r="F136" s="1280"/>
      <c r="G136" s="380"/>
      <c r="H136" s="1285"/>
      <c r="I136" s="1834"/>
      <c r="J136" s="2031"/>
      <c r="K136" s="2129"/>
      <c r="L136" s="2014"/>
      <c r="M136" s="1289"/>
      <c r="N136" s="1289"/>
      <c r="O136" s="1289"/>
      <c r="P136" s="1289"/>
      <c r="Q136" s="1289"/>
      <c r="R136" s="1289"/>
      <c r="S136" s="1289"/>
      <c r="T136" s="1289"/>
      <c r="U136" s="1289"/>
      <c r="V136" s="1289"/>
      <c r="W136" s="1289"/>
      <c r="X136" s="1289"/>
      <c r="Y136" s="1289"/>
      <c r="Z136" s="1289"/>
      <c r="AA136" s="1289"/>
      <c r="AB136" s="1289"/>
      <c r="AC136" s="1289"/>
      <c r="AD136" s="1289"/>
      <c r="AE136" s="1289"/>
      <c r="AF136" s="1289"/>
      <c r="AG136" s="1289"/>
      <c r="AH136" s="1289"/>
      <c r="AI136" s="1289"/>
      <c r="AJ136" s="1289"/>
      <c r="AK136" s="1289"/>
      <c r="AL136" s="1289"/>
      <c r="AM136" s="1289"/>
      <c r="AN136" s="1289"/>
      <c r="AO136" s="1289"/>
      <c r="AP136" s="1289"/>
      <c r="AQ136" s="1289"/>
      <c r="AR136" s="1289"/>
      <c r="AS136" s="1289"/>
      <c r="AT136" s="1289"/>
      <c r="AU136" s="1289"/>
      <c r="AV136" s="1289"/>
      <c r="AW136" s="1289"/>
      <c r="AX136" s="1289"/>
      <c r="AY136" s="1289"/>
      <c r="AZ136" s="1289"/>
      <c r="BA136" s="1289"/>
      <c r="BB136" s="1289"/>
      <c r="BC136" s="1289"/>
      <c r="BD136" s="1289"/>
      <c r="BE136" s="1289"/>
      <c r="BF136" s="1289"/>
      <c r="BG136" s="1289"/>
      <c r="BH136" s="1289"/>
      <c r="BI136" s="1289"/>
      <c r="BJ136" s="1289"/>
      <c r="BK136" s="1289"/>
      <c r="BL136" s="1289"/>
      <c r="BM136" s="1289"/>
      <c r="BN136" s="1289"/>
      <c r="BO136" s="1289"/>
      <c r="BP136" s="1289"/>
      <c r="BQ136" s="1289"/>
      <c r="BR136" s="1289"/>
      <c r="BS136" s="1289"/>
      <c r="BT136" s="1289"/>
      <c r="BU136" s="1289"/>
      <c r="BV136" s="1289"/>
      <c r="BW136" s="1289"/>
      <c r="BX136" s="1289"/>
      <c r="BY136" s="1289"/>
      <c r="BZ136" s="1289"/>
      <c r="CA136" s="1289"/>
      <c r="CB136" s="1289"/>
      <c r="CC136" s="1289"/>
      <c r="CD136" s="1289"/>
      <c r="CE136" s="1289"/>
      <c r="CF136" s="1289"/>
      <c r="CG136" s="1289"/>
      <c r="CH136" s="1289"/>
      <c r="CI136" s="1289"/>
      <c r="CJ136" s="1289"/>
      <c r="CK136" s="1289"/>
      <c r="CL136" s="1289"/>
      <c r="CM136" s="1289"/>
      <c r="CN136" s="1289"/>
      <c r="CO136" s="1289"/>
      <c r="CP136" s="1289"/>
      <c r="CQ136" s="1289"/>
      <c r="CR136" s="1289"/>
      <c r="CS136" s="1289"/>
      <c r="CT136" s="1289"/>
      <c r="CU136" s="1289"/>
      <c r="CV136" s="1289"/>
      <c r="CW136" s="1289"/>
      <c r="CX136" s="1289"/>
      <c r="CY136" s="1289"/>
      <c r="CZ136" s="1289"/>
      <c r="DA136" s="1289"/>
      <c r="DB136" s="1289"/>
      <c r="DC136" s="1289"/>
      <c r="DD136" s="1289"/>
      <c r="DE136" s="1289"/>
      <c r="DF136" s="1289"/>
      <c r="DG136" s="1289"/>
      <c r="DH136" s="1289"/>
      <c r="DI136" s="1289"/>
      <c r="DJ136" s="1289"/>
      <c r="DK136" s="1289"/>
      <c r="DL136" s="1289"/>
      <c r="DM136" s="1289"/>
      <c r="DN136" s="1289"/>
      <c r="DO136" s="1289"/>
      <c r="DP136" s="1289"/>
      <c r="DQ136" s="1289"/>
      <c r="DR136" s="1289"/>
      <c r="DS136" s="1289"/>
      <c r="DT136" s="1289"/>
      <c r="DU136" s="1289"/>
      <c r="DV136" s="1289"/>
      <c r="DW136" s="1289"/>
      <c r="DX136" s="1289"/>
      <c r="DY136" s="1289"/>
      <c r="DZ136" s="1289"/>
      <c r="EA136" s="1289"/>
      <c r="EB136" s="1289"/>
      <c r="EC136" s="1289"/>
      <c r="ED136" s="1289"/>
      <c r="EE136" s="1289"/>
      <c r="EF136" s="1289"/>
      <c r="EG136" s="1289"/>
      <c r="EH136" s="1289"/>
      <c r="EI136" s="1289"/>
      <c r="EJ136" s="1289"/>
      <c r="EK136" s="1289"/>
      <c r="EL136" s="1289"/>
      <c r="EM136" s="1289"/>
      <c r="EN136" s="1289"/>
      <c r="EO136" s="1289"/>
      <c r="EP136" s="1289"/>
      <c r="EQ136" s="1289"/>
      <c r="ER136" s="1289"/>
      <c r="ES136" s="1289"/>
      <c r="ET136" s="1289"/>
      <c r="EU136" s="1289"/>
      <c r="EV136" s="1289"/>
      <c r="EW136" s="1289"/>
      <c r="EX136" s="1289"/>
      <c r="EY136" s="1289"/>
      <c r="EZ136" s="1289"/>
      <c r="FA136" s="1289"/>
      <c r="FB136" s="1289"/>
      <c r="FC136" s="1289"/>
      <c r="FD136" s="1289"/>
      <c r="FE136" s="1289"/>
      <c r="FF136" s="1289"/>
      <c r="FG136" s="1289"/>
      <c r="FH136" s="1289"/>
      <c r="FI136" s="1289"/>
      <c r="FJ136" s="1289"/>
      <c r="FK136" s="1289"/>
      <c r="FL136" s="1289"/>
      <c r="FM136" s="1289"/>
      <c r="FN136" s="1289"/>
      <c r="FO136" s="1289"/>
      <c r="FP136" s="1289"/>
      <c r="FQ136" s="1289"/>
      <c r="FR136" s="1289"/>
      <c r="FS136" s="1289"/>
      <c r="FT136" s="1289"/>
      <c r="FU136" s="1289"/>
      <c r="FV136" s="1289"/>
      <c r="FW136" s="1289"/>
      <c r="FX136" s="1289"/>
      <c r="FY136" s="1289"/>
      <c r="FZ136" s="1289"/>
      <c r="GA136" s="1289"/>
      <c r="GB136" s="1289"/>
      <c r="GC136" s="1289"/>
      <c r="GD136" s="1289"/>
      <c r="GE136" s="1289"/>
      <c r="GF136" s="1289"/>
      <c r="GG136" s="1289"/>
      <c r="GH136" s="1289"/>
      <c r="GI136" s="1289"/>
      <c r="GJ136" s="1289"/>
      <c r="GK136" s="1289"/>
      <c r="GL136" s="1289"/>
      <c r="GM136" s="1289"/>
    </row>
    <row r="137" spans="1:195" ht="29.25" collapsed="1">
      <c r="D137" s="126" t="s">
        <v>2495</v>
      </c>
      <c r="E137" s="130" t="s">
        <v>1616</v>
      </c>
      <c r="F137" s="374">
        <f>F138+F139+F140</f>
        <v>256488.12844500004</v>
      </c>
      <c r="G137" s="403">
        <f>G138+G139+G140</f>
        <v>313928.73621730006</v>
      </c>
      <c r="H137" s="131">
        <f t="shared" si="7"/>
        <v>57440.60777230002</v>
      </c>
      <c r="I137" s="1840">
        <f t="shared" si="8"/>
        <v>0.22395035637923211</v>
      </c>
      <c r="J137" s="2030"/>
      <c r="K137" s="227"/>
    </row>
    <row r="138" spans="1:195" s="50" customFormat="1" ht="30" hidden="1" outlineLevel="1">
      <c r="A138" s="1665" t="s">
        <v>1952</v>
      </c>
      <c r="B138" s="1665" t="s">
        <v>663</v>
      </c>
      <c r="C138" s="1858"/>
      <c r="D138" s="160"/>
      <c r="E138" s="161" t="s">
        <v>663</v>
      </c>
      <c r="F138" s="364">
        <f>SUMIFS(INPUT!H:H,INPUT!E:E,BAZE_2024!A138,INPUT!B:B,BAZE_2024!B138)</f>
        <v>218653.12844500004</v>
      </c>
      <c r="G138" s="389">
        <f>SUMIFS(INPUT!L:L,INPUT!E:E,BAZE_2024!A138,INPUT!B:B,BAZE_2024!B138)</f>
        <v>279258.65621730004</v>
      </c>
      <c r="H138" s="146">
        <f t="shared" si="7"/>
        <v>60605.527772300004</v>
      </c>
      <c r="I138" s="1836">
        <f t="shared" si="8"/>
        <v>0.27717658651083377</v>
      </c>
      <c r="J138" s="2022" t="s">
        <v>5660</v>
      </c>
      <c r="K138" s="227"/>
      <c r="L138" s="77"/>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row>
    <row r="139" spans="1:195" s="50" customFormat="1" ht="15" hidden="1" outlineLevel="1">
      <c r="A139" s="1665" t="s">
        <v>1952</v>
      </c>
      <c r="B139" s="1665" t="s">
        <v>1248</v>
      </c>
      <c r="C139" s="1858"/>
      <c r="D139" s="216"/>
      <c r="E139" s="217" t="s">
        <v>579</v>
      </c>
      <c r="F139" s="364">
        <f>SUMIFS(INPUT!H:H,INPUT!E:E,BAZE_2024!A139,INPUT!B:B,BAZE_2024!B139)</f>
        <v>33335</v>
      </c>
      <c r="G139" s="389">
        <f>SUMIFS(INPUT!L:L,INPUT!E:E,BAZE_2024!A139,INPUT!B:B,BAZE_2024!B139)</f>
        <v>31470.080000000002</v>
      </c>
      <c r="H139" s="146">
        <f t="shared" si="7"/>
        <v>-1864.9199999999983</v>
      </c>
      <c r="I139" s="1836">
        <f t="shared" si="8"/>
        <v>-5.5944802759861953E-2</v>
      </c>
      <c r="J139" s="2022"/>
      <c r="K139" s="156">
        <v>-0.01</v>
      </c>
      <c r="L139" s="1222">
        <f>G139*K139</f>
        <v>-314.70080000000002</v>
      </c>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row>
    <row r="140" spans="1:195" s="50" customFormat="1" ht="15" hidden="1" outlineLevel="1">
      <c r="A140" s="1665" t="s">
        <v>1952</v>
      </c>
      <c r="B140" s="1665" t="s">
        <v>1250</v>
      </c>
      <c r="C140" s="1858"/>
      <c r="D140" s="160"/>
      <c r="E140" s="161" t="s">
        <v>578</v>
      </c>
      <c r="F140" s="364">
        <f>SUMIFS(INPUT!H:H,INPUT!E:E,BAZE_2024!A140,INPUT!B:B,BAZE_2024!B140)</f>
        <v>4500</v>
      </c>
      <c r="G140" s="389">
        <f>SUMIFS(INPUT!L:L,INPUT!E:E,BAZE_2024!A140,INPUT!B:B,BAZE_2024!B140)</f>
        <v>3200</v>
      </c>
      <c r="H140" s="146">
        <f t="shared" si="7"/>
        <v>-1300</v>
      </c>
      <c r="I140" s="1836">
        <f t="shared" si="8"/>
        <v>-0.28888888888888886</v>
      </c>
      <c r="J140" s="1139"/>
      <c r="K140" s="227"/>
      <c r="L140" s="77"/>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218" customFormat="1" ht="15" hidden="1" outlineLevel="1">
      <c r="A141" s="1665" t="s">
        <v>1952</v>
      </c>
      <c r="B141" s="1665" t="s">
        <v>1249</v>
      </c>
      <c r="C141" s="1858"/>
      <c r="D141" s="163"/>
      <c r="E141" s="164" t="s">
        <v>1249</v>
      </c>
      <c r="F141" s="364">
        <f>SUMIFS(INPUT!H:H,INPUT!E:E,BAZE_2024!A141,INPUT!B:B,BAZE_2024!B141)</f>
        <v>78000</v>
      </c>
      <c r="G141" s="389">
        <f>SUMIFS(INPUT!L:L,INPUT!E:E,BAZE_2024!A141,INPUT!B:B,BAZE_2024!B141)</f>
        <v>79126</v>
      </c>
      <c r="H141" s="146">
        <f t="shared" si="7"/>
        <v>1126</v>
      </c>
      <c r="I141" s="1837">
        <f t="shared" si="8"/>
        <v>1.4435897435897436E-2</v>
      </c>
      <c r="J141" s="1131"/>
      <c r="K141" s="227"/>
      <c r="L141" s="2012"/>
      <c r="M141" s="226"/>
      <c r="N141" s="226"/>
      <c r="O141" s="226"/>
      <c r="P141" s="226"/>
      <c r="Q141" s="226"/>
      <c r="R141" s="226"/>
      <c r="S141" s="226"/>
      <c r="T141" s="226"/>
      <c r="U141" s="226"/>
      <c r="V141" s="226"/>
      <c r="W141" s="226"/>
      <c r="X141" s="226"/>
      <c r="Y141" s="226"/>
      <c r="Z141" s="226"/>
      <c r="AA141" s="226"/>
      <c r="AB141" s="226"/>
      <c r="AC141" s="226"/>
      <c r="AD141" s="226"/>
      <c r="AE141" s="226"/>
      <c r="AF141" s="226"/>
      <c r="AG141" s="226"/>
      <c r="AH141" s="226"/>
      <c r="AI141" s="226"/>
      <c r="AJ141" s="226"/>
      <c r="AK141" s="226"/>
      <c r="AL141" s="226"/>
      <c r="AM141" s="226"/>
      <c r="AN141" s="226"/>
      <c r="AO141" s="226"/>
      <c r="AP141" s="226"/>
      <c r="AQ141" s="226"/>
      <c r="AR141" s="226"/>
      <c r="AS141" s="226"/>
      <c r="AT141" s="226"/>
      <c r="AU141" s="226"/>
      <c r="AV141" s="226"/>
      <c r="AW141" s="226"/>
      <c r="AX141" s="226"/>
      <c r="AY141" s="226"/>
      <c r="AZ141" s="226"/>
      <c r="BA141" s="226"/>
      <c r="BB141" s="226"/>
      <c r="BC141" s="226"/>
      <c r="BD141" s="226"/>
      <c r="BE141" s="226"/>
      <c r="BF141" s="226"/>
      <c r="BG141" s="226"/>
      <c r="BH141" s="226"/>
      <c r="BI141" s="226"/>
      <c r="BJ141" s="226"/>
      <c r="BK141" s="226"/>
      <c r="BL141" s="226"/>
      <c r="BM141" s="226"/>
      <c r="BN141" s="226"/>
      <c r="BO141" s="226"/>
      <c r="BP141" s="226"/>
      <c r="BQ141" s="226"/>
      <c r="BR141" s="226"/>
      <c r="BS141" s="226"/>
      <c r="BT141" s="226"/>
      <c r="BU141" s="226"/>
      <c r="BV141" s="226"/>
      <c r="BW141" s="226"/>
      <c r="BX141" s="226"/>
      <c r="BY141" s="226"/>
      <c r="BZ141" s="226"/>
      <c r="CA141" s="226"/>
      <c r="CB141" s="226"/>
      <c r="CC141" s="226"/>
      <c r="CD141" s="226"/>
      <c r="CE141" s="226"/>
      <c r="CF141" s="226"/>
      <c r="CG141" s="226"/>
      <c r="CH141" s="226"/>
      <c r="CI141" s="226"/>
      <c r="CJ141" s="226"/>
      <c r="CK141" s="226"/>
      <c r="CL141" s="226"/>
      <c r="CM141" s="226"/>
      <c r="CN141" s="226"/>
      <c r="CO141" s="226"/>
      <c r="CP141" s="226"/>
      <c r="CQ141" s="226"/>
      <c r="CR141" s="226"/>
      <c r="CS141" s="226"/>
      <c r="CT141" s="226"/>
      <c r="CU141" s="226"/>
      <c r="CV141" s="226"/>
      <c r="CW141" s="226"/>
      <c r="CX141" s="226"/>
      <c r="CY141" s="226"/>
      <c r="CZ141" s="226"/>
      <c r="DA141" s="226"/>
      <c r="DB141" s="226"/>
      <c r="DC141" s="226"/>
      <c r="DD141" s="226"/>
      <c r="DE141" s="226"/>
      <c r="DF141" s="226"/>
      <c r="DG141" s="226"/>
      <c r="DH141" s="226"/>
      <c r="DI141" s="226"/>
      <c r="DJ141" s="226"/>
      <c r="DK141" s="226"/>
      <c r="DL141" s="226"/>
      <c r="DM141" s="226"/>
      <c r="DN141" s="226"/>
      <c r="DO141" s="226"/>
      <c r="DP141" s="226"/>
      <c r="DQ141" s="226"/>
      <c r="DR141" s="226"/>
      <c r="DS141" s="226"/>
      <c r="DT141" s="226"/>
      <c r="DU141" s="226"/>
      <c r="DV141" s="226"/>
      <c r="DW141" s="226"/>
      <c r="DX141" s="226"/>
      <c r="DY141" s="226"/>
      <c r="DZ141" s="226"/>
      <c r="EA141" s="226"/>
      <c r="EB141" s="226"/>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G141" s="226"/>
      <c r="FH141" s="226"/>
      <c r="FI141" s="226"/>
      <c r="FJ141" s="226"/>
      <c r="FK141" s="226"/>
      <c r="FL141" s="226"/>
      <c r="FM141" s="226"/>
      <c r="FN141" s="226"/>
      <c r="FO141" s="226"/>
      <c r="FP141" s="226"/>
      <c r="FQ141" s="226"/>
      <c r="FR141" s="226"/>
      <c r="FS141" s="226"/>
      <c r="FT141" s="226"/>
      <c r="FU141" s="226"/>
      <c r="FV141" s="226"/>
      <c r="FW141" s="226"/>
      <c r="FX141" s="226"/>
      <c r="FY141" s="226"/>
      <c r="FZ141" s="226"/>
      <c r="GA141" s="226"/>
      <c r="GB141" s="226"/>
      <c r="GC141" s="226"/>
      <c r="GD141" s="226"/>
      <c r="GE141" s="226"/>
      <c r="GF141" s="226"/>
      <c r="GG141" s="226"/>
      <c r="GH141" s="226"/>
      <c r="GI141" s="226"/>
      <c r="GJ141" s="226"/>
      <c r="GK141" s="226"/>
      <c r="GL141" s="226"/>
      <c r="GM141" s="226"/>
    </row>
    <row r="142" spans="1:195" ht="29.25" collapsed="1">
      <c r="D142" s="126" t="s">
        <v>2496</v>
      </c>
      <c r="E142" s="130" t="s">
        <v>2978</v>
      </c>
      <c r="F142" s="374">
        <f>F143+F144+F145</f>
        <v>160572.14087500004</v>
      </c>
      <c r="G142" s="403">
        <f>G143+G144+G145</f>
        <v>162200.02932750003</v>
      </c>
      <c r="H142" s="131">
        <f t="shared" si="7"/>
        <v>1627.8884524999885</v>
      </c>
      <c r="I142" s="1840">
        <f t="shared" si="8"/>
        <v>1.0138050371809169E-2</v>
      </c>
      <c r="J142" s="1138"/>
      <c r="K142" s="227"/>
    </row>
    <row r="143" spans="1:195" s="50" customFormat="1" ht="15" hidden="1" customHeight="1" outlineLevel="1">
      <c r="A143" s="1665" t="s">
        <v>1930</v>
      </c>
      <c r="B143" s="1665" t="s">
        <v>663</v>
      </c>
      <c r="C143" s="1858"/>
      <c r="D143" s="160"/>
      <c r="E143" s="161" t="s">
        <v>663</v>
      </c>
      <c r="F143" s="364">
        <f>SUMIFS(INPUT!H:H,INPUT!E:E,BAZE_2024!A143,INPUT!B:B,BAZE_2024!B143)</f>
        <v>115308.14087500003</v>
      </c>
      <c r="G143" s="389">
        <f>SUMIFS(INPUT!L:L,INPUT!E:E,BAZE_2024!A143,INPUT!B:B,BAZE_2024!B143)</f>
        <v>122163.02932750003</v>
      </c>
      <c r="H143" s="146">
        <f t="shared" si="7"/>
        <v>6854.888452500003</v>
      </c>
      <c r="I143" s="1836">
        <f t="shared" si="8"/>
        <v>5.9448434433879704E-2</v>
      </c>
      <c r="J143" s="2023"/>
      <c r="K143" s="227"/>
      <c r="L143" s="77"/>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row>
    <row r="144" spans="1:195" s="50" customFormat="1" ht="15" hidden="1" outlineLevel="1">
      <c r="A144" s="1665" t="s">
        <v>1930</v>
      </c>
      <c r="B144" s="1665" t="s">
        <v>1248</v>
      </c>
      <c r="C144" s="1858"/>
      <c r="D144" s="216"/>
      <c r="E144" s="217" t="s">
        <v>579</v>
      </c>
      <c r="F144" s="364">
        <f>SUMIFS(INPUT!H:H,INPUT!E:E,BAZE_2024!A144,INPUT!B:B,BAZE_2024!B144)</f>
        <v>45264</v>
      </c>
      <c r="G144" s="389">
        <f>SUMIFS(INPUT!L:L,INPUT!E:E,BAZE_2024!A144,INPUT!B:B,BAZE_2024!B144)</f>
        <v>40037</v>
      </c>
      <c r="H144" s="146">
        <f t="shared" si="7"/>
        <v>-5227</v>
      </c>
      <c r="I144" s="1836">
        <f t="shared" si="8"/>
        <v>-0.11547808412866738</v>
      </c>
      <c r="J144" s="2022"/>
      <c r="K144" s="156">
        <v>-0.01</v>
      </c>
      <c r="L144" s="1222">
        <f>G144*K144</f>
        <v>-400.37</v>
      </c>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row>
    <row r="145" spans="1:195" s="50" customFormat="1" ht="15" hidden="1" outlineLevel="1">
      <c r="A145" s="1665" t="s">
        <v>1930</v>
      </c>
      <c r="B145" s="1665" t="s">
        <v>1250</v>
      </c>
      <c r="C145" s="1858"/>
      <c r="D145" s="160"/>
      <c r="E145" s="161" t="s">
        <v>578</v>
      </c>
      <c r="F145" s="364">
        <f>SUMIFS(INPUT!H:H,INPUT!E:E,BAZE_2024!A145,INPUT!B:B,BAZE_2024!B145)</f>
        <v>0</v>
      </c>
      <c r="G145" s="389">
        <f>SUMIFS(INPUT!L:L,INPUT!E:E,BAZE_2024!A145,INPUT!B:B,BAZE_2024!B145)</f>
        <v>0</v>
      </c>
      <c r="H145" s="146">
        <f t="shared" si="7"/>
        <v>0</v>
      </c>
      <c r="I145" s="1836" t="str">
        <f t="shared" si="8"/>
        <v>-</v>
      </c>
      <c r="J145" s="1139"/>
      <c r="K145" s="227"/>
      <c r="L145" s="77"/>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s="1299" customFormat="1" ht="15" hidden="1" outlineLevel="1">
      <c r="A146" s="2002" t="s">
        <v>1930</v>
      </c>
      <c r="B146" s="2002" t="s">
        <v>1249</v>
      </c>
      <c r="C146" s="2003"/>
      <c r="D146" s="1297"/>
      <c r="E146" s="1294" t="s">
        <v>1249</v>
      </c>
      <c r="F146" s="1279">
        <f>SUMIFS(INPUT!H:H,INPUT!E:E,BAZE_2024!A146,INPUT!B:B,BAZE_2024!B146)</f>
        <v>232064</v>
      </c>
      <c r="G146" s="389">
        <f>SUMIFS(INPUT!L:L,INPUT!E:E,BAZE_2024!A146,INPUT!B:B,BAZE_2024!B146)</f>
        <v>0</v>
      </c>
      <c r="H146" s="1285">
        <f t="shared" si="7"/>
        <v>-232064</v>
      </c>
      <c r="I146" s="1834">
        <f t="shared" si="8"/>
        <v>-1</v>
      </c>
      <c r="J146" s="1300"/>
      <c r="K146" s="1282"/>
      <c r="L146" s="2014"/>
      <c r="M146" s="1289"/>
      <c r="N146" s="1289"/>
      <c r="O146" s="1289"/>
      <c r="P146" s="1289"/>
      <c r="Q146" s="1289"/>
      <c r="R146" s="1289"/>
      <c r="S146" s="1289"/>
      <c r="T146" s="1289"/>
      <c r="U146" s="1289"/>
      <c r="V146" s="1289"/>
      <c r="W146" s="1289"/>
      <c r="X146" s="1289"/>
      <c r="Y146" s="1289"/>
      <c r="Z146" s="1289"/>
      <c r="AA146" s="1289"/>
      <c r="AB146" s="1289"/>
      <c r="AC146" s="1289"/>
      <c r="AD146" s="1289"/>
      <c r="AE146" s="1289"/>
      <c r="AF146" s="1289"/>
      <c r="AG146" s="1289"/>
      <c r="AH146" s="1289"/>
      <c r="AI146" s="1289"/>
      <c r="AJ146" s="1289"/>
      <c r="AK146" s="1289"/>
      <c r="AL146" s="1289"/>
      <c r="AM146" s="1289"/>
      <c r="AN146" s="1289"/>
      <c r="AO146" s="1289"/>
      <c r="AP146" s="1289"/>
      <c r="AQ146" s="1289"/>
      <c r="AR146" s="1289"/>
      <c r="AS146" s="1289"/>
      <c r="AT146" s="1289"/>
      <c r="AU146" s="1289"/>
      <c r="AV146" s="1289"/>
      <c r="AW146" s="1289"/>
      <c r="AX146" s="1289"/>
      <c r="AY146" s="1289"/>
      <c r="AZ146" s="1289"/>
      <c r="BA146" s="1289"/>
      <c r="BB146" s="1289"/>
      <c r="BC146" s="1289"/>
      <c r="BD146" s="1289"/>
      <c r="BE146" s="1289"/>
      <c r="BF146" s="1289"/>
      <c r="BG146" s="1289"/>
      <c r="BH146" s="1289"/>
      <c r="BI146" s="1289"/>
      <c r="BJ146" s="1289"/>
      <c r="BK146" s="1289"/>
      <c r="BL146" s="1289"/>
      <c r="BM146" s="1289"/>
      <c r="BN146" s="1289"/>
      <c r="BO146" s="1289"/>
      <c r="BP146" s="1289"/>
      <c r="BQ146" s="1289"/>
      <c r="BR146" s="1289"/>
      <c r="BS146" s="1289"/>
      <c r="BT146" s="1289"/>
      <c r="BU146" s="1289"/>
      <c r="BV146" s="1289"/>
      <c r="BW146" s="1289"/>
      <c r="BX146" s="1289"/>
      <c r="BY146" s="1289"/>
      <c r="BZ146" s="1289"/>
      <c r="CA146" s="1289"/>
      <c r="CB146" s="1289"/>
      <c r="CC146" s="1289"/>
      <c r="CD146" s="1289"/>
      <c r="CE146" s="1289"/>
      <c r="CF146" s="1289"/>
      <c r="CG146" s="1289"/>
      <c r="CH146" s="1289"/>
      <c r="CI146" s="1289"/>
      <c r="CJ146" s="1289"/>
      <c r="CK146" s="1289"/>
      <c r="CL146" s="1289"/>
      <c r="CM146" s="1289"/>
      <c r="CN146" s="1289"/>
      <c r="CO146" s="1289"/>
      <c r="CP146" s="1289"/>
      <c r="CQ146" s="1289"/>
      <c r="CR146" s="1289"/>
      <c r="CS146" s="1289"/>
      <c r="CT146" s="1289"/>
      <c r="CU146" s="1289"/>
      <c r="CV146" s="1289"/>
      <c r="CW146" s="1289"/>
      <c r="CX146" s="1289"/>
      <c r="CY146" s="1289"/>
      <c r="CZ146" s="1289"/>
      <c r="DA146" s="1289"/>
      <c r="DB146" s="1289"/>
      <c r="DC146" s="1289"/>
      <c r="DD146" s="1289"/>
      <c r="DE146" s="1289"/>
      <c r="DF146" s="1289"/>
      <c r="DG146" s="1289"/>
      <c r="DH146" s="1289"/>
      <c r="DI146" s="1289"/>
      <c r="DJ146" s="1289"/>
      <c r="DK146" s="1289"/>
      <c r="DL146" s="1289"/>
      <c r="DM146" s="1289"/>
      <c r="DN146" s="1289"/>
      <c r="DO146" s="1289"/>
      <c r="DP146" s="1289"/>
      <c r="DQ146" s="1289"/>
      <c r="DR146" s="1289"/>
      <c r="DS146" s="1289"/>
      <c r="DT146" s="1289"/>
      <c r="DU146" s="1289"/>
      <c r="DV146" s="1289"/>
      <c r="DW146" s="1289"/>
      <c r="DX146" s="1289"/>
      <c r="DY146" s="1289"/>
      <c r="DZ146" s="1289"/>
      <c r="EA146" s="1289"/>
      <c r="EB146" s="1289"/>
      <c r="EC146" s="1289"/>
      <c r="ED146" s="1289"/>
      <c r="EE146" s="1289"/>
      <c r="EF146" s="1289"/>
      <c r="EG146" s="1289"/>
      <c r="EH146" s="1289"/>
      <c r="EI146" s="1289"/>
      <c r="EJ146" s="1289"/>
      <c r="EK146" s="1289"/>
      <c r="EL146" s="1289"/>
      <c r="EM146" s="1289"/>
      <c r="EN146" s="1289"/>
      <c r="EO146" s="1289"/>
      <c r="EP146" s="1289"/>
      <c r="EQ146" s="1289"/>
      <c r="ER146" s="1289"/>
      <c r="ES146" s="1289"/>
      <c r="ET146" s="1289"/>
      <c r="EU146" s="1289"/>
      <c r="EV146" s="1289"/>
      <c r="EW146" s="1289"/>
      <c r="EX146" s="1289"/>
      <c r="EY146" s="1289"/>
      <c r="EZ146" s="1289"/>
      <c r="FA146" s="1289"/>
      <c r="FB146" s="1289"/>
      <c r="FC146" s="1289"/>
      <c r="FD146" s="1289"/>
      <c r="FE146" s="1289"/>
      <c r="FF146" s="1289"/>
      <c r="FG146" s="1289"/>
      <c r="FH146" s="1289"/>
      <c r="FI146" s="1289"/>
      <c r="FJ146" s="1289"/>
      <c r="FK146" s="1289"/>
      <c r="FL146" s="1289"/>
      <c r="FM146" s="1289"/>
      <c r="FN146" s="1289"/>
      <c r="FO146" s="1289"/>
      <c r="FP146" s="1289"/>
      <c r="FQ146" s="1289"/>
      <c r="FR146" s="1289"/>
      <c r="FS146" s="1289"/>
      <c r="FT146" s="1289"/>
      <c r="FU146" s="1289"/>
      <c r="FV146" s="1289"/>
      <c r="FW146" s="1289"/>
      <c r="FX146" s="1289"/>
      <c r="FY146" s="1289"/>
      <c r="FZ146" s="1289"/>
      <c r="GA146" s="1289"/>
      <c r="GB146" s="1289"/>
      <c r="GC146" s="1289"/>
      <c r="GD146" s="1289"/>
      <c r="GE146" s="1289"/>
      <c r="GF146" s="1289"/>
      <c r="GG146" s="1289"/>
      <c r="GH146" s="1289"/>
      <c r="GI146" s="1289"/>
      <c r="GJ146" s="1289"/>
      <c r="GK146" s="1289"/>
      <c r="GL146" s="1289"/>
      <c r="GM146" s="1289"/>
    </row>
    <row r="147" spans="1:195" ht="29.25" collapsed="1">
      <c r="A147" s="1956"/>
      <c r="D147" s="126" t="s">
        <v>2497</v>
      </c>
      <c r="E147" s="130" t="s">
        <v>2695</v>
      </c>
      <c r="F147" s="374">
        <f>F148+F149</f>
        <v>292817.65740000003</v>
      </c>
      <c r="G147" s="403">
        <f>G148+G149</f>
        <v>244892.73560000001</v>
      </c>
      <c r="H147" s="131">
        <f t="shared" si="7"/>
        <v>-47924.921800000011</v>
      </c>
      <c r="I147" s="1840">
        <f t="shared" si="8"/>
        <v>-0.16366814155108395</v>
      </c>
      <c r="J147" s="1138" t="s">
        <v>5661</v>
      </c>
      <c r="K147" s="227"/>
    </row>
    <row r="148" spans="1:195" s="50" customFormat="1" ht="15" outlineLevel="1">
      <c r="A148" s="1665" t="s">
        <v>1980</v>
      </c>
      <c r="B148" s="1665" t="s">
        <v>1248</v>
      </c>
      <c r="C148" s="1858"/>
      <c r="D148" s="216"/>
      <c r="E148" s="217" t="s">
        <v>579</v>
      </c>
      <c r="F148" s="364">
        <f>SUMIFS(INPUT!H:H,INPUT!E:E,BAZE_2024!A148,INPUT!B:B,BAZE_2024!B148)</f>
        <v>74323.637600000002</v>
      </c>
      <c r="G148" s="389">
        <f>SUMIFS(INPUT!L:L,INPUT!E:E,BAZE_2024!A148,INPUT!B:B,BAZE_2024!B148)</f>
        <v>57256.2</v>
      </c>
      <c r="H148" s="146">
        <f t="shared" si="7"/>
        <v>-17067.437600000005</v>
      </c>
      <c r="I148" s="1836">
        <f t="shared" si="8"/>
        <v>-0.22963673672506046</v>
      </c>
      <c r="J148" s="1132"/>
      <c r="K148" s="227"/>
      <c r="L148" s="77"/>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row>
    <row r="149" spans="1:195" s="50" customFormat="1" ht="15" outlineLevel="1">
      <c r="A149" s="1665" t="s">
        <v>1907</v>
      </c>
      <c r="B149" s="1665" t="s">
        <v>1248</v>
      </c>
      <c r="C149" s="1858"/>
      <c r="D149" s="160"/>
      <c r="E149" s="217" t="s">
        <v>579</v>
      </c>
      <c r="F149" s="364">
        <f>SUMIFS(INPUT!H:H,INPUT!E:E,BAZE_2024!A149,INPUT!B:B,BAZE_2024!B149)</f>
        <v>218494.01980000001</v>
      </c>
      <c r="G149" s="389">
        <f>SUMIFS(INPUT!L:L,INPUT!E:E,BAZE_2024!A149,INPUT!B:B,BAZE_2024!B149)</f>
        <v>187636.5356</v>
      </c>
      <c r="H149" s="146">
        <f t="shared" si="7"/>
        <v>-30857.484200000006</v>
      </c>
      <c r="I149" s="1836">
        <f t="shared" si="8"/>
        <v>-0.14122804929968158</v>
      </c>
      <c r="J149" s="1147"/>
      <c r="K149" s="227"/>
      <c r="L149" s="77"/>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row>
    <row r="150" spans="1:195" ht="31.5" customHeight="1">
      <c r="D150" s="126" t="s">
        <v>2498</v>
      </c>
      <c r="E150" s="130" t="s">
        <v>1581</v>
      </c>
      <c r="F150" s="374">
        <f>F151+F152+F153</f>
        <v>4330939.8735329993</v>
      </c>
      <c r="G150" s="403">
        <f>G151+G152+G153</f>
        <v>4642694.9826302836</v>
      </c>
      <c r="H150" s="131">
        <f t="shared" si="7"/>
        <v>311755.10909728426</v>
      </c>
      <c r="I150" s="1840">
        <f t="shared" si="8"/>
        <v>7.1983245715892957E-2</v>
      </c>
      <c r="J150" s="1138"/>
      <c r="K150" s="227"/>
    </row>
    <row r="151" spans="1:195" s="50" customFormat="1" ht="15" outlineLevel="1">
      <c r="A151" s="1665" t="s">
        <v>1133</v>
      </c>
      <c r="B151" s="1665" t="s">
        <v>663</v>
      </c>
      <c r="C151" s="1858"/>
      <c r="D151" s="160"/>
      <c r="E151" s="161" t="s">
        <v>663</v>
      </c>
      <c r="F151" s="389">
        <f>SUMIFS(INPUT!H:H,INPUT!E:E,BAZE_2024!A151,INPUT!B:B,BAZE_2024!B151)</f>
        <v>2174924.2161329999</v>
      </c>
      <c r="G151" s="389">
        <f>SUMIFS(INPUT!L:L,INPUT!E:E,BAZE_2024!A151,INPUT!B:B,BAZE_2024!B151)</f>
        <v>2527921.4136969503</v>
      </c>
      <c r="H151" s="146">
        <f t="shared" si="7"/>
        <v>352997.19756395044</v>
      </c>
      <c r="I151" s="1836">
        <f t="shared" si="8"/>
        <v>0.16230321725488761</v>
      </c>
      <c r="J151" s="1139" t="s">
        <v>5732</v>
      </c>
      <c r="K151" s="227"/>
      <c r="L151" s="77"/>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row>
    <row r="152" spans="1:195" s="50" customFormat="1" ht="15" outlineLevel="1">
      <c r="A152" s="1665" t="s">
        <v>1133</v>
      </c>
      <c r="B152" s="1665" t="s">
        <v>1248</v>
      </c>
      <c r="C152" s="1858"/>
      <c r="D152" s="216"/>
      <c r="E152" s="217" t="s">
        <v>579</v>
      </c>
      <c r="F152" s="364">
        <f>SUMIFS(INPUT!H:H,INPUT!E:E,BAZE_2024!A152,INPUT!B:B,BAZE_2024!B152)+F147</f>
        <v>2093425.6573999999</v>
      </c>
      <c r="G152" s="389">
        <f>SUMIFS(INPUT!L:L,INPUT!E:E,BAZE_2024!A152,INPUT!B:B,BAZE_2024!B152)+G147</f>
        <v>2029273.5689333335</v>
      </c>
      <c r="H152" s="146">
        <f t="shared" si="7"/>
        <v>-64152.088466666406</v>
      </c>
      <c r="I152" s="1836">
        <f t="shared" si="8"/>
        <v>-3.0644550590987904E-2</v>
      </c>
      <c r="J152" s="1132"/>
      <c r="K152" s="156">
        <v>-0.04</v>
      </c>
      <c r="L152" s="1222">
        <f>(G152+G162)*K152</f>
        <v>-95170.942757333338</v>
      </c>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row>
    <row r="153" spans="1:195" s="50" customFormat="1" ht="15" outlineLevel="1">
      <c r="A153" s="1665" t="s">
        <v>1133</v>
      </c>
      <c r="B153" s="1665" t="s">
        <v>1250</v>
      </c>
      <c r="C153" s="1858"/>
      <c r="D153" s="160"/>
      <c r="E153" s="161" t="s">
        <v>578</v>
      </c>
      <c r="F153" s="364">
        <f>SUMIFS(INPUT!H:H,INPUT!E:E,BAZE_2024!A153,INPUT!B:B,BAZE_2024!B153)+2086</f>
        <v>62590</v>
      </c>
      <c r="G153" s="389">
        <f>SUMIFS(INPUT!L:L,INPUT!E:E,BAZE_2024!A153,INPUT!B:B,BAZE_2024!B153)</f>
        <v>85500</v>
      </c>
      <c r="H153" s="146">
        <f t="shared" si="7"/>
        <v>22910</v>
      </c>
      <c r="I153" s="1836">
        <f t="shared" si="8"/>
        <v>0.36603291260584758</v>
      </c>
      <c r="J153" s="1141"/>
      <c r="K153" s="227"/>
      <c r="L153" s="77"/>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row>
    <row r="154" spans="1:195" s="1299" customFormat="1" ht="15" outlineLevel="1">
      <c r="A154" s="2127" t="s">
        <v>1133</v>
      </c>
      <c r="B154" s="2127" t="s">
        <v>1249</v>
      </c>
      <c r="C154" s="2128"/>
      <c r="D154" s="1297"/>
      <c r="E154" s="1294" t="s">
        <v>1249</v>
      </c>
      <c r="F154" s="1280">
        <f>SUMIFS(INPUT!H:H,INPUT!E:E,BAZE_2024!A154,INPUT!B:B,BAZE_2024!B154)</f>
        <v>4829</v>
      </c>
      <c r="G154" s="1280">
        <f>SUMIFS(INPUT!L:L,INPUT!E:E,BAZE_2024!A154,INPUT!B:B,BAZE_2024!B154)</f>
        <v>346788</v>
      </c>
      <c r="H154" s="1285">
        <f t="shared" si="7"/>
        <v>341959</v>
      </c>
      <c r="I154" s="1834">
        <f t="shared" si="8"/>
        <v>70.813626009525777</v>
      </c>
      <c r="J154" s="1300"/>
      <c r="K154" s="2129"/>
      <c r="L154" s="2014"/>
      <c r="M154" s="1289"/>
      <c r="N154" s="1289"/>
      <c r="O154" s="1289"/>
      <c r="P154" s="1289"/>
      <c r="Q154" s="1289"/>
      <c r="R154" s="1289"/>
      <c r="S154" s="1289"/>
      <c r="T154" s="1289"/>
      <c r="U154" s="1289"/>
      <c r="V154" s="1289"/>
      <c r="W154" s="1289"/>
      <c r="X154" s="1289"/>
      <c r="Y154" s="1289"/>
      <c r="Z154" s="1289"/>
      <c r="AA154" s="1289"/>
      <c r="AB154" s="1289"/>
      <c r="AC154" s="1289"/>
      <c r="AD154" s="1289"/>
      <c r="AE154" s="1289"/>
      <c r="AF154" s="1289"/>
      <c r="AG154" s="1289"/>
      <c r="AH154" s="1289"/>
      <c r="AI154" s="1289"/>
      <c r="AJ154" s="1289"/>
      <c r="AK154" s="1289"/>
      <c r="AL154" s="1289"/>
      <c r="AM154" s="1289"/>
      <c r="AN154" s="1289"/>
      <c r="AO154" s="1289"/>
      <c r="AP154" s="1289"/>
      <c r="AQ154" s="1289"/>
      <c r="AR154" s="1289"/>
      <c r="AS154" s="1289"/>
      <c r="AT154" s="1289"/>
      <c r="AU154" s="1289"/>
      <c r="AV154" s="1289"/>
      <c r="AW154" s="1289"/>
      <c r="AX154" s="1289"/>
      <c r="AY154" s="1289"/>
      <c r="AZ154" s="1289"/>
      <c r="BA154" s="1289"/>
      <c r="BB154" s="1289"/>
      <c r="BC154" s="1289"/>
      <c r="BD154" s="1289"/>
      <c r="BE154" s="1289"/>
      <c r="BF154" s="1289"/>
      <c r="BG154" s="1289"/>
      <c r="BH154" s="1289"/>
      <c r="BI154" s="1289"/>
      <c r="BJ154" s="1289"/>
      <c r="BK154" s="1289"/>
      <c r="BL154" s="1289"/>
      <c r="BM154" s="1289"/>
      <c r="BN154" s="1289"/>
      <c r="BO154" s="1289"/>
      <c r="BP154" s="1289"/>
      <c r="BQ154" s="1289"/>
      <c r="BR154" s="1289"/>
      <c r="BS154" s="1289"/>
      <c r="BT154" s="1289"/>
      <c r="BU154" s="1289"/>
      <c r="BV154" s="1289"/>
      <c r="BW154" s="1289"/>
      <c r="BX154" s="1289"/>
      <c r="BY154" s="1289"/>
      <c r="BZ154" s="1289"/>
      <c r="CA154" s="1289"/>
      <c r="CB154" s="1289"/>
      <c r="CC154" s="1289"/>
      <c r="CD154" s="1289"/>
      <c r="CE154" s="1289"/>
      <c r="CF154" s="1289"/>
      <c r="CG154" s="1289"/>
      <c r="CH154" s="1289"/>
      <c r="CI154" s="1289"/>
      <c r="CJ154" s="1289"/>
      <c r="CK154" s="1289"/>
      <c r="CL154" s="1289"/>
      <c r="CM154" s="1289"/>
      <c r="CN154" s="1289"/>
      <c r="CO154" s="1289"/>
      <c r="CP154" s="1289"/>
      <c r="CQ154" s="1289"/>
      <c r="CR154" s="1289"/>
      <c r="CS154" s="1289"/>
      <c r="CT154" s="1289"/>
      <c r="CU154" s="1289"/>
      <c r="CV154" s="1289"/>
      <c r="CW154" s="1289"/>
      <c r="CX154" s="1289"/>
      <c r="CY154" s="1289"/>
      <c r="CZ154" s="1289"/>
      <c r="DA154" s="1289"/>
      <c r="DB154" s="1289"/>
      <c r="DC154" s="1289"/>
      <c r="DD154" s="1289"/>
      <c r="DE154" s="1289"/>
      <c r="DF154" s="1289"/>
      <c r="DG154" s="1289"/>
      <c r="DH154" s="1289"/>
      <c r="DI154" s="1289"/>
      <c r="DJ154" s="1289"/>
      <c r="DK154" s="1289"/>
      <c r="DL154" s="1289"/>
      <c r="DM154" s="1289"/>
      <c r="DN154" s="1289"/>
      <c r="DO154" s="1289"/>
      <c r="DP154" s="1289"/>
      <c r="DQ154" s="1289"/>
      <c r="DR154" s="1289"/>
      <c r="DS154" s="1289"/>
      <c r="DT154" s="1289"/>
      <c r="DU154" s="1289"/>
      <c r="DV154" s="1289"/>
      <c r="DW154" s="1289"/>
      <c r="DX154" s="1289"/>
      <c r="DY154" s="1289"/>
      <c r="DZ154" s="1289"/>
      <c r="EA154" s="1289"/>
      <c r="EB154" s="1289"/>
      <c r="EC154" s="1289"/>
      <c r="ED154" s="1289"/>
      <c r="EE154" s="1289"/>
      <c r="EF154" s="1289"/>
      <c r="EG154" s="1289"/>
      <c r="EH154" s="1289"/>
      <c r="EI154" s="1289"/>
      <c r="EJ154" s="1289"/>
      <c r="EK154" s="1289"/>
      <c r="EL154" s="1289"/>
      <c r="EM154" s="1289"/>
      <c r="EN154" s="1289"/>
      <c r="EO154" s="1289"/>
      <c r="EP154" s="1289"/>
      <c r="EQ154" s="1289"/>
      <c r="ER154" s="1289"/>
      <c r="ES154" s="1289"/>
      <c r="ET154" s="1289"/>
      <c r="EU154" s="1289"/>
      <c r="EV154" s="1289"/>
      <c r="EW154" s="1289"/>
      <c r="EX154" s="1289"/>
      <c r="EY154" s="1289"/>
      <c r="EZ154" s="1289"/>
      <c r="FA154" s="1289"/>
      <c r="FB154" s="1289"/>
      <c r="FC154" s="1289"/>
      <c r="FD154" s="1289"/>
      <c r="FE154" s="1289"/>
      <c r="FF154" s="1289"/>
      <c r="FG154" s="1289"/>
      <c r="FH154" s="1289"/>
      <c r="FI154" s="1289"/>
      <c r="FJ154" s="1289"/>
      <c r="FK154" s="1289"/>
      <c r="FL154" s="1289"/>
      <c r="FM154" s="1289"/>
      <c r="FN154" s="1289"/>
      <c r="FO154" s="1289"/>
      <c r="FP154" s="1289"/>
      <c r="FQ154" s="1289"/>
      <c r="FR154" s="1289"/>
      <c r="FS154" s="1289"/>
      <c r="FT154" s="1289"/>
      <c r="FU154" s="1289"/>
      <c r="FV154" s="1289"/>
      <c r="FW154" s="1289"/>
      <c r="FX154" s="1289"/>
      <c r="FY154" s="1289"/>
      <c r="FZ154" s="1289"/>
      <c r="GA154" s="1289"/>
      <c r="GB154" s="1289"/>
      <c r="GC154" s="1289"/>
      <c r="GD154" s="1289"/>
      <c r="GE154" s="1289"/>
      <c r="GF154" s="1289"/>
      <c r="GG154" s="1289"/>
      <c r="GH154" s="1289"/>
      <c r="GI154" s="1289"/>
      <c r="GJ154" s="1289"/>
      <c r="GK154" s="1289"/>
      <c r="GL154" s="1289"/>
      <c r="GM154" s="1289"/>
    </row>
    <row r="155" spans="1:195" ht="29.25">
      <c r="D155" s="126" t="s">
        <v>2499</v>
      </c>
      <c r="E155" s="130" t="s">
        <v>1652</v>
      </c>
      <c r="F155" s="374">
        <f>F156+F157+F158</f>
        <v>2173750</v>
      </c>
      <c r="G155" s="403">
        <f>G156+G157+G158</f>
        <v>1574037</v>
      </c>
      <c r="H155" s="131">
        <f t="shared" ref="H155:H160" si="9">G155-F155</f>
        <v>-599713</v>
      </c>
      <c r="I155" s="1840">
        <f t="shared" si="8"/>
        <v>-0.27588867165037378</v>
      </c>
      <c r="J155" s="1138"/>
      <c r="K155" s="227"/>
    </row>
    <row r="156" spans="1:195" s="50" customFormat="1" ht="15" hidden="1" outlineLevel="1">
      <c r="A156" s="1665" t="s">
        <v>2861</v>
      </c>
      <c r="B156" s="1665" t="s">
        <v>663</v>
      </c>
      <c r="C156" s="1858"/>
      <c r="D156" s="160"/>
      <c r="E156" s="161" t="s">
        <v>663</v>
      </c>
      <c r="F156" s="364">
        <f>SUMIFS(INPUT!H:H,INPUT!E:E,BAZE_2024!A156,INPUT!B:B,BAZE_2024!B156)</f>
        <v>269010</v>
      </c>
      <c r="G156" s="389">
        <f>SUMIFS(INPUT!L:L,INPUT!E:E,BAZE_2024!A156,INPUT!B:B,BAZE_2024!B156)</f>
        <v>157864</v>
      </c>
      <c r="H156" s="162">
        <f t="shared" si="9"/>
        <v>-111146</v>
      </c>
      <c r="I156" s="1842">
        <f t="shared" si="8"/>
        <v>-0.41316679677335416</v>
      </c>
      <c r="J156" s="1141"/>
      <c r="K156" s="227"/>
      <c r="L156" s="77"/>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row>
    <row r="157" spans="1:195" s="50" customFormat="1" ht="15" hidden="1" outlineLevel="1">
      <c r="A157" s="1665" t="s">
        <v>2861</v>
      </c>
      <c r="B157" s="1665" t="s">
        <v>1248</v>
      </c>
      <c r="C157" s="1858"/>
      <c r="D157" s="216"/>
      <c r="E157" s="217" t="s">
        <v>579</v>
      </c>
      <c r="F157" s="364">
        <f>SUMIFS(INPUT!H:H,INPUT!E:E,BAZE_2024!A157,INPUT!B:B,BAZE_2024!B157)</f>
        <v>1859629</v>
      </c>
      <c r="G157" s="389">
        <f>SUMIFS(INPUT!L:L,INPUT!E:E,BAZE_2024!A157,INPUT!B:B,BAZE_2024!B157)</f>
        <v>1358673</v>
      </c>
      <c r="H157" s="146">
        <f t="shared" si="9"/>
        <v>-500956</v>
      </c>
      <c r="I157" s="1836">
        <f t="shared" si="8"/>
        <v>-0.26938491494808908</v>
      </c>
      <c r="J157" s="391" t="s">
        <v>5342</v>
      </c>
      <c r="K157" s="227"/>
      <c r="L157" s="7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row>
    <row r="158" spans="1:195" s="50" customFormat="1" ht="30" hidden="1" outlineLevel="1">
      <c r="A158" s="1665" t="s">
        <v>2861</v>
      </c>
      <c r="B158" s="1665" t="s">
        <v>1250</v>
      </c>
      <c r="C158" s="1858"/>
      <c r="D158" s="160"/>
      <c r="E158" s="161" t="s">
        <v>578</v>
      </c>
      <c r="F158" s="364">
        <f>SUMIFS(INPUT!H:H,INPUT!E:E,BAZE_2024!A158,INPUT!B:B,BAZE_2024!B158)</f>
        <v>45111</v>
      </c>
      <c r="G158" s="389">
        <f>SUMIFS(INPUT!L:L,INPUT!E:E,BAZE_2024!A158,INPUT!B:B,BAZE_2024!B158)</f>
        <v>57500</v>
      </c>
      <c r="H158" s="162">
        <f t="shared" si="9"/>
        <v>12389</v>
      </c>
      <c r="I158" s="1842">
        <f t="shared" si="8"/>
        <v>0.27463368136374722</v>
      </c>
      <c r="J158" s="1188" t="s">
        <v>5343</v>
      </c>
      <c r="K158" s="227"/>
      <c r="L158" s="77"/>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row>
    <row r="159" spans="1:195" ht="15" customHeight="1" collapsed="1">
      <c r="D159" s="126" t="s">
        <v>3075</v>
      </c>
      <c r="E159" s="130" t="s">
        <v>1000</v>
      </c>
      <c r="F159" s="374"/>
      <c r="G159" s="1869"/>
      <c r="H159" s="131">
        <f t="shared" si="9"/>
        <v>0</v>
      </c>
      <c r="I159" s="1840" t="str">
        <f t="shared" si="8"/>
        <v>-</v>
      </c>
      <c r="J159" s="1126" t="s">
        <v>1582</v>
      </c>
      <c r="K159" s="227"/>
    </row>
    <row r="160" spans="1:195" s="50" customFormat="1" ht="15" hidden="1" outlineLevel="1">
      <c r="A160" s="1807"/>
      <c r="B160" s="1807"/>
      <c r="C160" s="1901"/>
      <c r="D160" s="460"/>
      <c r="E160" s="461" t="s">
        <v>512</v>
      </c>
      <c r="F160" s="365"/>
      <c r="G160" s="1870"/>
      <c r="H160" s="146">
        <f t="shared" si="9"/>
        <v>0</v>
      </c>
      <c r="I160" s="1836" t="str">
        <f t="shared" si="8"/>
        <v>-</v>
      </c>
      <c r="J160" s="1140"/>
      <c r="K160" s="227"/>
      <c r="L160" s="77"/>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ht="27.6" customHeight="1" collapsed="1">
      <c r="D161" s="126" t="s">
        <v>3076</v>
      </c>
      <c r="E161" s="130" t="s">
        <v>2863</v>
      </c>
      <c r="F161" s="374">
        <f>F162</f>
        <v>323000</v>
      </c>
      <c r="G161" s="403">
        <f>G162</f>
        <v>350000</v>
      </c>
      <c r="H161" s="131">
        <f>G161-F161</f>
        <v>27000</v>
      </c>
      <c r="I161" s="1840">
        <f t="shared" ref="I161:I220" si="10">IFERROR(H161/F161,"-")</f>
        <v>8.3591331269349839E-2</v>
      </c>
      <c r="J161" s="1257"/>
      <c r="K161" s="227"/>
    </row>
    <row r="162" spans="1:195" s="50" customFormat="1" ht="30" hidden="1" outlineLevel="1">
      <c r="A162" s="1665" t="s">
        <v>2867</v>
      </c>
      <c r="B162" s="1665" t="s">
        <v>1248</v>
      </c>
      <c r="C162" s="1858"/>
      <c r="D162" s="460"/>
      <c r="E162" s="461" t="s">
        <v>517</v>
      </c>
      <c r="F162" s="364">
        <f>SUMIFS(INPUT!H:H,INPUT!E:E,BAZE_2024!A162,INPUT!B:B,BAZE_2024!B162)</f>
        <v>323000</v>
      </c>
      <c r="G162" s="389">
        <f>SUMIFS(INPUT!L:L,INPUT!E:E,BAZE_2024!A162,INPUT!B:B,BAZE_2024!B162)</f>
        <v>350000</v>
      </c>
      <c r="H162" s="146">
        <f t="shared" ref="H162:H169" si="11">G162-F162</f>
        <v>27000</v>
      </c>
      <c r="I162" s="1836">
        <f t="shared" si="10"/>
        <v>8.3591331269349839E-2</v>
      </c>
      <c r="J162" s="4348" t="s">
        <v>6085</v>
      </c>
      <c r="K162" s="227"/>
      <c r="L162" s="77"/>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row>
    <row r="163" spans="1:195" s="50" customFormat="1" ht="15" hidden="1" outlineLevel="1">
      <c r="C163" s="1858"/>
      <c r="D163" s="216"/>
      <c r="E163" s="1856" t="s">
        <v>512</v>
      </c>
      <c r="F163" s="462"/>
      <c r="G163" s="1871"/>
      <c r="H163" s="146">
        <f t="shared" si="11"/>
        <v>0</v>
      </c>
      <c r="I163" s="1836" t="str">
        <f t="shared" si="10"/>
        <v>-</v>
      </c>
      <c r="J163" s="1140"/>
      <c r="K163" s="227"/>
      <c r="L163" s="77"/>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row>
    <row r="164" spans="1:195" ht="14.25" collapsed="1">
      <c r="D164" s="128" t="s">
        <v>40</v>
      </c>
      <c r="E164" s="129" t="s">
        <v>177</v>
      </c>
      <c r="F164" s="107">
        <f>F173+F181+F188+F193+F198+F206+F208+F214</f>
        <v>1649161.7610971783</v>
      </c>
      <c r="G164" s="106">
        <f>G173+G181+G188+G193+G198+G206+G208+G214</f>
        <v>1732258.6714729001</v>
      </c>
      <c r="H164" s="106">
        <f t="shared" si="11"/>
        <v>83096.910375721753</v>
      </c>
      <c r="I164" s="1823">
        <f t="shared" si="10"/>
        <v>5.0387361831890784E-2</v>
      </c>
      <c r="J164" s="1134"/>
      <c r="K164" s="227"/>
      <c r="L164" s="2016"/>
      <c r="M164" s="1122"/>
      <c r="N164" s="1122"/>
      <c r="O164" s="1122"/>
    </row>
    <row r="165" spans="1:195" s="477" customFormat="1" ht="14.25">
      <c r="A165" s="2124"/>
      <c r="B165" s="2124"/>
      <c r="C165" s="2122"/>
      <c r="D165" s="472"/>
      <c r="E165" s="473" t="s">
        <v>663</v>
      </c>
      <c r="F165" s="474">
        <f>F174+F182+F189+F194+F199+F209+F215</f>
        <v>1121281.7410971783</v>
      </c>
      <c r="G165" s="474">
        <f>G174+G182+G189+G194+G199+G209+G215</f>
        <v>1205454.0624729001</v>
      </c>
      <c r="H165" s="475">
        <f t="shared" si="11"/>
        <v>84172.321375721833</v>
      </c>
      <c r="I165" s="1831">
        <f t="shared" si="10"/>
        <v>7.5067949731669498E-2</v>
      </c>
      <c r="J165" s="1135"/>
      <c r="K165" s="1229"/>
      <c r="L165" s="2581"/>
      <c r="M165" s="481"/>
      <c r="N165" s="481"/>
      <c r="O165" s="481"/>
      <c r="P165" s="1860"/>
      <c r="Q165" s="1860"/>
      <c r="R165" s="1860"/>
      <c r="S165" s="1860"/>
      <c r="T165" s="1860"/>
      <c r="U165" s="1860"/>
      <c r="V165" s="1860"/>
      <c r="W165" s="1860"/>
      <c r="X165" s="1860"/>
      <c r="Y165" s="1860"/>
      <c r="Z165" s="1860"/>
      <c r="AA165" s="1860"/>
      <c r="AB165" s="1860"/>
      <c r="AC165" s="1860"/>
      <c r="AD165" s="1860"/>
      <c r="AE165" s="1860"/>
      <c r="AF165" s="1860"/>
      <c r="AG165" s="1860"/>
      <c r="AH165" s="1860"/>
      <c r="AI165" s="1860"/>
      <c r="AJ165" s="1860"/>
      <c r="AK165" s="1860"/>
      <c r="AL165" s="1860"/>
      <c r="AM165" s="1860"/>
      <c r="AN165" s="1860"/>
      <c r="AO165" s="1860"/>
      <c r="AP165" s="1860"/>
      <c r="AQ165" s="1860"/>
      <c r="AR165" s="1860"/>
      <c r="AS165" s="1860"/>
      <c r="AT165" s="1860"/>
      <c r="AU165" s="1860"/>
      <c r="AV165" s="1860"/>
      <c r="AW165" s="1860"/>
      <c r="AX165" s="1860"/>
      <c r="AY165" s="1860"/>
      <c r="AZ165" s="1860"/>
      <c r="BA165" s="1860"/>
      <c r="BB165" s="1860"/>
      <c r="BC165" s="1860"/>
      <c r="BD165" s="1860"/>
      <c r="BE165" s="1860"/>
      <c r="BF165" s="1860"/>
      <c r="BG165" s="1860"/>
      <c r="BH165" s="1860"/>
      <c r="BI165" s="1860"/>
      <c r="BJ165" s="1860"/>
      <c r="BK165" s="1860"/>
      <c r="BL165" s="1860"/>
      <c r="BM165" s="1860"/>
      <c r="BN165" s="1860"/>
      <c r="BO165" s="1860"/>
      <c r="BP165" s="1860"/>
      <c r="BQ165" s="1860"/>
      <c r="BR165" s="1860"/>
      <c r="BS165" s="1860"/>
      <c r="BT165" s="1860"/>
      <c r="BU165" s="1860"/>
      <c r="BV165" s="1860"/>
      <c r="BW165" s="1860"/>
      <c r="BX165" s="1860"/>
      <c r="BY165" s="1860"/>
      <c r="BZ165" s="1860"/>
      <c r="CA165" s="1860"/>
      <c r="CB165" s="1860"/>
      <c r="CC165" s="1860"/>
      <c r="CD165" s="1860"/>
      <c r="CE165" s="1860"/>
      <c r="CF165" s="1860"/>
      <c r="CG165" s="1860"/>
      <c r="CH165" s="1860"/>
      <c r="CI165" s="1860"/>
      <c r="CJ165" s="1860"/>
      <c r="CK165" s="1860"/>
      <c r="CL165" s="1860"/>
      <c r="CM165" s="1860"/>
      <c r="CN165" s="1860"/>
      <c r="CO165" s="1860"/>
      <c r="CP165" s="1860"/>
      <c r="CQ165" s="1860"/>
      <c r="CR165" s="1860"/>
      <c r="CS165" s="1860"/>
      <c r="CT165" s="1860"/>
      <c r="CU165" s="1860"/>
      <c r="CV165" s="1860"/>
      <c r="CW165" s="1860"/>
      <c r="CX165" s="1860"/>
      <c r="CY165" s="1860"/>
      <c r="CZ165" s="1860"/>
      <c r="DA165" s="1860"/>
      <c r="DB165" s="1860"/>
      <c r="DC165" s="1860"/>
      <c r="DD165" s="1860"/>
      <c r="DE165" s="1860"/>
      <c r="DF165" s="1860"/>
      <c r="DG165" s="1860"/>
      <c r="DH165" s="1860"/>
      <c r="DI165" s="1860"/>
      <c r="DJ165" s="1860"/>
      <c r="DK165" s="1860"/>
      <c r="DL165" s="1860"/>
      <c r="DM165" s="1860"/>
      <c r="DN165" s="1860"/>
      <c r="DO165" s="1860"/>
      <c r="DP165" s="1860"/>
      <c r="DQ165" s="1860"/>
      <c r="DR165" s="1860"/>
      <c r="DS165" s="1860"/>
      <c r="DT165" s="1860"/>
      <c r="DU165" s="1860"/>
      <c r="DV165" s="1860"/>
      <c r="DW165" s="1860"/>
      <c r="DX165" s="1860"/>
      <c r="DY165" s="1860"/>
      <c r="DZ165" s="1860"/>
      <c r="EA165" s="1860"/>
      <c r="EB165" s="1860"/>
      <c r="EC165" s="1860"/>
      <c r="ED165" s="1860"/>
      <c r="EE165" s="1860"/>
      <c r="EF165" s="1860"/>
      <c r="EG165" s="1860"/>
      <c r="EH165" s="1860"/>
      <c r="EI165" s="1860"/>
      <c r="EJ165" s="1860"/>
      <c r="EK165" s="1860"/>
      <c r="EL165" s="1860"/>
      <c r="EM165" s="1860"/>
      <c r="EN165" s="1860"/>
      <c r="EO165" s="1860"/>
      <c r="EP165" s="1860"/>
      <c r="EQ165" s="1860"/>
      <c r="ER165" s="1860"/>
      <c r="ES165" s="1860"/>
      <c r="ET165" s="1860"/>
      <c r="EU165" s="1860"/>
      <c r="EV165" s="1860"/>
      <c r="EW165" s="1860"/>
      <c r="EX165" s="1860"/>
      <c r="EY165" s="1860"/>
      <c r="EZ165" s="1860"/>
      <c r="FA165" s="1860"/>
      <c r="FB165" s="1860"/>
      <c r="FC165" s="1860"/>
      <c r="FD165" s="1860"/>
      <c r="FE165" s="1860"/>
      <c r="FF165" s="1860"/>
      <c r="FG165" s="1860"/>
      <c r="FH165" s="1860"/>
      <c r="FI165" s="1860"/>
      <c r="FJ165" s="1860"/>
      <c r="FK165" s="1860"/>
      <c r="FL165" s="1860"/>
      <c r="FM165" s="1860"/>
      <c r="FN165" s="1860"/>
      <c r="FO165" s="1860"/>
      <c r="FP165" s="1860"/>
      <c r="FQ165" s="1860"/>
      <c r="FR165" s="1860"/>
      <c r="FS165" s="1860"/>
      <c r="FT165" s="1860"/>
      <c r="FU165" s="1860"/>
      <c r="FV165" s="1860"/>
      <c r="FW165" s="1860"/>
      <c r="FX165" s="1860"/>
      <c r="FY165" s="1860"/>
      <c r="FZ165" s="1860"/>
      <c r="GA165" s="1860"/>
      <c r="GB165" s="1860"/>
      <c r="GC165" s="1860"/>
      <c r="GD165" s="1860"/>
      <c r="GE165" s="1860"/>
      <c r="GF165" s="1860"/>
      <c r="GG165" s="1860"/>
      <c r="GH165" s="1860"/>
      <c r="GI165" s="1860"/>
      <c r="GJ165" s="1860"/>
      <c r="GK165" s="1860"/>
      <c r="GL165" s="1860"/>
      <c r="GM165" s="1860"/>
    </row>
    <row r="166" spans="1:195" s="477" customFormat="1" ht="14.25">
      <c r="A166" s="2124"/>
      <c r="B166" s="2124"/>
      <c r="C166" s="2122"/>
      <c r="D166" s="478"/>
      <c r="E166" s="479" t="s">
        <v>579</v>
      </c>
      <c r="F166" s="480">
        <f>F175+F183+F190+F195+F200+F210+F216</f>
        <v>484802.02</v>
      </c>
      <c r="G166" s="480">
        <f>G175+G183+G190+G195+G200+G210+G216</f>
        <v>502304.609</v>
      </c>
      <c r="H166" s="475">
        <f t="shared" si="11"/>
        <v>17502.588999999978</v>
      </c>
      <c r="I166" s="1831">
        <f t="shared" si="10"/>
        <v>3.6102549655217975E-2</v>
      </c>
      <c r="J166" s="1135"/>
      <c r="K166" s="1229"/>
      <c r="L166" s="2581"/>
      <c r="M166" s="481"/>
      <c r="N166" s="481"/>
      <c r="O166" s="481"/>
      <c r="P166" s="1860"/>
      <c r="Q166" s="1860"/>
      <c r="R166" s="1860"/>
      <c r="S166" s="1860"/>
      <c r="T166" s="1860"/>
      <c r="U166" s="1860"/>
      <c r="V166" s="1860"/>
      <c r="W166" s="1860"/>
      <c r="X166" s="1860"/>
      <c r="Y166" s="1860"/>
      <c r="Z166" s="1860"/>
      <c r="AA166" s="1860"/>
      <c r="AB166" s="1860"/>
      <c r="AC166" s="1860"/>
      <c r="AD166" s="1860"/>
      <c r="AE166" s="1860"/>
      <c r="AF166" s="1860"/>
      <c r="AG166" s="1860"/>
      <c r="AH166" s="1860"/>
      <c r="AI166" s="1860"/>
      <c r="AJ166" s="1860"/>
      <c r="AK166" s="1860"/>
      <c r="AL166" s="1860"/>
      <c r="AM166" s="1860"/>
      <c r="AN166" s="1860"/>
      <c r="AO166" s="1860"/>
      <c r="AP166" s="1860"/>
      <c r="AQ166" s="1860"/>
      <c r="AR166" s="1860"/>
      <c r="AS166" s="1860"/>
      <c r="AT166" s="1860"/>
      <c r="AU166" s="1860"/>
      <c r="AV166" s="1860"/>
      <c r="AW166" s="1860"/>
      <c r="AX166" s="1860"/>
      <c r="AY166" s="1860"/>
      <c r="AZ166" s="1860"/>
      <c r="BA166" s="1860"/>
      <c r="BB166" s="1860"/>
      <c r="BC166" s="1860"/>
      <c r="BD166" s="1860"/>
      <c r="BE166" s="1860"/>
      <c r="BF166" s="1860"/>
      <c r="BG166" s="1860"/>
      <c r="BH166" s="1860"/>
      <c r="BI166" s="1860"/>
      <c r="BJ166" s="1860"/>
      <c r="BK166" s="1860"/>
      <c r="BL166" s="1860"/>
      <c r="BM166" s="1860"/>
      <c r="BN166" s="1860"/>
      <c r="BO166" s="1860"/>
      <c r="BP166" s="1860"/>
      <c r="BQ166" s="1860"/>
      <c r="BR166" s="1860"/>
      <c r="BS166" s="1860"/>
      <c r="BT166" s="1860"/>
      <c r="BU166" s="1860"/>
      <c r="BV166" s="1860"/>
      <c r="BW166" s="1860"/>
      <c r="BX166" s="1860"/>
      <c r="BY166" s="1860"/>
      <c r="BZ166" s="1860"/>
      <c r="CA166" s="1860"/>
      <c r="CB166" s="1860"/>
      <c r="CC166" s="1860"/>
      <c r="CD166" s="1860"/>
      <c r="CE166" s="1860"/>
      <c r="CF166" s="1860"/>
      <c r="CG166" s="1860"/>
      <c r="CH166" s="1860"/>
      <c r="CI166" s="1860"/>
      <c r="CJ166" s="1860"/>
      <c r="CK166" s="1860"/>
      <c r="CL166" s="1860"/>
      <c r="CM166" s="1860"/>
      <c r="CN166" s="1860"/>
      <c r="CO166" s="1860"/>
      <c r="CP166" s="1860"/>
      <c r="CQ166" s="1860"/>
      <c r="CR166" s="1860"/>
      <c r="CS166" s="1860"/>
      <c r="CT166" s="1860"/>
      <c r="CU166" s="1860"/>
      <c r="CV166" s="1860"/>
      <c r="CW166" s="1860"/>
      <c r="CX166" s="1860"/>
      <c r="CY166" s="1860"/>
      <c r="CZ166" s="1860"/>
      <c r="DA166" s="1860"/>
      <c r="DB166" s="1860"/>
      <c r="DC166" s="1860"/>
      <c r="DD166" s="1860"/>
      <c r="DE166" s="1860"/>
      <c r="DF166" s="1860"/>
      <c r="DG166" s="1860"/>
      <c r="DH166" s="1860"/>
      <c r="DI166" s="1860"/>
      <c r="DJ166" s="1860"/>
      <c r="DK166" s="1860"/>
      <c r="DL166" s="1860"/>
      <c r="DM166" s="1860"/>
      <c r="DN166" s="1860"/>
      <c r="DO166" s="1860"/>
      <c r="DP166" s="1860"/>
      <c r="DQ166" s="1860"/>
      <c r="DR166" s="1860"/>
      <c r="DS166" s="1860"/>
      <c r="DT166" s="1860"/>
      <c r="DU166" s="1860"/>
      <c r="DV166" s="1860"/>
      <c r="DW166" s="1860"/>
      <c r="DX166" s="1860"/>
      <c r="DY166" s="1860"/>
      <c r="DZ166" s="1860"/>
      <c r="EA166" s="1860"/>
      <c r="EB166" s="1860"/>
      <c r="EC166" s="1860"/>
      <c r="ED166" s="1860"/>
      <c r="EE166" s="1860"/>
      <c r="EF166" s="1860"/>
      <c r="EG166" s="1860"/>
      <c r="EH166" s="1860"/>
      <c r="EI166" s="1860"/>
      <c r="EJ166" s="1860"/>
      <c r="EK166" s="1860"/>
      <c r="EL166" s="1860"/>
      <c r="EM166" s="1860"/>
      <c r="EN166" s="1860"/>
      <c r="EO166" s="1860"/>
      <c r="EP166" s="1860"/>
      <c r="EQ166" s="1860"/>
      <c r="ER166" s="1860"/>
      <c r="ES166" s="1860"/>
      <c r="ET166" s="1860"/>
      <c r="EU166" s="1860"/>
      <c r="EV166" s="1860"/>
      <c r="EW166" s="1860"/>
      <c r="EX166" s="1860"/>
      <c r="EY166" s="1860"/>
      <c r="EZ166" s="1860"/>
      <c r="FA166" s="1860"/>
      <c r="FB166" s="1860"/>
      <c r="FC166" s="1860"/>
      <c r="FD166" s="1860"/>
      <c r="FE166" s="1860"/>
      <c r="FF166" s="1860"/>
      <c r="FG166" s="1860"/>
      <c r="FH166" s="1860"/>
      <c r="FI166" s="1860"/>
      <c r="FJ166" s="1860"/>
      <c r="FK166" s="1860"/>
      <c r="FL166" s="1860"/>
      <c r="FM166" s="1860"/>
      <c r="FN166" s="1860"/>
      <c r="FO166" s="1860"/>
      <c r="FP166" s="1860"/>
      <c r="FQ166" s="1860"/>
      <c r="FR166" s="1860"/>
      <c r="FS166" s="1860"/>
      <c r="FT166" s="1860"/>
      <c r="FU166" s="1860"/>
      <c r="FV166" s="1860"/>
      <c r="FW166" s="1860"/>
      <c r="FX166" s="1860"/>
      <c r="FY166" s="1860"/>
      <c r="FZ166" s="1860"/>
      <c r="GA166" s="1860"/>
      <c r="GB166" s="1860"/>
      <c r="GC166" s="1860"/>
      <c r="GD166" s="1860"/>
      <c r="GE166" s="1860"/>
      <c r="GF166" s="1860"/>
      <c r="GG166" s="1860"/>
      <c r="GH166" s="1860"/>
      <c r="GI166" s="1860"/>
      <c r="GJ166" s="1860"/>
      <c r="GK166" s="1860"/>
      <c r="GL166" s="1860"/>
      <c r="GM166" s="1860"/>
    </row>
    <row r="167" spans="1:195" s="477" customFormat="1" ht="14.25">
      <c r="A167" s="2124"/>
      <c r="B167" s="2124"/>
      <c r="C167" s="2122"/>
      <c r="D167" s="3933"/>
      <c r="E167" s="479" t="s">
        <v>2649</v>
      </c>
      <c r="F167" s="3934">
        <f>SUM(F202)</f>
        <v>0</v>
      </c>
      <c r="G167" s="3934">
        <f>SUM(G202)</f>
        <v>0</v>
      </c>
      <c r="H167" s="475">
        <f>G167-F167</f>
        <v>0</v>
      </c>
      <c r="I167" s="1831" t="str">
        <f>IFERROR(H167/F167,"-")</f>
        <v>-</v>
      </c>
      <c r="J167" s="3938"/>
      <c r="K167" s="1229"/>
      <c r="L167" s="2581"/>
      <c r="M167" s="481"/>
      <c r="N167" s="481"/>
      <c r="O167" s="481"/>
      <c r="P167" s="1860"/>
      <c r="Q167" s="1860"/>
      <c r="R167" s="1860"/>
      <c r="S167" s="1860"/>
      <c r="T167" s="1860"/>
      <c r="U167" s="1860"/>
      <c r="V167" s="1860"/>
      <c r="W167" s="1860"/>
      <c r="X167" s="1860"/>
      <c r="Y167" s="1860"/>
      <c r="Z167" s="1860"/>
      <c r="AA167" s="1860"/>
      <c r="AB167" s="1860"/>
      <c r="AC167" s="1860"/>
      <c r="AD167" s="1860"/>
      <c r="AE167" s="1860"/>
      <c r="AF167" s="1860"/>
      <c r="AG167" s="1860"/>
      <c r="AH167" s="1860"/>
      <c r="AI167" s="1860"/>
      <c r="AJ167" s="1860"/>
      <c r="AK167" s="1860"/>
      <c r="AL167" s="1860"/>
      <c r="AM167" s="1860"/>
      <c r="AN167" s="1860"/>
      <c r="AO167" s="1860"/>
      <c r="AP167" s="1860"/>
      <c r="AQ167" s="1860"/>
      <c r="AR167" s="1860"/>
      <c r="AS167" s="1860"/>
      <c r="AT167" s="1860"/>
      <c r="AU167" s="1860"/>
      <c r="AV167" s="1860"/>
      <c r="AW167" s="1860"/>
      <c r="AX167" s="1860"/>
      <c r="AY167" s="1860"/>
      <c r="AZ167" s="1860"/>
      <c r="BA167" s="1860"/>
      <c r="BB167" s="1860"/>
      <c r="BC167" s="1860"/>
      <c r="BD167" s="1860"/>
      <c r="BE167" s="1860"/>
      <c r="BF167" s="1860"/>
      <c r="BG167" s="1860"/>
      <c r="BH167" s="1860"/>
      <c r="BI167" s="1860"/>
      <c r="BJ167" s="1860"/>
      <c r="BK167" s="1860"/>
      <c r="BL167" s="1860"/>
      <c r="BM167" s="1860"/>
      <c r="BN167" s="1860"/>
      <c r="BO167" s="1860"/>
      <c r="BP167" s="1860"/>
      <c r="BQ167" s="1860"/>
      <c r="BR167" s="1860"/>
      <c r="BS167" s="1860"/>
      <c r="BT167" s="1860"/>
      <c r="BU167" s="1860"/>
      <c r="BV167" s="1860"/>
      <c r="BW167" s="1860"/>
      <c r="BX167" s="1860"/>
      <c r="BY167" s="1860"/>
      <c r="BZ167" s="1860"/>
      <c r="CA167" s="1860"/>
      <c r="CB167" s="1860"/>
      <c r="CC167" s="1860"/>
      <c r="CD167" s="1860"/>
      <c r="CE167" s="1860"/>
      <c r="CF167" s="1860"/>
      <c r="CG167" s="1860"/>
      <c r="CH167" s="1860"/>
      <c r="CI167" s="1860"/>
      <c r="CJ167" s="1860"/>
      <c r="CK167" s="1860"/>
      <c r="CL167" s="1860"/>
      <c r="CM167" s="1860"/>
      <c r="CN167" s="1860"/>
      <c r="CO167" s="1860"/>
      <c r="CP167" s="1860"/>
      <c r="CQ167" s="1860"/>
      <c r="CR167" s="1860"/>
      <c r="CS167" s="1860"/>
      <c r="CT167" s="1860"/>
      <c r="CU167" s="1860"/>
      <c r="CV167" s="1860"/>
      <c r="CW167" s="1860"/>
      <c r="CX167" s="1860"/>
      <c r="CY167" s="1860"/>
      <c r="CZ167" s="1860"/>
      <c r="DA167" s="1860"/>
      <c r="DB167" s="1860"/>
      <c r="DC167" s="1860"/>
      <c r="DD167" s="1860"/>
      <c r="DE167" s="1860"/>
      <c r="DF167" s="1860"/>
      <c r="DG167" s="1860"/>
      <c r="DH167" s="1860"/>
      <c r="DI167" s="1860"/>
      <c r="DJ167" s="1860"/>
      <c r="DK167" s="1860"/>
      <c r="DL167" s="1860"/>
      <c r="DM167" s="1860"/>
      <c r="DN167" s="1860"/>
      <c r="DO167" s="1860"/>
      <c r="DP167" s="1860"/>
      <c r="DQ167" s="1860"/>
      <c r="DR167" s="1860"/>
      <c r="DS167" s="1860"/>
      <c r="DT167" s="1860"/>
      <c r="DU167" s="1860"/>
      <c r="DV167" s="1860"/>
      <c r="DW167" s="1860"/>
      <c r="DX167" s="1860"/>
      <c r="DY167" s="1860"/>
      <c r="DZ167" s="1860"/>
      <c r="EA167" s="1860"/>
      <c r="EB167" s="1860"/>
      <c r="EC167" s="1860"/>
      <c r="ED167" s="1860"/>
      <c r="EE167" s="1860"/>
      <c r="EF167" s="1860"/>
      <c r="EG167" s="1860"/>
      <c r="EH167" s="1860"/>
      <c r="EI167" s="1860"/>
      <c r="EJ167" s="1860"/>
      <c r="EK167" s="1860"/>
      <c r="EL167" s="1860"/>
      <c r="EM167" s="1860"/>
      <c r="EN167" s="1860"/>
      <c r="EO167" s="1860"/>
      <c r="EP167" s="1860"/>
      <c r="EQ167" s="1860"/>
      <c r="ER167" s="1860"/>
      <c r="ES167" s="1860"/>
      <c r="ET167" s="1860"/>
      <c r="EU167" s="1860"/>
      <c r="EV167" s="1860"/>
      <c r="EW167" s="1860"/>
      <c r="EX167" s="1860"/>
      <c r="EY167" s="1860"/>
      <c r="EZ167" s="1860"/>
      <c r="FA167" s="1860"/>
      <c r="FB167" s="1860"/>
      <c r="FC167" s="1860"/>
      <c r="FD167" s="1860"/>
      <c r="FE167" s="1860"/>
      <c r="FF167" s="1860"/>
      <c r="FG167" s="1860"/>
      <c r="FH167" s="1860"/>
      <c r="FI167" s="1860"/>
      <c r="FJ167" s="1860"/>
      <c r="FK167" s="1860"/>
      <c r="FL167" s="1860"/>
      <c r="FM167" s="1860"/>
      <c r="FN167" s="1860"/>
      <c r="FO167" s="1860"/>
      <c r="FP167" s="1860"/>
      <c r="FQ167" s="1860"/>
      <c r="FR167" s="1860"/>
      <c r="FS167" s="1860"/>
      <c r="FT167" s="1860"/>
      <c r="FU167" s="1860"/>
      <c r="FV167" s="1860"/>
      <c r="FW167" s="1860"/>
      <c r="FX167" s="1860"/>
      <c r="FY167" s="1860"/>
      <c r="FZ167" s="1860"/>
      <c r="GA167" s="1860"/>
      <c r="GB167" s="1860"/>
      <c r="GC167" s="1860"/>
      <c r="GD167" s="1860"/>
      <c r="GE167" s="1860"/>
      <c r="GF167" s="1860"/>
      <c r="GG167" s="1860"/>
      <c r="GH167" s="1860"/>
      <c r="GI167" s="1860"/>
      <c r="GJ167" s="1860"/>
      <c r="GK167" s="1860"/>
      <c r="GL167" s="1860"/>
      <c r="GM167" s="1860"/>
    </row>
    <row r="168" spans="1:195" s="477" customFormat="1" ht="14.25">
      <c r="A168" s="2124"/>
      <c r="B168" s="2124"/>
      <c r="C168" s="2122"/>
      <c r="D168" s="472"/>
      <c r="E168" s="473" t="s">
        <v>578</v>
      </c>
      <c r="F168" s="474">
        <f>F176+F184+F191+F196+F201+F211+F217</f>
        <v>43078</v>
      </c>
      <c r="G168" s="474">
        <f>G176+G184+G191+G196+G201+G211+G217</f>
        <v>24500</v>
      </c>
      <c r="H168" s="475">
        <f t="shared" si="11"/>
        <v>-18578</v>
      </c>
      <c r="I168" s="1831">
        <f t="shared" si="10"/>
        <v>-0.43126421839454016</v>
      </c>
      <c r="J168" s="1135"/>
      <c r="K168" s="1229"/>
      <c r="L168" s="2581"/>
      <c r="M168" s="481"/>
      <c r="N168" s="481"/>
      <c r="O168" s="481"/>
      <c r="P168" s="1860"/>
      <c r="Q168" s="1860"/>
      <c r="R168" s="1860"/>
      <c r="S168" s="1860"/>
      <c r="T168" s="1860"/>
      <c r="U168" s="1860"/>
      <c r="V168" s="1860"/>
      <c r="W168" s="1860"/>
      <c r="X168" s="1860"/>
      <c r="Y168" s="1860"/>
      <c r="Z168" s="1860"/>
      <c r="AA168" s="1860"/>
      <c r="AB168" s="1860"/>
      <c r="AC168" s="1860"/>
      <c r="AD168" s="1860"/>
      <c r="AE168" s="1860"/>
      <c r="AF168" s="1860"/>
      <c r="AG168" s="1860"/>
      <c r="AH168" s="1860"/>
      <c r="AI168" s="1860"/>
      <c r="AJ168" s="1860"/>
      <c r="AK168" s="1860"/>
      <c r="AL168" s="1860"/>
      <c r="AM168" s="1860"/>
      <c r="AN168" s="1860"/>
      <c r="AO168" s="1860"/>
      <c r="AP168" s="1860"/>
      <c r="AQ168" s="1860"/>
      <c r="AR168" s="1860"/>
      <c r="AS168" s="1860"/>
      <c r="AT168" s="1860"/>
      <c r="AU168" s="1860"/>
      <c r="AV168" s="1860"/>
      <c r="AW168" s="1860"/>
      <c r="AX168" s="1860"/>
      <c r="AY168" s="1860"/>
      <c r="AZ168" s="1860"/>
      <c r="BA168" s="1860"/>
      <c r="BB168" s="1860"/>
      <c r="BC168" s="1860"/>
      <c r="BD168" s="1860"/>
      <c r="BE168" s="1860"/>
      <c r="BF168" s="1860"/>
      <c r="BG168" s="1860"/>
      <c r="BH168" s="1860"/>
      <c r="BI168" s="1860"/>
      <c r="BJ168" s="1860"/>
      <c r="BK168" s="1860"/>
      <c r="BL168" s="1860"/>
      <c r="BM168" s="1860"/>
      <c r="BN168" s="1860"/>
      <c r="BO168" s="1860"/>
      <c r="BP168" s="1860"/>
      <c r="BQ168" s="1860"/>
      <c r="BR168" s="1860"/>
      <c r="BS168" s="1860"/>
      <c r="BT168" s="1860"/>
      <c r="BU168" s="1860"/>
      <c r="BV168" s="1860"/>
      <c r="BW168" s="1860"/>
      <c r="BX168" s="1860"/>
      <c r="BY168" s="1860"/>
      <c r="BZ168" s="1860"/>
      <c r="CA168" s="1860"/>
      <c r="CB168" s="1860"/>
      <c r="CC168" s="1860"/>
      <c r="CD168" s="1860"/>
      <c r="CE168" s="1860"/>
      <c r="CF168" s="1860"/>
      <c r="CG168" s="1860"/>
      <c r="CH168" s="1860"/>
      <c r="CI168" s="1860"/>
      <c r="CJ168" s="1860"/>
      <c r="CK168" s="1860"/>
      <c r="CL168" s="1860"/>
      <c r="CM168" s="1860"/>
      <c r="CN168" s="1860"/>
      <c r="CO168" s="1860"/>
      <c r="CP168" s="1860"/>
      <c r="CQ168" s="1860"/>
      <c r="CR168" s="1860"/>
      <c r="CS168" s="1860"/>
      <c r="CT168" s="1860"/>
      <c r="CU168" s="1860"/>
      <c r="CV168" s="1860"/>
      <c r="CW168" s="1860"/>
      <c r="CX168" s="1860"/>
      <c r="CY168" s="1860"/>
      <c r="CZ168" s="1860"/>
      <c r="DA168" s="1860"/>
      <c r="DB168" s="1860"/>
      <c r="DC168" s="1860"/>
      <c r="DD168" s="1860"/>
      <c r="DE168" s="1860"/>
      <c r="DF168" s="1860"/>
      <c r="DG168" s="1860"/>
      <c r="DH168" s="1860"/>
      <c r="DI168" s="1860"/>
      <c r="DJ168" s="1860"/>
      <c r="DK168" s="1860"/>
      <c r="DL168" s="1860"/>
      <c r="DM168" s="1860"/>
      <c r="DN168" s="1860"/>
      <c r="DO168" s="1860"/>
      <c r="DP168" s="1860"/>
      <c r="DQ168" s="1860"/>
      <c r="DR168" s="1860"/>
      <c r="DS168" s="1860"/>
      <c r="DT168" s="1860"/>
      <c r="DU168" s="1860"/>
      <c r="DV168" s="1860"/>
      <c r="DW168" s="1860"/>
      <c r="DX168" s="1860"/>
      <c r="DY168" s="1860"/>
      <c r="DZ168" s="1860"/>
      <c r="EA168" s="1860"/>
      <c r="EB168" s="1860"/>
      <c r="EC168" s="1860"/>
      <c r="ED168" s="1860"/>
      <c r="EE168" s="1860"/>
      <c r="EF168" s="1860"/>
      <c r="EG168" s="1860"/>
      <c r="EH168" s="1860"/>
      <c r="EI168" s="1860"/>
      <c r="EJ168" s="1860"/>
      <c r="EK168" s="1860"/>
      <c r="EL168" s="1860"/>
      <c r="EM168" s="1860"/>
      <c r="EN168" s="1860"/>
      <c r="EO168" s="1860"/>
      <c r="EP168" s="1860"/>
      <c r="EQ168" s="1860"/>
      <c r="ER168" s="1860"/>
      <c r="ES168" s="1860"/>
      <c r="ET168" s="1860"/>
      <c r="EU168" s="1860"/>
      <c r="EV168" s="1860"/>
      <c r="EW168" s="1860"/>
      <c r="EX168" s="1860"/>
      <c r="EY168" s="1860"/>
      <c r="EZ168" s="1860"/>
      <c r="FA168" s="1860"/>
      <c r="FB168" s="1860"/>
      <c r="FC168" s="1860"/>
      <c r="FD168" s="1860"/>
      <c r="FE168" s="1860"/>
      <c r="FF168" s="1860"/>
      <c r="FG168" s="1860"/>
      <c r="FH168" s="1860"/>
      <c r="FI168" s="1860"/>
      <c r="FJ168" s="1860"/>
      <c r="FK168" s="1860"/>
      <c r="FL168" s="1860"/>
      <c r="FM168" s="1860"/>
      <c r="FN168" s="1860"/>
      <c r="FO168" s="1860"/>
      <c r="FP168" s="1860"/>
      <c r="FQ168" s="1860"/>
      <c r="FR168" s="1860"/>
      <c r="FS168" s="1860"/>
      <c r="FT168" s="1860"/>
      <c r="FU168" s="1860"/>
      <c r="FV168" s="1860"/>
      <c r="FW168" s="1860"/>
      <c r="FX168" s="1860"/>
      <c r="FY168" s="1860"/>
      <c r="FZ168" s="1860"/>
      <c r="GA168" s="1860"/>
      <c r="GB168" s="1860"/>
      <c r="GC168" s="1860"/>
      <c r="GD168" s="1860"/>
      <c r="GE168" s="1860"/>
      <c r="GF168" s="1860"/>
      <c r="GG168" s="1860"/>
      <c r="GH168" s="1860"/>
      <c r="GI168" s="1860"/>
      <c r="GJ168" s="1860"/>
      <c r="GK168" s="1860"/>
      <c r="GL168" s="1860"/>
      <c r="GM168" s="1860"/>
    </row>
    <row r="169" spans="1:195" s="1299" customFormat="1" ht="15">
      <c r="A169" s="2127"/>
      <c r="B169" s="2127"/>
      <c r="C169" s="2128"/>
      <c r="D169" s="1302"/>
      <c r="E169" s="1294" t="s">
        <v>1084</v>
      </c>
      <c r="F169" s="1283">
        <f>SUM(F177,F185,F203)</f>
        <v>367107</v>
      </c>
      <c r="G169" s="1283">
        <f>SUM(G177,G185,G203)</f>
        <v>482480</v>
      </c>
      <c r="H169" s="1285">
        <f t="shared" si="11"/>
        <v>115373</v>
      </c>
      <c r="I169" s="1844">
        <f t="shared" si="10"/>
        <v>0.31427621919494864</v>
      </c>
      <c r="J169" s="2130"/>
      <c r="K169" s="2129"/>
      <c r="L169" s="2014"/>
      <c r="M169" s="1289"/>
      <c r="N169" s="1289"/>
      <c r="O169" s="1289"/>
      <c r="P169" s="1289"/>
      <c r="Q169" s="1289"/>
      <c r="R169" s="1289"/>
      <c r="S169" s="1289"/>
      <c r="T169" s="1289"/>
      <c r="U169" s="1289"/>
      <c r="V169" s="1289"/>
      <c r="W169" s="1289"/>
      <c r="X169" s="1289"/>
      <c r="Y169" s="1289"/>
      <c r="Z169" s="1289"/>
      <c r="AA169" s="1289"/>
      <c r="AB169" s="1289"/>
      <c r="AC169" s="1289"/>
      <c r="AD169" s="1289"/>
      <c r="AE169" s="1289"/>
      <c r="AF169" s="1289"/>
      <c r="AG169" s="1289"/>
      <c r="AH169" s="1289"/>
      <c r="AI169" s="1289"/>
      <c r="AJ169" s="1289"/>
      <c r="AK169" s="1289"/>
      <c r="AL169" s="1289"/>
      <c r="AM169" s="1289"/>
      <c r="AN169" s="1289"/>
      <c r="AO169" s="1289"/>
      <c r="AP169" s="1289"/>
      <c r="AQ169" s="1289"/>
      <c r="AR169" s="1289"/>
      <c r="AS169" s="1289"/>
      <c r="AT169" s="1289"/>
      <c r="AU169" s="1289"/>
      <c r="AV169" s="1289"/>
      <c r="AW169" s="1289"/>
      <c r="AX169" s="1289"/>
      <c r="AY169" s="1289"/>
      <c r="AZ169" s="1289"/>
      <c r="BA169" s="1289"/>
      <c r="BB169" s="1289"/>
      <c r="BC169" s="1289"/>
      <c r="BD169" s="1289"/>
      <c r="BE169" s="1289"/>
      <c r="BF169" s="1289"/>
      <c r="BG169" s="1289"/>
      <c r="BH169" s="1289"/>
      <c r="BI169" s="1289"/>
      <c r="BJ169" s="1289"/>
      <c r="BK169" s="1289"/>
      <c r="BL169" s="1289"/>
      <c r="BM169" s="1289"/>
      <c r="BN169" s="1289"/>
      <c r="BO169" s="1289"/>
      <c r="BP169" s="1289"/>
      <c r="BQ169" s="1289"/>
      <c r="BR169" s="1289"/>
      <c r="BS169" s="1289"/>
      <c r="BT169" s="1289"/>
      <c r="BU169" s="1289"/>
      <c r="BV169" s="1289"/>
      <c r="BW169" s="1289"/>
      <c r="BX169" s="1289"/>
      <c r="BY169" s="1289"/>
      <c r="BZ169" s="1289"/>
      <c r="CA169" s="1289"/>
      <c r="CB169" s="1289"/>
      <c r="CC169" s="1289"/>
      <c r="CD169" s="1289"/>
      <c r="CE169" s="1289"/>
      <c r="CF169" s="1289"/>
      <c r="CG169" s="1289"/>
      <c r="CH169" s="1289"/>
      <c r="CI169" s="1289"/>
      <c r="CJ169" s="1289"/>
      <c r="CK169" s="1289"/>
      <c r="CL169" s="1289"/>
      <c r="CM169" s="1289"/>
      <c r="CN169" s="1289"/>
      <c r="CO169" s="1289"/>
      <c r="CP169" s="1289"/>
      <c r="CQ169" s="1289"/>
      <c r="CR169" s="1289"/>
      <c r="CS169" s="1289"/>
      <c r="CT169" s="1289"/>
      <c r="CU169" s="1289"/>
      <c r="CV169" s="1289"/>
      <c r="CW169" s="1289"/>
      <c r="CX169" s="1289"/>
      <c r="CY169" s="1289"/>
      <c r="CZ169" s="1289"/>
      <c r="DA169" s="1289"/>
      <c r="DB169" s="1289"/>
      <c r="DC169" s="1289"/>
      <c r="DD169" s="1289"/>
      <c r="DE169" s="1289"/>
      <c r="DF169" s="1289"/>
      <c r="DG169" s="1289"/>
      <c r="DH169" s="1289"/>
      <c r="DI169" s="1289"/>
      <c r="DJ169" s="1289"/>
      <c r="DK169" s="1289"/>
      <c r="DL169" s="1289"/>
      <c r="DM169" s="1289"/>
      <c r="DN169" s="1289"/>
      <c r="DO169" s="1289"/>
      <c r="DP169" s="1289"/>
      <c r="DQ169" s="1289"/>
      <c r="DR169" s="1289"/>
      <c r="DS169" s="1289"/>
      <c r="DT169" s="1289"/>
      <c r="DU169" s="1289"/>
      <c r="DV169" s="1289"/>
      <c r="DW169" s="1289"/>
      <c r="DX169" s="1289"/>
      <c r="DY169" s="1289"/>
      <c r="DZ169" s="1289"/>
      <c r="EA169" s="1289"/>
      <c r="EB169" s="1289"/>
      <c r="EC169" s="1289"/>
      <c r="ED169" s="1289"/>
      <c r="EE169" s="1289"/>
      <c r="EF169" s="1289"/>
      <c r="EG169" s="1289"/>
      <c r="EH169" s="1289"/>
      <c r="EI169" s="1289"/>
      <c r="EJ169" s="1289"/>
      <c r="EK169" s="1289"/>
      <c r="EL169" s="1289"/>
      <c r="EM169" s="1289"/>
      <c r="EN169" s="1289"/>
      <c r="EO169" s="1289"/>
      <c r="EP169" s="1289"/>
      <c r="EQ169" s="1289"/>
      <c r="ER169" s="1289"/>
      <c r="ES169" s="1289"/>
      <c r="ET169" s="1289"/>
      <c r="EU169" s="1289"/>
      <c r="EV169" s="1289"/>
      <c r="EW169" s="1289"/>
      <c r="EX169" s="1289"/>
      <c r="EY169" s="1289"/>
      <c r="EZ169" s="1289"/>
      <c r="FA169" s="1289"/>
      <c r="FB169" s="1289"/>
      <c r="FC169" s="1289"/>
      <c r="FD169" s="1289"/>
      <c r="FE169" s="1289"/>
      <c r="FF169" s="1289"/>
      <c r="FG169" s="1289"/>
      <c r="FH169" s="1289"/>
      <c r="FI169" s="1289"/>
      <c r="FJ169" s="1289"/>
      <c r="FK169" s="1289"/>
      <c r="FL169" s="1289"/>
      <c r="FM169" s="1289"/>
      <c r="FN169" s="1289"/>
      <c r="FO169" s="1289"/>
      <c r="FP169" s="1289"/>
      <c r="FQ169" s="1289"/>
      <c r="FR169" s="1289"/>
      <c r="FS169" s="1289"/>
      <c r="FT169" s="1289"/>
      <c r="FU169" s="1289"/>
      <c r="FV169" s="1289"/>
      <c r="FW169" s="1289"/>
      <c r="FX169" s="1289"/>
      <c r="FY169" s="1289"/>
      <c r="FZ169" s="1289"/>
      <c r="GA169" s="1289"/>
      <c r="GB169" s="1289"/>
      <c r="GC169" s="1289"/>
      <c r="GD169" s="1289"/>
      <c r="GE169" s="1289"/>
      <c r="GF169" s="1289"/>
      <c r="GG169" s="1289"/>
      <c r="GH169" s="1289"/>
      <c r="GI169" s="1289"/>
      <c r="GJ169" s="1289"/>
      <c r="GK169" s="1289"/>
      <c r="GL169" s="1289"/>
      <c r="GM169" s="1289"/>
    </row>
    <row r="170" spans="1:195" s="1299" customFormat="1" ht="15">
      <c r="A170" s="2127"/>
      <c r="B170" s="2127"/>
      <c r="C170" s="2128"/>
      <c r="D170" s="1302"/>
      <c r="E170" s="2131" t="s">
        <v>431</v>
      </c>
      <c r="F170" s="2132">
        <f>F178+F186</f>
        <v>13087.993548021685</v>
      </c>
      <c r="G170" s="2132">
        <f>G178+G186</f>
        <v>14926.995164657335</v>
      </c>
      <c r="H170" s="1285">
        <f>G170-F170</f>
        <v>1839.0016166356509</v>
      </c>
      <c r="I170" s="1834">
        <f t="shared" si="10"/>
        <v>0.14051058398585664</v>
      </c>
      <c r="J170" s="2133"/>
      <c r="K170" s="2129"/>
      <c r="L170" s="2014"/>
      <c r="M170" s="1289"/>
      <c r="N170" s="1289"/>
      <c r="O170" s="1289"/>
      <c r="P170" s="1289"/>
      <c r="Q170" s="1289"/>
      <c r="R170" s="1289"/>
      <c r="S170" s="1289"/>
      <c r="T170" s="1289"/>
      <c r="U170" s="1289"/>
      <c r="V170" s="1289"/>
      <c r="W170" s="1289"/>
      <c r="X170" s="1289"/>
      <c r="Y170" s="1289"/>
      <c r="Z170" s="1289"/>
      <c r="AA170" s="1289"/>
      <c r="AB170" s="1289"/>
      <c r="AC170" s="1289"/>
      <c r="AD170" s="1289"/>
      <c r="AE170" s="1289"/>
      <c r="AF170" s="1289"/>
      <c r="AG170" s="1289"/>
      <c r="AH170" s="1289"/>
      <c r="AI170" s="1289"/>
      <c r="AJ170" s="1289"/>
      <c r="AK170" s="1289"/>
      <c r="AL170" s="1289"/>
      <c r="AM170" s="1289"/>
      <c r="AN170" s="1289"/>
      <c r="AO170" s="1289"/>
      <c r="AP170" s="1289"/>
      <c r="AQ170" s="1289"/>
      <c r="AR170" s="1289"/>
      <c r="AS170" s="1289"/>
      <c r="AT170" s="1289"/>
      <c r="AU170" s="1289"/>
      <c r="AV170" s="1289"/>
      <c r="AW170" s="1289"/>
      <c r="AX170" s="1289"/>
      <c r="AY170" s="1289"/>
      <c r="AZ170" s="1289"/>
      <c r="BA170" s="1289"/>
      <c r="BB170" s="1289"/>
      <c r="BC170" s="1289"/>
      <c r="BD170" s="1289"/>
      <c r="BE170" s="1289"/>
      <c r="BF170" s="1289"/>
      <c r="BG170" s="1289"/>
      <c r="BH170" s="1289"/>
      <c r="BI170" s="1289"/>
      <c r="BJ170" s="1289"/>
      <c r="BK170" s="1289"/>
      <c r="BL170" s="1289"/>
      <c r="BM170" s="1289"/>
      <c r="BN170" s="1289"/>
      <c r="BO170" s="1289"/>
      <c r="BP170" s="1289"/>
      <c r="BQ170" s="1289"/>
      <c r="BR170" s="1289"/>
      <c r="BS170" s="1289"/>
      <c r="BT170" s="1289"/>
      <c r="BU170" s="1289"/>
      <c r="BV170" s="1289"/>
      <c r="BW170" s="1289"/>
      <c r="BX170" s="1289"/>
      <c r="BY170" s="1289"/>
      <c r="BZ170" s="1289"/>
      <c r="CA170" s="1289"/>
      <c r="CB170" s="1289"/>
      <c r="CC170" s="1289"/>
      <c r="CD170" s="1289"/>
      <c r="CE170" s="1289"/>
      <c r="CF170" s="1289"/>
      <c r="CG170" s="1289"/>
      <c r="CH170" s="1289"/>
      <c r="CI170" s="1289"/>
      <c r="CJ170" s="1289"/>
      <c r="CK170" s="1289"/>
      <c r="CL170" s="1289"/>
      <c r="CM170" s="1289"/>
      <c r="CN170" s="1289"/>
      <c r="CO170" s="1289"/>
      <c r="CP170" s="1289"/>
      <c r="CQ170" s="1289"/>
      <c r="CR170" s="1289"/>
      <c r="CS170" s="1289"/>
      <c r="CT170" s="1289"/>
      <c r="CU170" s="1289"/>
      <c r="CV170" s="1289"/>
      <c r="CW170" s="1289"/>
      <c r="CX170" s="1289"/>
      <c r="CY170" s="1289"/>
      <c r="CZ170" s="1289"/>
      <c r="DA170" s="1289"/>
      <c r="DB170" s="1289"/>
      <c r="DC170" s="1289"/>
      <c r="DD170" s="1289"/>
      <c r="DE170" s="1289"/>
      <c r="DF170" s="1289"/>
      <c r="DG170" s="1289"/>
      <c r="DH170" s="1289"/>
      <c r="DI170" s="1289"/>
      <c r="DJ170" s="1289"/>
      <c r="DK170" s="1289"/>
      <c r="DL170" s="1289"/>
      <c r="DM170" s="1289"/>
      <c r="DN170" s="1289"/>
      <c r="DO170" s="1289"/>
      <c r="DP170" s="1289"/>
      <c r="DQ170" s="1289"/>
      <c r="DR170" s="1289"/>
      <c r="DS170" s="1289"/>
      <c r="DT170" s="1289"/>
      <c r="DU170" s="1289"/>
      <c r="DV170" s="1289"/>
      <c r="DW170" s="1289"/>
      <c r="DX170" s="1289"/>
      <c r="DY170" s="1289"/>
      <c r="DZ170" s="1289"/>
      <c r="EA170" s="1289"/>
      <c r="EB170" s="1289"/>
      <c r="EC170" s="1289"/>
      <c r="ED170" s="1289"/>
      <c r="EE170" s="1289"/>
      <c r="EF170" s="1289"/>
      <c r="EG170" s="1289"/>
      <c r="EH170" s="1289"/>
      <c r="EI170" s="1289"/>
      <c r="EJ170" s="1289"/>
      <c r="EK170" s="1289"/>
      <c r="EL170" s="1289"/>
      <c r="EM170" s="1289"/>
      <c r="EN170" s="1289"/>
      <c r="EO170" s="1289"/>
      <c r="EP170" s="1289"/>
      <c r="EQ170" s="1289"/>
      <c r="ER170" s="1289"/>
      <c r="ES170" s="1289"/>
      <c r="ET170" s="1289"/>
      <c r="EU170" s="1289"/>
      <c r="EV170" s="1289"/>
      <c r="EW170" s="1289"/>
      <c r="EX170" s="1289"/>
      <c r="EY170" s="1289"/>
      <c r="EZ170" s="1289"/>
      <c r="FA170" s="1289"/>
      <c r="FB170" s="1289"/>
      <c r="FC170" s="1289"/>
      <c r="FD170" s="1289"/>
      <c r="FE170" s="1289"/>
      <c r="FF170" s="1289"/>
      <c r="FG170" s="1289"/>
      <c r="FH170" s="1289"/>
      <c r="FI170" s="1289"/>
      <c r="FJ170" s="1289"/>
      <c r="FK170" s="1289"/>
      <c r="FL170" s="1289"/>
      <c r="FM170" s="1289"/>
      <c r="FN170" s="1289"/>
      <c r="FO170" s="1289"/>
      <c r="FP170" s="1289"/>
      <c r="FQ170" s="1289"/>
      <c r="FR170" s="1289"/>
      <c r="FS170" s="1289"/>
      <c r="FT170" s="1289"/>
      <c r="FU170" s="1289"/>
      <c r="FV170" s="1289"/>
      <c r="FW170" s="1289"/>
      <c r="FX170" s="1289"/>
      <c r="FY170" s="1289"/>
      <c r="FZ170" s="1289"/>
      <c r="GA170" s="1289"/>
      <c r="GB170" s="1289"/>
      <c r="GC170" s="1289"/>
      <c r="GD170" s="1289"/>
      <c r="GE170" s="1289"/>
      <c r="GF170" s="1289"/>
      <c r="GG170" s="1289"/>
      <c r="GH170" s="1289"/>
      <c r="GI170" s="1289"/>
      <c r="GJ170" s="1289"/>
      <c r="GK170" s="1289"/>
      <c r="GL170" s="1289"/>
      <c r="GM170" s="1289"/>
    </row>
    <row r="171" spans="1:195" s="1299" customFormat="1" ht="15">
      <c r="A171" s="2127"/>
      <c r="B171" s="2127"/>
      <c r="C171" s="2128"/>
      <c r="D171" s="1297"/>
      <c r="E171" s="1294" t="s">
        <v>1249</v>
      </c>
      <c r="F171" s="1280">
        <f>F180+F187+F192+F197+F204+F207+F212+F218</f>
        <v>163529</v>
      </c>
      <c r="G171" s="1280">
        <f>G180+G187+G192+G197+G204+G207+G212+G218</f>
        <v>347073</v>
      </c>
      <c r="H171" s="1285">
        <f>G171-F171</f>
        <v>183544</v>
      </c>
      <c r="I171" s="1834">
        <f t="shared" si="10"/>
        <v>1.1223941930789034</v>
      </c>
      <c r="J171" s="1300"/>
      <c r="K171" s="2129"/>
      <c r="L171" s="2014"/>
      <c r="M171" s="1289"/>
      <c r="N171" s="1289"/>
      <c r="O171" s="1289"/>
      <c r="P171" s="1289"/>
      <c r="Q171" s="1289"/>
      <c r="R171" s="1289"/>
      <c r="S171" s="1289"/>
      <c r="T171" s="1289"/>
      <c r="U171" s="1289"/>
      <c r="V171" s="1289"/>
      <c r="W171" s="1289"/>
      <c r="X171" s="1289"/>
      <c r="Y171" s="1289"/>
      <c r="Z171" s="1289"/>
      <c r="AA171" s="1289"/>
      <c r="AB171" s="1289"/>
      <c r="AC171" s="1289"/>
      <c r="AD171" s="1289"/>
      <c r="AE171" s="1289"/>
      <c r="AF171" s="1289"/>
      <c r="AG171" s="1289"/>
      <c r="AH171" s="1289"/>
      <c r="AI171" s="1289"/>
      <c r="AJ171" s="1289"/>
      <c r="AK171" s="1289"/>
      <c r="AL171" s="1289"/>
      <c r="AM171" s="1289"/>
      <c r="AN171" s="1289"/>
      <c r="AO171" s="1289"/>
      <c r="AP171" s="1289"/>
      <c r="AQ171" s="1289"/>
      <c r="AR171" s="1289"/>
      <c r="AS171" s="1289"/>
      <c r="AT171" s="1289"/>
      <c r="AU171" s="1289"/>
      <c r="AV171" s="1289"/>
      <c r="AW171" s="1289"/>
      <c r="AX171" s="1289"/>
      <c r="AY171" s="1289"/>
      <c r="AZ171" s="1289"/>
      <c r="BA171" s="1289"/>
      <c r="BB171" s="1289"/>
      <c r="BC171" s="1289"/>
      <c r="BD171" s="1289"/>
      <c r="BE171" s="1289"/>
      <c r="BF171" s="1289"/>
      <c r="BG171" s="1289"/>
      <c r="BH171" s="1289"/>
      <c r="BI171" s="1289"/>
      <c r="BJ171" s="1289"/>
      <c r="BK171" s="1289"/>
      <c r="BL171" s="1289"/>
      <c r="BM171" s="1289"/>
      <c r="BN171" s="1289"/>
      <c r="BO171" s="1289"/>
      <c r="BP171" s="1289"/>
      <c r="BQ171" s="1289"/>
      <c r="BR171" s="1289"/>
      <c r="BS171" s="1289"/>
      <c r="BT171" s="1289"/>
      <c r="BU171" s="1289"/>
      <c r="BV171" s="1289"/>
      <c r="BW171" s="1289"/>
      <c r="BX171" s="1289"/>
      <c r="BY171" s="1289"/>
      <c r="BZ171" s="1289"/>
      <c r="CA171" s="1289"/>
      <c r="CB171" s="1289"/>
      <c r="CC171" s="1289"/>
      <c r="CD171" s="1289"/>
      <c r="CE171" s="1289"/>
      <c r="CF171" s="1289"/>
      <c r="CG171" s="1289"/>
      <c r="CH171" s="1289"/>
      <c r="CI171" s="1289"/>
      <c r="CJ171" s="1289"/>
      <c r="CK171" s="1289"/>
      <c r="CL171" s="1289"/>
      <c r="CM171" s="1289"/>
      <c r="CN171" s="1289"/>
      <c r="CO171" s="1289"/>
      <c r="CP171" s="1289"/>
      <c r="CQ171" s="1289"/>
      <c r="CR171" s="1289"/>
      <c r="CS171" s="1289"/>
      <c r="CT171" s="1289"/>
      <c r="CU171" s="1289"/>
      <c r="CV171" s="1289"/>
      <c r="CW171" s="1289"/>
      <c r="CX171" s="1289"/>
      <c r="CY171" s="1289"/>
      <c r="CZ171" s="1289"/>
      <c r="DA171" s="1289"/>
      <c r="DB171" s="1289"/>
      <c r="DC171" s="1289"/>
      <c r="DD171" s="1289"/>
      <c r="DE171" s="1289"/>
      <c r="DF171" s="1289"/>
      <c r="DG171" s="1289"/>
      <c r="DH171" s="1289"/>
      <c r="DI171" s="1289"/>
      <c r="DJ171" s="1289"/>
      <c r="DK171" s="1289"/>
      <c r="DL171" s="1289"/>
      <c r="DM171" s="1289"/>
      <c r="DN171" s="1289"/>
      <c r="DO171" s="1289"/>
      <c r="DP171" s="1289"/>
      <c r="DQ171" s="1289"/>
      <c r="DR171" s="1289"/>
      <c r="DS171" s="1289"/>
      <c r="DT171" s="1289"/>
      <c r="DU171" s="1289"/>
      <c r="DV171" s="1289"/>
      <c r="DW171" s="1289"/>
      <c r="DX171" s="1289"/>
      <c r="DY171" s="1289"/>
      <c r="DZ171" s="1289"/>
      <c r="EA171" s="1289"/>
      <c r="EB171" s="1289"/>
      <c r="EC171" s="1289"/>
      <c r="ED171" s="1289"/>
      <c r="EE171" s="1289"/>
      <c r="EF171" s="1289"/>
      <c r="EG171" s="1289"/>
      <c r="EH171" s="1289"/>
      <c r="EI171" s="1289"/>
      <c r="EJ171" s="1289"/>
      <c r="EK171" s="1289"/>
      <c r="EL171" s="1289"/>
      <c r="EM171" s="1289"/>
      <c r="EN171" s="1289"/>
      <c r="EO171" s="1289"/>
      <c r="EP171" s="1289"/>
      <c r="EQ171" s="1289"/>
      <c r="ER171" s="1289"/>
      <c r="ES171" s="1289"/>
      <c r="ET171" s="1289"/>
      <c r="EU171" s="1289"/>
      <c r="EV171" s="1289"/>
      <c r="EW171" s="1289"/>
      <c r="EX171" s="1289"/>
      <c r="EY171" s="1289"/>
      <c r="EZ171" s="1289"/>
      <c r="FA171" s="1289"/>
      <c r="FB171" s="1289"/>
      <c r="FC171" s="1289"/>
      <c r="FD171" s="1289"/>
      <c r="FE171" s="1289"/>
      <c r="FF171" s="1289"/>
      <c r="FG171" s="1289"/>
      <c r="FH171" s="1289"/>
      <c r="FI171" s="1289"/>
      <c r="FJ171" s="1289"/>
      <c r="FK171" s="1289"/>
      <c r="FL171" s="1289"/>
      <c r="FM171" s="1289"/>
      <c r="FN171" s="1289"/>
      <c r="FO171" s="1289"/>
      <c r="FP171" s="1289"/>
      <c r="FQ171" s="1289"/>
      <c r="FR171" s="1289"/>
      <c r="FS171" s="1289"/>
      <c r="FT171" s="1289"/>
      <c r="FU171" s="1289"/>
      <c r="FV171" s="1289"/>
      <c r="FW171" s="1289"/>
      <c r="FX171" s="1289"/>
      <c r="FY171" s="1289"/>
      <c r="FZ171" s="1289"/>
      <c r="GA171" s="1289"/>
      <c r="GB171" s="1289"/>
      <c r="GC171" s="1289"/>
      <c r="GD171" s="1289"/>
      <c r="GE171" s="1289"/>
      <c r="GF171" s="1289"/>
      <c r="GG171" s="1289"/>
      <c r="GH171" s="1289"/>
      <c r="GI171" s="1289"/>
      <c r="GJ171" s="1289"/>
      <c r="GK171" s="1289"/>
      <c r="GL171" s="1289"/>
      <c r="GM171" s="1289"/>
    </row>
    <row r="172" spans="1:195" s="1299" customFormat="1" ht="15">
      <c r="A172" s="2127"/>
      <c r="B172" s="2127"/>
      <c r="C172" s="2128"/>
      <c r="D172" s="1302"/>
      <c r="E172" s="1294" t="s">
        <v>566</v>
      </c>
      <c r="F172" s="1283">
        <f>F205+F213+F219</f>
        <v>0</v>
      </c>
      <c r="G172" s="1283">
        <f>G205+G213+G219</f>
        <v>3000</v>
      </c>
      <c r="H172" s="1303"/>
      <c r="I172" s="1844" t="str">
        <f t="shared" si="10"/>
        <v>-</v>
      </c>
      <c r="J172" s="2130"/>
      <c r="K172" s="2129"/>
      <c r="L172" s="2014"/>
      <c r="M172" s="1289"/>
      <c r="N172" s="1289"/>
      <c r="O172" s="1289"/>
      <c r="P172" s="1289"/>
      <c r="Q172" s="1289"/>
      <c r="R172" s="1289"/>
      <c r="S172" s="1289"/>
      <c r="T172" s="1289"/>
      <c r="U172" s="1289"/>
      <c r="V172" s="1289"/>
      <c r="W172" s="1289"/>
      <c r="X172" s="1289"/>
      <c r="Y172" s="1289"/>
      <c r="Z172" s="1289"/>
      <c r="AA172" s="1289"/>
      <c r="AB172" s="1289"/>
      <c r="AC172" s="1289"/>
      <c r="AD172" s="1289"/>
      <c r="AE172" s="1289"/>
      <c r="AF172" s="1289"/>
      <c r="AG172" s="1289"/>
      <c r="AH172" s="1289"/>
      <c r="AI172" s="1289"/>
      <c r="AJ172" s="1289"/>
      <c r="AK172" s="1289"/>
      <c r="AL172" s="1289"/>
      <c r="AM172" s="1289"/>
      <c r="AN172" s="1289"/>
      <c r="AO172" s="1289"/>
      <c r="AP172" s="1289"/>
      <c r="AQ172" s="1289"/>
      <c r="AR172" s="1289"/>
      <c r="AS172" s="1289"/>
      <c r="AT172" s="1289"/>
      <c r="AU172" s="1289"/>
      <c r="AV172" s="1289"/>
      <c r="AW172" s="1289"/>
      <c r="AX172" s="1289"/>
      <c r="AY172" s="1289"/>
      <c r="AZ172" s="1289"/>
      <c r="BA172" s="1289"/>
      <c r="BB172" s="1289"/>
      <c r="BC172" s="1289"/>
      <c r="BD172" s="1289"/>
      <c r="BE172" s="1289"/>
      <c r="BF172" s="1289"/>
      <c r="BG172" s="1289"/>
      <c r="BH172" s="1289"/>
      <c r="BI172" s="1289"/>
      <c r="BJ172" s="1289"/>
      <c r="BK172" s="1289"/>
      <c r="BL172" s="1289"/>
      <c r="BM172" s="1289"/>
      <c r="BN172" s="1289"/>
      <c r="BO172" s="1289"/>
      <c r="BP172" s="1289"/>
      <c r="BQ172" s="1289"/>
      <c r="BR172" s="1289"/>
      <c r="BS172" s="1289"/>
      <c r="BT172" s="1289"/>
      <c r="BU172" s="1289"/>
      <c r="BV172" s="1289"/>
      <c r="BW172" s="1289"/>
      <c r="BX172" s="1289"/>
      <c r="BY172" s="1289"/>
      <c r="BZ172" s="1289"/>
      <c r="CA172" s="1289"/>
      <c r="CB172" s="1289"/>
      <c r="CC172" s="1289"/>
      <c r="CD172" s="1289"/>
      <c r="CE172" s="1289"/>
      <c r="CF172" s="1289"/>
      <c r="CG172" s="1289"/>
      <c r="CH172" s="1289"/>
      <c r="CI172" s="1289"/>
      <c r="CJ172" s="1289"/>
      <c r="CK172" s="1289"/>
      <c r="CL172" s="1289"/>
      <c r="CM172" s="1289"/>
      <c r="CN172" s="1289"/>
      <c r="CO172" s="1289"/>
      <c r="CP172" s="1289"/>
      <c r="CQ172" s="1289"/>
      <c r="CR172" s="1289"/>
      <c r="CS172" s="1289"/>
      <c r="CT172" s="1289"/>
      <c r="CU172" s="1289"/>
      <c r="CV172" s="1289"/>
      <c r="CW172" s="1289"/>
      <c r="CX172" s="1289"/>
      <c r="CY172" s="1289"/>
      <c r="CZ172" s="1289"/>
      <c r="DA172" s="1289"/>
      <c r="DB172" s="1289"/>
      <c r="DC172" s="1289"/>
      <c r="DD172" s="1289"/>
      <c r="DE172" s="1289"/>
      <c r="DF172" s="1289"/>
      <c r="DG172" s="1289"/>
      <c r="DH172" s="1289"/>
      <c r="DI172" s="1289"/>
      <c r="DJ172" s="1289"/>
      <c r="DK172" s="1289"/>
      <c r="DL172" s="1289"/>
      <c r="DM172" s="1289"/>
      <c r="DN172" s="1289"/>
      <c r="DO172" s="1289"/>
      <c r="DP172" s="1289"/>
      <c r="DQ172" s="1289"/>
      <c r="DR172" s="1289"/>
      <c r="DS172" s="1289"/>
      <c r="DT172" s="1289"/>
      <c r="DU172" s="1289"/>
      <c r="DV172" s="1289"/>
      <c r="DW172" s="1289"/>
      <c r="DX172" s="1289"/>
      <c r="DY172" s="1289"/>
      <c r="DZ172" s="1289"/>
      <c r="EA172" s="1289"/>
      <c r="EB172" s="1289"/>
      <c r="EC172" s="1289"/>
      <c r="ED172" s="1289"/>
      <c r="EE172" s="1289"/>
      <c r="EF172" s="1289"/>
      <c r="EG172" s="1289"/>
      <c r="EH172" s="1289"/>
      <c r="EI172" s="1289"/>
      <c r="EJ172" s="1289"/>
      <c r="EK172" s="1289"/>
      <c r="EL172" s="1289"/>
      <c r="EM172" s="1289"/>
      <c r="EN172" s="1289"/>
      <c r="EO172" s="1289"/>
      <c r="EP172" s="1289"/>
      <c r="EQ172" s="1289"/>
      <c r="ER172" s="1289"/>
      <c r="ES172" s="1289"/>
      <c r="ET172" s="1289"/>
      <c r="EU172" s="1289"/>
      <c r="EV172" s="1289"/>
      <c r="EW172" s="1289"/>
      <c r="EX172" s="1289"/>
      <c r="EY172" s="1289"/>
      <c r="EZ172" s="1289"/>
      <c r="FA172" s="1289"/>
      <c r="FB172" s="1289"/>
      <c r="FC172" s="1289"/>
      <c r="FD172" s="1289"/>
      <c r="FE172" s="1289"/>
      <c r="FF172" s="1289"/>
      <c r="FG172" s="1289"/>
      <c r="FH172" s="1289"/>
      <c r="FI172" s="1289"/>
      <c r="FJ172" s="1289"/>
      <c r="FK172" s="1289"/>
      <c r="FL172" s="1289"/>
      <c r="FM172" s="1289"/>
      <c r="FN172" s="1289"/>
      <c r="FO172" s="1289"/>
      <c r="FP172" s="1289"/>
      <c r="FQ172" s="1289"/>
      <c r="FR172" s="1289"/>
      <c r="FS172" s="1289"/>
      <c r="FT172" s="1289"/>
      <c r="FU172" s="1289"/>
      <c r="FV172" s="1289"/>
      <c r="FW172" s="1289"/>
      <c r="FX172" s="1289"/>
      <c r="FY172" s="1289"/>
      <c r="FZ172" s="1289"/>
      <c r="GA172" s="1289"/>
      <c r="GB172" s="1289"/>
      <c r="GC172" s="1289"/>
      <c r="GD172" s="1289"/>
      <c r="GE172" s="1289"/>
      <c r="GF172" s="1289"/>
      <c r="GG172" s="1289"/>
      <c r="GH172" s="1289"/>
      <c r="GI172" s="1289"/>
      <c r="GJ172" s="1289"/>
      <c r="GK172" s="1289"/>
      <c r="GL172" s="1289"/>
      <c r="GM172" s="1289"/>
    </row>
    <row r="173" spans="1:195" ht="15">
      <c r="D173" s="126" t="s">
        <v>170</v>
      </c>
      <c r="E173" s="127" t="s">
        <v>591</v>
      </c>
      <c r="F173" s="383">
        <f>F174+F175+F176</f>
        <v>413006.08856683568</v>
      </c>
      <c r="G173" s="383">
        <f>G174+G175+G176</f>
        <v>444020.85509206675</v>
      </c>
      <c r="H173" s="116">
        <f t="shared" ref="H173:H186" si="12">G173-F173</f>
        <v>31014.766525231069</v>
      </c>
      <c r="I173" s="1826">
        <f t="shared" si="10"/>
        <v>7.509517991091802E-2</v>
      </c>
      <c r="J173" s="1129"/>
      <c r="K173" s="227"/>
      <c r="L173" s="2016"/>
      <c r="M173" s="1122"/>
      <c r="N173" s="1122"/>
      <c r="O173" s="1122"/>
    </row>
    <row r="174" spans="1:195" s="50" customFormat="1" ht="15" hidden="1" outlineLevel="1">
      <c r="A174" s="1665" t="s">
        <v>1931</v>
      </c>
      <c r="B174" s="1665" t="s">
        <v>663</v>
      </c>
      <c r="C174" s="1858"/>
      <c r="D174" s="160"/>
      <c r="E174" s="217" t="s">
        <v>663</v>
      </c>
      <c r="F174" s="389">
        <f>SUMIFS(INPUT!H:H,INPUT!E:E,BAZE_2024!A174,INPUT!B:B,BAZE_2024!B174)</f>
        <v>326536.08856683568</v>
      </c>
      <c r="G174" s="389">
        <f>SUMIFS(INPUT!L:L,INPUT!E:E,BAZE_2024!A174,INPUT!B:B,BAZE_2024!B174)</f>
        <v>359842.18842540006</v>
      </c>
      <c r="H174" s="146">
        <f t="shared" si="12"/>
        <v>33306.099858564383</v>
      </c>
      <c r="I174" s="1836">
        <f t="shared" si="10"/>
        <v>0.10199822018063789</v>
      </c>
      <c r="J174" s="1141" t="s">
        <v>5767</v>
      </c>
      <c r="K174" s="227"/>
      <c r="L174" s="2016"/>
      <c r="M174" s="1122"/>
      <c r="N174" s="1122"/>
      <c r="O174" s="1122"/>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50" customFormat="1" ht="15" hidden="1" outlineLevel="1">
      <c r="A175" s="1665" t="s">
        <v>1931</v>
      </c>
      <c r="B175" s="1665" t="s">
        <v>1248</v>
      </c>
      <c r="C175" s="1858"/>
      <c r="D175" s="216"/>
      <c r="E175" s="161" t="s">
        <v>579</v>
      </c>
      <c r="F175" s="389">
        <f>SUMIFS(INPUT!H:H,INPUT!E:E,BAZE_2024!A175,INPUT!B:B,BAZE_2024!B175)</f>
        <v>83530</v>
      </c>
      <c r="G175" s="389">
        <f>SUMIFS(INPUT!L:L,INPUT!E:E,BAZE_2024!A175,INPUT!B:B,BAZE_2024!B175)</f>
        <v>80178.666666666672</v>
      </c>
      <c r="H175" s="146">
        <f t="shared" si="12"/>
        <v>-3351.3333333333285</v>
      </c>
      <c r="I175" s="1836">
        <f t="shared" si="10"/>
        <v>-4.0121313699668724E-2</v>
      </c>
      <c r="J175" s="391"/>
      <c r="K175" s="156">
        <v>-0.02</v>
      </c>
      <c r="L175" s="1222">
        <f>G175*K175</f>
        <v>-1603.5733333333335</v>
      </c>
      <c r="M175" s="1122"/>
      <c r="N175" s="1122"/>
      <c r="O175" s="1122"/>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50" customFormat="1" ht="15" hidden="1" outlineLevel="1">
      <c r="A176" s="1665" t="s">
        <v>1931</v>
      </c>
      <c r="B176" s="1665" t="s">
        <v>1250</v>
      </c>
      <c r="C176" s="1858"/>
      <c r="D176" s="160"/>
      <c r="E176" s="161" t="s">
        <v>578</v>
      </c>
      <c r="F176" s="389">
        <f>SUMIFS(INPUT!H:H,INPUT!E:E,BAZE_2024!A176,INPUT!B:B,BAZE_2024!B176)</f>
        <v>2940</v>
      </c>
      <c r="G176" s="389">
        <f>SUMIFS(INPUT!L:L,INPUT!E:E,BAZE_2024!A176,INPUT!B:B,BAZE_2024!B176)</f>
        <v>4000</v>
      </c>
      <c r="H176" s="146">
        <f t="shared" si="12"/>
        <v>1060</v>
      </c>
      <c r="I176" s="1836">
        <f t="shared" si="10"/>
        <v>0.36054421768707484</v>
      </c>
      <c r="J176" s="1141" t="s">
        <v>5768</v>
      </c>
      <c r="K176" s="227"/>
      <c r="L176" s="2016"/>
      <c r="M176" s="1122"/>
      <c r="N176" s="1122"/>
      <c r="O176" s="1122"/>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row>
    <row r="177" spans="1:195" s="1299" customFormat="1" ht="15" hidden="1" outlineLevel="1">
      <c r="A177" s="2127" t="s">
        <v>1931</v>
      </c>
      <c r="B177" s="2127" t="s">
        <v>1084</v>
      </c>
      <c r="C177" s="2128"/>
      <c r="D177" s="1297"/>
      <c r="E177" s="1294" t="s">
        <v>1084</v>
      </c>
      <c r="F177" s="1280">
        <f>SUMIFS(INPUT!H:H,INPUT!E:E,BAZE_2024!A177,INPUT!B:B,BAZE_2024!B177)</f>
        <v>165611</v>
      </c>
      <c r="G177" s="380">
        <f>SUMIFS(INPUT!L:L,INPUT!E:E,BAZE_2024!A177,INPUT!B:B,BAZE_2024!B177)</f>
        <v>204500</v>
      </c>
      <c r="H177" s="1285">
        <f t="shared" si="12"/>
        <v>38889</v>
      </c>
      <c r="I177" s="1834">
        <f>IFERROR(H177/F177,"-")</f>
        <v>0.23482135848464172</v>
      </c>
      <c r="J177" s="1300"/>
      <c r="K177" s="2129"/>
      <c r="L177" s="2014"/>
      <c r="M177" s="1289"/>
      <c r="N177" s="1289"/>
      <c r="O177" s="1289"/>
      <c r="P177" s="1289"/>
      <c r="Q177" s="1289"/>
      <c r="R177" s="1289"/>
      <c r="S177" s="1289"/>
      <c r="T177" s="1289"/>
      <c r="U177" s="1289"/>
      <c r="V177" s="1289"/>
      <c r="W177" s="1289"/>
      <c r="X177" s="1289"/>
      <c r="Y177" s="1289"/>
      <c r="Z177" s="1289"/>
      <c r="AA177" s="1289"/>
      <c r="AB177" s="1289"/>
      <c r="AC177" s="1289"/>
      <c r="AD177" s="1289"/>
      <c r="AE177" s="1289"/>
      <c r="AF177" s="1289"/>
      <c r="AG177" s="1289"/>
      <c r="AH177" s="1289"/>
      <c r="AI177" s="1289"/>
      <c r="AJ177" s="1289"/>
      <c r="AK177" s="1289"/>
      <c r="AL177" s="1289"/>
      <c r="AM177" s="1289"/>
      <c r="AN177" s="1289"/>
      <c r="AO177" s="1289"/>
      <c r="AP177" s="1289"/>
      <c r="AQ177" s="1289"/>
      <c r="AR177" s="1289"/>
      <c r="AS177" s="1289"/>
      <c r="AT177" s="1289"/>
      <c r="AU177" s="1289"/>
      <c r="AV177" s="1289"/>
      <c r="AW177" s="1289"/>
      <c r="AX177" s="1289"/>
      <c r="AY177" s="1289"/>
      <c r="AZ177" s="1289"/>
      <c r="BA177" s="1289"/>
      <c r="BB177" s="1289"/>
      <c r="BC177" s="1289"/>
      <c r="BD177" s="1289"/>
      <c r="BE177" s="1289"/>
      <c r="BF177" s="1289"/>
      <c r="BG177" s="1289"/>
      <c r="BH177" s="1289"/>
      <c r="BI177" s="1289"/>
      <c r="BJ177" s="1289"/>
      <c r="BK177" s="1289"/>
      <c r="BL177" s="1289"/>
      <c r="BM177" s="1289"/>
      <c r="BN177" s="1289"/>
      <c r="BO177" s="1289"/>
      <c r="BP177" s="1289"/>
      <c r="BQ177" s="1289"/>
      <c r="BR177" s="1289"/>
      <c r="BS177" s="1289"/>
      <c r="BT177" s="1289"/>
      <c r="BU177" s="1289"/>
      <c r="BV177" s="1289"/>
      <c r="BW177" s="1289"/>
      <c r="BX177" s="1289"/>
      <c r="BY177" s="1289"/>
      <c r="BZ177" s="1289"/>
      <c r="CA177" s="1289"/>
      <c r="CB177" s="1289"/>
      <c r="CC177" s="1289"/>
      <c r="CD177" s="1289"/>
      <c r="CE177" s="1289"/>
      <c r="CF177" s="1289"/>
      <c r="CG177" s="1289"/>
      <c r="CH177" s="1289"/>
      <c r="CI177" s="1289"/>
      <c r="CJ177" s="1289"/>
      <c r="CK177" s="1289"/>
      <c r="CL177" s="1289"/>
      <c r="CM177" s="1289"/>
      <c r="CN177" s="1289"/>
      <c r="CO177" s="1289"/>
      <c r="CP177" s="1289"/>
      <c r="CQ177" s="1289"/>
      <c r="CR177" s="1289"/>
      <c r="CS177" s="1289"/>
      <c r="CT177" s="1289"/>
      <c r="CU177" s="1289"/>
      <c r="CV177" s="1289"/>
      <c r="CW177" s="1289"/>
      <c r="CX177" s="1289"/>
      <c r="CY177" s="1289"/>
      <c r="CZ177" s="1289"/>
      <c r="DA177" s="1289"/>
      <c r="DB177" s="1289"/>
      <c r="DC177" s="1289"/>
      <c r="DD177" s="1289"/>
      <c r="DE177" s="1289"/>
      <c r="DF177" s="1289"/>
      <c r="DG177" s="1289"/>
      <c r="DH177" s="1289"/>
      <c r="DI177" s="1289"/>
      <c r="DJ177" s="1289"/>
      <c r="DK177" s="1289"/>
      <c r="DL177" s="1289"/>
      <c r="DM177" s="1289"/>
      <c r="DN177" s="1289"/>
      <c r="DO177" s="1289"/>
      <c r="DP177" s="1289"/>
      <c r="DQ177" s="1289"/>
      <c r="DR177" s="1289"/>
      <c r="DS177" s="1289"/>
      <c r="DT177" s="1289"/>
      <c r="DU177" s="1289"/>
      <c r="DV177" s="1289"/>
      <c r="DW177" s="1289"/>
      <c r="DX177" s="1289"/>
      <c r="DY177" s="1289"/>
      <c r="DZ177" s="1289"/>
      <c r="EA177" s="1289"/>
      <c r="EB177" s="1289"/>
      <c r="EC177" s="1289"/>
      <c r="ED177" s="1289"/>
      <c r="EE177" s="1289"/>
      <c r="EF177" s="1289"/>
      <c r="EG177" s="1289"/>
      <c r="EH177" s="1289"/>
      <c r="EI177" s="1289"/>
      <c r="EJ177" s="1289"/>
      <c r="EK177" s="1289"/>
      <c r="EL177" s="1289"/>
      <c r="EM177" s="1289"/>
      <c r="EN177" s="1289"/>
      <c r="EO177" s="1289"/>
      <c r="EP177" s="1289"/>
      <c r="EQ177" s="1289"/>
      <c r="ER177" s="1289"/>
      <c r="ES177" s="1289"/>
      <c r="ET177" s="1289"/>
      <c r="EU177" s="1289"/>
      <c r="EV177" s="1289"/>
      <c r="EW177" s="1289"/>
      <c r="EX177" s="1289"/>
      <c r="EY177" s="1289"/>
      <c r="EZ177" s="1289"/>
      <c r="FA177" s="1289"/>
      <c r="FB177" s="1289"/>
      <c r="FC177" s="1289"/>
      <c r="FD177" s="1289"/>
      <c r="FE177" s="1289"/>
      <c r="FF177" s="1289"/>
      <c r="FG177" s="1289"/>
      <c r="FH177" s="1289"/>
      <c r="FI177" s="1289"/>
      <c r="FJ177" s="1289"/>
      <c r="FK177" s="1289"/>
      <c r="FL177" s="1289"/>
      <c r="FM177" s="1289"/>
      <c r="FN177" s="1289"/>
      <c r="FO177" s="1289"/>
      <c r="FP177" s="1289"/>
      <c r="FQ177" s="1289"/>
      <c r="FR177" s="1289"/>
      <c r="FS177" s="1289"/>
      <c r="FT177" s="1289"/>
      <c r="FU177" s="1289"/>
      <c r="FV177" s="1289"/>
      <c r="FW177" s="1289"/>
      <c r="FX177" s="1289"/>
      <c r="FY177" s="1289"/>
      <c r="FZ177" s="1289"/>
      <c r="GA177" s="1289"/>
      <c r="GB177" s="1289"/>
      <c r="GC177" s="1289"/>
      <c r="GD177" s="1289"/>
      <c r="GE177" s="1289"/>
      <c r="GF177" s="1289"/>
      <c r="GG177" s="1289"/>
      <c r="GH177" s="1289"/>
      <c r="GI177" s="1289"/>
      <c r="GJ177" s="1289"/>
      <c r="GK177" s="1289"/>
      <c r="GL177" s="1289"/>
      <c r="GM177" s="1289"/>
    </row>
    <row r="178" spans="1:195" s="1299" customFormat="1" ht="15" hidden="1" outlineLevel="1">
      <c r="A178" s="2127" t="s">
        <v>1931</v>
      </c>
      <c r="B178" s="2127" t="s">
        <v>512</v>
      </c>
      <c r="C178" s="2128"/>
      <c r="D178" s="1302"/>
      <c r="E178" s="2131" t="s">
        <v>431</v>
      </c>
      <c r="F178" s="1280">
        <f>SUMIFS(INPUT!H:H,INPUT!E:E,BAZE_2024!A178,INPUT!B:B,BAZE_2024!B178)</f>
        <v>8328.9983833643491</v>
      </c>
      <c r="G178" s="380">
        <f>SUMIFS(INPUT!L:L,INPUT!E:E,BAZE_2024!A178,INPUT!B:B,BAZE_2024!B178)</f>
        <v>10168</v>
      </c>
      <c r="H178" s="1285">
        <f t="shared" si="12"/>
        <v>1839.0016166356509</v>
      </c>
      <c r="I178" s="1834">
        <f t="shared" si="10"/>
        <v>0.2207950502558291</v>
      </c>
      <c r="J178" s="2133"/>
      <c r="K178" s="2129"/>
      <c r="L178" s="2014"/>
      <c r="M178" s="1289"/>
      <c r="N178" s="1289"/>
      <c r="O178" s="1289"/>
      <c r="P178" s="1289"/>
      <c r="Q178" s="1289"/>
      <c r="R178" s="1289"/>
      <c r="S178" s="1289"/>
      <c r="T178" s="1289"/>
      <c r="U178" s="1289"/>
      <c r="V178" s="1289"/>
      <c r="W178" s="1289"/>
      <c r="X178" s="1289"/>
      <c r="Y178" s="1289"/>
      <c r="Z178" s="1289"/>
      <c r="AA178" s="1289"/>
      <c r="AB178" s="1289"/>
      <c r="AC178" s="1289"/>
      <c r="AD178" s="1289"/>
      <c r="AE178" s="1289"/>
      <c r="AF178" s="1289"/>
      <c r="AG178" s="1289"/>
      <c r="AH178" s="1289"/>
      <c r="AI178" s="1289"/>
      <c r="AJ178" s="1289"/>
      <c r="AK178" s="1289"/>
      <c r="AL178" s="1289"/>
      <c r="AM178" s="1289"/>
      <c r="AN178" s="1289"/>
      <c r="AO178" s="1289"/>
      <c r="AP178" s="1289"/>
      <c r="AQ178" s="1289"/>
      <c r="AR178" s="1289"/>
      <c r="AS178" s="1289"/>
      <c r="AT178" s="1289"/>
      <c r="AU178" s="1289"/>
      <c r="AV178" s="1289"/>
      <c r="AW178" s="1289"/>
      <c r="AX178" s="1289"/>
      <c r="AY178" s="1289"/>
      <c r="AZ178" s="1289"/>
      <c r="BA178" s="1289"/>
      <c r="BB178" s="1289"/>
      <c r="BC178" s="1289"/>
      <c r="BD178" s="1289"/>
      <c r="BE178" s="1289"/>
      <c r="BF178" s="1289"/>
      <c r="BG178" s="1289"/>
      <c r="BH178" s="1289"/>
      <c r="BI178" s="1289"/>
      <c r="BJ178" s="1289"/>
      <c r="BK178" s="1289"/>
      <c r="BL178" s="1289"/>
      <c r="BM178" s="1289"/>
      <c r="BN178" s="1289"/>
      <c r="BO178" s="1289"/>
      <c r="BP178" s="1289"/>
      <c r="BQ178" s="1289"/>
      <c r="BR178" s="1289"/>
      <c r="BS178" s="1289"/>
      <c r="BT178" s="1289"/>
      <c r="BU178" s="1289"/>
      <c r="BV178" s="1289"/>
      <c r="BW178" s="1289"/>
      <c r="BX178" s="1289"/>
      <c r="BY178" s="1289"/>
      <c r="BZ178" s="1289"/>
      <c r="CA178" s="1289"/>
      <c r="CB178" s="1289"/>
      <c r="CC178" s="1289"/>
      <c r="CD178" s="1289"/>
      <c r="CE178" s="1289"/>
      <c r="CF178" s="1289"/>
      <c r="CG178" s="1289"/>
      <c r="CH178" s="1289"/>
      <c r="CI178" s="1289"/>
      <c r="CJ178" s="1289"/>
      <c r="CK178" s="1289"/>
      <c r="CL178" s="1289"/>
      <c r="CM178" s="1289"/>
      <c r="CN178" s="1289"/>
      <c r="CO178" s="1289"/>
      <c r="CP178" s="1289"/>
      <c r="CQ178" s="1289"/>
      <c r="CR178" s="1289"/>
      <c r="CS178" s="1289"/>
      <c r="CT178" s="1289"/>
      <c r="CU178" s="1289"/>
      <c r="CV178" s="1289"/>
      <c r="CW178" s="1289"/>
      <c r="CX178" s="1289"/>
      <c r="CY178" s="1289"/>
      <c r="CZ178" s="1289"/>
      <c r="DA178" s="1289"/>
      <c r="DB178" s="1289"/>
      <c r="DC178" s="1289"/>
      <c r="DD178" s="1289"/>
      <c r="DE178" s="1289"/>
      <c r="DF178" s="1289"/>
      <c r="DG178" s="1289"/>
      <c r="DH178" s="1289"/>
      <c r="DI178" s="1289"/>
      <c r="DJ178" s="1289"/>
      <c r="DK178" s="1289"/>
      <c r="DL178" s="1289"/>
      <c r="DM178" s="1289"/>
      <c r="DN178" s="1289"/>
      <c r="DO178" s="1289"/>
      <c r="DP178" s="1289"/>
      <c r="DQ178" s="1289"/>
      <c r="DR178" s="1289"/>
      <c r="DS178" s="1289"/>
      <c r="DT178" s="1289"/>
      <c r="DU178" s="1289"/>
      <c r="DV178" s="1289"/>
      <c r="DW178" s="1289"/>
      <c r="DX178" s="1289"/>
      <c r="DY178" s="1289"/>
      <c r="DZ178" s="1289"/>
      <c r="EA178" s="1289"/>
      <c r="EB178" s="1289"/>
      <c r="EC178" s="1289"/>
      <c r="ED178" s="1289"/>
      <c r="EE178" s="1289"/>
      <c r="EF178" s="1289"/>
      <c r="EG178" s="1289"/>
      <c r="EH178" s="1289"/>
      <c r="EI178" s="1289"/>
      <c r="EJ178" s="1289"/>
      <c r="EK178" s="1289"/>
      <c r="EL178" s="1289"/>
      <c r="EM178" s="1289"/>
      <c r="EN178" s="1289"/>
      <c r="EO178" s="1289"/>
      <c r="EP178" s="1289"/>
      <c r="EQ178" s="1289"/>
      <c r="ER178" s="1289"/>
      <c r="ES178" s="1289"/>
      <c r="ET178" s="1289"/>
      <c r="EU178" s="1289"/>
      <c r="EV178" s="1289"/>
      <c r="EW178" s="1289"/>
      <c r="EX178" s="1289"/>
      <c r="EY178" s="1289"/>
      <c r="EZ178" s="1289"/>
      <c r="FA178" s="1289"/>
      <c r="FB178" s="1289"/>
      <c r="FC178" s="1289"/>
      <c r="FD178" s="1289"/>
      <c r="FE178" s="1289"/>
      <c r="FF178" s="1289"/>
      <c r="FG178" s="1289"/>
      <c r="FH178" s="1289"/>
      <c r="FI178" s="1289"/>
      <c r="FJ178" s="1289"/>
      <c r="FK178" s="1289"/>
      <c r="FL178" s="1289"/>
      <c r="FM178" s="1289"/>
      <c r="FN178" s="1289"/>
      <c r="FO178" s="1289"/>
      <c r="FP178" s="1289"/>
      <c r="FQ178" s="1289"/>
      <c r="FR178" s="1289"/>
      <c r="FS178" s="1289"/>
      <c r="FT178" s="1289"/>
      <c r="FU178" s="1289"/>
      <c r="FV178" s="1289"/>
      <c r="FW178" s="1289"/>
      <c r="FX178" s="1289"/>
      <c r="FY178" s="1289"/>
      <c r="FZ178" s="1289"/>
      <c r="GA178" s="1289"/>
      <c r="GB178" s="1289"/>
      <c r="GC178" s="1289"/>
      <c r="GD178" s="1289"/>
      <c r="GE178" s="1289"/>
      <c r="GF178" s="1289"/>
      <c r="GG178" s="1289"/>
      <c r="GH178" s="1289"/>
      <c r="GI178" s="1289"/>
      <c r="GJ178" s="1289"/>
      <c r="GK178" s="1289"/>
      <c r="GL178" s="1289"/>
      <c r="GM178" s="1289"/>
    </row>
    <row r="179" spans="1:195" s="1289" customFormat="1" ht="16.149999999999999" hidden="1" customHeight="1" outlineLevel="1">
      <c r="A179" s="2127" t="s">
        <v>3109</v>
      </c>
      <c r="B179" s="2127"/>
      <c r="C179" s="2135"/>
      <c r="D179" s="2136"/>
      <c r="E179" s="2137" t="s">
        <v>2423</v>
      </c>
      <c r="F179" s="1287">
        <f>SUMIF(INPUT!E:E,BAZE_2024!A179,INPUT!H:H)</f>
        <v>155145.60000000001</v>
      </c>
      <c r="G179" s="2143">
        <f>SUMIF(INPUT!E:E,BAZE_2024!A179,INPUT!L:L)</f>
        <v>0</v>
      </c>
      <c r="H179" s="1287">
        <f>G179-F179</f>
        <v>-155145.60000000001</v>
      </c>
      <c r="I179" s="2138">
        <f t="shared" si="10"/>
        <v>-1</v>
      </c>
      <c r="J179" s="2139"/>
      <c r="K179" s="2129"/>
      <c r="L179" s="2014"/>
    </row>
    <row r="180" spans="1:195" s="1299" customFormat="1" ht="15" hidden="1" outlineLevel="1">
      <c r="A180" s="2127" t="s">
        <v>1931</v>
      </c>
      <c r="B180" s="2127" t="s">
        <v>1249</v>
      </c>
      <c r="C180" s="2128"/>
      <c r="D180" s="1302"/>
      <c r="E180" s="1294" t="s">
        <v>1249</v>
      </c>
      <c r="F180" s="1280">
        <f>SUMIFS(INPUT!H:H,INPUT!E:E,BAZE_2024!A180,INPUT!B:B,BAZE_2024!B180)</f>
        <v>22960</v>
      </c>
      <c r="G180" s="380">
        <f>SUMIFS(INPUT!L:L,INPUT!E:E,BAZE_2024!A180,INPUT!B:B,BAZE_2024!B180)</f>
        <v>27064</v>
      </c>
      <c r="H180" s="1285">
        <f t="shared" si="12"/>
        <v>4104</v>
      </c>
      <c r="I180" s="1834">
        <f t="shared" si="10"/>
        <v>0.17874564459930314</v>
      </c>
      <c r="J180" s="1300"/>
      <c r="K180" s="2129"/>
      <c r="L180" s="2014"/>
      <c r="M180" s="1289"/>
      <c r="N180" s="1289"/>
      <c r="O180" s="1289"/>
      <c r="P180" s="1289"/>
      <c r="Q180" s="1289"/>
      <c r="R180" s="1289"/>
      <c r="S180" s="1289"/>
      <c r="T180" s="1289"/>
      <c r="U180" s="1289"/>
      <c r="V180" s="1289"/>
      <c r="W180" s="1289"/>
      <c r="X180" s="1289"/>
      <c r="Y180" s="1289"/>
      <c r="Z180" s="1289"/>
      <c r="AA180" s="1289"/>
      <c r="AB180" s="1289"/>
      <c r="AC180" s="1289"/>
      <c r="AD180" s="1289"/>
      <c r="AE180" s="1289"/>
      <c r="AF180" s="1289"/>
      <c r="AG180" s="1289"/>
      <c r="AH180" s="1289"/>
      <c r="AI180" s="1289"/>
      <c r="AJ180" s="1289"/>
      <c r="AK180" s="1289"/>
      <c r="AL180" s="1289"/>
      <c r="AM180" s="1289"/>
      <c r="AN180" s="1289"/>
      <c r="AO180" s="1289"/>
      <c r="AP180" s="1289"/>
      <c r="AQ180" s="1289"/>
      <c r="AR180" s="1289"/>
      <c r="AS180" s="1289"/>
      <c r="AT180" s="1289"/>
      <c r="AU180" s="1289"/>
      <c r="AV180" s="1289"/>
      <c r="AW180" s="1289"/>
      <c r="AX180" s="1289"/>
      <c r="AY180" s="1289"/>
      <c r="AZ180" s="1289"/>
      <c r="BA180" s="1289"/>
      <c r="BB180" s="1289"/>
      <c r="BC180" s="1289"/>
      <c r="BD180" s="1289"/>
      <c r="BE180" s="1289"/>
      <c r="BF180" s="1289"/>
      <c r="BG180" s="1289"/>
      <c r="BH180" s="1289"/>
      <c r="BI180" s="1289"/>
      <c r="BJ180" s="1289"/>
      <c r="BK180" s="1289"/>
      <c r="BL180" s="1289"/>
      <c r="BM180" s="1289"/>
      <c r="BN180" s="1289"/>
      <c r="BO180" s="1289"/>
      <c r="BP180" s="1289"/>
      <c r="BQ180" s="1289"/>
      <c r="BR180" s="1289"/>
      <c r="BS180" s="1289"/>
      <c r="BT180" s="1289"/>
      <c r="BU180" s="1289"/>
      <c r="BV180" s="1289"/>
      <c r="BW180" s="1289"/>
      <c r="BX180" s="1289"/>
      <c r="BY180" s="1289"/>
      <c r="BZ180" s="1289"/>
      <c r="CA180" s="1289"/>
      <c r="CB180" s="1289"/>
      <c r="CC180" s="1289"/>
      <c r="CD180" s="1289"/>
      <c r="CE180" s="1289"/>
      <c r="CF180" s="1289"/>
      <c r="CG180" s="1289"/>
      <c r="CH180" s="1289"/>
      <c r="CI180" s="1289"/>
      <c r="CJ180" s="1289"/>
      <c r="CK180" s="1289"/>
      <c r="CL180" s="1289"/>
      <c r="CM180" s="1289"/>
      <c r="CN180" s="1289"/>
      <c r="CO180" s="1289"/>
      <c r="CP180" s="1289"/>
      <c r="CQ180" s="1289"/>
      <c r="CR180" s="1289"/>
      <c r="CS180" s="1289"/>
      <c r="CT180" s="1289"/>
      <c r="CU180" s="1289"/>
      <c r="CV180" s="1289"/>
      <c r="CW180" s="1289"/>
      <c r="CX180" s="1289"/>
      <c r="CY180" s="1289"/>
      <c r="CZ180" s="1289"/>
      <c r="DA180" s="1289"/>
      <c r="DB180" s="1289"/>
      <c r="DC180" s="1289"/>
      <c r="DD180" s="1289"/>
      <c r="DE180" s="1289"/>
      <c r="DF180" s="1289"/>
      <c r="DG180" s="1289"/>
      <c r="DH180" s="1289"/>
      <c r="DI180" s="1289"/>
      <c r="DJ180" s="1289"/>
      <c r="DK180" s="1289"/>
      <c r="DL180" s="1289"/>
      <c r="DM180" s="1289"/>
      <c r="DN180" s="1289"/>
      <c r="DO180" s="1289"/>
      <c r="DP180" s="1289"/>
      <c r="DQ180" s="1289"/>
      <c r="DR180" s="1289"/>
      <c r="DS180" s="1289"/>
      <c r="DT180" s="1289"/>
      <c r="DU180" s="1289"/>
      <c r="DV180" s="1289"/>
      <c r="DW180" s="1289"/>
      <c r="DX180" s="1289"/>
      <c r="DY180" s="1289"/>
      <c r="DZ180" s="1289"/>
      <c r="EA180" s="1289"/>
      <c r="EB180" s="1289"/>
      <c r="EC180" s="1289"/>
      <c r="ED180" s="1289"/>
      <c r="EE180" s="1289"/>
      <c r="EF180" s="1289"/>
      <c r="EG180" s="1289"/>
      <c r="EH180" s="1289"/>
      <c r="EI180" s="1289"/>
      <c r="EJ180" s="1289"/>
      <c r="EK180" s="1289"/>
      <c r="EL180" s="1289"/>
      <c r="EM180" s="1289"/>
      <c r="EN180" s="1289"/>
      <c r="EO180" s="1289"/>
      <c r="EP180" s="1289"/>
      <c r="EQ180" s="1289"/>
      <c r="ER180" s="1289"/>
      <c r="ES180" s="1289"/>
      <c r="ET180" s="1289"/>
      <c r="EU180" s="1289"/>
      <c r="EV180" s="1289"/>
      <c r="EW180" s="1289"/>
      <c r="EX180" s="1289"/>
      <c r="EY180" s="1289"/>
      <c r="EZ180" s="1289"/>
      <c r="FA180" s="1289"/>
      <c r="FB180" s="1289"/>
      <c r="FC180" s="1289"/>
      <c r="FD180" s="1289"/>
      <c r="FE180" s="1289"/>
      <c r="FF180" s="1289"/>
      <c r="FG180" s="1289"/>
      <c r="FH180" s="1289"/>
      <c r="FI180" s="1289"/>
      <c r="FJ180" s="1289"/>
      <c r="FK180" s="1289"/>
      <c r="FL180" s="1289"/>
      <c r="FM180" s="1289"/>
      <c r="FN180" s="1289"/>
      <c r="FO180" s="1289"/>
      <c r="FP180" s="1289"/>
      <c r="FQ180" s="1289"/>
      <c r="FR180" s="1289"/>
      <c r="FS180" s="1289"/>
      <c r="FT180" s="1289"/>
      <c r="FU180" s="1289"/>
      <c r="FV180" s="1289"/>
      <c r="FW180" s="1289"/>
      <c r="FX180" s="1289"/>
      <c r="FY180" s="1289"/>
      <c r="FZ180" s="1289"/>
      <c r="GA180" s="1289"/>
      <c r="GB180" s="1289"/>
      <c r="GC180" s="1289"/>
      <c r="GD180" s="1289"/>
      <c r="GE180" s="1289"/>
      <c r="GF180" s="1289"/>
      <c r="GG180" s="1289"/>
      <c r="GH180" s="1289"/>
      <c r="GI180" s="1289"/>
      <c r="GJ180" s="1289"/>
      <c r="GK180" s="1289"/>
      <c r="GL180" s="1289"/>
      <c r="GM180" s="1289"/>
    </row>
    <row r="181" spans="1:195" ht="15" collapsed="1">
      <c r="D181" s="126" t="s">
        <v>172</v>
      </c>
      <c r="E181" s="127" t="s">
        <v>1589</v>
      </c>
      <c r="F181" s="383">
        <f>F182+F183+F184</f>
        <v>269825.00483534264</v>
      </c>
      <c r="G181" s="383">
        <f>G182+G183+G184</f>
        <v>282270.86028633331</v>
      </c>
      <c r="H181" s="116">
        <f t="shared" si="12"/>
        <v>12445.855450990668</v>
      </c>
      <c r="I181" s="1826">
        <f t="shared" si="10"/>
        <v>4.6125656362298956E-2</v>
      </c>
      <c r="J181" s="1129"/>
      <c r="K181" s="227"/>
      <c r="L181" s="2016"/>
      <c r="M181" s="1122"/>
      <c r="N181" s="1122"/>
      <c r="O181" s="1122"/>
    </row>
    <row r="182" spans="1:195" s="50" customFormat="1" ht="30" hidden="1" outlineLevel="1">
      <c r="A182" s="1665" t="s">
        <v>1951</v>
      </c>
      <c r="B182" s="1665" t="s">
        <v>663</v>
      </c>
      <c r="C182" s="1858"/>
      <c r="D182" s="160"/>
      <c r="E182" s="217" t="s">
        <v>663</v>
      </c>
      <c r="F182" s="364">
        <f>SUMIFS(INPUT!H:H,INPUT!E:E,BAZE_2024!A182,INPUT!B:B,BAZE_2024!B182)</f>
        <v>227355.00483534267</v>
      </c>
      <c r="G182" s="389">
        <f>SUMIFS(INPUT!L:L,INPUT!E:E,BAZE_2024!A182,INPUT!B:B,BAZE_2024!B182)</f>
        <v>236717.52695299999</v>
      </c>
      <c r="H182" s="146">
        <f t="shared" si="12"/>
        <v>9362.522117657325</v>
      </c>
      <c r="I182" s="1836">
        <f t="shared" si="10"/>
        <v>4.1180189213067667E-2</v>
      </c>
      <c r="J182" s="391" t="s">
        <v>5770</v>
      </c>
      <c r="K182" s="227"/>
      <c r="L182" s="2016"/>
      <c r="M182" s="1122"/>
      <c r="N182" s="1122"/>
      <c r="O182" s="112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row>
    <row r="183" spans="1:195" s="50" customFormat="1" ht="15" hidden="1" outlineLevel="1">
      <c r="A183" s="1665" t="s">
        <v>1951</v>
      </c>
      <c r="B183" s="1665" t="s">
        <v>1248</v>
      </c>
      <c r="C183" s="1858"/>
      <c r="D183" s="216"/>
      <c r="E183" s="161" t="s">
        <v>579</v>
      </c>
      <c r="F183" s="364">
        <f>SUMIFS(INPUT!H:H,INPUT!E:E,BAZE_2024!A183,INPUT!B:B,BAZE_2024!B183)</f>
        <v>42470</v>
      </c>
      <c r="G183" s="389">
        <f>SUMIFS(INPUT!L:L,INPUT!E:E,BAZE_2024!A183,INPUT!B:B,BAZE_2024!B183)</f>
        <v>42553.333333333328</v>
      </c>
      <c r="H183" s="146">
        <f t="shared" si="12"/>
        <v>83.333333333328483</v>
      </c>
      <c r="I183" s="1836">
        <f t="shared" si="10"/>
        <v>1.9621693744602893E-3</v>
      </c>
      <c r="J183" s="1132"/>
      <c r="K183" s="156">
        <v>-0.02</v>
      </c>
      <c r="L183" s="1222">
        <f>G183*K183</f>
        <v>-851.06666666666661</v>
      </c>
      <c r="M183" s="1122"/>
      <c r="N183" s="1122"/>
      <c r="O183" s="1122"/>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50" customFormat="1" ht="15" hidden="1" outlineLevel="1">
      <c r="A184" s="1665" t="s">
        <v>1951</v>
      </c>
      <c r="B184" s="1665" t="s">
        <v>1250</v>
      </c>
      <c r="C184" s="1858"/>
      <c r="D184" s="160"/>
      <c r="E184" s="161" t="s">
        <v>578</v>
      </c>
      <c r="F184" s="364">
        <f>SUMIFS(INPUT!H:H,INPUT!E:E,BAZE_2024!A184,INPUT!B:B,BAZE_2024!B184)</f>
        <v>0</v>
      </c>
      <c r="G184" s="389">
        <f>SUMIFS(INPUT!L:L,INPUT!E:E,BAZE_2024!A184,INPUT!B:B,BAZE_2024!B184)</f>
        <v>3000</v>
      </c>
      <c r="H184" s="146">
        <f t="shared" si="12"/>
        <v>3000</v>
      </c>
      <c r="I184" s="1836" t="str">
        <f t="shared" si="10"/>
        <v>-</v>
      </c>
      <c r="J184" s="1141" t="s">
        <v>5769</v>
      </c>
      <c r="K184" s="227"/>
      <c r="L184" s="2016"/>
      <c r="M184" s="1122"/>
      <c r="N184" s="1122"/>
      <c r="O184" s="1122"/>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50" customFormat="1" ht="15" hidden="1" outlineLevel="1">
      <c r="A185" s="1665" t="s">
        <v>1951</v>
      </c>
      <c r="B185" s="2127" t="s">
        <v>1084</v>
      </c>
      <c r="C185" s="1858"/>
      <c r="D185" s="160"/>
      <c r="E185" s="1294" t="s">
        <v>1084</v>
      </c>
      <c r="F185" s="364">
        <f>SUMIFS(INPUT!H:H,INPUT!E:E,BAZE_2024!A185,INPUT!B:B,BAZE_2024!B185)</f>
        <v>146050</v>
      </c>
      <c r="G185" s="389">
        <f>SUMIFS(INPUT!L:L,INPUT!E:E,BAZE_2024!A185,INPUT!B:B,BAZE_2024!B185)</f>
        <v>209350</v>
      </c>
      <c r="H185" s="146">
        <f t="shared" si="12"/>
        <v>63300</v>
      </c>
      <c r="I185" s="1836">
        <f t="shared" si="10"/>
        <v>0.43341321465251625</v>
      </c>
      <c r="J185" s="1141"/>
      <c r="K185" s="227"/>
      <c r="L185" s="2016"/>
      <c r="M185" s="1122"/>
      <c r="N185" s="1122"/>
      <c r="O185" s="1122"/>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1299" customFormat="1" ht="15" hidden="1" outlineLevel="1">
      <c r="A186" s="2127" t="s">
        <v>1951</v>
      </c>
      <c r="B186" s="2127" t="s">
        <v>512</v>
      </c>
      <c r="C186" s="2128"/>
      <c r="D186" s="1302"/>
      <c r="E186" s="2131" t="s">
        <v>431</v>
      </c>
      <c r="F186" s="1280">
        <f>SUMIFS(INPUT!H:H,INPUT!E:E,BAZE_2024!A186,INPUT!B:B,BAZE_2024!B186)</f>
        <v>4758.9951646573354</v>
      </c>
      <c r="G186" s="380">
        <f>SUMIFS(INPUT!L:L,INPUT!E:E,BAZE_2024!A186,INPUT!B:B,BAZE_2024!B186)</f>
        <v>4758.9951646573354</v>
      </c>
      <c r="H186" s="1285">
        <f t="shared" si="12"/>
        <v>0</v>
      </c>
      <c r="I186" s="1834">
        <f t="shared" si="10"/>
        <v>0</v>
      </c>
      <c r="J186" s="2133"/>
      <c r="K186" s="2129"/>
      <c r="L186" s="2014"/>
      <c r="M186" s="1289"/>
      <c r="N186" s="1289"/>
      <c r="O186" s="1289"/>
      <c r="P186" s="1289"/>
      <c r="Q186" s="1289"/>
      <c r="R186" s="1289"/>
      <c r="S186" s="1289"/>
      <c r="T186" s="1289"/>
      <c r="U186" s="1289"/>
      <c r="V186" s="1289"/>
      <c r="W186" s="1289"/>
      <c r="X186" s="1289"/>
      <c r="Y186" s="1289"/>
      <c r="Z186" s="1289"/>
      <c r="AA186" s="1289"/>
      <c r="AB186" s="1289"/>
      <c r="AC186" s="1289"/>
      <c r="AD186" s="1289"/>
      <c r="AE186" s="1289"/>
      <c r="AF186" s="1289"/>
      <c r="AG186" s="1289"/>
      <c r="AH186" s="1289"/>
      <c r="AI186" s="1289"/>
      <c r="AJ186" s="1289"/>
      <c r="AK186" s="1289"/>
      <c r="AL186" s="1289"/>
      <c r="AM186" s="1289"/>
      <c r="AN186" s="1289"/>
      <c r="AO186" s="1289"/>
      <c r="AP186" s="1289"/>
      <c r="AQ186" s="1289"/>
      <c r="AR186" s="1289"/>
      <c r="AS186" s="1289"/>
      <c r="AT186" s="1289"/>
      <c r="AU186" s="1289"/>
      <c r="AV186" s="1289"/>
      <c r="AW186" s="1289"/>
      <c r="AX186" s="1289"/>
      <c r="AY186" s="1289"/>
      <c r="AZ186" s="1289"/>
      <c r="BA186" s="1289"/>
      <c r="BB186" s="1289"/>
      <c r="BC186" s="1289"/>
      <c r="BD186" s="1289"/>
      <c r="BE186" s="1289"/>
      <c r="BF186" s="1289"/>
      <c r="BG186" s="1289"/>
      <c r="BH186" s="1289"/>
      <c r="BI186" s="1289"/>
      <c r="BJ186" s="1289"/>
      <c r="BK186" s="1289"/>
      <c r="BL186" s="1289"/>
      <c r="BM186" s="1289"/>
      <c r="BN186" s="1289"/>
      <c r="BO186" s="1289"/>
      <c r="BP186" s="1289"/>
      <c r="BQ186" s="1289"/>
      <c r="BR186" s="1289"/>
      <c r="BS186" s="1289"/>
      <c r="BT186" s="1289"/>
      <c r="BU186" s="1289"/>
      <c r="BV186" s="1289"/>
      <c r="BW186" s="1289"/>
      <c r="BX186" s="1289"/>
      <c r="BY186" s="1289"/>
      <c r="BZ186" s="1289"/>
      <c r="CA186" s="1289"/>
      <c r="CB186" s="1289"/>
      <c r="CC186" s="1289"/>
      <c r="CD186" s="1289"/>
      <c r="CE186" s="1289"/>
      <c r="CF186" s="1289"/>
      <c r="CG186" s="1289"/>
      <c r="CH186" s="1289"/>
      <c r="CI186" s="1289"/>
      <c r="CJ186" s="1289"/>
      <c r="CK186" s="1289"/>
      <c r="CL186" s="1289"/>
      <c r="CM186" s="1289"/>
      <c r="CN186" s="1289"/>
      <c r="CO186" s="1289"/>
      <c r="CP186" s="1289"/>
      <c r="CQ186" s="1289"/>
      <c r="CR186" s="1289"/>
      <c r="CS186" s="1289"/>
      <c r="CT186" s="1289"/>
      <c r="CU186" s="1289"/>
      <c r="CV186" s="1289"/>
      <c r="CW186" s="1289"/>
      <c r="CX186" s="1289"/>
      <c r="CY186" s="1289"/>
      <c r="CZ186" s="1289"/>
      <c r="DA186" s="1289"/>
      <c r="DB186" s="1289"/>
      <c r="DC186" s="1289"/>
      <c r="DD186" s="1289"/>
      <c r="DE186" s="1289"/>
      <c r="DF186" s="1289"/>
      <c r="DG186" s="1289"/>
      <c r="DH186" s="1289"/>
      <c r="DI186" s="1289"/>
      <c r="DJ186" s="1289"/>
      <c r="DK186" s="1289"/>
      <c r="DL186" s="1289"/>
      <c r="DM186" s="1289"/>
      <c r="DN186" s="1289"/>
      <c r="DO186" s="1289"/>
      <c r="DP186" s="1289"/>
      <c r="DQ186" s="1289"/>
      <c r="DR186" s="1289"/>
      <c r="DS186" s="1289"/>
      <c r="DT186" s="1289"/>
      <c r="DU186" s="1289"/>
      <c r="DV186" s="1289"/>
      <c r="DW186" s="1289"/>
      <c r="DX186" s="1289"/>
      <c r="DY186" s="1289"/>
      <c r="DZ186" s="1289"/>
      <c r="EA186" s="1289"/>
      <c r="EB186" s="1289"/>
      <c r="EC186" s="1289"/>
      <c r="ED186" s="1289"/>
      <c r="EE186" s="1289"/>
      <c r="EF186" s="1289"/>
      <c r="EG186" s="1289"/>
      <c r="EH186" s="1289"/>
      <c r="EI186" s="1289"/>
      <c r="EJ186" s="1289"/>
      <c r="EK186" s="1289"/>
      <c r="EL186" s="1289"/>
      <c r="EM186" s="1289"/>
      <c r="EN186" s="1289"/>
      <c r="EO186" s="1289"/>
      <c r="EP186" s="1289"/>
      <c r="EQ186" s="1289"/>
      <c r="ER186" s="1289"/>
      <c r="ES186" s="1289"/>
      <c r="ET186" s="1289"/>
      <c r="EU186" s="1289"/>
      <c r="EV186" s="1289"/>
      <c r="EW186" s="1289"/>
      <c r="EX186" s="1289"/>
      <c r="EY186" s="1289"/>
      <c r="EZ186" s="1289"/>
      <c r="FA186" s="1289"/>
      <c r="FB186" s="1289"/>
      <c r="FC186" s="1289"/>
      <c r="FD186" s="1289"/>
      <c r="FE186" s="1289"/>
      <c r="FF186" s="1289"/>
      <c r="FG186" s="1289"/>
      <c r="FH186" s="1289"/>
      <c r="FI186" s="1289"/>
      <c r="FJ186" s="1289"/>
      <c r="FK186" s="1289"/>
      <c r="FL186" s="1289"/>
      <c r="FM186" s="1289"/>
      <c r="FN186" s="1289"/>
      <c r="FO186" s="1289"/>
      <c r="FP186" s="1289"/>
      <c r="FQ186" s="1289"/>
      <c r="FR186" s="1289"/>
      <c r="FS186" s="1289"/>
      <c r="FT186" s="1289"/>
      <c r="FU186" s="1289"/>
      <c r="FV186" s="1289"/>
      <c r="FW186" s="1289"/>
      <c r="FX186" s="1289"/>
      <c r="FY186" s="1289"/>
      <c r="FZ186" s="1289"/>
      <c r="GA186" s="1289"/>
      <c r="GB186" s="1289"/>
      <c r="GC186" s="1289"/>
      <c r="GD186" s="1289"/>
      <c r="GE186" s="1289"/>
      <c r="GF186" s="1289"/>
      <c r="GG186" s="1289"/>
      <c r="GH186" s="1289"/>
      <c r="GI186" s="1289"/>
      <c r="GJ186" s="1289"/>
      <c r="GK186" s="1289"/>
      <c r="GL186" s="1289"/>
      <c r="GM186" s="1289"/>
    </row>
    <row r="187" spans="1:195" s="1299" customFormat="1" ht="15" hidden="1" outlineLevel="1">
      <c r="A187" s="2127" t="s">
        <v>1951</v>
      </c>
      <c r="B187" s="2127" t="s">
        <v>1249</v>
      </c>
      <c r="C187" s="2128"/>
      <c r="D187" s="1297"/>
      <c r="E187" s="1294" t="s">
        <v>1249</v>
      </c>
      <c r="F187" s="1280">
        <f>SUMIFS(INPUT!H:H,INPUT!E:E,BAZE_2024!A187,INPUT!B:B,BAZE_2024!B187)</f>
        <v>8000</v>
      </c>
      <c r="G187" s="380">
        <f>SUMIFS(INPUT!L:L,INPUT!E:E,BAZE_2024!A187,INPUT!B:B,BAZE_2024!B187)</f>
        <v>36240</v>
      </c>
      <c r="H187" s="1285">
        <f>G187-F187</f>
        <v>28240</v>
      </c>
      <c r="I187" s="1834">
        <f t="shared" si="10"/>
        <v>3.53</v>
      </c>
      <c r="J187" s="1300"/>
      <c r="K187" s="2129"/>
      <c r="L187" s="2014"/>
      <c r="M187" s="1289"/>
      <c r="N187" s="1289"/>
      <c r="O187" s="1289"/>
      <c r="P187" s="1289"/>
      <c r="Q187" s="1289"/>
      <c r="R187" s="1289"/>
      <c r="S187" s="1289"/>
      <c r="T187" s="1289"/>
      <c r="U187" s="1289"/>
      <c r="V187" s="1289"/>
      <c r="W187" s="1289"/>
      <c r="X187" s="1289"/>
      <c r="Y187" s="1289"/>
      <c r="Z187" s="1289"/>
      <c r="AA187" s="1289"/>
      <c r="AB187" s="1289"/>
      <c r="AC187" s="1289"/>
      <c r="AD187" s="1289"/>
      <c r="AE187" s="1289"/>
      <c r="AF187" s="1289"/>
      <c r="AG187" s="1289"/>
      <c r="AH187" s="1289"/>
      <c r="AI187" s="1289"/>
      <c r="AJ187" s="1289"/>
      <c r="AK187" s="1289"/>
      <c r="AL187" s="1289"/>
      <c r="AM187" s="1289"/>
      <c r="AN187" s="1289"/>
      <c r="AO187" s="1289"/>
      <c r="AP187" s="1289"/>
      <c r="AQ187" s="1289"/>
      <c r="AR187" s="1289"/>
      <c r="AS187" s="1289"/>
      <c r="AT187" s="1289"/>
      <c r="AU187" s="1289"/>
      <c r="AV187" s="1289"/>
      <c r="AW187" s="1289"/>
      <c r="AX187" s="1289"/>
      <c r="AY187" s="1289"/>
      <c r="AZ187" s="1289"/>
      <c r="BA187" s="1289"/>
      <c r="BB187" s="1289"/>
      <c r="BC187" s="1289"/>
      <c r="BD187" s="1289"/>
      <c r="BE187" s="1289"/>
      <c r="BF187" s="1289"/>
      <c r="BG187" s="1289"/>
      <c r="BH187" s="1289"/>
      <c r="BI187" s="1289"/>
      <c r="BJ187" s="1289"/>
      <c r="BK187" s="1289"/>
      <c r="BL187" s="1289"/>
      <c r="BM187" s="1289"/>
      <c r="BN187" s="1289"/>
      <c r="BO187" s="1289"/>
      <c r="BP187" s="1289"/>
      <c r="BQ187" s="1289"/>
      <c r="BR187" s="1289"/>
      <c r="BS187" s="1289"/>
      <c r="BT187" s="1289"/>
      <c r="BU187" s="1289"/>
      <c r="BV187" s="1289"/>
      <c r="BW187" s="1289"/>
      <c r="BX187" s="1289"/>
      <c r="BY187" s="1289"/>
      <c r="BZ187" s="1289"/>
      <c r="CA187" s="1289"/>
      <c r="CB187" s="1289"/>
      <c r="CC187" s="1289"/>
      <c r="CD187" s="1289"/>
      <c r="CE187" s="1289"/>
      <c r="CF187" s="1289"/>
      <c r="CG187" s="1289"/>
      <c r="CH187" s="1289"/>
      <c r="CI187" s="1289"/>
      <c r="CJ187" s="1289"/>
      <c r="CK187" s="1289"/>
      <c r="CL187" s="1289"/>
      <c r="CM187" s="1289"/>
      <c r="CN187" s="1289"/>
      <c r="CO187" s="1289"/>
      <c r="CP187" s="1289"/>
      <c r="CQ187" s="1289"/>
      <c r="CR187" s="1289"/>
      <c r="CS187" s="1289"/>
      <c r="CT187" s="1289"/>
      <c r="CU187" s="1289"/>
      <c r="CV187" s="1289"/>
      <c r="CW187" s="1289"/>
      <c r="CX187" s="1289"/>
      <c r="CY187" s="1289"/>
      <c r="CZ187" s="1289"/>
      <c r="DA187" s="1289"/>
      <c r="DB187" s="1289"/>
      <c r="DC187" s="1289"/>
      <c r="DD187" s="1289"/>
      <c r="DE187" s="1289"/>
      <c r="DF187" s="1289"/>
      <c r="DG187" s="1289"/>
      <c r="DH187" s="1289"/>
      <c r="DI187" s="1289"/>
      <c r="DJ187" s="1289"/>
      <c r="DK187" s="1289"/>
      <c r="DL187" s="1289"/>
      <c r="DM187" s="1289"/>
      <c r="DN187" s="1289"/>
      <c r="DO187" s="1289"/>
      <c r="DP187" s="1289"/>
      <c r="DQ187" s="1289"/>
      <c r="DR187" s="1289"/>
      <c r="DS187" s="1289"/>
      <c r="DT187" s="1289"/>
      <c r="DU187" s="1289"/>
      <c r="DV187" s="1289"/>
      <c r="DW187" s="1289"/>
      <c r="DX187" s="1289"/>
      <c r="DY187" s="1289"/>
      <c r="DZ187" s="1289"/>
      <c r="EA187" s="1289"/>
      <c r="EB187" s="1289"/>
      <c r="EC187" s="1289"/>
      <c r="ED187" s="1289"/>
      <c r="EE187" s="1289"/>
      <c r="EF187" s="1289"/>
      <c r="EG187" s="1289"/>
      <c r="EH187" s="1289"/>
      <c r="EI187" s="1289"/>
      <c r="EJ187" s="1289"/>
      <c r="EK187" s="1289"/>
      <c r="EL187" s="1289"/>
      <c r="EM187" s="1289"/>
      <c r="EN187" s="1289"/>
      <c r="EO187" s="1289"/>
      <c r="EP187" s="1289"/>
      <c r="EQ187" s="1289"/>
      <c r="ER187" s="1289"/>
      <c r="ES187" s="1289"/>
      <c r="ET187" s="1289"/>
      <c r="EU187" s="1289"/>
      <c r="EV187" s="1289"/>
      <c r="EW187" s="1289"/>
      <c r="EX187" s="1289"/>
      <c r="EY187" s="1289"/>
      <c r="EZ187" s="1289"/>
      <c r="FA187" s="1289"/>
      <c r="FB187" s="1289"/>
      <c r="FC187" s="1289"/>
      <c r="FD187" s="1289"/>
      <c r="FE187" s="1289"/>
      <c r="FF187" s="1289"/>
      <c r="FG187" s="1289"/>
      <c r="FH187" s="1289"/>
      <c r="FI187" s="1289"/>
      <c r="FJ187" s="1289"/>
      <c r="FK187" s="1289"/>
      <c r="FL187" s="1289"/>
      <c r="FM187" s="1289"/>
      <c r="FN187" s="1289"/>
      <c r="FO187" s="1289"/>
      <c r="FP187" s="1289"/>
      <c r="FQ187" s="1289"/>
      <c r="FR187" s="1289"/>
      <c r="FS187" s="1289"/>
      <c r="FT187" s="1289"/>
      <c r="FU187" s="1289"/>
      <c r="FV187" s="1289"/>
      <c r="FW187" s="1289"/>
      <c r="FX187" s="1289"/>
      <c r="FY187" s="1289"/>
      <c r="FZ187" s="1289"/>
      <c r="GA187" s="1289"/>
      <c r="GB187" s="1289"/>
      <c r="GC187" s="1289"/>
      <c r="GD187" s="1289"/>
      <c r="GE187" s="1289"/>
      <c r="GF187" s="1289"/>
      <c r="GG187" s="1289"/>
      <c r="GH187" s="1289"/>
      <c r="GI187" s="1289"/>
      <c r="GJ187" s="1289"/>
      <c r="GK187" s="1289"/>
      <c r="GL187" s="1289"/>
      <c r="GM187" s="1289"/>
    </row>
    <row r="188" spans="1:195" ht="15" collapsed="1">
      <c r="D188" s="126" t="s">
        <v>174</v>
      </c>
      <c r="E188" s="127" t="s">
        <v>1586</v>
      </c>
      <c r="F188" s="383">
        <f>F189+F190+F191</f>
        <v>135295.51267500001</v>
      </c>
      <c r="G188" s="383">
        <f>G189+G190+G191</f>
        <v>153395.37309000001</v>
      </c>
      <c r="H188" s="116">
        <f>G188-F188</f>
        <v>18099.860415000003</v>
      </c>
      <c r="I188" s="1826">
        <f t="shared" si="10"/>
        <v>0.13378019756263881</v>
      </c>
      <c r="J188" s="1129"/>
      <c r="K188" s="227"/>
      <c r="L188" s="2016"/>
      <c r="M188" s="1122"/>
      <c r="N188" s="1122"/>
      <c r="O188" s="1122"/>
    </row>
    <row r="189" spans="1:195" s="50" customFormat="1" ht="15" hidden="1" outlineLevel="1">
      <c r="A189" s="1665" t="s">
        <v>1899</v>
      </c>
      <c r="B189" s="1665" t="s">
        <v>663</v>
      </c>
      <c r="C189" s="1858"/>
      <c r="D189" s="160"/>
      <c r="E189" s="217" t="s">
        <v>663</v>
      </c>
      <c r="F189" s="389">
        <f>SUMIFS(INPUT!H:H,INPUT!E:E,BAZE_2024!A189,INPUT!B:B,BAZE_2024!B189)</f>
        <v>81275.952675000008</v>
      </c>
      <c r="G189" s="389">
        <f>SUMIFS(INPUT!L:L,INPUT!E:E,BAZE_2024!A189,INPUT!B:B,BAZE_2024!B189)</f>
        <v>86357.405090000015</v>
      </c>
      <c r="H189" s="146">
        <f>G189-F189</f>
        <v>5081.452415000007</v>
      </c>
      <c r="I189" s="1836">
        <f t="shared" si="10"/>
        <v>6.2520982501667197E-2</v>
      </c>
      <c r="J189" s="1141"/>
      <c r="K189" s="227"/>
      <c r="L189" s="2016"/>
      <c r="M189" s="1122"/>
      <c r="N189" s="1122"/>
      <c r="O189" s="1122"/>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row>
    <row r="190" spans="1:195" s="50" customFormat="1" ht="15" hidden="1" outlineLevel="1">
      <c r="A190" s="1665" t="s">
        <v>1899</v>
      </c>
      <c r="B190" s="1665" t="s">
        <v>1248</v>
      </c>
      <c r="C190" s="1858"/>
      <c r="D190" s="216"/>
      <c r="E190" s="161" t="s">
        <v>579</v>
      </c>
      <c r="F190" s="389">
        <f>SUMIFS(INPUT!H:H,INPUT!E:E,BAZE_2024!A190,INPUT!B:B,BAZE_2024!B190)</f>
        <v>46619.56</v>
      </c>
      <c r="G190" s="389">
        <f>SUMIFS(INPUT!L:L,INPUT!E:E,BAZE_2024!A190,INPUT!B:B,BAZE_2024!B190)</f>
        <v>55337.968000000001</v>
      </c>
      <c r="H190" s="146">
        <f>G190-F190</f>
        <v>8718.4080000000031</v>
      </c>
      <c r="I190" s="1836">
        <f t="shared" si="10"/>
        <v>0.18701180362920636</v>
      </c>
      <c r="J190" s="4154" t="s">
        <v>5785</v>
      </c>
      <c r="K190" s="156">
        <v>-0.01</v>
      </c>
      <c r="L190" s="1222">
        <f>G190*K190</f>
        <v>-553.37968000000001</v>
      </c>
      <c r="M190" s="1122"/>
      <c r="N190" s="1122"/>
      <c r="O190" s="1122"/>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row>
    <row r="191" spans="1:195" s="50" customFormat="1" ht="15" hidden="1" outlineLevel="1">
      <c r="A191" s="1665" t="s">
        <v>1899</v>
      </c>
      <c r="B191" s="1665" t="s">
        <v>1250</v>
      </c>
      <c r="C191" s="1858"/>
      <c r="D191" s="160"/>
      <c r="E191" s="161" t="s">
        <v>578</v>
      </c>
      <c r="F191" s="389">
        <f>SUMIFS(INPUT!H:H,INPUT!E:E,BAZE_2024!A191,INPUT!B:B,BAZE_2024!B191)</f>
        <v>7400</v>
      </c>
      <c r="G191" s="389">
        <f>SUMIFS(INPUT!L:L,INPUT!E:E,BAZE_2024!A191,INPUT!B:B,BAZE_2024!B191)</f>
        <v>11700</v>
      </c>
      <c r="H191" s="146">
        <f>G191-F191</f>
        <v>4300</v>
      </c>
      <c r="I191" s="1836">
        <f t="shared" si="10"/>
        <v>0.58108108108108103</v>
      </c>
      <c r="J191" s="1141"/>
      <c r="K191" s="227"/>
      <c r="L191" s="2016"/>
      <c r="M191" s="1122"/>
      <c r="N191" s="1122"/>
      <c r="O191" s="1122"/>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row>
    <row r="192" spans="1:195" s="1299" customFormat="1" ht="15" hidden="1" outlineLevel="1">
      <c r="A192" s="2127" t="s">
        <v>1899</v>
      </c>
      <c r="B192" s="2127" t="s">
        <v>1249</v>
      </c>
      <c r="C192" s="2128"/>
      <c r="D192" s="1297"/>
      <c r="E192" s="1294" t="s">
        <v>1249</v>
      </c>
      <c r="F192" s="380">
        <f>SUMIFS(INPUT!H:H,INPUT!E:E,BAZE_2024!A192,INPUT!B:B,BAZE_2024!B192)</f>
        <v>0</v>
      </c>
      <c r="G192" s="380">
        <f>SUMIFS(INPUT!L:L,INPUT!E:E,BAZE_2024!A192,INPUT!B:B,BAZE_2024!B192)</f>
        <v>0</v>
      </c>
      <c r="H192" s="1285">
        <f t="shared" ref="H192:H262" si="13">G192-F192</f>
        <v>0</v>
      </c>
      <c r="I192" s="1834" t="str">
        <f t="shared" si="10"/>
        <v>-</v>
      </c>
      <c r="J192" s="1300"/>
      <c r="K192" s="2129"/>
      <c r="L192" s="2014"/>
      <c r="M192" s="1289"/>
      <c r="N192" s="1289"/>
      <c r="O192" s="1289"/>
      <c r="P192" s="1289"/>
      <c r="Q192" s="1289"/>
      <c r="R192" s="1289"/>
      <c r="S192" s="1289"/>
      <c r="T192" s="1289"/>
      <c r="U192" s="1289"/>
      <c r="V192" s="1289"/>
      <c r="W192" s="1289"/>
      <c r="X192" s="1289"/>
      <c r="Y192" s="1289"/>
      <c r="Z192" s="1289"/>
      <c r="AA192" s="1289"/>
      <c r="AB192" s="1289"/>
      <c r="AC192" s="1289"/>
      <c r="AD192" s="1289"/>
      <c r="AE192" s="1289"/>
      <c r="AF192" s="1289"/>
      <c r="AG192" s="1289"/>
      <c r="AH192" s="1289"/>
      <c r="AI192" s="1289"/>
      <c r="AJ192" s="1289"/>
      <c r="AK192" s="1289"/>
      <c r="AL192" s="1289"/>
      <c r="AM192" s="1289"/>
      <c r="AN192" s="1289"/>
      <c r="AO192" s="1289"/>
      <c r="AP192" s="1289"/>
      <c r="AQ192" s="1289"/>
      <c r="AR192" s="1289"/>
      <c r="AS192" s="1289"/>
      <c r="AT192" s="1289"/>
      <c r="AU192" s="1289"/>
      <c r="AV192" s="1289"/>
      <c r="AW192" s="1289"/>
      <c r="AX192" s="1289"/>
      <c r="AY192" s="1289"/>
      <c r="AZ192" s="1289"/>
      <c r="BA192" s="1289"/>
      <c r="BB192" s="1289"/>
      <c r="BC192" s="1289"/>
      <c r="BD192" s="1289"/>
      <c r="BE192" s="1289"/>
      <c r="BF192" s="1289"/>
      <c r="BG192" s="1289"/>
      <c r="BH192" s="1289"/>
      <c r="BI192" s="1289"/>
      <c r="BJ192" s="1289"/>
      <c r="BK192" s="1289"/>
      <c r="BL192" s="1289"/>
      <c r="BM192" s="1289"/>
      <c r="BN192" s="1289"/>
      <c r="BO192" s="1289"/>
      <c r="BP192" s="1289"/>
      <c r="BQ192" s="1289"/>
      <c r="BR192" s="1289"/>
      <c r="BS192" s="1289"/>
      <c r="BT192" s="1289"/>
      <c r="BU192" s="1289"/>
      <c r="BV192" s="1289"/>
      <c r="BW192" s="1289"/>
      <c r="BX192" s="1289"/>
      <c r="BY192" s="1289"/>
      <c r="BZ192" s="1289"/>
      <c r="CA192" s="1289"/>
      <c r="CB192" s="1289"/>
      <c r="CC192" s="1289"/>
      <c r="CD192" s="1289"/>
      <c r="CE192" s="1289"/>
      <c r="CF192" s="1289"/>
      <c r="CG192" s="1289"/>
      <c r="CH192" s="1289"/>
      <c r="CI192" s="1289"/>
      <c r="CJ192" s="1289"/>
      <c r="CK192" s="1289"/>
      <c r="CL192" s="1289"/>
      <c r="CM192" s="1289"/>
      <c r="CN192" s="1289"/>
      <c r="CO192" s="1289"/>
      <c r="CP192" s="1289"/>
      <c r="CQ192" s="1289"/>
      <c r="CR192" s="1289"/>
      <c r="CS192" s="1289"/>
      <c r="CT192" s="1289"/>
      <c r="CU192" s="1289"/>
      <c r="CV192" s="1289"/>
      <c r="CW192" s="1289"/>
      <c r="CX192" s="1289"/>
      <c r="CY192" s="1289"/>
      <c r="CZ192" s="1289"/>
      <c r="DA192" s="1289"/>
      <c r="DB192" s="1289"/>
      <c r="DC192" s="1289"/>
      <c r="DD192" s="1289"/>
      <c r="DE192" s="1289"/>
      <c r="DF192" s="1289"/>
      <c r="DG192" s="1289"/>
      <c r="DH192" s="1289"/>
      <c r="DI192" s="1289"/>
      <c r="DJ192" s="1289"/>
      <c r="DK192" s="1289"/>
      <c r="DL192" s="1289"/>
      <c r="DM192" s="1289"/>
      <c r="DN192" s="1289"/>
      <c r="DO192" s="1289"/>
      <c r="DP192" s="1289"/>
      <c r="DQ192" s="1289"/>
      <c r="DR192" s="1289"/>
      <c r="DS192" s="1289"/>
      <c r="DT192" s="1289"/>
      <c r="DU192" s="1289"/>
      <c r="DV192" s="1289"/>
      <c r="DW192" s="1289"/>
      <c r="DX192" s="1289"/>
      <c r="DY192" s="1289"/>
      <c r="DZ192" s="1289"/>
      <c r="EA192" s="1289"/>
      <c r="EB192" s="1289"/>
      <c r="EC192" s="1289"/>
      <c r="ED192" s="1289"/>
      <c r="EE192" s="1289"/>
      <c r="EF192" s="1289"/>
      <c r="EG192" s="1289"/>
      <c r="EH192" s="1289"/>
      <c r="EI192" s="1289"/>
      <c r="EJ192" s="1289"/>
      <c r="EK192" s="1289"/>
      <c r="EL192" s="1289"/>
      <c r="EM192" s="1289"/>
      <c r="EN192" s="1289"/>
      <c r="EO192" s="1289"/>
      <c r="EP192" s="1289"/>
      <c r="EQ192" s="1289"/>
      <c r="ER192" s="1289"/>
      <c r="ES192" s="1289"/>
      <c r="ET192" s="1289"/>
      <c r="EU192" s="1289"/>
      <c r="EV192" s="1289"/>
      <c r="EW192" s="1289"/>
      <c r="EX192" s="1289"/>
      <c r="EY192" s="1289"/>
      <c r="EZ192" s="1289"/>
      <c r="FA192" s="1289"/>
      <c r="FB192" s="1289"/>
      <c r="FC192" s="1289"/>
      <c r="FD192" s="1289"/>
      <c r="FE192" s="1289"/>
      <c r="FF192" s="1289"/>
      <c r="FG192" s="1289"/>
      <c r="FH192" s="1289"/>
      <c r="FI192" s="1289"/>
      <c r="FJ192" s="1289"/>
      <c r="FK192" s="1289"/>
      <c r="FL192" s="1289"/>
      <c r="FM192" s="1289"/>
      <c r="FN192" s="1289"/>
      <c r="FO192" s="1289"/>
      <c r="FP192" s="1289"/>
      <c r="FQ192" s="1289"/>
      <c r="FR192" s="1289"/>
      <c r="FS192" s="1289"/>
      <c r="FT192" s="1289"/>
      <c r="FU192" s="1289"/>
      <c r="FV192" s="1289"/>
      <c r="FW192" s="1289"/>
      <c r="FX192" s="1289"/>
      <c r="FY192" s="1289"/>
      <c r="FZ192" s="1289"/>
      <c r="GA192" s="1289"/>
      <c r="GB192" s="1289"/>
      <c r="GC192" s="1289"/>
      <c r="GD192" s="1289"/>
      <c r="GE192" s="1289"/>
      <c r="GF192" s="1289"/>
      <c r="GG192" s="1289"/>
      <c r="GH192" s="1289"/>
      <c r="GI192" s="1289"/>
      <c r="GJ192" s="1289"/>
      <c r="GK192" s="1289"/>
      <c r="GL192" s="1289"/>
      <c r="GM192" s="1289"/>
    </row>
    <row r="193" spans="1:195" ht="15" collapsed="1">
      <c r="D193" s="126" t="s">
        <v>176</v>
      </c>
      <c r="E193" s="127" t="s">
        <v>1587</v>
      </c>
      <c r="F193" s="383">
        <f>F194+F195+F196</f>
        <v>65559.82925000001</v>
      </c>
      <c r="G193" s="383">
        <f>G194+G195+G196</f>
        <v>64813.521870000011</v>
      </c>
      <c r="H193" s="116">
        <f t="shared" si="13"/>
        <v>-746.30737999999837</v>
      </c>
      <c r="I193" s="1826">
        <f t="shared" si="10"/>
        <v>-1.138360774482948E-2</v>
      </c>
      <c r="J193" s="1129"/>
      <c r="K193" s="227"/>
      <c r="L193" s="2016"/>
      <c r="M193" s="1122"/>
      <c r="N193" s="1122"/>
      <c r="O193" s="1122"/>
    </row>
    <row r="194" spans="1:195" s="50" customFormat="1" ht="15" hidden="1" outlineLevel="1">
      <c r="A194" s="1665" t="s">
        <v>1906</v>
      </c>
      <c r="B194" s="1665" t="s">
        <v>663</v>
      </c>
      <c r="C194" s="1858"/>
      <c r="D194" s="160"/>
      <c r="E194" s="217" t="s">
        <v>663</v>
      </c>
      <c r="F194" s="389">
        <f>SUMIFS(INPUT!H:H,INPUT!E:E,BAZE_2024!A194,INPUT!B:B,BAZE_2024!B194)</f>
        <v>48012.829250000003</v>
      </c>
      <c r="G194" s="389">
        <f>SUMIFS(INPUT!L:L,INPUT!E:E,BAZE_2024!A194,INPUT!B:B,BAZE_2024!B194)</f>
        <v>51129.521870000011</v>
      </c>
      <c r="H194" s="146">
        <f t="shared" si="13"/>
        <v>3116.6926200000089</v>
      </c>
      <c r="I194" s="1836">
        <f t="shared" si="10"/>
        <v>6.4913746360823102E-2</v>
      </c>
      <c r="J194" s="1141"/>
      <c r="K194" s="227"/>
      <c r="L194" s="2016"/>
      <c r="M194" s="1122"/>
      <c r="N194" s="1122"/>
      <c r="O194" s="1122"/>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50" customFormat="1" ht="30" hidden="1" outlineLevel="1">
      <c r="A195" s="1665" t="s">
        <v>1906</v>
      </c>
      <c r="B195" s="1665" t="s">
        <v>1248</v>
      </c>
      <c r="C195" s="1858"/>
      <c r="D195" s="216"/>
      <c r="E195" s="161" t="s">
        <v>579</v>
      </c>
      <c r="F195" s="389">
        <f>SUMIFS(INPUT!H:H,INPUT!E:E,BAZE_2024!A195,INPUT!B:B,BAZE_2024!B195)</f>
        <v>12102</v>
      </c>
      <c r="G195" s="389">
        <f>SUMIFS(INPUT!L:L,INPUT!E:E,BAZE_2024!A195,INPUT!B:B,BAZE_2024!B195)</f>
        <v>13684</v>
      </c>
      <c r="H195" s="146">
        <f t="shared" si="13"/>
        <v>1582</v>
      </c>
      <c r="I195" s="1836">
        <f t="shared" si="10"/>
        <v>0.13072219467856552</v>
      </c>
      <c r="J195" s="4158" t="s">
        <v>5787</v>
      </c>
      <c r="K195" s="156">
        <v>-0.01</v>
      </c>
      <c r="L195" s="1222">
        <f>G195*K195</f>
        <v>-136.84</v>
      </c>
      <c r="M195" s="1122"/>
      <c r="N195" s="1122"/>
      <c r="O195" s="1122"/>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50" customFormat="1" ht="15" hidden="1" outlineLevel="1">
      <c r="A196" s="1665" t="s">
        <v>1906</v>
      </c>
      <c r="B196" s="1665" t="s">
        <v>1250</v>
      </c>
      <c r="C196" s="1858"/>
      <c r="D196" s="160"/>
      <c r="E196" s="161" t="s">
        <v>578</v>
      </c>
      <c r="F196" s="389">
        <f>SUMIFS(INPUT!H:H,INPUT!E:E,BAZE_2024!A196,INPUT!B:B,BAZE_2024!B196)</f>
        <v>5445</v>
      </c>
      <c r="G196" s="389">
        <f>SUMIFS(INPUT!L:L,INPUT!E:E,BAZE_2024!A196,INPUT!B:B,BAZE_2024!B196)</f>
        <v>0</v>
      </c>
      <c r="H196" s="146">
        <f t="shared" si="13"/>
        <v>-5445</v>
      </c>
      <c r="I196" s="1836">
        <f t="shared" si="10"/>
        <v>-1</v>
      </c>
      <c r="J196" s="1141"/>
      <c r="K196" s="227"/>
      <c r="L196" s="2016"/>
      <c r="M196" s="1122"/>
      <c r="N196" s="1122"/>
      <c r="O196" s="1122"/>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row>
    <row r="197" spans="1:195" s="1299" customFormat="1" ht="15" hidden="1" outlineLevel="1">
      <c r="A197" s="2002" t="s">
        <v>1906</v>
      </c>
      <c r="B197" s="2002" t="s">
        <v>1249</v>
      </c>
      <c r="C197" s="2003"/>
      <c r="D197" s="1297"/>
      <c r="E197" s="1294" t="s">
        <v>1249</v>
      </c>
      <c r="F197" s="389">
        <f>SUMIFS(INPUT!H:H,INPUT!E:E,BAZE_2024!A197,INPUT!B:B,BAZE_2024!B197)</f>
        <v>0</v>
      </c>
      <c r="G197" s="389">
        <f>SUMIFS(INPUT!L:L,INPUT!E:E,BAZE_2024!A197,INPUT!B:B,BAZE_2024!B197)</f>
        <v>0</v>
      </c>
      <c r="H197" s="1285">
        <f>G197-F197</f>
        <v>0</v>
      </c>
      <c r="I197" s="1834" t="str">
        <f t="shared" si="10"/>
        <v>-</v>
      </c>
      <c r="J197" s="1300"/>
      <c r="K197" s="1282"/>
      <c r="L197" s="2014"/>
      <c r="M197" s="1289"/>
      <c r="N197" s="1289"/>
      <c r="O197" s="1289"/>
      <c r="P197" s="1289"/>
      <c r="Q197" s="1289"/>
      <c r="R197" s="1289"/>
      <c r="S197" s="1289"/>
      <c r="T197" s="1289"/>
      <c r="U197" s="1289"/>
      <c r="V197" s="1289"/>
      <c r="W197" s="1289"/>
      <c r="X197" s="1289"/>
      <c r="Y197" s="1289"/>
      <c r="Z197" s="1289"/>
      <c r="AA197" s="1289"/>
      <c r="AB197" s="1289"/>
      <c r="AC197" s="1289"/>
      <c r="AD197" s="1289"/>
      <c r="AE197" s="1289"/>
      <c r="AF197" s="1289"/>
      <c r="AG197" s="1289"/>
      <c r="AH197" s="1289"/>
      <c r="AI197" s="1289"/>
      <c r="AJ197" s="1289"/>
      <c r="AK197" s="1289"/>
      <c r="AL197" s="1289"/>
      <c r="AM197" s="1289"/>
      <c r="AN197" s="1289"/>
      <c r="AO197" s="1289"/>
      <c r="AP197" s="1289"/>
      <c r="AQ197" s="1289"/>
      <c r="AR197" s="1289"/>
      <c r="AS197" s="1289"/>
      <c r="AT197" s="1289"/>
      <c r="AU197" s="1289"/>
      <c r="AV197" s="1289"/>
      <c r="AW197" s="1289"/>
      <c r="AX197" s="1289"/>
      <c r="AY197" s="1289"/>
      <c r="AZ197" s="1289"/>
      <c r="BA197" s="1289"/>
      <c r="BB197" s="1289"/>
      <c r="BC197" s="1289"/>
      <c r="BD197" s="1289"/>
      <c r="BE197" s="1289"/>
      <c r="BF197" s="1289"/>
      <c r="BG197" s="1289"/>
      <c r="BH197" s="1289"/>
      <c r="BI197" s="1289"/>
      <c r="BJ197" s="1289"/>
      <c r="BK197" s="1289"/>
      <c r="BL197" s="1289"/>
      <c r="BM197" s="1289"/>
      <c r="BN197" s="1289"/>
      <c r="BO197" s="1289"/>
      <c r="BP197" s="1289"/>
      <c r="BQ197" s="1289"/>
      <c r="BR197" s="1289"/>
      <c r="BS197" s="1289"/>
      <c r="BT197" s="1289"/>
      <c r="BU197" s="1289"/>
      <c r="BV197" s="1289"/>
      <c r="BW197" s="1289"/>
      <c r="BX197" s="1289"/>
      <c r="BY197" s="1289"/>
      <c r="BZ197" s="1289"/>
      <c r="CA197" s="1289"/>
      <c r="CB197" s="1289"/>
      <c r="CC197" s="1289"/>
      <c r="CD197" s="1289"/>
      <c r="CE197" s="1289"/>
      <c r="CF197" s="1289"/>
      <c r="CG197" s="1289"/>
      <c r="CH197" s="1289"/>
      <c r="CI197" s="1289"/>
      <c r="CJ197" s="1289"/>
      <c r="CK197" s="1289"/>
      <c r="CL197" s="1289"/>
      <c r="CM197" s="1289"/>
      <c r="CN197" s="1289"/>
      <c r="CO197" s="1289"/>
      <c r="CP197" s="1289"/>
      <c r="CQ197" s="1289"/>
      <c r="CR197" s="1289"/>
      <c r="CS197" s="1289"/>
      <c r="CT197" s="1289"/>
      <c r="CU197" s="1289"/>
      <c r="CV197" s="1289"/>
      <c r="CW197" s="1289"/>
      <c r="CX197" s="1289"/>
      <c r="CY197" s="1289"/>
      <c r="CZ197" s="1289"/>
      <c r="DA197" s="1289"/>
      <c r="DB197" s="1289"/>
      <c r="DC197" s="1289"/>
      <c r="DD197" s="1289"/>
      <c r="DE197" s="1289"/>
      <c r="DF197" s="1289"/>
      <c r="DG197" s="1289"/>
      <c r="DH197" s="1289"/>
      <c r="DI197" s="1289"/>
      <c r="DJ197" s="1289"/>
      <c r="DK197" s="1289"/>
      <c r="DL197" s="1289"/>
      <c r="DM197" s="1289"/>
      <c r="DN197" s="1289"/>
      <c r="DO197" s="1289"/>
      <c r="DP197" s="1289"/>
      <c r="DQ197" s="1289"/>
      <c r="DR197" s="1289"/>
      <c r="DS197" s="1289"/>
      <c r="DT197" s="1289"/>
      <c r="DU197" s="1289"/>
      <c r="DV197" s="1289"/>
      <c r="DW197" s="1289"/>
      <c r="DX197" s="1289"/>
      <c r="DY197" s="1289"/>
      <c r="DZ197" s="1289"/>
      <c r="EA197" s="1289"/>
      <c r="EB197" s="1289"/>
      <c r="EC197" s="1289"/>
      <c r="ED197" s="1289"/>
      <c r="EE197" s="1289"/>
      <c r="EF197" s="1289"/>
      <c r="EG197" s="1289"/>
      <c r="EH197" s="1289"/>
      <c r="EI197" s="1289"/>
      <c r="EJ197" s="1289"/>
      <c r="EK197" s="1289"/>
      <c r="EL197" s="1289"/>
      <c r="EM197" s="1289"/>
      <c r="EN197" s="1289"/>
      <c r="EO197" s="1289"/>
      <c r="EP197" s="1289"/>
      <c r="EQ197" s="1289"/>
      <c r="ER197" s="1289"/>
      <c r="ES197" s="1289"/>
      <c r="ET197" s="1289"/>
      <c r="EU197" s="1289"/>
      <c r="EV197" s="1289"/>
      <c r="EW197" s="1289"/>
      <c r="EX197" s="1289"/>
      <c r="EY197" s="1289"/>
      <c r="EZ197" s="1289"/>
      <c r="FA197" s="1289"/>
      <c r="FB197" s="1289"/>
      <c r="FC197" s="1289"/>
      <c r="FD197" s="1289"/>
      <c r="FE197" s="1289"/>
      <c r="FF197" s="1289"/>
      <c r="FG197" s="1289"/>
      <c r="FH197" s="1289"/>
      <c r="FI197" s="1289"/>
      <c r="FJ197" s="1289"/>
      <c r="FK197" s="1289"/>
      <c r="FL197" s="1289"/>
      <c r="FM197" s="1289"/>
      <c r="FN197" s="1289"/>
      <c r="FO197" s="1289"/>
      <c r="FP197" s="1289"/>
      <c r="FQ197" s="1289"/>
      <c r="FR197" s="1289"/>
      <c r="FS197" s="1289"/>
      <c r="FT197" s="1289"/>
      <c r="FU197" s="1289"/>
      <c r="FV197" s="1289"/>
      <c r="FW197" s="1289"/>
      <c r="FX197" s="1289"/>
      <c r="FY197" s="1289"/>
      <c r="FZ197" s="1289"/>
      <c r="GA197" s="1289"/>
      <c r="GB197" s="1289"/>
      <c r="GC197" s="1289"/>
      <c r="GD197" s="1289"/>
      <c r="GE197" s="1289"/>
      <c r="GF197" s="1289"/>
      <c r="GG197" s="1289"/>
      <c r="GH197" s="1289"/>
      <c r="GI197" s="1289"/>
      <c r="GJ197" s="1289"/>
      <c r="GK197" s="1289"/>
      <c r="GL197" s="1289"/>
      <c r="GM197" s="1289"/>
    </row>
    <row r="198" spans="1:195" ht="15" collapsed="1">
      <c r="D198" s="126" t="s">
        <v>1585</v>
      </c>
      <c r="E198" s="127" t="s">
        <v>590</v>
      </c>
      <c r="F198" s="383">
        <f>F199+F200+F201+F202</f>
        <v>579578.82137000002</v>
      </c>
      <c r="G198" s="383">
        <f>G199+G200+G201+G202</f>
        <v>590629.98647050001</v>
      </c>
      <c r="H198" s="116">
        <f t="shared" si="13"/>
        <v>11051.165100499988</v>
      </c>
      <c r="I198" s="1826">
        <f t="shared" si="10"/>
        <v>1.9067579236897243E-2</v>
      </c>
      <c r="J198" s="1129"/>
      <c r="K198" s="227"/>
      <c r="L198" s="2016"/>
      <c r="M198" s="1122"/>
      <c r="N198" s="1122"/>
      <c r="O198" s="1122"/>
    </row>
    <row r="199" spans="1:195" s="50" customFormat="1" ht="15" hidden="1" outlineLevel="1">
      <c r="A199" s="1665" t="s">
        <v>1947</v>
      </c>
      <c r="B199" s="1665" t="s">
        <v>663</v>
      </c>
      <c r="C199" s="1858"/>
      <c r="D199" s="160"/>
      <c r="E199" s="217" t="s">
        <v>663</v>
      </c>
      <c r="F199" s="364">
        <f>SUMIFS(INPUT!H:H,INPUT!E:E,BAZE_2024!A199,INPUT!B:B,BAZE_2024!B199)</f>
        <v>320862.36137</v>
      </c>
      <c r="G199" s="389">
        <f>SUMIFS(INPUT!L:L,INPUT!E:E,BAZE_2024!A199,INPUT!B:B,BAZE_2024!B199)</f>
        <v>346544.3454705</v>
      </c>
      <c r="H199" s="231">
        <f t="shared" si="13"/>
        <v>25681.984100500005</v>
      </c>
      <c r="I199" s="1824">
        <f t="shared" si="10"/>
        <v>8.0040500826723704E-2</v>
      </c>
      <c r="J199" s="4050" t="s">
        <v>5784</v>
      </c>
      <c r="K199" s="227"/>
      <c r="L199" s="2016"/>
      <c r="M199" s="1122"/>
      <c r="N199" s="1122"/>
      <c r="O199" s="1122"/>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50" customFormat="1" ht="45" hidden="1" outlineLevel="1">
      <c r="A200" s="1665" t="s">
        <v>1947</v>
      </c>
      <c r="B200" s="1665" t="s">
        <v>1248</v>
      </c>
      <c r="C200" s="1858"/>
      <c r="D200" s="216"/>
      <c r="E200" s="217" t="s">
        <v>1248</v>
      </c>
      <c r="F200" s="364">
        <f>SUMIFS(INPUT!H:H,INPUT!E:E,BAZE_2024!A200,INPUT!B:B,BAZE_2024!B200)</f>
        <v>239723.46</v>
      </c>
      <c r="G200" s="389">
        <f>SUMIFS(INPUT!L:L,INPUT!E:E,BAZE_2024!A200,INPUT!B:B,BAZE_2024!B200)</f>
        <v>239285.641</v>
      </c>
      <c r="H200" s="146">
        <f t="shared" si="13"/>
        <v>-437.81899999998859</v>
      </c>
      <c r="I200" s="1836">
        <f t="shared" si="10"/>
        <v>-1.8263502454035521E-3</v>
      </c>
      <c r="J200" s="1132" t="s">
        <v>6086</v>
      </c>
      <c r="K200" s="156">
        <v>-0.02</v>
      </c>
      <c r="L200" s="1222">
        <f>G200*K200</f>
        <v>-4785.7128199999997</v>
      </c>
      <c r="M200" s="1122"/>
      <c r="N200" s="1122"/>
      <c r="O200" s="1122"/>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50" customFormat="1" ht="30" hidden="1" outlineLevel="1">
      <c r="A201" s="1665" t="s">
        <v>1947</v>
      </c>
      <c r="B201" s="1665" t="s">
        <v>1250</v>
      </c>
      <c r="C201" s="1858"/>
      <c r="D201" s="160"/>
      <c r="E201" s="161" t="s">
        <v>578</v>
      </c>
      <c r="F201" s="364">
        <f>SUMIFS(INPUT!H:H,INPUT!E:E,BAZE_2024!A201,INPUT!B:B,BAZE_2024!B201)</f>
        <v>18993</v>
      </c>
      <c r="G201" s="389">
        <f>SUMIFS(INPUT!L:L,INPUT!E:E,BAZE_2024!A201,INPUT!B:B,BAZE_2024!B201)</f>
        <v>4800</v>
      </c>
      <c r="H201" s="162">
        <f t="shared" si="13"/>
        <v>-14193</v>
      </c>
      <c r="I201" s="1842">
        <f t="shared" si="10"/>
        <v>-0.74727531195703678</v>
      </c>
      <c r="J201" s="1188" t="s">
        <v>5798</v>
      </c>
      <c r="K201" s="227"/>
      <c r="L201" s="2016"/>
      <c r="M201" s="1122"/>
      <c r="N201" s="1122"/>
      <c r="O201" s="1122"/>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2477" customFormat="1" ht="15" hidden="1" outlineLevel="1">
      <c r="A202" s="2791" t="s">
        <v>1947</v>
      </c>
      <c r="B202" s="2791" t="s">
        <v>2649</v>
      </c>
      <c r="C202" s="1858"/>
      <c r="D202" s="2792"/>
      <c r="E202" s="3936" t="s">
        <v>2649</v>
      </c>
      <c r="F202" s="2572">
        <f>SUMIFS(INPUT!H:H,INPUT!E:E,BAZE_2024!A202,INPUT!B:B,BAZE_2024!B202)</f>
        <v>0</v>
      </c>
      <c r="G202" s="2572">
        <f>SUMIFS(INPUT!L:L,INPUT!E:E,BAZE_2024!A202,INPUT!B:B,BAZE_2024!B202)</f>
        <v>0</v>
      </c>
      <c r="H202" s="2796">
        <f>G202-F202</f>
        <v>0</v>
      </c>
      <c r="I202" s="2797" t="str">
        <f>IFERROR(H202/F202,"-")</f>
        <v>-</v>
      </c>
      <c r="J202" s="3937"/>
      <c r="K202" s="2121"/>
      <c r="L202" s="2016"/>
      <c r="M202" s="1122"/>
      <c r="N202" s="1122"/>
      <c r="O202" s="1122"/>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c r="FN202" s="79"/>
      <c r="FO202" s="79"/>
      <c r="FP202" s="79"/>
      <c r="FQ202" s="79"/>
      <c r="FR202" s="79"/>
      <c r="FS202" s="79"/>
      <c r="FT202" s="79"/>
      <c r="FU202" s="79"/>
      <c r="FV202" s="79"/>
      <c r="FW202" s="79"/>
      <c r="FX202" s="79"/>
      <c r="FY202" s="79"/>
      <c r="FZ202" s="79"/>
      <c r="GA202" s="79"/>
      <c r="GB202" s="79"/>
      <c r="GC202" s="79"/>
      <c r="GD202" s="79"/>
      <c r="GE202" s="79"/>
      <c r="GF202" s="79"/>
      <c r="GG202" s="79"/>
      <c r="GH202" s="79"/>
      <c r="GI202" s="79"/>
      <c r="GJ202" s="79"/>
      <c r="GK202" s="79"/>
      <c r="GL202" s="79"/>
      <c r="GM202" s="79"/>
    </row>
    <row r="203" spans="1:195" s="50" customFormat="1" ht="15" hidden="1" outlineLevel="1">
      <c r="A203" s="1665" t="s">
        <v>1947</v>
      </c>
      <c r="B203" s="1665" t="s">
        <v>1359</v>
      </c>
      <c r="C203" s="1858"/>
      <c r="D203" s="216"/>
      <c r="E203" s="2039" t="s">
        <v>1084</v>
      </c>
      <c r="F203" s="364">
        <f>SUMIFS(INPUT!H:H,INPUT!E:E,BAZE_2024!A203,INPUT!B:B,BAZE_2024!B203)</f>
        <v>55446</v>
      </c>
      <c r="G203" s="389">
        <f>SUMIFS(INPUT!L:L,INPUT!E:E,BAZE_2024!A203,INPUT!B:B,BAZE_2024!B203)</f>
        <v>68630</v>
      </c>
      <c r="H203" s="147">
        <f>G203-F203</f>
        <v>13184</v>
      </c>
      <c r="I203" s="2038">
        <f t="shared" si="10"/>
        <v>0.23778090394257476</v>
      </c>
      <c r="J203" s="1146"/>
      <c r="K203" s="227"/>
      <c r="L203" s="2016"/>
      <c r="M203" s="1122"/>
      <c r="N203" s="1122"/>
      <c r="O203" s="1122"/>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row>
    <row r="204" spans="1:195" s="1299" customFormat="1" ht="15" hidden="1" outlineLevel="1">
      <c r="A204" s="2127" t="s">
        <v>1947</v>
      </c>
      <c r="B204" s="2127" t="s">
        <v>1249</v>
      </c>
      <c r="C204" s="2128"/>
      <c r="D204" s="1297"/>
      <c r="E204" s="1294" t="s">
        <v>1249</v>
      </c>
      <c r="F204" s="1280">
        <f>SUMIFS(INPUT!H:H,INPUT!E:E,BAZE_2024!A204,INPUT!B:B,BAZE_2024!B204)</f>
        <v>126069</v>
      </c>
      <c r="G204" s="380">
        <f>SUMIFS(INPUT!L:L,INPUT!E:E,BAZE_2024!A204,INPUT!B:B,BAZE_2024!B204)</f>
        <v>243169</v>
      </c>
      <c r="H204" s="1285">
        <f t="shared" si="13"/>
        <v>117100</v>
      </c>
      <c r="I204" s="1834">
        <f t="shared" si="10"/>
        <v>0.92885641989704049</v>
      </c>
      <c r="J204" s="1300"/>
      <c r="K204" s="2129"/>
      <c r="L204" s="2014"/>
      <c r="M204" s="1289"/>
      <c r="N204" s="1289"/>
      <c r="O204" s="1289"/>
      <c r="P204" s="1289"/>
      <c r="Q204" s="1289"/>
      <c r="R204" s="1289"/>
      <c r="S204" s="1289"/>
      <c r="T204" s="1289"/>
      <c r="U204" s="1289"/>
      <c r="V204" s="1289"/>
      <c r="W204" s="1289"/>
      <c r="X204" s="1289"/>
      <c r="Y204" s="1289"/>
      <c r="Z204" s="1289"/>
      <c r="AA204" s="1289"/>
      <c r="AB204" s="1289"/>
      <c r="AC204" s="1289"/>
      <c r="AD204" s="1289"/>
      <c r="AE204" s="1289"/>
      <c r="AF204" s="1289"/>
      <c r="AG204" s="1289"/>
      <c r="AH204" s="1289"/>
      <c r="AI204" s="1289"/>
      <c r="AJ204" s="1289"/>
      <c r="AK204" s="1289"/>
      <c r="AL204" s="1289"/>
      <c r="AM204" s="1289"/>
      <c r="AN204" s="1289"/>
      <c r="AO204" s="1289"/>
      <c r="AP204" s="1289"/>
      <c r="AQ204" s="1289"/>
      <c r="AR204" s="1289"/>
      <c r="AS204" s="1289"/>
      <c r="AT204" s="1289"/>
      <c r="AU204" s="1289"/>
      <c r="AV204" s="1289"/>
      <c r="AW204" s="1289"/>
      <c r="AX204" s="1289"/>
      <c r="AY204" s="1289"/>
      <c r="AZ204" s="1289"/>
      <c r="BA204" s="1289"/>
      <c r="BB204" s="1289"/>
      <c r="BC204" s="1289"/>
      <c r="BD204" s="1289"/>
      <c r="BE204" s="1289"/>
      <c r="BF204" s="1289"/>
      <c r="BG204" s="1289"/>
      <c r="BH204" s="1289"/>
      <c r="BI204" s="1289"/>
      <c r="BJ204" s="1289"/>
      <c r="BK204" s="1289"/>
      <c r="BL204" s="1289"/>
      <c r="BM204" s="1289"/>
      <c r="BN204" s="1289"/>
      <c r="BO204" s="1289"/>
      <c r="BP204" s="1289"/>
      <c r="BQ204" s="1289"/>
      <c r="BR204" s="1289"/>
      <c r="BS204" s="1289"/>
      <c r="BT204" s="1289"/>
      <c r="BU204" s="1289"/>
      <c r="BV204" s="1289"/>
      <c r="BW204" s="1289"/>
      <c r="BX204" s="1289"/>
      <c r="BY204" s="1289"/>
      <c r="BZ204" s="1289"/>
      <c r="CA204" s="1289"/>
      <c r="CB204" s="1289"/>
      <c r="CC204" s="1289"/>
      <c r="CD204" s="1289"/>
      <c r="CE204" s="1289"/>
      <c r="CF204" s="1289"/>
      <c r="CG204" s="1289"/>
      <c r="CH204" s="1289"/>
      <c r="CI204" s="1289"/>
      <c r="CJ204" s="1289"/>
      <c r="CK204" s="1289"/>
      <c r="CL204" s="1289"/>
      <c r="CM204" s="1289"/>
      <c r="CN204" s="1289"/>
      <c r="CO204" s="1289"/>
      <c r="CP204" s="1289"/>
      <c r="CQ204" s="1289"/>
      <c r="CR204" s="1289"/>
      <c r="CS204" s="1289"/>
      <c r="CT204" s="1289"/>
      <c r="CU204" s="1289"/>
      <c r="CV204" s="1289"/>
      <c r="CW204" s="1289"/>
      <c r="CX204" s="1289"/>
      <c r="CY204" s="1289"/>
      <c r="CZ204" s="1289"/>
      <c r="DA204" s="1289"/>
      <c r="DB204" s="1289"/>
      <c r="DC204" s="1289"/>
      <c r="DD204" s="1289"/>
      <c r="DE204" s="1289"/>
      <c r="DF204" s="1289"/>
      <c r="DG204" s="1289"/>
      <c r="DH204" s="1289"/>
      <c r="DI204" s="1289"/>
      <c r="DJ204" s="1289"/>
      <c r="DK204" s="1289"/>
      <c r="DL204" s="1289"/>
      <c r="DM204" s="1289"/>
      <c r="DN204" s="1289"/>
      <c r="DO204" s="1289"/>
      <c r="DP204" s="1289"/>
      <c r="DQ204" s="1289"/>
      <c r="DR204" s="1289"/>
      <c r="DS204" s="1289"/>
      <c r="DT204" s="1289"/>
      <c r="DU204" s="1289"/>
      <c r="DV204" s="1289"/>
      <c r="DW204" s="1289"/>
      <c r="DX204" s="1289"/>
      <c r="DY204" s="1289"/>
      <c r="DZ204" s="1289"/>
      <c r="EA204" s="1289"/>
      <c r="EB204" s="1289"/>
      <c r="EC204" s="1289"/>
      <c r="ED204" s="1289"/>
      <c r="EE204" s="1289"/>
      <c r="EF204" s="1289"/>
      <c r="EG204" s="1289"/>
      <c r="EH204" s="1289"/>
      <c r="EI204" s="1289"/>
      <c r="EJ204" s="1289"/>
      <c r="EK204" s="1289"/>
      <c r="EL204" s="1289"/>
      <c r="EM204" s="1289"/>
      <c r="EN204" s="1289"/>
      <c r="EO204" s="1289"/>
      <c r="EP204" s="1289"/>
      <c r="EQ204" s="1289"/>
      <c r="ER204" s="1289"/>
      <c r="ES204" s="1289"/>
      <c r="ET204" s="1289"/>
      <c r="EU204" s="1289"/>
      <c r="EV204" s="1289"/>
      <c r="EW204" s="1289"/>
      <c r="EX204" s="1289"/>
      <c r="EY204" s="1289"/>
      <c r="EZ204" s="1289"/>
      <c r="FA204" s="1289"/>
      <c r="FB204" s="1289"/>
      <c r="FC204" s="1289"/>
      <c r="FD204" s="1289"/>
      <c r="FE204" s="1289"/>
      <c r="FF204" s="1289"/>
      <c r="FG204" s="1289"/>
      <c r="FH204" s="1289"/>
      <c r="FI204" s="1289"/>
      <c r="FJ204" s="1289"/>
      <c r="FK204" s="1289"/>
      <c r="FL204" s="1289"/>
      <c r="FM204" s="1289"/>
      <c r="FN204" s="1289"/>
      <c r="FO204" s="1289"/>
      <c r="FP204" s="1289"/>
      <c r="FQ204" s="1289"/>
      <c r="FR204" s="1289"/>
      <c r="FS204" s="1289"/>
      <c r="FT204" s="1289"/>
      <c r="FU204" s="1289"/>
      <c r="FV204" s="1289"/>
      <c r="FW204" s="1289"/>
      <c r="FX204" s="1289"/>
      <c r="FY204" s="1289"/>
      <c r="FZ204" s="1289"/>
      <c r="GA204" s="1289"/>
      <c r="GB204" s="1289"/>
      <c r="GC204" s="1289"/>
      <c r="GD204" s="1289"/>
      <c r="GE204" s="1289"/>
      <c r="GF204" s="1289"/>
      <c r="GG204" s="1289"/>
      <c r="GH204" s="1289"/>
      <c r="GI204" s="1289"/>
      <c r="GJ204" s="1289"/>
      <c r="GK204" s="1289"/>
      <c r="GL204" s="1289"/>
      <c r="GM204" s="1289"/>
    </row>
    <row r="205" spans="1:195" s="1299" customFormat="1" ht="15" hidden="1" outlineLevel="1">
      <c r="A205" s="2127" t="s">
        <v>1947</v>
      </c>
      <c r="B205" s="2127" t="s">
        <v>566</v>
      </c>
      <c r="C205" s="2128"/>
      <c r="D205" s="1302"/>
      <c r="E205" s="2140" t="s">
        <v>566</v>
      </c>
      <c r="F205" s="1280">
        <f>SUMIFS(INPUT!H:H,INPUT!E:E,BAZE_2024!A205,INPUT!B:B,BAZE_2024!B205)</f>
        <v>0</v>
      </c>
      <c r="G205" s="380">
        <f>SUMIFS(INPUT!L:L,INPUT!E:E,BAZE_2024!A205,INPUT!B:B,BAZE_2024!B205)</f>
        <v>0</v>
      </c>
      <c r="H205" s="1303"/>
      <c r="I205" s="1844" t="str">
        <f t="shared" si="10"/>
        <v>-</v>
      </c>
      <c r="J205" s="2130"/>
      <c r="K205" s="2129"/>
      <c r="L205" s="2014"/>
      <c r="M205" s="1289"/>
      <c r="N205" s="1289"/>
      <c r="O205" s="1289"/>
      <c r="P205" s="1289"/>
      <c r="Q205" s="1289"/>
      <c r="R205" s="1289"/>
      <c r="S205" s="1289"/>
      <c r="T205" s="1289"/>
      <c r="U205" s="1289"/>
      <c r="V205" s="1289"/>
      <c r="W205" s="1289"/>
      <c r="X205" s="1289"/>
      <c r="Y205" s="1289"/>
      <c r="Z205" s="1289"/>
      <c r="AA205" s="1289"/>
      <c r="AB205" s="1289"/>
      <c r="AC205" s="1289"/>
      <c r="AD205" s="1289"/>
      <c r="AE205" s="1289"/>
      <c r="AF205" s="1289"/>
      <c r="AG205" s="1289"/>
      <c r="AH205" s="1289"/>
      <c r="AI205" s="1289"/>
      <c r="AJ205" s="1289"/>
      <c r="AK205" s="1289"/>
      <c r="AL205" s="1289"/>
      <c r="AM205" s="1289"/>
      <c r="AN205" s="1289"/>
      <c r="AO205" s="1289"/>
      <c r="AP205" s="1289"/>
      <c r="AQ205" s="1289"/>
      <c r="AR205" s="1289"/>
      <c r="AS205" s="1289"/>
      <c r="AT205" s="1289"/>
      <c r="AU205" s="1289"/>
      <c r="AV205" s="1289"/>
      <c r="AW205" s="1289"/>
      <c r="AX205" s="1289"/>
      <c r="AY205" s="1289"/>
      <c r="AZ205" s="1289"/>
      <c r="BA205" s="1289"/>
      <c r="BB205" s="1289"/>
      <c r="BC205" s="1289"/>
      <c r="BD205" s="1289"/>
      <c r="BE205" s="1289"/>
      <c r="BF205" s="1289"/>
      <c r="BG205" s="1289"/>
      <c r="BH205" s="1289"/>
      <c r="BI205" s="1289"/>
      <c r="BJ205" s="1289"/>
      <c r="BK205" s="1289"/>
      <c r="BL205" s="1289"/>
      <c r="BM205" s="1289"/>
      <c r="BN205" s="1289"/>
      <c r="BO205" s="1289"/>
      <c r="BP205" s="1289"/>
      <c r="BQ205" s="1289"/>
      <c r="BR205" s="1289"/>
      <c r="BS205" s="1289"/>
      <c r="BT205" s="1289"/>
      <c r="BU205" s="1289"/>
      <c r="BV205" s="1289"/>
      <c r="BW205" s="1289"/>
      <c r="BX205" s="1289"/>
      <c r="BY205" s="1289"/>
      <c r="BZ205" s="1289"/>
      <c r="CA205" s="1289"/>
      <c r="CB205" s="1289"/>
      <c r="CC205" s="1289"/>
      <c r="CD205" s="1289"/>
      <c r="CE205" s="1289"/>
      <c r="CF205" s="1289"/>
      <c r="CG205" s="1289"/>
      <c r="CH205" s="1289"/>
      <c r="CI205" s="1289"/>
      <c r="CJ205" s="1289"/>
      <c r="CK205" s="1289"/>
      <c r="CL205" s="1289"/>
      <c r="CM205" s="1289"/>
      <c r="CN205" s="1289"/>
      <c r="CO205" s="1289"/>
      <c r="CP205" s="1289"/>
      <c r="CQ205" s="1289"/>
      <c r="CR205" s="1289"/>
      <c r="CS205" s="1289"/>
      <c r="CT205" s="1289"/>
      <c r="CU205" s="1289"/>
      <c r="CV205" s="1289"/>
      <c r="CW205" s="1289"/>
      <c r="CX205" s="1289"/>
      <c r="CY205" s="1289"/>
      <c r="CZ205" s="1289"/>
      <c r="DA205" s="1289"/>
      <c r="DB205" s="1289"/>
      <c r="DC205" s="1289"/>
      <c r="DD205" s="1289"/>
      <c r="DE205" s="1289"/>
      <c r="DF205" s="1289"/>
      <c r="DG205" s="1289"/>
      <c r="DH205" s="1289"/>
      <c r="DI205" s="1289"/>
      <c r="DJ205" s="1289"/>
      <c r="DK205" s="1289"/>
      <c r="DL205" s="1289"/>
      <c r="DM205" s="1289"/>
      <c r="DN205" s="1289"/>
      <c r="DO205" s="1289"/>
      <c r="DP205" s="1289"/>
      <c r="DQ205" s="1289"/>
      <c r="DR205" s="1289"/>
      <c r="DS205" s="1289"/>
      <c r="DT205" s="1289"/>
      <c r="DU205" s="1289"/>
      <c r="DV205" s="1289"/>
      <c r="DW205" s="1289"/>
      <c r="DX205" s="1289"/>
      <c r="DY205" s="1289"/>
      <c r="DZ205" s="1289"/>
      <c r="EA205" s="1289"/>
      <c r="EB205" s="1289"/>
      <c r="EC205" s="1289"/>
      <c r="ED205" s="1289"/>
      <c r="EE205" s="1289"/>
      <c r="EF205" s="1289"/>
      <c r="EG205" s="1289"/>
      <c r="EH205" s="1289"/>
      <c r="EI205" s="1289"/>
      <c r="EJ205" s="1289"/>
      <c r="EK205" s="1289"/>
      <c r="EL205" s="1289"/>
      <c r="EM205" s="1289"/>
      <c r="EN205" s="1289"/>
      <c r="EO205" s="1289"/>
      <c r="EP205" s="1289"/>
      <c r="EQ205" s="1289"/>
      <c r="ER205" s="1289"/>
      <c r="ES205" s="1289"/>
      <c r="ET205" s="1289"/>
      <c r="EU205" s="1289"/>
      <c r="EV205" s="1289"/>
      <c r="EW205" s="1289"/>
      <c r="EX205" s="1289"/>
      <c r="EY205" s="1289"/>
      <c r="EZ205" s="1289"/>
      <c r="FA205" s="1289"/>
      <c r="FB205" s="1289"/>
      <c r="FC205" s="1289"/>
      <c r="FD205" s="1289"/>
      <c r="FE205" s="1289"/>
      <c r="FF205" s="1289"/>
      <c r="FG205" s="1289"/>
      <c r="FH205" s="1289"/>
      <c r="FI205" s="1289"/>
      <c r="FJ205" s="1289"/>
      <c r="FK205" s="1289"/>
      <c r="FL205" s="1289"/>
      <c r="FM205" s="1289"/>
      <c r="FN205" s="1289"/>
      <c r="FO205" s="1289"/>
      <c r="FP205" s="1289"/>
      <c r="FQ205" s="1289"/>
      <c r="FR205" s="1289"/>
      <c r="FS205" s="1289"/>
      <c r="FT205" s="1289"/>
      <c r="FU205" s="1289"/>
      <c r="FV205" s="1289"/>
      <c r="FW205" s="1289"/>
      <c r="FX205" s="1289"/>
      <c r="FY205" s="1289"/>
      <c r="FZ205" s="1289"/>
      <c r="GA205" s="1289"/>
      <c r="GB205" s="1289"/>
      <c r="GC205" s="1289"/>
      <c r="GD205" s="1289"/>
      <c r="GE205" s="1289"/>
      <c r="GF205" s="1289"/>
      <c r="GG205" s="1289"/>
      <c r="GH205" s="1289"/>
      <c r="GI205" s="1289"/>
      <c r="GJ205" s="1289"/>
      <c r="GK205" s="1289"/>
      <c r="GL205" s="1289"/>
      <c r="GM205" s="1289"/>
    </row>
    <row r="206" spans="1:195" ht="15" collapsed="1">
      <c r="D206" s="126" t="s">
        <v>588</v>
      </c>
      <c r="E206" s="127" t="s">
        <v>182</v>
      </c>
      <c r="F206" s="1238"/>
      <c r="G206" s="2568"/>
      <c r="H206" s="133">
        <f t="shared" si="13"/>
        <v>0</v>
      </c>
      <c r="I206" s="1846" t="str">
        <f t="shared" si="10"/>
        <v>-</v>
      </c>
      <c r="J206" s="1145"/>
      <c r="K206" s="227"/>
      <c r="L206" s="2016"/>
      <c r="M206" s="1122"/>
      <c r="N206" s="1122"/>
      <c r="O206" s="1122"/>
    </row>
    <row r="207" spans="1:195" s="218" customFormat="1" ht="15" hidden="1" outlineLevel="1">
      <c r="A207" s="1665" t="s">
        <v>1927</v>
      </c>
      <c r="B207" s="1665" t="s">
        <v>1249</v>
      </c>
      <c r="C207" s="1858"/>
      <c r="D207" s="163"/>
      <c r="E207" s="164" t="s">
        <v>1249</v>
      </c>
      <c r="F207" s="364">
        <f>SUMIFS(INPUT!H:H,INPUT!E:E,BAZE_2024!A207,INPUT!B:B,BAZE_2024!B207)</f>
        <v>4000</v>
      </c>
      <c r="G207" s="389">
        <f>SUMIFS(INPUT!L:L,INPUT!E:E,BAZE_2024!A207,INPUT!B:B,BAZE_2024!B207)</f>
        <v>4000</v>
      </c>
      <c r="H207" s="435">
        <f>G207-F207</f>
        <v>0</v>
      </c>
      <c r="I207" s="1843">
        <f t="shared" si="10"/>
        <v>0</v>
      </c>
      <c r="J207" s="1141"/>
      <c r="K207" s="227"/>
      <c r="L207" s="2016"/>
      <c r="M207" s="1122"/>
      <c r="N207" s="1122"/>
      <c r="O207" s="1122"/>
      <c r="P207" s="226"/>
      <c r="Q207" s="226"/>
      <c r="R207" s="226"/>
      <c r="S207" s="226"/>
      <c r="T207" s="226"/>
      <c r="U207" s="226"/>
      <c r="V207" s="226"/>
      <c r="W207" s="226"/>
      <c r="X207" s="226"/>
      <c r="Y207" s="226"/>
      <c r="Z207" s="226"/>
      <c r="AA207" s="226"/>
      <c r="AB207" s="226"/>
      <c r="AC207" s="226"/>
      <c r="AD207" s="226"/>
      <c r="AE207" s="226"/>
      <c r="AF207" s="226"/>
      <c r="AG207" s="226"/>
      <c r="AH207" s="226"/>
      <c r="AI207" s="226"/>
      <c r="AJ207" s="226"/>
      <c r="AK207" s="226"/>
      <c r="AL207" s="226"/>
      <c r="AM207" s="226"/>
      <c r="AN207" s="226"/>
      <c r="AO207" s="226"/>
      <c r="AP207" s="226"/>
      <c r="AQ207" s="226"/>
      <c r="AR207" s="226"/>
      <c r="AS207" s="226"/>
      <c r="AT207" s="226"/>
      <c r="AU207" s="226"/>
      <c r="AV207" s="226"/>
      <c r="AW207" s="226"/>
      <c r="AX207" s="226"/>
      <c r="AY207" s="226"/>
      <c r="AZ207" s="226"/>
      <c r="BA207" s="226"/>
      <c r="BB207" s="226"/>
      <c r="BC207" s="226"/>
      <c r="BD207" s="226"/>
      <c r="BE207" s="226"/>
      <c r="BF207" s="226"/>
      <c r="BG207" s="226"/>
      <c r="BH207" s="226"/>
      <c r="BI207" s="226"/>
      <c r="BJ207" s="226"/>
      <c r="BK207" s="226"/>
      <c r="BL207" s="226"/>
      <c r="BM207" s="226"/>
      <c r="BN207" s="226"/>
      <c r="BO207" s="226"/>
      <c r="BP207" s="226"/>
      <c r="BQ207" s="226"/>
      <c r="BR207" s="226"/>
      <c r="BS207" s="226"/>
      <c r="BT207" s="226"/>
      <c r="BU207" s="226"/>
      <c r="BV207" s="226"/>
      <c r="BW207" s="226"/>
      <c r="BX207" s="226"/>
      <c r="BY207" s="226"/>
      <c r="BZ207" s="226"/>
      <c r="CA207" s="226"/>
      <c r="CB207" s="226"/>
      <c r="CC207" s="226"/>
      <c r="CD207" s="226"/>
      <c r="CE207" s="226"/>
      <c r="CF207" s="226"/>
      <c r="CG207" s="226"/>
      <c r="CH207" s="226"/>
      <c r="CI207" s="226"/>
      <c r="CJ207" s="226"/>
      <c r="CK207" s="226"/>
      <c r="CL207" s="226"/>
      <c r="CM207" s="226"/>
      <c r="CN207" s="226"/>
      <c r="CO207" s="226"/>
      <c r="CP207" s="226"/>
      <c r="CQ207" s="226"/>
      <c r="CR207" s="226"/>
      <c r="CS207" s="226"/>
      <c r="CT207" s="226"/>
      <c r="CU207" s="226"/>
      <c r="CV207" s="226"/>
      <c r="CW207" s="226"/>
      <c r="CX207" s="226"/>
      <c r="CY207" s="226"/>
      <c r="CZ207" s="226"/>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c r="DW207" s="226"/>
      <c r="DX207" s="226"/>
      <c r="DY207" s="226"/>
      <c r="DZ207" s="226"/>
      <c r="EA207" s="226"/>
      <c r="EB207" s="226"/>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226"/>
      <c r="FB207" s="226"/>
      <c r="FC207" s="226"/>
      <c r="FD207" s="226"/>
      <c r="FE207" s="226"/>
      <c r="FF207" s="226"/>
      <c r="FG207" s="226"/>
      <c r="FH207" s="226"/>
      <c r="FI207" s="226"/>
      <c r="FJ207" s="226"/>
      <c r="FK207" s="226"/>
      <c r="FL207" s="226"/>
      <c r="FM207" s="226"/>
      <c r="FN207" s="226"/>
      <c r="FO207" s="226"/>
      <c r="FP207" s="226"/>
      <c r="FQ207" s="226"/>
      <c r="FR207" s="226"/>
      <c r="FS207" s="226"/>
      <c r="FT207" s="226"/>
      <c r="FU207" s="226"/>
      <c r="FV207" s="226"/>
      <c r="FW207" s="226"/>
      <c r="FX207" s="226"/>
      <c r="FY207" s="226"/>
      <c r="FZ207" s="226"/>
      <c r="GA207" s="226"/>
      <c r="GB207" s="226"/>
      <c r="GC207" s="226"/>
      <c r="GD207" s="226"/>
      <c r="GE207" s="226"/>
      <c r="GF207" s="226"/>
      <c r="GG207" s="226"/>
      <c r="GH207" s="226"/>
      <c r="GI207" s="226"/>
      <c r="GJ207" s="226"/>
      <c r="GK207" s="226"/>
      <c r="GL207" s="226"/>
      <c r="GM207" s="226"/>
    </row>
    <row r="208" spans="1:195" ht="30" collapsed="1">
      <c r="D208" s="126" t="s">
        <v>589</v>
      </c>
      <c r="E208" s="127" t="s">
        <v>1588</v>
      </c>
      <c r="F208" s="383">
        <f>F209+F210+F211</f>
        <v>170766.50440000001</v>
      </c>
      <c r="G208" s="383">
        <f>G209+G210+G211</f>
        <v>169588.07466400001</v>
      </c>
      <c r="H208" s="116">
        <f t="shared" si="13"/>
        <v>-1178.429735999991</v>
      </c>
      <c r="I208" s="1826">
        <f t="shared" si="10"/>
        <v>-6.9008248434930834E-3</v>
      </c>
      <c r="J208" s="1129"/>
      <c r="K208" s="227"/>
      <c r="L208" s="2016"/>
      <c r="M208" s="1122"/>
      <c r="N208" s="1122"/>
      <c r="O208" s="1122"/>
    </row>
    <row r="209" spans="1:195" s="50" customFormat="1" ht="15" hidden="1" outlineLevel="1">
      <c r="A209" s="1665" t="s">
        <v>1932</v>
      </c>
      <c r="B209" s="1665" t="s">
        <v>663</v>
      </c>
      <c r="C209" s="1858"/>
      <c r="D209" s="160"/>
      <c r="E209" s="217" t="s">
        <v>663</v>
      </c>
      <c r="F209" s="389">
        <f>SUMIFS(INPUT!H:H,INPUT!E:E,BAZE_2024!A209,INPUT!B:B,BAZE_2024!B209)</f>
        <v>117209.50440000001</v>
      </c>
      <c r="G209" s="389">
        <f>SUMIFS(INPUT!L:L,INPUT!E:E,BAZE_2024!A209,INPUT!B:B,BAZE_2024!B209)</f>
        <v>124533.07466400001</v>
      </c>
      <c r="H209" s="146">
        <f t="shared" si="13"/>
        <v>7323.570264000009</v>
      </c>
      <c r="I209" s="1836">
        <f t="shared" si="10"/>
        <v>6.2482733814886844E-2</v>
      </c>
      <c r="J209" s="1188"/>
      <c r="K209" s="227"/>
      <c r="L209" s="2016"/>
      <c r="M209" s="1122"/>
      <c r="N209" s="1122"/>
      <c r="O209" s="1122"/>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row>
    <row r="210" spans="1:195" s="50" customFormat="1" ht="15" hidden="1" outlineLevel="1">
      <c r="A210" s="1665" t="s">
        <v>1932</v>
      </c>
      <c r="B210" s="1665" t="s">
        <v>1248</v>
      </c>
      <c r="C210" s="1858"/>
      <c r="D210" s="216"/>
      <c r="E210" s="217" t="s">
        <v>579</v>
      </c>
      <c r="F210" s="389">
        <f>SUMIFS(INPUT!H:H,INPUT!E:E,BAZE_2024!A210,INPUT!B:B,BAZE_2024!B210)</f>
        <v>49657</v>
      </c>
      <c r="G210" s="389">
        <f>SUMIFS(INPUT!L:L,INPUT!E:E,BAZE_2024!A210,INPUT!B:B,BAZE_2024!B210)</f>
        <v>45055</v>
      </c>
      <c r="H210" s="146">
        <f t="shared" si="13"/>
        <v>-4602</v>
      </c>
      <c r="I210" s="1836">
        <f t="shared" si="10"/>
        <v>-9.2675755683992181E-2</v>
      </c>
      <c r="J210" s="4099"/>
      <c r="K210" s="156">
        <v>-0.02</v>
      </c>
      <c r="L210" s="1222">
        <f>G210*K210</f>
        <v>-901.1</v>
      </c>
      <c r="M210" s="1122"/>
      <c r="N210" s="1122"/>
      <c r="O210" s="1122"/>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row>
    <row r="211" spans="1:195" s="50" customFormat="1" ht="15" hidden="1" outlineLevel="1">
      <c r="A211" s="1665" t="s">
        <v>1932</v>
      </c>
      <c r="B211" s="1665" t="s">
        <v>1250</v>
      </c>
      <c r="C211" s="1858"/>
      <c r="D211" s="160"/>
      <c r="E211" s="161" t="s">
        <v>578</v>
      </c>
      <c r="F211" s="389">
        <f>SUMIFS(INPUT!H:H,INPUT!E:E,BAZE_2024!A211,INPUT!B:B,BAZE_2024!B211)</f>
        <v>3900</v>
      </c>
      <c r="G211" s="389">
        <f>SUMIFS(INPUT!L:L,INPUT!E:E,BAZE_2024!A211,INPUT!B:B,BAZE_2024!B211)</f>
        <v>0</v>
      </c>
      <c r="H211" s="146">
        <f t="shared" si="13"/>
        <v>-3900</v>
      </c>
      <c r="I211" s="1836">
        <f t="shared" si="10"/>
        <v>-1</v>
      </c>
      <c r="J211" s="1141"/>
      <c r="K211" s="227"/>
      <c r="L211" s="2016"/>
      <c r="M211" s="1122"/>
      <c r="N211" s="1122"/>
      <c r="O211" s="1122"/>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row>
    <row r="212" spans="1:195" s="1299" customFormat="1" ht="15" hidden="1" outlineLevel="1">
      <c r="A212" s="2127" t="s">
        <v>1932</v>
      </c>
      <c r="B212" s="2127" t="s">
        <v>1249</v>
      </c>
      <c r="C212" s="2128"/>
      <c r="D212" s="1297"/>
      <c r="E212" s="1294" t="s">
        <v>1249</v>
      </c>
      <c r="F212" s="1280">
        <f>SUMIFS(INPUT!H:H,INPUT!E:E,BAZE_2024!A212,INPUT!B:B,BAZE_2024!B212)</f>
        <v>0</v>
      </c>
      <c r="G212" s="380">
        <f>SUMIFS(INPUT!L:L,INPUT!E:E,BAZE_2024!A212,INPUT!B:B,BAZE_2024!B212)</f>
        <v>25200</v>
      </c>
      <c r="H212" s="1285">
        <f t="shared" si="13"/>
        <v>25200</v>
      </c>
      <c r="I212" s="4223" t="str">
        <f t="shared" si="10"/>
        <v>-</v>
      </c>
      <c r="J212" s="1300">
        <f>F212*$J$105</f>
        <v>0</v>
      </c>
      <c r="K212" s="2129"/>
      <c r="L212" s="2014"/>
      <c r="M212" s="1289"/>
      <c r="N212" s="1289"/>
      <c r="O212" s="1289"/>
      <c r="P212" s="1289"/>
      <c r="Q212" s="1289"/>
      <c r="R212" s="1289"/>
      <c r="S212" s="1289"/>
      <c r="T212" s="1289"/>
      <c r="U212" s="1289"/>
      <c r="V212" s="1289"/>
      <c r="W212" s="1289"/>
      <c r="X212" s="1289"/>
      <c r="Y212" s="1289"/>
      <c r="Z212" s="1289"/>
      <c r="AA212" s="1289"/>
      <c r="AB212" s="1289"/>
      <c r="AC212" s="1289"/>
      <c r="AD212" s="1289"/>
      <c r="AE212" s="1289"/>
      <c r="AF212" s="1289"/>
      <c r="AG212" s="1289"/>
      <c r="AH212" s="1289"/>
      <c r="AI212" s="1289"/>
      <c r="AJ212" s="1289"/>
      <c r="AK212" s="1289"/>
      <c r="AL212" s="1289"/>
      <c r="AM212" s="1289"/>
      <c r="AN212" s="1289"/>
      <c r="AO212" s="1289"/>
      <c r="AP212" s="1289"/>
      <c r="AQ212" s="1289"/>
      <c r="AR212" s="1289"/>
      <c r="AS212" s="1289"/>
      <c r="AT212" s="1289"/>
      <c r="AU212" s="1289"/>
      <c r="AV212" s="1289"/>
      <c r="AW212" s="1289"/>
      <c r="AX212" s="1289"/>
      <c r="AY212" s="1289"/>
      <c r="AZ212" s="1289"/>
      <c r="BA212" s="1289"/>
      <c r="BB212" s="1289"/>
      <c r="BC212" s="1289"/>
      <c r="BD212" s="1289"/>
      <c r="BE212" s="1289"/>
      <c r="BF212" s="1289"/>
      <c r="BG212" s="1289"/>
      <c r="BH212" s="1289"/>
      <c r="BI212" s="1289"/>
      <c r="BJ212" s="1289"/>
      <c r="BK212" s="1289"/>
      <c r="BL212" s="1289"/>
      <c r="BM212" s="1289"/>
      <c r="BN212" s="1289"/>
      <c r="BO212" s="1289"/>
      <c r="BP212" s="1289"/>
      <c r="BQ212" s="1289"/>
      <c r="BR212" s="1289"/>
      <c r="BS212" s="1289"/>
      <c r="BT212" s="1289"/>
      <c r="BU212" s="1289"/>
      <c r="BV212" s="1289"/>
      <c r="BW212" s="1289"/>
      <c r="BX212" s="1289"/>
      <c r="BY212" s="1289"/>
      <c r="BZ212" s="1289"/>
      <c r="CA212" s="1289"/>
      <c r="CB212" s="1289"/>
      <c r="CC212" s="1289"/>
      <c r="CD212" s="1289"/>
      <c r="CE212" s="1289"/>
      <c r="CF212" s="1289"/>
      <c r="CG212" s="1289"/>
      <c r="CH212" s="1289"/>
      <c r="CI212" s="1289"/>
      <c r="CJ212" s="1289"/>
      <c r="CK212" s="1289"/>
      <c r="CL212" s="1289"/>
      <c r="CM212" s="1289"/>
      <c r="CN212" s="1289"/>
      <c r="CO212" s="1289"/>
      <c r="CP212" s="1289"/>
      <c r="CQ212" s="1289"/>
      <c r="CR212" s="1289"/>
      <c r="CS212" s="1289"/>
      <c r="CT212" s="1289"/>
      <c r="CU212" s="1289"/>
      <c r="CV212" s="1289"/>
      <c r="CW212" s="1289"/>
      <c r="CX212" s="1289"/>
      <c r="CY212" s="1289"/>
      <c r="CZ212" s="1289"/>
      <c r="DA212" s="1289"/>
      <c r="DB212" s="1289"/>
      <c r="DC212" s="1289"/>
      <c r="DD212" s="1289"/>
      <c r="DE212" s="1289"/>
      <c r="DF212" s="1289"/>
      <c r="DG212" s="1289"/>
      <c r="DH212" s="1289"/>
      <c r="DI212" s="1289"/>
      <c r="DJ212" s="1289"/>
      <c r="DK212" s="1289"/>
      <c r="DL212" s="1289"/>
      <c r="DM212" s="1289"/>
      <c r="DN212" s="1289"/>
      <c r="DO212" s="1289"/>
      <c r="DP212" s="1289"/>
      <c r="DQ212" s="1289"/>
      <c r="DR212" s="1289"/>
      <c r="DS212" s="1289"/>
      <c r="DT212" s="1289"/>
      <c r="DU212" s="1289"/>
      <c r="DV212" s="1289"/>
      <c r="DW212" s="1289"/>
      <c r="DX212" s="1289"/>
      <c r="DY212" s="1289"/>
      <c r="DZ212" s="1289"/>
      <c r="EA212" s="1289"/>
      <c r="EB212" s="1289"/>
      <c r="EC212" s="1289"/>
      <c r="ED212" s="1289"/>
      <c r="EE212" s="1289"/>
      <c r="EF212" s="1289"/>
      <c r="EG212" s="1289"/>
      <c r="EH212" s="1289"/>
      <c r="EI212" s="1289"/>
      <c r="EJ212" s="1289"/>
      <c r="EK212" s="1289"/>
      <c r="EL212" s="1289"/>
      <c r="EM212" s="1289"/>
      <c r="EN212" s="1289"/>
      <c r="EO212" s="1289"/>
      <c r="EP212" s="1289"/>
      <c r="EQ212" s="1289"/>
      <c r="ER212" s="1289"/>
      <c r="ES212" s="1289"/>
      <c r="ET212" s="1289"/>
      <c r="EU212" s="1289"/>
      <c r="EV212" s="1289"/>
      <c r="EW212" s="1289"/>
      <c r="EX212" s="1289"/>
      <c r="EY212" s="1289"/>
      <c r="EZ212" s="1289"/>
      <c r="FA212" s="1289"/>
      <c r="FB212" s="1289"/>
      <c r="FC212" s="1289"/>
      <c r="FD212" s="1289"/>
      <c r="FE212" s="1289"/>
      <c r="FF212" s="1289"/>
      <c r="FG212" s="1289"/>
      <c r="FH212" s="1289"/>
      <c r="FI212" s="1289"/>
      <c r="FJ212" s="1289"/>
      <c r="FK212" s="1289"/>
      <c r="FL212" s="1289"/>
      <c r="FM212" s="1289"/>
      <c r="FN212" s="1289"/>
      <c r="FO212" s="1289"/>
      <c r="FP212" s="1289"/>
      <c r="FQ212" s="1289"/>
      <c r="FR212" s="1289"/>
      <c r="FS212" s="1289"/>
      <c r="FT212" s="1289"/>
      <c r="FU212" s="1289"/>
      <c r="FV212" s="1289"/>
      <c r="FW212" s="1289"/>
      <c r="FX212" s="1289"/>
      <c r="FY212" s="1289"/>
      <c r="FZ212" s="1289"/>
      <c r="GA212" s="1289"/>
      <c r="GB212" s="1289"/>
      <c r="GC212" s="1289"/>
      <c r="GD212" s="1289"/>
      <c r="GE212" s="1289"/>
      <c r="GF212" s="1289"/>
      <c r="GG212" s="1289"/>
      <c r="GH212" s="1289"/>
      <c r="GI212" s="1289"/>
      <c r="GJ212" s="1289"/>
      <c r="GK212" s="1289"/>
      <c r="GL212" s="1289"/>
      <c r="GM212" s="1289"/>
    </row>
    <row r="213" spans="1:195" s="1299" customFormat="1" ht="15" hidden="1" outlineLevel="1">
      <c r="A213" s="2127" t="s">
        <v>1932</v>
      </c>
      <c r="B213" s="2127" t="s">
        <v>566</v>
      </c>
      <c r="C213" s="2128"/>
      <c r="D213" s="1302"/>
      <c r="E213" s="2140" t="s">
        <v>112</v>
      </c>
      <c r="F213" s="1280">
        <f>SUMIFS(INPUT!H:H,INPUT!E:E,BAZE_2024!A213,INPUT!B:B,BAZE_2024!B213)</f>
        <v>0</v>
      </c>
      <c r="G213" s="380">
        <f>SUMIFS(INPUT!L:L,INPUT!E:E,BAZE_2024!A213,INPUT!B:B,BAZE_2024!B213)</f>
        <v>3000</v>
      </c>
      <c r="H213" s="1285">
        <f t="shared" si="13"/>
        <v>3000</v>
      </c>
      <c r="I213" s="4223" t="str">
        <f t="shared" si="10"/>
        <v>-</v>
      </c>
      <c r="J213" s="2130"/>
      <c r="K213" s="2129"/>
      <c r="L213" s="2014"/>
      <c r="M213" s="1289"/>
      <c r="N213" s="1289"/>
      <c r="O213" s="1289"/>
      <c r="P213" s="1289"/>
      <c r="Q213" s="1289"/>
      <c r="R213" s="1289"/>
      <c r="S213" s="1289"/>
      <c r="T213" s="1289"/>
      <c r="U213" s="1289"/>
      <c r="V213" s="1289"/>
      <c r="W213" s="1289"/>
      <c r="X213" s="1289"/>
      <c r="Y213" s="1289"/>
      <c r="Z213" s="1289"/>
      <c r="AA213" s="1289"/>
      <c r="AB213" s="1289"/>
      <c r="AC213" s="1289"/>
      <c r="AD213" s="1289"/>
      <c r="AE213" s="1289"/>
      <c r="AF213" s="1289"/>
      <c r="AG213" s="1289"/>
      <c r="AH213" s="1289"/>
      <c r="AI213" s="1289"/>
      <c r="AJ213" s="1289"/>
      <c r="AK213" s="1289"/>
      <c r="AL213" s="1289"/>
      <c r="AM213" s="1289"/>
      <c r="AN213" s="1289"/>
      <c r="AO213" s="1289"/>
      <c r="AP213" s="1289"/>
      <c r="AQ213" s="1289"/>
      <c r="AR213" s="1289"/>
      <c r="AS213" s="1289"/>
      <c r="AT213" s="1289"/>
      <c r="AU213" s="1289"/>
      <c r="AV213" s="1289"/>
      <c r="AW213" s="1289"/>
      <c r="AX213" s="1289"/>
      <c r="AY213" s="1289"/>
      <c r="AZ213" s="1289"/>
      <c r="BA213" s="1289"/>
      <c r="BB213" s="1289"/>
      <c r="BC213" s="1289"/>
      <c r="BD213" s="1289"/>
      <c r="BE213" s="1289"/>
      <c r="BF213" s="1289"/>
      <c r="BG213" s="1289"/>
      <c r="BH213" s="1289"/>
      <c r="BI213" s="1289"/>
      <c r="BJ213" s="1289"/>
      <c r="BK213" s="1289"/>
      <c r="BL213" s="1289"/>
      <c r="BM213" s="1289"/>
      <c r="BN213" s="1289"/>
      <c r="BO213" s="1289"/>
      <c r="BP213" s="1289"/>
      <c r="BQ213" s="1289"/>
      <c r="BR213" s="1289"/>
      <c r="BS213" s="1289"/>
      <c r="BT213" s="1289"/>
      <c r="BU213" s="1289"/>
      <c r="BV213" s="1289"/>
      <c r="BW213" s="1289"/>
      <c r="BX213" s="1289"/>
      <c r="BY213" s="1289"/>
      <c r="BZ213" s="1289"/>
      <c r="CA213" s="1289"/>
      <c r="CB213" s="1289"/>
      <c r="CC213" s="1289"/>
      <c r="CD213" s="1289"/>
      <c r="CE213" s="1289"/>
      <c r="CF213" s="1289"/>
      <c r="CG213" s="1289"/>
      <c r="CH213" s="1289"/>
      <c r="CI213" s="1289"/>
      <c r="CJ213" s="1289"/>
      <c r="CK213" s="1289"/>
      <c r="CL213" s="1289"/>
      <c r="CM213" s="1289"/>
      <c r="CN213" s="1289"/>
      <c r="CO213" s="1289"/>
      <c r="CP213" s="1289"/>
      <c r="CQ213" s="1289"/>
      <c r="CR213" s="1289"/>
      <c r="CS213" s="1289"/>
      <c r="CT213" s="1289"/>
      <c r="CU213" s="1289"/>
      <c r="CV213" s="1289"/>
      <c r="CW213" s="1289"/>
      <c r="CX213" s="1289"/>
      <c r="CY213" s="1289"/>
      <c r="CZ213" s="1289"/>
      <c r="DA213" s="1289"/>
      <c r="DB213" s="1289"/>
      <c r="DC213" s="1289"/>
      <c r="DD213" s="1289"/>
      <c r="DE213" s="1289"/>
      <c r="DF213" s="1289"/>
      <c r="DG213" s="1289"/>
      <c r="DH213" s="1289"/>
      <c r="DI213" s="1289"/>
      <c r="DJ213" s="1289"/>
      <c r="DK213" s="1289"/>
      <c r="DL213" s="1289"/>
      <c r="DM213" s="1289"/>
      <c r="DN213" s="1289"/>
      <c r="DO213" s="1289"/>
      <c r="DP213" s="1289"/>
      <c r="DQ213" s="1289"/>
      <c r="DR213" s="1289"/>
      <c r="DS213" s="1289"/>
      <c r="DT213" s="1289"/>
      <c r="DU213" s="1289"/>
      <c r="DV213" s="1289"/>
      <c r="DW213" s="1289"/>
      <c r="DX213" s="1289"/>
      <c r="DY213" s="1289"/>
      <c r="DZ213" s="1289"/>
      <c r="EA213" s="1289"/>
      <c r="EB213" s="1289"/>
      <c r="EC213" s="1289"/>
      <c r="ED213" s="1289"/>
      <c r="EE213" s="1289"/>
      <c r="EF213" s="1289"/>
      <c r="EG213" s="1289"/>
      <c r="EH213" s="1289"/>
      <c r="EI213" s="1289"/>
      <c r="EJ213" s="1289"/>
      <c r="EK213" s="1289"/>
      <c r="EL213" s="1289"/>
      <c r="EM213" s="1289"/>
      <c r="EN213" s="1289"/>
      <c r="EO213" s="1289"/>
      <c r="EP213" s="1289"/>
      <c r="EQ213" s="1289"/>
      <c r="ER213" s="1289"/>
      <c r="ES213" s="1289"/>
      <c r="ET213" s="1289"/>
      <c r="EU213" s="1289"/>
      <c r="EV213" s="1289"/>
      <c r="EW213" s="1289"/>
      <c r="EX213" s="1289"/>
      <c r="EY213" s="1289"/>
      <c r="EZ213" s="1289"/>
      <c r="FA213" s="1289"/>
      <c r="FB213" s="1289"/>
      <c r="FC213" s="1289"/>
      <c r="FD213" s="1289"/>
      <c r="FE213" s="1289"/>
      <c r="FF213" s="1289"/>
      <c r="FG213" s="1289"/>
      <c r="FH213" s="1289"/>
      <c r="FI213" s="1289"/>
      <c r="FJ213" s="1289"/>
      <c r="FK213" s="1289"/>
      <c r="FL213" s="1289"/>
      <c r="FM213" s="1289"/>
      <c r="FN213" s="1289"/>
      <c r="FO213" s="1289"/>
      <c r="FP213" s="1289"/>
      <c r="FQ213" s="1289"/>
      <c r="FR213" s="1289"/>
      <c r="FS213" s="1289"/>
      <c r="FT213" s="1289"/>
      <c r="FU213" s="1289"/>
      <c r="FV213" s="1289"/>
      <c r="FW213" s="1289"/>
      <c r="FX213" s="1289"/>
      <c r="FY213" s="1289"/>
      <c r="FZ213" s="1289"/>
      <c r="GA213" s="1289"/>
      <c r="GB213" s="1289"/>
      <c r="GC213" s="1289"/>
      <c r="GD213" s="1289"/>
      <c r="GE213" s="1289"/>
      <c r="GF213" s="1289"/>
      <c r="GG213" s="1289"/>
      <c r="GH213" s="1289"/>
      <c r="GI213" s="1289"/>
      <c r="GJ213" s="1289"/>
      <c r="GK213" s="1289"/>
      <c r="GL213" s="1289"/>
      <c r="GM213" s="1289"/>
    </row>
    <row r="214" spans="1:195" ht="15" collapsed="1">
      <c r="D214" s="126" t="s">
        <v>4087</v>
      </c>
      <c r="E214" s="127" t="s">
        <v>4088</v>
      </c>
      <c r="F214" s="383">
        <f>F215+F216+F217</f>
        <v>15130</v>
      </c>
      <c r="G214" s="383">
        <f>G215+G216+G217</f>
        <v>27540</v>
      </c>
      <c r="H214" s="116">
        <f t="shared" ref="H214:H219" si="14">G214-F214</f>
        <v>12410</v>
      </c>
      <c r="I214" s="1826">
        <f t="shared" ref="I214:I219" si="15">IFERROR(H214/F214,"-")</f>
        <v>0.8202247191011236</v>
      </c>
      <c r="J214" s="1126"/>
      <c r="K214" s="227"/>
      <c r="L214" s="2016"/>
      <c r="M214" s="1122"/>
      <c r="N214" s="1122"/>
      <c r="O214" s="1122"/>
    </row>
    <row r="215" spans="1:195" s="50" customFormat="1" ht="15" hidden="1" outlineLevel="1">
      <c r="A215" s="1665" t="s">
        <v>4047</v>
      </c>
      <c r="B215" s="1665" t="s">
        <v>663</v>
      </c>
      <c r="C215" s="1858"/>
      <c r="D215" s="160"/>
      <c r="E215" s="217" t="s">
        <v>663</v>
      </c>
      <c r="F215" s="389">
        <f>SUMIFS(INPUT!H:H,INPUT!E:E,BAZE_2024!A215,INPUT!B:B,BAZE_2024!B215)</f>
        <v>30</v>
      </c>
      <c r="G215" s="389">
        <f>SUMIFS(INPUT!L:L,INPUT!E:E,BAZE_2024!A215,INPUT!B:B,BAZE_2024!B215)</f>
        <v>330</v>
      </c>
      <c r="H215" s="146">
        <f t="shared" si="14"/>
        <v>300</v>
      </c>
      <c r="I215" s="1836">
        <f t="shared" si="15"/>
        <v>10</v>
      </c>
      <c r="J215" s="4349" t="s">
        <v>5771</v>
      </c>
      <c r="K215" s="227"/>
      <c r="L215" s="2016"/>
      <c r="M215" s="1122"/>
      <c r="N215" s="1122"/>
      <c r="O215" s="1122"/>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row>
    <row r="216" spans="1:195" s="50" customFormat="1" ht="45" hidden="1" outlineLevel="1">
      <c r="A216" s="1665" t="s">
        <v>4047</v>
      </c>
      <c r="B216" s="1665" t="s">
        <v>1248</v>
      </c>
      <c r="C216" s="1858"/>
      <c r="D216" s="216"/>
      <c r="E216" s="217" t="s">
        <v>579</v>
      </c>
      <c r="F216" s="389">
        <f>SUMIFS(INPUT!H:H,INPUT!E:E,BAZE_2024!A216,INPUT!B:B,BAZE_2024!B216)</f>
        <v>10700</v>
      </c>
      <c r="G216" s="389">
        <f>SUMIFS(INPUT!L:L,INPUT!E:E,BAZE_2024!A216,INPUT!B:B,BAZE_2024!B216)</f>
        <v>26210</v>
      </c>
      <c r="H216" s="146">
        <f t="shared" si="14"/>
        <v>15510</v>
      </c>
      <c r="I216" s="1836">
        <f t="shared" si="15"/>
        <v>1.4495327102803739</v>
      </c>
      <c r="J216" s="4158" t="s">
        <v>5800</v>
      </c>
      <c r="K216" s="156">
        <v>-0.04</v>
      </c>
      <c r="L216" s="1222">
        <f>G216*K216</f>
        <v>-1048.4000000000001</v>
      </c>
      <c r="M216" s="1122"/>
      <c r="N216" s="1122"/>
      <c r="O216" s="1122"/>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row>
    <row r="217" spans="1:195" s="50" customFormat="1" ht="15" hidden="1" outlineLevel="1">
      <c r="A217" s="1665" t="s">
        <v>4047</v>
      </c>
      <c r="B217" s="1665" t="s">
        <v>1250</v>
      </c>
      <c r="C217" s="1858"/>
      <c r="D217" s="160"/>
      <c r="E217" s="161" t="s">
        <v>578</v>
      </c>
      <c r="F217" s="389">
        <f>SUMIFS(INPUT!H:H,INPUT!E:E,BAZE_2024!A217,INPUT!B:B,BAZE_2024!B217)</f>
        <v>4400</v>
      </c>
      <c r="G217" s="389">
        <f>SUMIFS(INPUT!L:L,INPUT!E:E,BAZE_2024!A217,INPUT!B:B,BAZE_2024!B217)</f>
        <v>1000</v>
      </c>
      <c r="H217" s="146">
        <f t="shared" si="14"/>
        <v>-3400</v>
      </c>
      <c r="I217" s="1836">
        <f t="shared" si="15"/>
        <v>-0.77272727272727271</v>
      </c>
      <c r="J217" s="1141"/>
      <c r="K217" s="227"/>
      <c r="L217" s="2016"/>
      <c r="M217" s="1122"/>
      <c r="N217" s="1122"/>
      <c r="O217" s="1122"/>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row>
    <row r="218" spans="1:195" s="1299" customFormat="1" ht="15" hidden="1" outlineLevel="1">
      <c r="A218" s="1665" t="s">
        <v>4047</v>
      </c>
      <c r="B218" s="2127" t="s">
        <v>1249</v>
      </c>
      <c r="C218" s="2128"/>
      <c r="D218" s="1297"/>
      <c r="E218" s="1294" t="s">
        <v>1249</v>
      </c>
      <c r="F218" s="1280">
        <f>SUMIFS(INPUT!H:H,INPUT!E:E,BAZE_2024!A218,INPUT!B:B,BAZE_2024!B218)</f>
        <v>2500</v>
      </c>
      <c r="G218" s="380">
        <f>SUMIFS(INPUT!L:L,INPUT!E:E,BAZE_2024!A218,INPUT!B:B,BAZE_2024!B218)</f>
        <v>11400</v>
      </c>
      <c r="H218" s="1285">
        <f t="shared" si="14"/>
        <v>8900</v>
      </c>
      <c r="I218" s="1834">
        <f t="shared" si="15"/>
        <v>3.56</v>
      </c>
      <c r="J218" s="1300">
        <f>F218*$J$105</f>
        <v>0</v>
      </c>
      <c r="K218" s="2129"/>
      <c r="L218" s="2014"/>
      <c r="M218" s="1289"/>
      <c r="N218" s="1289"/>
      <c r="O218" s="1289"/>
      <c r="P218" s="1289"/>
      <c r="Q218" s="1289"/>
      <c r="R218" s="1289"/>
      <c r="S218" s="1289"/>
      <c r="T218" s="1289"/>
      <c r="U218" s="1289"/>
      <c r="V218" s="1289"/>
      <c r="W218" s="1289"/>
      <c r="X218" s="1289"/>
      <c r="Y218" s="1289"/>
      <c r="Z218" s="1289"/>
      <c r="AA218" s="1289"/>
      <c r="AB218" s="1289"/>
      <c r="AC218" s="1289"/>
      <c r="AD218" s="1289"/>
      <c r="AE218" s="1289"/>
      <c r="AF218" s="1289"/>
      <c r="AG218" s="1289"/>
      <c r="AH218" s="1289"/>
      <c r="AI218" s="1289"/>
      <c r="AJ218" s="1289"/>
      <c r="AK218" s="1289"/>
      <c r="AL218" s="1289"/>
      <c r="AM218" s="1289"/>
      <c r="AN218" s="1289"/>
      <c r="AO218" s="1289"/>
      <c r="AP218" s="1289"/>
      <c r="AQ218" s="1289"/>
      <c r="AR218" s="1289"/>
      <c r="AS218" s="1289"/>
      <c r="AT218" s="1289"/>
      <c r="AU218" s="1289"/>
      <c r="AV218" s="1289"/>
      <c r="AW218" s="1289"/>
      <c r="AX218" s="1289"/>
      <c r="AY218" s="1289"/>
      <c r="AZ218" s="1289"/>
      <c r="BA218" s="1289"/>
      <c r="BB218" s="1289"/>
      <c r="BC218" s="1289"/>
      <c r="BD218" s="1289"/>
      <c r="BE218" s="1289"/>
      <c r="BF218" s="1289"/>
      <c r="BG218" s="1289"/>
      <c r="BH218" s="1289"/>
      <c r="BI218" s="1289"/>
      <c r="BJ218" s="1289"/>
      <c r="BK218" s="1289"/>
      <c r="BL218" s="1289"/>
      <c r="BM218" s="1289"/>
      <c r="BN218" s="1289"/>
      <c r="BO218" s="1289"/>
      <c r="BP218" s="1289"/>
      <c r="BQ218" s="1289"/>
      <c r="BR218" s="1289"/>
      <c r="BS218" s="1289"/>
      <c r="BT218" s="1289"/>
      <c r="BU218" s="1289"/>
      <c r="BV218" s="1289"/>
      <c r="BW218" s="1289"/>
      <c r="BX218" s="1289"/>
      <c r="BY218" s="1289"/>
      <c r="BZ218" s="1289"/>
      <c r="CA218" s="1289"/>
      <c r="CB218" s="1289"/>
      <c r="CC218" s="1289"/>
      <c r="CD218" s="1289"/>
      <c r="CE218" s="1289"/>
      <c r="CF218" s="1289"/>
      <c r="CG218" s="1289"/>
      <c r="CH218" s="1289"/>
      <c r="CI218" s="1289"/>
      <c r="CJ218" s="1289"/>
      <c r="CK218" s="1289"/>
      <c r="CL218" s="1289"/>
      <c r="CM218" s="1289"/>
      <c r="CN218" s="1289"/>
      <c r="CO218" s="1289"/>
      <c r="CP218" s="1289"/>
      <c r="CQ218" s="1289"/>
      <c r="CR218" s="1289"/>
      <c r="CS218" s="1289"/>
      <c r="CT218" s="1289"/>
      <c r="CU218" s="1289"/>
      <c r="CV218" s="1289"/>
      <c r="CW218" s="1289"/>
      <c r="CX218" s="1289"/>
      <c r="CY218" s="1289"/>
      <c r="CZ218" s="1289"/>
      <c r="DA218" s="1289"/>
      <c r="DB218" s="1289"/>
      <c r="DC218" s="1289"/>
      <c r="DD218" s="1289"/>
      <c r="DE218" s="1289"/>
      <c r="DF218" s="1289"/>
      <c r="DG218" s="1289"/>
      <c r="DH218" s="1289"/>
      <c r="DI218" s="1289"/>
      <c r="DJ218" s="1289"/>
      <c r="DK218" s="1289"/>
      <c r="DL218" s="1289"/>
      <c r="DM218" s="1289"/>
      <c r="DN218" s="1289"/>
      <c r="DO218" s="1289"/>
      <c r="DP218" s="1289"/>
      <c r="DQ218" s="1289"/>
      <c r="DR218" s="1289"/>
      <c r="DS218" s="1289"/>
      <c r="DT218" s="1289"/>
      <c r="DU218" s="1289"/>
      <c r="DV218" s="1289"/>
      <c r="DW218" s="1289"/>
      <c r="DX218" s="1289"/>
      <c r="DY218" s="1289"/>
      <c r="DZ218" s="1289"/>
      <c r="EA218" s="1289"/>
      <c r="EB218" s="1289"/>
      <c r="EC218" s="1289"/>
      <c r="ED218" s="1289"/>
      <c r="EE218" s="1289"/>
      <c r="EF218" s="1289"/>
      <c r="EG218" s="1289"/>
      <c r="EH218" s="1289"/>
      <c r="EI218" s="1289"/>
      <c r="EJ218" s="1289"/>
      <c r="EK218" s="1289"/>
      <c r="EL218" s="1289"/>
      <c r="EM218" s="1289"/>
      <c r="EN218" s="1289"/>
      <c r="EO218" s="1289"/>
      <c r="EP218" s="1289"/>
      <c r="EQ218" s="1289"/>
      <c r="ER218" s="1289"/>
      <c r="ES218" s="1289"/>
      <c r="ET218" s="1289"/>
      <c r="EU218" s="1289"/>
      <c r="EV218" s="1289"/>
      <c r="EW218" s="1289"/>
      <c r="EX218" s="1289"/>
      <c r="EY218" s="1289"/>
      <c r="EZ218" s="1289"/>
      <c r="FA218" s="1289"/>
      <c r="FB218" s="1289"/>
      <c r="FC218" s="1289"/>
      <c r="FD218" s="1289"/>
      <c r="FE218" s="1289"/>
      <c r="FF218" s="1289"/>
      <c r="FG218" s="1289"/>
      <c r="FH218" s="1289"/>
      <c r="FI218" s="1289"/>
      <c r="FJ218" s="1289"/>
      <c r="FK218" s="1289"/>
      <c r="FL218" s="1289"/>
      <c r="FM218" s="1289"/>
      <c r="FN218" s="1289"/>
      <c r="FO218" s="1289"/>
      <c r="FP218" s="1289"/>
      <c r="FQ218" s="1289"/>
      <c r="FR218" s="1289"/>
      <c r="FS218" s="1289"/>
      <c r="FT218" s="1289"/>
      <c r="FU218" s="1289"/>
      <c r="FV218" s="1289"/>
      <c r="FW218" s="1289"/>
      <c r="FX218" s="1289"/>
      <c r="FY218" s="1289"/>
      <c r="FZ218" s="1289"/>
      <c r="GA218" s="1289"/>
      <c r="GB218" s="1289"/>
      <c r="GC218" s="1289"/>
      <c r="GD218" s="1289"/>
      <c r="GE218" s="1289"/>
      <c r="GF218" s="1289"/>
      <c r="GG218" s="1289"/>
      <c r="GH218" s="1289"/>
      <c r="GI218" s="1289"/>
      <c r="GJ218" s="1289"/>
      <c r="GK218" s="1289"/>
      <c r="GL218" s="1289"/>
      <c r="GM218" s="1289"/>
    </row>
    <row r="219" spans="1:195" s="1299" customFormat="1" ht="15" hidden="1" outlineLevel="1">
      <c r="A219" s="1665" t="s">
        <v>4047</v>
      </c>
      <c r="B219" s="2127" t="s">
        <v>566</v>
      </c>
      <c r="C219" s="2128"/>
      <c r="D219" s="1302"/>
      <c r="E219" s="2140" t="s">
        <v>112</v>
      </c>
      <c r="F219" s="1280">
        <f>SUMIFS(INPUT!H:H,INPUT!E:E,BAZE_2024!A219,INPUT!B:B,BAZE_2024!B219)</f>
        <v>0</v>
      </c>
      <c r="G219" s="380">
        <f>SUMIFS(INPUT!L:L,INPUT!E:E,BAZE_2024!A219,INPUT!B:B,BAZE_2024!B219)</f>
        <v>0</v>
      </c>
      <c r="H219" s="1285">
        <f t="shared" si="14"/>
        <v>0</v>
      </c>
      <c r="I219" s="1834" t="str">
        <f t="shared" si="15"/>
        <v>-</v>
      </c>
      <c r="J219" s="2130"/>
      <c r="K219" s="2129"/>
      <c r="L219" s="2014"/>
      <c r="M219" s="1289"/>
      <c r="N219" s="1289"/>
      <c r="O219" s="1289"/>
      <c r="P219" s="1289"/>
      <c r="Q219" s="1289"/>
      <c r="R219" s="1289"/>
      <c r="S219" s="1289"/>
      <c r="T219" s="1289"/>
      <c r="U219" s="1289"/>
      <c r="V219" s="1289"/>
      <c r="W219" s="1289"/>
      <c r="X219" s="1289"/>
      <c r="Y219" s="1289"/>
      <c r="Z219" s="1289"/>
      <c r="AA219" s="1289"/>
      <c r="AB219" s="1289"/>
      <c r="AC219" s="1289"/>
      <c r="AD219" s="1289"/>
      <c r="AE219" s="1289"/>
      <c r="AF219" s="1289"/>
      <c r="AG219" s="1289"/>
      <c r="AH219" s="1289"/>
      <c r="AI219" s="1289"/>
      <c r="AJ219" s="1289"/>
      <c r="AK219" s="1289"/>
      <c r="AL219" s="1289"/>
      <c r="AM219" s="1289"/>
      <c r="AN219" s="1289"/>
      <c r="AO219" s="1289"/>
      <c r="AP219" s="1289"/>
      <c r="AQ219" s="1289"/>
      <c r="AR219" s="1289"/>
      <c r="AS219" s="1289"/>
      <c r="AT219" s="1289"/>
      <c r="AU219" s="1289"/>
      <c r="AV219" s="1289"/>
      <c r="AW219" s="1289"/>
      <c r="AX219" s="1289"/>
      <c r="AY219" s="1289"/>
      <c r="AZ219" s="1289"/>
      <c r="BA219" s="1289"/>
      <c r="BB219" s="1289"/>
      <c r="BC219" s="1289"/>
      <c r="BD219" s="1289"/>
      <c r="BE219" s="1289"/>
      <c r="BF219" s="1289"/>
      <c r="BG219" s="1289"/>
      <c r="BH219" s="1289"/>
      <c r="BI219" s="1289"/>
      <c r="BJ219" s="1289"/>
      <c r="BK219" s="1289"/>
      <c r="BL219" s="1289"/>
      <c r="BM219" s="1289"/>
      <c r="BN219" s="1289"/>
      <c r="BO219" s="1289"/>
      <c r="BP219" s="1289"/>
      <c r="BQ219" s="1289"/>
      <c r="BR219" s="1289"/>
      <c r="BS219" s="1289"/>
      <c r="BT219" s="1289"/>
      <c r="BU219" s="1289"/>
      <c r="BV219" s="1289"/>
      <c r="BW219" s="1289"/>
      <c r="BX219" s="1289"/>
      <c r="BY219" s="1289"/>
      <c r="BZ219" s="1289"/>
      <c r="CA219" s="1289"/>
      <c r="CB219" s="1289"/>
      <c r="CC219" s="1289"/>
      <c r="CD219" s="1289"/>
      <c r="CE219" s="1289"/>
      <c r="CF219" s="1289"/>
      <c r="CG219" s="1289"/>
      <c r="CH219" s="1289"/>
      <c r="CI219" s="1289"/>
      <c r="CJ219" s="1289"/>
      <c r="CK219" s="1289"/>
      <c r="CL219" s="1289"/>
      <c r="CM219" s="1289"/>
      <c r="CN219" s="1289"/>
      <c r="CO219" s="1289"/>
      <c r="CP219" s="1289"/>
      <c r="CQ219" s="1289"/>
      <c r="CR219" s="1289"/>
      <c r="CS219" s="1289"/>
      <c r="CT219" s="1289"/>
      <c r="CU219" s="1289"/>
      <c r="CV219" s="1289"/>
      <c r="CW219" s="1289"/>
      <c r="CX219" s="1289"/>
      <c r="CY219" s="1289"/>
      <c r="CZ219" s="1289"/>
      <c r="DA219" s="1289"/>
      <c r="DB219" s="1289"/>
      <c r="DC219" s="1289"/>
      <c r="DD219" s="1289"/>
      <c r="DE219" s="1289"/>
      <c r="DF219" s="1289"/>
      <c r="DG219" s="1289"/>
      <c r="DH219" s="1289"/>
      <c r="DI219" s="1289"/>
      <c r="DJ219" s="1289"/>
      <c r="DK219" s="1289"/>
      <c r="DL219" s="1289"/>
      <c r="DM219" s="1289"/>
      <c r="DN219" s="1289"/>
      <c r="DO219" s="1289"/>
      <c r="DP219" s="1289"/>
      <c r="DQ219" s="1289"/>
      <c r="DR219" s="1289"/>
      <c r="DS219" s="1289"/>
      <c r="DT219" s="1289"/>
      <c r="DU219" s="1289"/>
      <c r="DV219" s="1289"/>
      <c r="DW219" s="1289"/>
      <c r="DX219" s="1289"/>
      <c r="DY219" s="1289"/>
      <c r="DZ219" s="1289"/>
      <c r="EA219" s="1289"/>
      <c r="EB219" s="1289"/>
      <c r="EC219" s="1289"/>
      <c r="ED219" s="1289"/>
      <c r="EE219" s="1289"/>
      <c r="EF219" s="1289"/>
      <c r="EG219" s="1289"/>
      <c r="EH219" s="1289"/>
      <c r="EI219" s="1289"/>
      <c r="EJ219" s="1289"/>
      <c r="EK219" s="1289"/>
      <c r="EL219" s="1289"/>
      <c r="EM219" s="1289"/>
      <c r="EN219" s="1289"/>
      <c r="EO219" s="1289"/>
      <c r="EP219" s="1289"/>
      <c r="EQ219" s="1289"/>
      <c r="ER219" s="1289"/>
      <c r="ES219" s="1289"/>
      <c r="ET219" s="1289"/>
      <c r="EU219" s="1289"/>
      <c r="EV219" s="1289"/>
      <c r="EW219" s="1289"/>
      <c r="EX219" s="1289"/>
      <c r="EY219" s="1289"/>
      <c r="EZ219" s="1289"/>
      <c r="FA219" s="1289"/>
      <c r="FB219" s="1289"/>
      <c r="FC219" s="1289"/>
      <c r="FD219" s="1289"/>
      <c r="FE219" s="1289"/>
      <c r="FF219" s="1289"/>
      <c r="FG219" s="1289"/>
      <c r="FH219" s="1289"/>
      <c r="FI219" s="1289"/>
      <c r="FJ219" s="1289"/>
      <c r="FK219" s="1289"/>
      <c r="FL219" s="1289"/>
      <c r="FM219" s="1289"/>
      <c r="FN219" s="1289"/>
      <c r="FO219" s="1289"/>
      <c r="FP219" s="1289"/>
      <c r="FQ219" s="1289"/>
      <c r="FR219" s="1289"/>
      <c r="FS219" s="1289"/>
      <c r="FT219" s="1289"/>
      <c r="FU219" s="1289"/>
      <c r="FV219" s="1289"/>
      <c r="FW219" s="1289"/>
      <c r="FX219" s="1289"/>
      <c r="FY219" s="1289"/>
      <c r="FZ219" s="1289"/>
      <c r="GA219" s="1289"/>
      <c r="GB219" s="1289"/>
      <c r="GC219" s="1289"/>
      <c r="GD219" s="1289"/>
      <c r="GE219" s="1289"/>
      <c r="GF219" s="1289"/>
      <c r="GG219" s="1289"/>
      <c r="GH219" s="1289"/>
      <c r="GI219" s="1289"/>
      <c r="GJ219" s="1289"/>
      <c r="GK219" s="1289"/>
      <c r="GL219" s="1289"/>
      <c r="GM219" s="1289"/>
    </row>
    <row r="220" spans="1:195" s="81" customFormat="1" ht="14.25" collapsed="1">
      <c r="A220" s="1665"/>
      <c r="B220" s="1665"/>
      <c r="C220" s="1858"/>
      <c r="D220" s="128" t="s">
        <v>43</v>
      </c>
      <c r="E220" s="129" t="s">
        <v>184</v>
      </c>
      <c r="F220" s="362">
        <f>F228+F236+F243+F249+F253+F256</f>
        <v>1899677.0900724998</v>
      </c>
      <c r="G220" s="363">
        <f>G228+G236+G243+G249+G253+G256</f>
        <v>2211217.7610668591</v>
      </c>
      <c r="H220" s="106">
        <f t="shared" si="13"/>
        <v>311540.6709943593</v>
      </c>
      <c r="I220" s="1823">
        <f t="shared" si="10"/>
        <v>0.16399664586283427</v>
      </c>
      <c r="J220" s="1134"/>
      <c r="K220" s="227"/>
      <c r="L220" s="1986"/>
    </row>
    <row r="221" spans="1:195" s="467" customFormat="1" ht="15">
      <c r="A221" s="2124"/>
      <c r="B221" s="2124"/>
      <c r="C221" s="2122"/>
      <c r="D221" s="463"/>
      <c r="E221" s="473" t="s">
        <v>663</v>
      </c>
      <c r="F221" s="474">
        <f>F229+F237+F244+F250+F257</f>
        <v>842176.73007249995</v>
      </c>
      <c r="G221" s="474">
        <f>G229+G237+G244+G250+G257</f>
        <v>992115.95306685928</v>
      </c>
      <c r="H221" s="475">
        <f t="shared" si="13"/>
        <v>149939.22299435933</v>
      </c>
      <c r="I221" s="1831">
        <f t="shared" ref="I221:I286" si="16">IFERROR(H221/F221,"-")</f>
        <v>0.17803771778573316</v>
      </c>
      <c r="J221" s="1136"/>
      <c r="K221" s="1229"/>
      <c r="L221" s="2017"/>
      <c r="M221" s="1861"/>
      <c r="N221" s="1861"/>
      <c r="O221" s="1861"/>
      <c r="P221" s="1861"/>
      <c r="Q221" s="1861"/>
      <c r="R221" s="1861"/>
      <c r="S221" s="1861"/>
      <c r="T221" s="1861"/>
      <c r="U221" s="1861"/>
      <c r="V221" s="1861"/>
      <c r="W221" s="1861"/>
      <c r="X221" s="1861"/>
      <c r="Y221" s="1861"/>
      <c r="Z221" s="1861"/>
      <c r="AA221" s="1861"/>
      <c r="AB221" s="1861"/>
      <c r="AC221" s="1861"/>
      <c r="AD221" s="1861"/>
      <c r="AE221" s="1861"/>
      <c r="AF221" s="1861"/>
      <c r="AG221" s="1861"/>
      <c r="AH221" s="1861"/>
      <c r="AI221" s="1861"/>
      <c r="AJ221" s="1861"/>
      <c r="AK221" s="1861"/>
      <c r="AL221" s="1861"/>
      <c r="AM221" s="1861"/>
      <c r="AN221" s="1861"/>
      <c r="AO221" s="1861"/>
      <c r="AP221" s="1861"/>
      <c r="AQ221" s="1861"/>
      <c r="AR221" s="1861"/>
      <c r="AS221" s="1861"/>
      <c r="AT221" s="1861"/>
      <c r="AU221" s="1861"/>
      <c r="AV221" s="1861"/>
      <c r="AW221" s="1861"/>
      <c r="AX221" s="1861"/>
      <c r="AY221" s="1861"/>
      <c r="AZ221" s="1861"/>
      <c r="BA221" s="1861"/>
      <c r="BB221" s="1861"/>
      <c r="BC221" s="1861"/>
      <c r="BD221" s="1861"/>
      <c r="BE221" s="1861"/>
      <c r="BF221" s="1861"/>
      <c r="BG221" s="1861"/>
      <c r="BH221" s="1861"/>
      <c r="BI221" s="1861"/>
      <c r="BJ221" s="1861"/>
      <c r="BK221" s="1861"/>
      <c r="BL221" s="1861"/>
      <c r="BM221" s="1861"/>
      <c r="BN221" s="1861"/>
      <c r="BO221" s="1861"/>
      <c r="BP221" s="1861"/>
      <c r="BQ221" s="1861"/>
      <c r="BR221" s="1861"/>
      <c r="BS221" s="1861"/>
      <c r="BT221" s="1861"/>
      <c r="BU221" s="1861"/>
      <c r="BV221" s="1861"/>
      <c r="BW221" s="1861"/>
      <c r="BX221" s="1861"/>
      <c r="BY221" s="1861"/>
      <c r="BZ221" s="1861"/>
      <c r="CA221" s="1861"/>
      <c r="CB221" s="1861"/>
      <c r="CC221" s="1861"/>
      <c r="CD221" s="1861"/>
      <c r="CE221" s="1861"/>
      <c r="CF221" s="1861"/>
      <c r="CG221" s="1861"/>
      <c r="CH221" s="1861"/>
      <c r="CI221" s="1861"/>
      <c r="CJ221" s="1861"/>
      <c r="CK221" s="1861"/>
      <c r="CL221" s="1861"/>
      <c r="CM221" s="1861"/>
      <c r="CN221" s="1861"/>
      <c r="CO221" s="1861"/>
      <c r="CP221" s="1861"/>
      <c r="CQ221" s="1861"/>
      <c r="CR221" s="1861"/>
      <c r="CS221" s="1861"/>
      <c r="CT221" s="1861"/>
      <c r="CU221" s="1861"/>
      <c r="CV221" s="1861"/>
      <c r="CW221" s="1861"/>
      <c r="CX221" s="1861"/>
      <c r="CY221" s="1861"/>
      <c r="CZ221" s="1861"/>
      <c r="DA221" s="1861"/>
      <c r="DB221" s="1861"/>
      <c r="DC221" s="1861"/>
      <c r="DD221" s="1861"/>
      <c r="DE221" s="1861"/>
      <c r="DF221" s="1861"/>
      <c r="DG221" s="1861"/>
      <c r="DH221" s="1861"/>
      <c r="DI221" s="1861"/>
      <c r="DJ221" s="1861"/>
      <c r="DK221" s="1861"/>
      <c r="DL221" s="1861"/>
      <c r="DM221" s="1861"/>
      <c r="DN221" s="1861"/>
      <c r="DO221" s="1861"/>
      <c r="DP221" s="1861"/>
      <c r="DQ221" s="1861"/>
      <c r="DR221" s="1861"/>
      <c r="DS221" s="1861"/>
      <c r="DT221" s="1861"/>
      <c r="DU221" s="1861"/>
      <c r="DV221" s="1861"/>
      <c r="DW221" s="1861"/>
      <c r="DX221" s="1861"/>
      <c r="DY221" s="1861"/>
      <c r="DZ221" s="1861"/>
      <c r="EA221" s="1861"/>
      <c r="EB221" s="1861"/>
      <c r="EC221" s="1861"/>
      <c r="ED221" s="1861"/>
      <c r="EE221" s="1861"/>
      <c r="EF221" s="1861"/>
      <c r="EG221" s="1861"/>
      <c r="EH221" s="1861"/>
      <c r="EI221" s="1861"/>
      <c r="EJ221" s="1861"/>
      <c r="EK221" s="1861"/>
      <c r="EL221" s="1861"/>
      <c r="EM221" s="1861"/>
      <c r="EN221" s="1861"/>
      <c r="EO221" s="1861"/>
      <c r="EP221" s="1861"/>
      <c r="EQ221" s="1861"/>
      <c r="ER221" s="1861"/>
      <c r="ES221" s="1861"/>
      <c r="ET221" s="1861"/>
      <c r="EU221" s="1861"/>
      <c r="EV221" s="1861"/>
      <c r="EW221" s="1861"/>
      <c r="EX221" s="1861"/>
      <c r="EY221" s="1861"/>
      <c r="EZ221" s="1861"/>
      <c r="FA221" s="1861"/>
      <c r="FB221" s="1861"/>
      <c r="FC221" s="1861"/>
      <c r="FD221" s="1861"/>
      <c r="FE221" s="1861"/>
      <c r="FF221" s="1861"/>
      <c r="FG221" s="1861"/>
      <c r="FH221" s="1861"/>
      <c r="FI221" s="1861"/>
      <c r="FJ221" s="1861"/>
      <c r="FK221" s="1861"/>
      <c r="FL221" s="1861"/>
      <c r="FM221" s="1861"/>
      <c r="FN221" s="1861"/>
      <c r="FO221" s="1861"/>
      <c r="FP221" s="1861"/>
      <c r="FQ221" s="1861"/>
      <c r="FR221" s="1861"/>
      <c r="FS221" s="1861"/>
      <c r="FT221" s="1861"/>
      <c r="FU221" s="1861"/>
      <c r="FV221" s="1861"/>
      <c r="FW221" s="1861"/>
      <c r="FX221" s="1861"/>
      <c r="FY221" s="1861"/>
      <c r="FZ221" s="1861"/>
      <c r="GA221" s="1861"/>
      <c r="GB221" s="1861"/>
      <c r="GC221" s="1861"/>
      <c r="GD221" s="1861"/>
      <c r="GE221" s="1861"/>
      <c r="GF221" s="1861"/>
      <c r="GG221" s="1861"/>
      <c r="GH221" s="1861"/>
      <c r="GI221" s="1861"/>
      <c r="GJ221" s="1861"/>
      <c r="GK221" s="1861"/>
      <c r="GL221" s="1861"/>
      <c r="GM221" s="1861"/>
    </row>
    <row r="222" spans="1:195" s="467" customFormat="1" ht="15">
      <c r="A222" s="2124"/>
      <c r="B222" s="2124"/>
      <c r="C222" s="2122"/>
      <c r="D222" s="465"/>
      <c r="E222" s="479" t="s">
        <v>579</v>
      </c>
      <c r="F222" s="480">
        <f>F230+F238+F245+F251+F254+F258</f>
        <v>159480</v>
      </c>
      <c r="G222" s="480">
        <f>G230+G238+G245+G251+G254+G258</f>
        <v>133128.80800000002</v>
      </c>
      <c r="H222" s="475">
        <f t="shared" si="13"/>
        <v>-26351.191999999981</v>
      </c>
      <c r="I222" s="1831">
        <f t="shared" si="16"/>
        <v>-0.16523195385001241</v>
      </c>
      <c r="J222" s="1136"/>
      <c r="K222" s="1229"/>
      <c r="L222" s="2017"/>
      <c r="M222" s="1861"/>
      <c r="N222" s="1861"/>
      <c r="O222" s="1861"/>
      <c r="P222" s="1861"/>
      <c r="Q222" s="1861"/>
      <c r="R222" s="1861"/>
      <c r="S222" s="1861"/>
      <c r="T222" s="1861"/>
      <c r="U222" s="1861"/>
      <c r="V222" s="1861"/>
      <c r="W222" s="1861"/>
      <c r="X222" s="1861"/>
      <c r="Y222" s="1861"/>
      <c r="Z222" s="1861"/>
      <c r="AA222" s="1861"/>
      <c r="AB222" s="1861"/>
      <c r="AC222" s="1861"/>
      <c r="AD222" s="1861"/>
      <c r="AE222" s="1861"/>
      <c r="AF222" s="1861"/>
      <c r="AG222" s="1861"/>
      <c r="AH222" s="1861"/>
      <c r="AI222" s="1861"/>
      <c r="AJ222" s="1861"/>
      <c r="AK222" s="1861"/>
      <c r="AL222" s="1861"/>
      <c r="AM222" s="1861"/>
      <c r="AN222" s="1861"/>
      <c r="AO222" s="1861"/>
      <c r="AP222" s="1861"/>
      <c r="AQ222" s="1861"/>
      <c r="AR222" s="1861"/>
      <c r="AS222" s="1861"/>
      <c r="AT222" s="1861"/>
      <c r="AU222" s="1861"/>
      <c r="AV222" s="1861"/>
      <c r="AW222" s="1861"/>
      <c r="AX222" s="1861"/>
      <c r="AY222" s="1861"/>
      <c r="AZ222" s="1861"/>
      <c r="BA222" s="1861"/>
      <c r="BB222" s="1861"/>
      <c r="BC222" s="1861"/>
      <c r="BD222" s="1861"/>
      <c r="BE222" s="1861"/>
      <c r="BF222" s="1861"/>
      <c r="BG222" s="1861"/>
      <c r="BH222" s="1861"/>
      <c r="BI222" s="1861"/>
      <c r="BJ222" s="1861"/>
      <c r="BK222" s="1861"/>
      <c r="BL222" s="1861"/>
      <c r="BM222" s="1861"/>
      <c r="BN222" s="1861"/>
      <c r="BO222" s="1861"/>
      <c r="BP222" s="1861"/>
      <c r="BQ222" s="1861"/>
      <c r="BR222" s="1861"/>
      <c r="BS222" s="1861"/>
      <c r="BT222" s="1861"/>
      <c r="BU222" s="1861"/>
      <c r="BV222" s="1861"/>
      <c r="BW222" s="1861"/>
      <c r="BX222" s="1861"/>
      <c r="BY222" s="1861"/>
      <c r="BZ222" s="1861"/>
      <c r="CA222" s="1861"/>
      <c r="CB222" s="1861"/>
      <c r="CC222" s="1861"/>
      <c r="CD222" s="1861"/>
      <c r="CE222" s="1861"/>
      <c r="CF222" s="1861"/>
      <c r="CG222" s="1861"/>
      <c r="CH222" s="1861"/>
      <c r="CI222" s="1861"/>
      <c r="CJ222" s="1861"/>
      <c r="CK222" s="1861"/>
      <c r="CL222" s="1861"/>
      <c r="CM222" s="1861"/>
      <c r="CN222" s="1861"/>
      <c r="CO222" s="1861"/>
      <c r="CP222" s="1861"/>
      <c r="CQ222" s="1861"/>
      <c r="CR222" s="1861"/>
      <c r="CS222" s="1861"/>
      <c r="CT222" s="1861"/>
      <c r="CU222" s="1861"/>
      <c r="CV222" s="1861"/>
      <c r="CW222" s="1861"/>
      <c r="CX222" s="1861"/>
      <c r="CY222" s="1861"/>
      <c r="CZ222" s="1861"/>
      <c r="DA222" s="1861"/>
      <c r="DB222" s="1861"/>
      <c r="DC222" s="1861"/>
      <c r="DD222" s="1861"/>
      <c r="DE222" s="1861"/>
      <c r="DF222" s="1861"/>
      <c r="DG222" s="1861"/>
      <c r="DH222" s="1861"/>
      <c r="DI222" s="1861"/>
      <c r="DJ222" s="1861"/>
      <c r="DK222" s="1861"/>
      <c r="DL222" s="1861"/>
      <c r="DM222" s="1861"/>
      <c r="DN222" s="1861"/>
      <c r="DO222" s="1861"/>
      <c r="DP222" s="1861"/>
      <c r="DQ222" s="1861"/>
      <c r="DR222" s="1861"/>
      <c r="DS222" s="1861"/>
      <c r="DT222" s="1861"/>
      <c r="DU222" s="1861"/>
      <c r="DV222" s="1861"/>
      <c r="DW222" s="1861"/>
      <c r="DX222" s="1861"/>
      <c r="DY222" s="1861"/>
      <c r="DZ222" s="1861"/>
      <c r="EA222" s="1861"/>
      <c r="EB222" s="1861"/>
      <c r="EC222" s="1861"/>
      <c r="ED222" s="1861"/>
      <c r="EE222" s="1861"/>
      <c r="EF222" s="1861"/>
      <c r="EG222" s="1861"/>
      <c r="EH222" s="1861"/>
      <c r="EI222" s="1861"/>
      <c r="EJ222" s="1861"/>
      <c r="EK222" s="1861"/>
      <c r="EL222" s="1861"/>
      <c r="EM222" s="1861"/>
      <c r="EN222" s="1861"/>
      <c r="EO222" s="1861"/>
      <c r="EP222" s="1861"/>
      <c r="EQ222" s="1861"/>
      <c r="ER222" s="1861"/>
      <c r="ES222" s="1861"/>
      <c r="ET222" s="1861"/>
      <c r="EU222" s="1861"/>
      <c r="EV222" s="1861"/>
      <c r="EW222" s="1861"/>
      <c r="EX222" s="1861"/>
      <c r="EY222" s="1861"/>
      <c r="EZ222" s="1861"/>
      <c r="FA222" s="1861"/>
      <c r="FB222" s="1861"/>
      <c r="FC222" s="1861"/>
      <c r="FD222" s="1861"/>
      <c r="FE222" s="1861"/>
      <c r="FF222" s="1861"/>
      <c r="FG222" s="1861"/>
      <c r="FH222" s="1861"/>
      <c r="FI222" s="1861"/>
      <c r="FJ222" s="1861"/>
      <c r="FK222" s="1861"/>
      <c r="FL222" s="1861"/>
      <c r="FM222" s="1861"/>
      <c r="FN222" s="1861"/>
      <c r="FO222" s="1861"/>
      <c r="FP222" s="1861"/>
      <c r="FQ222" s="1861"/>
      <c r="FR222" s="1861"/>
      <c r="FS222" s="1861"/>
      <c r="FT222" s="1861"/>
      <c r="FU222" s="1861"/>
      <c r="FV222" s="1861"/>
      <c r="FW222" s="1861"/>
      <c r="FX222" s="1861"/>
      <c r="FY222" s="1861"/>
      <c r="FZ222" s="1861"/>
      <c r="GA222" s="1861"/>
      <c r="GB222" s="1861"/>
      <c r="GC222" s="1861"/>
      <c r="GD222" s="1861"/>
      <c r="GE222" s="1861"/>
      <c r="GF222" s="1861"/>
      <c r="GG222" s="1861"/>
      <c r="GH222" s="1861"/>
      <c r="GI222" s="1861"/>
      <c r="GJ222" s="1861"/>
      <c r="GK222" s="1861"/>
      <c r="GL222" s="1861"/>
      <c r="GM222" s="1861"/>
    </row>
    <row r="223" spans="1:195" s="467" customFormat="1" ht="15">
      <c r="A223" s="2124"/>
      <c r="B223" s="2124"/>
      <c r="C223" s="2122"/>
      <c r="D223" s="463"/>
      <c r="E223" s="473" t="s">
        <v>531</v>
      </c>
      <c r="F223" s="474">
        <f>F231+F240</f>
        <v>894820.36</v>
      </c>
      <c r="G223" s="474">
        <f>G231+G240</f>
        <v>1083673</v>
      </c>
      <c r="H223" s="475">
        <f t="shared" si="13"/>
        <v>188852.64</v>
      </c>
      <c r="I223" s="1831">
        <f t="shared" si="16"/>
        <v>0.21105089741140895</v>
      </c>
      <c r="J223" s="1136"/>
      <c r="K223" s="1229"/>
      <c r="L223" s="2017"/>
      <c r="M223" s="1861"/>
      <c r="N223" s="1861"/>
      <c r="O223" s="1861"/>
      <c r="P223" s="1861"/>
      <c r="Q223" s="1861"/>
      <c r="R223" s="1861"/>
      <c r="S223" s="1861"/>
      <c r="T223" s="1861"/>
      <c r="U223" s="1861"/>
      <c r="V223" s="1861"/>
      <c r="W223" s="1861"/>
      <c r="X223" s="1861"/>
      <c r="Y223" s="1861"/>
      <c r="Z223" s="1861"/>
      <c r="AA223" s="1861"/>
      <c r="AB223" s="1861"/>
      <c r="AC223" s="1861"/>
      <c r="AD223" s="1861"/>
      <c r="AE223" s="1861"/>
      <c r="AF223" s="1861"/>
      <c r="AG223" s="1861"/>
      <c r="AH223" s="1861"/>
      <c r="AI223" s="1861"/>
      <c r="AJ223" s="1861"/>
      <c r="AK223" s="1861"/>
      <c r="AL223" s="1861"/>
      <c r="AM223" s="1861"/>
      <c r="AN223" s="1861"/>
      <c r="AO223" s="1861"/>
      <c r="AP223" s="1861"/>
      <c r="AQ223" s="1861"/>
      <c r="AR223" s="1861"/>
      <c r="AS223" s="1861"/>
      <c r="AT223" s="1861"/>
      <c r="AU223" s="1861"/>
      <c r="AV223" s="1861"/>
      <c r="AW223" s="1861"/>
      <c r="AX223" s="1861"/>
      <c r="AY223" s="1861"/>
      <c r="AZ223" s="1861"/>
      <c r="BA223" s="1861"/>
      <c r="BB223" s="1861"/>
      <c r="BC223" s="1861"/>
      <c r="BD223" s="1861"/>
      <c r="BE223" s="1861"/>
      <c r="BF223" s="1861"/>
      <c r="BG223" s="1861"/>
      <c r="BH223" s="1861"/>
      <c r="BI223" s="1861"/>
      <c r="BJ223" s="1861"/>
      <c r="BK223" s="1861"/>
      <c r="BL223" s="1861"/>
      <c r="BM223" s="1861"/>
      <c r="BN223" s="1861"/>
      <c r="BO223" s="1861"/>
      <c r="BP223" s="1861"/>
      <c r="BQ223" s="1861"/>
      <c r="BR223" s="1861"/>
      <c r="BS223" s="1861"/>
      <c r="BT223" s="1861"/>
      <c r="BU223" s="1861"/>
      <c r="BV223" s="1861"/>
      <c r="BW223" s="1861"/>
      <c r="BX223" s="1861"/>
      <c r="BY223" s="1861"/>
      <c r="BZ223" s="1861"/>
      <c r="CA223" s="1861"/>
      <c r="CB223" s="1861"/>
      <c r="CC223" s="1861"/>
      <c r="CD223" s="1861"/>
      <c r="CE223" s="1861"/>
      <c r="CF223" s="1861"/>
      <c r="CG223" s="1861"/>
      <c r="CH223" s="1861"/>
      <c r="CI223" s="1861"/>
      <c r="CJ223" s="1861"/>
      <c r="CK223" s="1861"/>
      <c r="CL223" s="1861"/>
      <c r="CM223" s="1861"/>
      <c r="CN223" s="1861"/>
      <c r="CO223" s="1861"/>
      <c r="CP223" s="1861"/>
      <c r="CQ223" s="1861"/>
      <c r="CR223" s="1861"/>
      <c r="CS223" s="1861"/>
      <c r="CT223" s="1861"/>
      <c r="CU223" s="1861"/>
      <c r="CV223" s="1861"/>
      <c r="CW223" s="1861"/>
      <c r="CX223" s="1861"/>
      <c r="CY223" s="1861"/>
      <c r="CZ223" s="1861"/>
      <c r="DA223" s="1861"/>
      <c r="DB223" s="1861"/>
      <c r="DC223" s="1861"/>
      <c r="DD223" s="1861"/>
      <c r="DE223" s="1861"/>
      <c r="DF223" s="1861"/>
      <c r="DG223" s="1861"/>
      <c r="DH223" s="1861"/>
      <c r="DI223" s="1861"/>
      <c r="DJ223" s="1861"/>
      <c r="DK223" s="1861"/>
      <c r="DL223" s="1861"/>
      <c r="DM223" s="1861"/>
      <c r="DN223" s="1861"/>
      <c r="DO223" s="1861"/>
      <c r="DP223" s="1861"/>
      <c r="DQ223" s="1861"/>
      <c r="DR223" s="1861"/>
      <c r="DS223" s="1861"/>
      <c r="DT223" s="1861"/>
      <c r="DU223" s="1861"/>
      <c r="DV223" s="1861"/>
      <c r="DW223" s="1861"/>
      <c r="DX223" s="1861"/>
      <c r="DY223" s="1861"/>
      <c r="DZ223" s="1861"/>
      <c r="EA223" s="1861"/>
      <c r="EB223" s="1861"/>
      <c r="EC223" s="1861"/>
      <c r="ED223" s="1861"/>
      <c r="EE223" s="1861"/>
      <c r="EF223" s="1861"/>
      <c r="EG223" s="1861"/>
      <c r="EH223" s="1861"/>
      <c r="EI223" s="1861"/>
      <c r="EJ223" s="1861"/>
      <c r="EK223" s="1861"/>
      <c r="EL223" s="1861"/>
      <c r="EM223" s="1861"/>
      <c r="EN223" s="1861"/>
      <c r="EO223" s="1861"/>
      <c r="EP223" s="1861"/>
      <c r="EQ223" s="1861"/>
      <c r="ER223" s="1861"/>
      <c r="ES223" s="1861"/>
      <c r="ET223" s="1861"/>
      <c r="EU223" s="1861"/>
      <c r="EV223" s="1861"/>
      <c r="EW223" s="1861"/>
      <c r="EX223" s="1861"/>
      <c r="EY223" s="1861"/>
      <c r="EZ223" s="1861"/>
      <c r="FA223" s="1861"/>
      <c r="FB223" s="1861"/>
      <c r="FC223" s="1861"/>
      <c r="FD223" s="1861"/>
      <c r="FE223" s="1861"/>
      <c r="FF223" s="1861"/>
      <c r="FG223" s="1861"/>
      <c r="FH223" s="1861"/>
      <c r="FI223" s="1861"/>
      <c r="FJ223" s="1861"/>
      <c r="FK223" s="1861"/>
      <c r="FL223" s="1861"/>
      <c r="FM223" s="1861"/>
      <c r="FN223" s="1861"/>
      <c r="FO223" s="1861"/>
      <c r="FP223" s="1861"/>
      <c r="FQ223" s="1861"/>
      <c r="FR223" s="1861"/>
      <c r="FS223" s="1861"/>
      <c r="FT223" s="1861"/>
      <c r="FU223" s="1861"/>
      <c r="FV223" s="1861"/>
      <c r="FW223" s="1861"/>
      <c r="FX223" s="1861"/>
      <c r="FY223" s="1861"/>
      <c r="FZ223" s="1861"/>
      <c r="GA223" s="1861"/>
      <c r="GB223" s="1861"/>
      <c r="GC223" s="1861"/>
      <c r="GD223" s="1861"/>
      <c r="GE223" s="1861"/>
      <c r="GF223" s="1861"/>
      <c r="GG223" s="1861"/>
      <c r="GH223" s="1861"/>
      <c r="GI223" s="1861"/>
      <c r="GJ223" s="1861"/>
      <c r="GK223" s="1861"/>
      <c r="GL223" s="1861"/>
      <c r="GM223" s="1861"/>
    </row>
    <row r="224" spans="1:195" s="467" customFormat="1" ht="15">
      <c r="A224" s="2124"/>
      <c r="B224" s="2124"/>
      <c r="C224" s="2122"/>
      <c r="D224" s="463"/>
      <c r="E224" s="473" t="s">
        <v>578</v>
      </c>
      <c r="F224" s="474">
        <f>F232+F239+F246+F259</f>
        <v>3200</v>
      </c>
      <c r="G224" s="474">
        <f>G232+G239+G246+G259</f>
        <v>2300</v>
      </c>
      <c r="H224" s="475">
        <f t="shared" si="13"/>
        <v>-900</v>
      </c>
      <c r="I224" s="1831">
        <f t="shared" si="16"/>
        <v>-0.28125</v>
      </c>
      <c r="J224" s="1136"/>
      <c r="K224" s="1229"/>
      <c r="L224" s="2017"/>
      <c r="M224" s="1861"/>
      <c r="N224" s="1861"/>
      <c r="O224" s="1861"/>
      <c r="P224" s="1861"/>
      <c r="Q224" s="1861"/>
      <c r="R224" s="1861"/>
      <c r="S224" s="1861"/>
      <c r="T224" s="1861"/>
      <c r="U224" s="1861"/>
      <c r="V224" s="1861"/>
      <c r="W224" s="1861"/>
      <c r="X224" s="1861"/>
      <c r="Y224" s="1861"/>
      <c r="Z224" s="1861"/>
      <c r="AA224" s="1861"/>
      <c r="AB224" s="1861"/>
      <c r="AC224" s="1861"/>
      <c r="AD224" s="1861"/>
      <c r="AE224" s="1861"/>
      <c r="AF224" s="1861"/>
      <c r="AG224" s="1861"/>
      <c r="AH224" s="1861"/>
      <c r="AI224" s="1861"/>
      <c r="AJ224" s="1861"/>
      <c r="AK224" s="1861"/>
      <c r="AL224" s="1861"/>
      <c r="AM224" s="1861"/>
      <c r="AN224" s="1861"/>
      <c r="AO224" s="1861"/>
      <c r="AP224" s="1861"/>
      <c r="AQ224" s="1861"/>
      <c r="AR224" s="1861"/>
      <c r="AS224" s="1861"/>
      <c r="AT224" s="1861"/>
      <c r="AU224" s="1861"/>
      <c r="AV224" s="1861"/>
      <c r="AW224" s="1861"/>
      <c r="AX224" s="1861"/>
      <c r="AY224" s="1861"/>
      <c r="AZ224" s="1861"/>
      <c r="BA224" s="1861"/>
      <c r="BB224" s="1861"/>
      <c r="BC224" s="1861"/>
      <c r="BD224" s="1861"/>
      <c r="BE224" s="1861"/>
      <c r="BF224" s="1861"/>
      <c r="BG224" s="1861"/>
      <c r="BH224" s="1861"/>
      <c r="BI224" s="1861"/>
      <c r="BJ224" s="1861"/>
      <c r="BK224" s="1861"/>
      <c r="BL224" s="1861"/>
      <c r="BM224" s="1861"/>
      <c r="BN224" s="1861"/>
      <c r="BO224" s="1861"/>
      <c r="BP224" s="1861"/>
      <c r="BQ224" s="1861"/>
      <c r="BR224" s="1861"/>
      <c r="BS224" s="1861"/>
      <c r="BT224" s="1861"/>
      <c r="BU224" s="1861"/>
      <c r="BV224" s="1861"/>
      <c r="BW224" s="1861"/>
      <c r="BX224" s="1861"/>
      <c r="BY224" s="1861"/>
      <c r="BZ224" s="1861"/>
      <c r="CA224" s="1861"/>
      <c r="CB224" s="1861"/>
      <c r="CC224" s="1861"/>
      <c r="CD224" s="1861"/>
      <c r="CE224" s="1861"/>
      <c r="CF224" s="1861"/>
      <c r="CG224" s="1861"/>
      <c r="CH224" s="1861"/>
      <c r="CI224" s="1861"/>
      <c r="CJ224" s="1861"/>
      <c r="CK224" s="1861"/>
      <c r="CL224" s="1861"/>
      <c r="CM224" s="1861"/>
      <c r="CN224" s="1861"/>
      <c r="CO224" s="1861"/>
      <c r="CP224" s="1861"/>
      <c r="CQ224" s="1861"/>
      <c r="CR224" s="1861"/>
      <c r="CS224" s="1861"/>
      <c r="CT224" s="1861"/>
      <c r="CU224" s="1861"/>
      <c r="CV224" s="1861"/>
      <c r="CW224" s="1861"/>
      <c r="CX224" s="1861"/>
      <c r="CY224" s="1861"/>
      <c r="CZ224" s="1861"/>
      <c r="DA224" s="1861"/>
      <c r="DB224" s="1861"/>
      <c r="DC224" s="1861"/>
      <c r="DD224" s="1861"/>
      <c r="DE224" s="1861"/>
      <c r="DF224" s="1861"/>
      <c r="DG224" s="1861"/>
      <c r="DH224" s="1861"/>
      <c r="DI224" s="1861"/>
      <c r="DJ224" s="1861"/>
      <c r="DK224" s="1861"/>
      <c r="DL224" s="1861"/>
      <c r="DM224" s="1861"/>
      <c r="DN224" s="1861"/>
      <c r="DO224" s="1861"/>
      <c r="DP224" s="1861"/>
      <c r="DQ224" s="1861"/>
      <c r="DR224" s="1861"/>
      <c r="DS224" s="1861"/>
      <c r="DT224" s="1861"/>
      <c r="DU224" s="1861"/>
      <c r="DV224" s="1861"/>
      <c r="DW224" s="1861"/>
      <c r="DX224" s="1861"/>
      <c r="DY224" s="1861"/>
      <c r="DZ224" s="1861"/>
      <c r="EA224" s="1861"/>
      <c r="EB224" s="1861"/>
      <c r="EC224" s="1861"/>
      <c r="ED224" s="1861"/>
      <c r="EE224" s="1861"/>
      <c r="EF224" s="1861"/>
      <c r="EG224" s="1861"/>
      <c r="EH224" s="1861"/>
      <c r="EI224" s="1861"/>
      <c r="EJ224" s="1861"/>
      <c r="EK224" s="1861"/>
      <c r="EL224" s="1861"/>
      <c r="EM224" s="1861"/>
      <c r="EN224" s="1861"/>
      <c r="EO224" s="1861"/>
      <c r="EP224" s="1861"/>
      <c r="EQ224" s="1861"/>
      <c r="ER224" s="1861"/>
      <c r="ES224" s="1861"/>
      <c r="ET224" s="1861"/>
      <c r="EU224" s="1861"/>
      <c r="EV224" s="1861"/>
      <c r="EW224" s="1861"/>
      <c r="EX224" s="1861"/>
      <c r="EY224" s="1861"/>
      <c r="EZ224" s="1861"/>
      <c r="FA224" s="1861"/>
      <c r="FB224" s="1861"/>
      <c r="FC224" s="1861"/>
      <c r="FD224" s="1861"/>
      <c r="FE224" s="1861"/>
      <c r="FF224" s="1861"/>
      <c r="FG224" s="1861"/>
      <c r="FH224" s="1861"/>
      <c r="FI224" s="1861"/>
      <c r="FJ224" s="1861"/>
      <c r="FK224" s="1861"/>
      <c r="FL224" s="1861"/>
      <c r="FM224" s="1861"/>
      <c r="FN224" s="1861"/>
      <c r="FO224" s="1861"/>
      <c r="FP224" s="1861"/>
      <c r="FQ224" s="1861"/>
      <c r="FR224" s="1861"/>
      <c r="FS224" s="1861"/>
      <c r="FT224" s="1861"/>
      <c r="FU224" s="1861"/>
      <c r="FV224" s="1861"/>
      <c r="FW224" s="1861"/>
      <c r="FX224" s="1861"/>
      <c r="FY224" s="1861"/>
      <c r="FZ224" s="1861"/>
      <c r="GA224" s="1861"/>
      <c r="GB224" s="1861"/>
      <c r="GC224" s="1861"/>
      <c r="GD224" s="1861"/>
      <c r="GE224" s="1861"/>
      <c r="GF224" s="1861"/>
      <c r="GG224" s="1861"/>
      <c r="GH224" s="1861"/>
      <c r="GI224" s="1861"/>
      <c r="GJ224" s="1861"/>
      <c r="GK224" s="1861"/>
      <c r="GL224" s="1861"/>
      <c r="GM224" s="1861"/>
    </row>
    <row r="225" spans="1:195" s="1291" customFormat="1" ht="15">
      <c r="A225" s="1665"/>
      <c r="B225" s="1665"/>
      <c r="C225" s="1858"/>
      <c r="D225" s="1293"/>
      <c r="E225" s="1294" t="s">
        <v>431</v>
      </c>
      <c r="F225" s="1295">
        <f>F233+F235+F255</f>
        <v>455676.9</v>
      </c>
      <c r="G225" s="1295">
        <f>G233+G235+G255</f>
        <v>509631</v>
      </c>
      <c r="H225" s="1285">
        <f>G225-F225</f>
        <v>53954.099999999977</v>
      </c>
      <c r="I225" s="1834">
        <f t="shared" si="16"/>
        <v>0.11840429040840116</v>
      </c>
      <c r="J225" s="1296"/>
      <c r="K225" s="1282"/>
      <c r="L225" s="1087"/>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6"/>
      <c r="BE225" s="1086"/>
      <c r="BF225" s="1086"/>
      <c r="BG225" s="1086"/>
      <c r="BH225" s="1086"/>
      <c r="BI225" s="1086"/>
      <c r="BJ225" s="1086"/>
      <c r="BK225" s="1086"/>
      <c r="BL225" s="1086"/>
      <c r="BM225" s="1086"/>
      <c r="BN225" s="1086"/>
      <c r="BO225" s="1086"/>
      <c r="BP225" s="1086"/>
      <c r="BQ225" s="1086"/>
      <c r="BR225" s="1086"/>
      <c r="BS225" s="1086"/>
      <c r="BT225" s="1086"/>
      <c r="BU225" s="1086"/>
      <c r="BV225" s="1086"/>
      <c r="BW225" s="1086"/>
      <c r="BX225" s="1086"/>
      <c r="BY225" s="1086"/>
      <c r="BZ225" s="1086"/>
      <c r="CA225" s="1086"/>
      <c r="CB225" s="1086"/>
      <c r="CC225" s="1086"/>
      <c r="CD225" s="1086"/>
      <c r="CE225" s="1086"/>
      <c r="CF225" s="1086"/>
      <c r="CG225" s="1086"/>
      <c r="CH225" s="1086"/>
      <c r="CI225" s="1086"/>
      <c r="CJ225" s="1086"/>
      <c r="CK225" s="1086"/>
      <c r="CL225" s="1086"/>
      <c r="CM225" s="1086"/>
      <c r="CN225" s="1086"/>
      <c r="CO225" s="1086"/>
      <c r="CP225" s="1086"/>
      <c r="CQ225" s="1086"/>
      <c r="CR225" s="1086"/>
      <c r="CS225" s="1086"/>
      <c r="CT225" s="1086"/>
      <c r="CU225" s="1086"/>
      <c r="CV225" s="1086"/>
      <c r="CW225" s="1086"/>
      <c r="CX225" s="1086"/>
      <c r="CY225" s="1086"/>
      <c r="CZ225" s="1086"/>
      <c r="DA225" s="1086"/>
      <c r="DB225" s="1086"/>
      <c r="DC225" s="1086"/>
      <c r="DD225" s="1086"/>
      <c r="DE225" s="1086"/>
      <c r="DF225" s="1086"/>
      <c r="DG225" s="1086"/>
      <c r="DH225" s="1086"/>
      <c r="DI225" s="1086"/>
      <c r="DJ225" s="1086"/>
      <c r="DK225" s="1086"/>
      <c r="DL225" s="1086"/>
      <c r="DM225" s="1086"/>
      <c r="DN225" s="1086"/>
      <c r="DO225" s="1086"/>
      <c r="DP225" s="1086"/>
      <c r="DQ225" s="1086"/>
      <c r="DR225" s="1086"/>
      <c r="DS225" s="1086"/>
      <c r="DT225" s="1086"/>
      <c r="DU225" s="1086"/>
      <c r="DV225" s="1086"/>
      <c r="DW225" s="1086"/>
      <c r="DX225" s="1086"/>
      <c r="DY225" s="1086"/>
      <c r="DZ225" s="1086"/>
      <c r="EA225" s="1086"/>
      <c r="EB225" s="1086"/>
      <c r="EC225" s="1086"/>
      <c r="ED225" s="1086"/>
      <c r="EE225" s="1086"/>
      <c r="EF225" s="1086"/>
      <c r="EG225" s="1086"/>
      <c r="EH225" s="1086"/>
      <c r="EI225" s="1086"/>
      <c r="EJ225" s="1086"/>
      <c r="EK225" s="1086"/>
      <c r="EL225" s="1086"/>
      <c r="EM225" s="1086"/>
      <c r="EN225" s="1086"/>
      <c r="EO225" s="1086"/>
      <c r="EP225" s="1086"/>
      <c r="EQ225" s="1086"/>
      <c r="ER225" s="1086"/>
      <c r="ES225" s="1086"/>
      <c r="ET225" s="1086"/>
      <c r="EU225" s="1086"/>
      <c r="EV225" s="1086"/>
      <c r="EW225" s="1086"/>
      <c r="EX225" s="1086"/>
      <c r="EY225" s="1086"/>
      <c r="EZ225" s="1086"/>
      <c r="FA225" s="1086"/>
      <c r="FB225" s="1086"/>
      <c r="FC225" s="1086"/>
      <c r="FD225" s="1086"/>
      <c r="FE225" s="1086"/>
      <c r="FF225" s="1086"/>
      <c r="FG225" s="1086"/>
      <c r="FH225" s="1086"/>
      <c r="FI225" s="1086"/>
      <c r="FJ225" s="1086"/>
      <c r="FK225" s="1086"/>
      <c r="FL225" s="1086"/>
      <c r="FM225" s="1086"/>
      <c r="FN225" s="1086"/>
      <c r="FO225" s="1086"/>
      <c r="FP225" s="1086"/>
      <c r="FQ225" s="1086"/>
      <c r="FR225" s="1086"/>
      <c r="FS225" s="1086"/>
      <c r="FT225" s="1086"/>
      <c r="FU225" s="1086"/>
      <c r="FV225" s="1086"/>
      <c r="FW225" s="1086"/>
      <c r="FX225" s="1086"/>
      <c r="FY225" s="1086"/>
      <c r="FZ225" s="1086"/>
      <c r="GA225" s="1086"/>
      <c r="GB225" s="1086"/>
      <c r="GC225" s="1086"/>
      <c r="GD225" s="1086"/>
      <c r="GE225" s="1086"/>
      <c r="GF225" s="1086"/>
      <c r="GG225" s="1086"/>
      <c r="GH225" s="1086"/>
      <c r="GI225" s="1086"/>
      <c r="GJ225" s="1086"/>
      <c r="GK225" s="1086"/>
      <c r="GL225" s="1086"/>
      <c r="GM225" s="1086"/>
    </row>
    <row r="226" spans="1:195" s="1299" customFormat="1" ht="15">
      <c r="A226" s="1665"/>
      <c r="B226" s="1665"/>
      <c r="C226" s="1858"/>
      <c r="D226" s="1297"/>
      <c r="E226" s="1294" t="s">
        <v>1249</v>
      </c>
      <c r="F226" s="1280">
        <f>F234+F252+F260</f>
        <v>355312</v>
      </c>
      <c r="G226" s="1280">
        <f>G234+G252+G260</f>
        <v>478022</v>
      </c>
      <c r="H226" s="1285">
        <f t="shared" si="13"/>
        <v>122710</v>
      </c>
      <c r="I226" s="1834">
        <f t="shared" si="16"/>
        <v>0.34535844553519163</v>
      </c>
      <c r="J226" s="1298"/>
      <c r="K226" s="1282"/>
      <c r="L226" s="2014"/>
      <c r="M226" s="1289"/>
      <c r="N226" s="1289"/>
      <c r="O226" s="1289"/>
      <c r="P226" s="1289"/>
      <c r="Q226" s="1289"/>
      <c r="R226" s="1289"/>
      <c r="S226" s="1289"/>
      <c r="T226" s="1289"/>
      <c r="U226" s="1289"/>
      <c r="V226" s="1289"/>
      <c r="W226" s="1289"/>
      <c r="X226" s="1289"/>
      <c r="Y226" s="1289"/>
      <c r="Z226" s="1289"/>
      <c r="AA226" s="1289"/>
      <c r="AB226" s="1289"/>
      <c r="AC226" s="1289"/>
      <c r="AD226" s="1289"/>
      <c r="AE226" s="1289"/>
      <c r="AF226" s="1289"/>
      <c r="AG226" s="1289"/>
      <c r="AH226" s="1289"/>
      <c r="AI226" s="1289"/>
      <c r="AJ226" s="1289"/>
      <c r="AK226" s="1289"/>
      <c r="AL226" s="1289"/>
      <c r="AM226" s="1289"/>
      <c r="AN226" s="1289"/>
      <c r="AO226" s="1289"/>
      <c r="AP226" s="1289"/>
      <c r="AQ226" s="1289"/>
      <c r="AR226" s="1289"/>
      <c r="AS226" s="1289"/>
      <c r="AT226" s="1289"/>
      <c r="AU226" s="1289"/>
      <c r="AV226" s="1289"/>
      <c r="AW226" s="1289"/>
      <c r="AX226" s="1289"/>
      <c r="AY226" s="1289"/>
      <c r="AZ226" s="1289"/>
      <c r="BA226" s="1289"/>
      <c r="BB226" s="1289"/>
      <c r="BC226" s="1289"/>
      <c r="BD226" s="1289"/>
      <c r="BE226" s="1289"/>
      <c r="BF226" s="1289"/>
      <c r="BG226" s="1289"/>
      <c r="BH226" s="1289"/>
      <c r="BI226" s="1289"/>
      <c r="BJ226" s="1289"/>
      <c r="BK226" s="1289"/>
      <c r="BL226" s="1289"/>
      <c r="BM226" s="1289"/>
      <c r="BN226" s="1289"/>
      <c r="BO226" s="1289"/>
      <c r="BP226" s="1289"/>
      <c r="BQ226" s="1289"/>
      <c r="BR226" s="1289"/>
      <c r="BS226" s="1289"/>
      <c r="BT226" s="1289"/>
      <c r="BU226" s="1289"/>
      <c r="BV226" s="1289"/>
      <c r="BW226" s="1289"/>
      <c r="BX226" s="1289"/>
      <c r="BY226" s="1289"/>
      <c r="BZ226" s="1289"/>
      <c r="CA226" s="1289"/>
      <c r="CB226" s="1289"/>
      <c r="CC226" s="1289"/>
      <c r="CD226" s="1289"/>
      <c r="CE226" s="1289"/>
      <c r="CF226" s="1289"/>
      <c r="CG226" s="1289"/>
      <c r="CH226" s="1289"/>
      <c r="CI226" s="1289"/>
      <c r="CJ226" s="1289"/>
      <c r="CK226" s="1289"/>
      <c r="CL226" s="1289"/>
      <c r="CM226" s="1289"/>
      <c r="CN226" s="1289"/>
      <c r="CO226" s="1289"/>
      <c r="CP226" s="1289"/>
      <c r="CQ226" s="1289"/>
      <c r="CR226" s="1289"/>
      <c r="CS226" s="1289"/>
      <c r="CT226" s="1289"/>
      <c r="CU226" s="1289"/>
      <c r="CV226" s="1289"/>
      <c r="CW226" s="1289"/>
      <c r="CX226" s="1289"/>
      <c r="CY226" s="1289"/>
      <c r="CZ226" s="1289"/>
      <c r="DA226" s="1289"/>
      <c r="DB226" s="1289"/>
      <c r="DC226" s="1289"/>
      <c r="DD226" s="1289"/>
      <c r="DE226" s="1289"/>
      <c r="DF226" s="1289"/>
      <c r="DG226" s="1289"/>
      <c r="DH226" s="1289"/>
      <c r="DI226" s="1289"/>
      <c r="DJ226" s="1289"/>
      <c r="DK226" s="1289"/>
      <c r="DL226" s="1289"/>
      <c r="DM226" s="1289"/>
      <c r="DN226" s="1289"/>
      <c r="DO226" s="1289"/>
      <c r="DP226" s="1289"/>
      <c r="DQ226" s="1289"/>
      <c r="DR226" s="1289"/>
      <c r="DS226" s="1289"/>
      <c r="DT226" s="1289"/>
      <c r="DU226" s="1289"/>
      <c r="DV226" s="1289"/>
      <c r="DW226" s="1289"/>
      <c r="DX226" s="1289"/>
      <c r="DY226" s="1289"/>
      <c r="DZ226" s="1289"/>
      <c r="EA226" s="1289"/>
      <c r="EB226" s="1289"/>
      <c r="EC226" s="1289"/>
      <c r="ED226" s="1289"/>
      <c r="EE226" s="1289"/>
      <c r="EF226" s="1289"/>
      <c r="EG226" s="1289"/>
      <c r="EH226" s="1289"/>
      <c r="EI226" s="1289"/>
      <c r="EJ226" s="1289"/>
      <c r="EK226" s="1289"/>
      <c r="EL226" s="1289"/>
      <c r="EM226" s="1289"/>
      <c r="EN226" s="1289"/>
      <c r="EO226" s="1289"/>
      <c r="EP226" s="1289"/>
      <c r="EQ226" s="1289"/>
      <c r="ER226" s="1289"/>
      <c r="ES226" s="1289"/>
      <c r="ET226" s="1289"/>
      <c r="EU226" s="1289"/>
      <c r="EV226" s="1289"/>
      <c r="EW226" s="1289"/>
      <c r="EX226" s="1289"/>
      <c r="EY226" s="1289"/>
      <c r="EZ226" s="1289"/>
      <c r="FA226" s="1289"/>
      <c r="FB226" s="1289"/>
      <c r="FC226" s="1289"/>
      <c r="FD226" s="1289"/>
      <c r="FE226" s="1289"/>
      <c r="FF226" s="1289"/>
      <c r="FG226" s="1289"/>
      <c r="FH226" s="1289"/>
      <c r="FI226" s="1289"/>
      <c r="FJ226" s="1289"/>
      <c r="FK226" s="1289"/>
      <c r="FL226" s="1289"/>
      <c r="FM226" s="1289"/>
      <c r="FN226" s="1289"/>
      <c r="FO226" s="1289"/>
      <c r="FP226" s="1289"/>
      <c r="FQ226" s="1289"/>
      <c r="FR226" s="1289"/>
      <c r="FS226" s="1289"/>
      <c r="FT226" s="1289"/>
      <c r="FU226" s="1289"/>
      <c r="FV226" s="1289"/>
      <c r="FW226" s="1289"/>
      <c r="FX226" s="1289"/>
      <c r="FY226" s="1289"/>
      <c r="FZ226" s="1289"/>
      <c r="GA226" s="1289"/>
      <c r="GB226" s="1289"/>
      <c r="GC226" s="1289"/>
      <c r="GD226" s="1289"/>
      <c r="GE226" s="1289"/>
      <c r="GF226" s="1289"/>
      <c r="GG226" s="1289"/>
      <c r="GH226" s="1289"/>
      <c r="GI226" s="1289"/>
      <c r="GJ226" s="1289"/>
      <c r="GK226" s="1289"/>
      <c r="GL226" s="1289"/>
      <c r="GM226" s="1289"/>
    </row>
    <row r="227" spans="1:195" s="1299" customFormat="1" ht="15">
      <c r="A227" s="1665"/>
      <c r="B227" s="1665"/>
      <c r="C227" s="1858"/>
      <c r="D227" s="1297"/>
      <c r="E227" s="1294" t="s">
        <v>1082</v>
      </c>
      <c r="F227" s="1280">
        <f>F241+F242+F247+F248</f>
        <v>491880</v>
      </c>
      <c r="G227" s="1280">
        <f>G241+G242+G247+G248</f>
        <v>600</v>
      </c>
      <c r="H227" s="1285">
        <f>G227-F227</f>
        <v>-491280</v>
      </c>
      <c r="I227" s="1834">
        <f t="shared" si="16"/>
        <v>-0.99878019029031473</v>
      </c>
      <c r="J227" s="1300"/>
      <c r="K227" s="1282"/>
      <c r="L227" s="2014"/>
      <c r="M227" s="1289"/>
      <c r="N227" s="1289"/>
      <c r="O227" s="1289"/>
      <c r="P227" s="1289"/>
      <c r="Q227" s="1289"/>
      <c r="R227" s="1289"/>
      <c r="S227" s="1289"/>
      <c r="T227" s="1289"/>
      <c r="U227" s="1289"/>
      <c r="V227" s="1289"/>
      <c r="W227" s="1289"/>
      <c r="X227" s="1289"/>
      <c r="Y227" s="1289"/>
      <c r="Z227" s="1289"/>
      <c r="AA227" s="1289"/>
      <c r="AB227" s="1289"/>
      <c r="AC227" s="1289"/>
      <c r="AD227" s="1289"/>
      <c r="AE227" s="1289"/>
      <c r="AF227" s="1289"/>
      <c r="AG227" s="1289"/>
      <c r="AH227" s="1289"/>
      <c r="AI227" s="1289"/>
      <c r="AJ227" s="1289"/>
      <c r="AK227" s="1289"/>
      <c r="AL227" s="1289"/>
      <c r="AM227" s="1289"/>
      <c r="AN227" s="1289"/>
      <c r="AO227" s="1289"/>
      <c r="AP227" s="1289"/>
      <c r="AQ227" s="1289"/>
      <c r="AR227" s="1289"/>
      <c r="AS227" s="1289"/>
      <c r="AT227" s="1289"/>
      <c r="AU227" s="1289"/>
      <c r="AV227" s="1289"/>
      <c r="AW227" s="1289"/>
      <c r="AX227" s="1289"/>
      <c r="AY227" s="1289"/>
      <c r="AZ227" s="1289"/>
      <c r="BA227" s="1289"/>
      <c r="BB227" s="1289"/>
      <c r="BC227" s="1289"/>
      <c r="BD227" s="1289"/>
      <c r="BE227" s="1289"/>
      <c r="BF227" s="1289"/>
      <c r="BG227" s="1289"/>
      <c r="BH227" s="1289"/>
      <c r="BI227" s="1289"/>
      <c r="BJ227" s="1289"/>
      <c r="BK227" s="1289"/>
      <c r="BL227" s="1289"/>
      <c r="BM227" s="1289"/>
      <c r="BN227" s="1289"/>
      <c r="BO227" s="1289"/>
      <c r="BP227" s="1289"/>
      <c r="BQ227" s="1289"/>
      <c r="BR227" s="1289"/>
      <c r="BS227" s="1289"/>
      <c r="BT227" s="1289"/>
      <c r="BU227" s="1289"/>
      <c r="BV227" s="1289"/>
      <c r="BW227" s="1289"/>
      <c r="BX227" s="1289"/>
      <c r="BY227" s="1289"/>
      <c r="BZ227" s="1289"/>
      <c r="CA227" s="1289"/>
      <c r="CB227" s="1289"/>
      <c r="CC227" s="1289"/>
      <c r="CD227" s="1289"/>
      <c r="CE227" s="1289"/>
      <c r="CF227" s="1289"/>
      <c r="CG227" s="1289"/>
      <c r="CH227" s="1289"/>
      <c r="CI227" s="1289"/>
      <c r="CJ227" s="1289"/>
      <c r="CK227" s="1289"/>
      <c r="CL227" s="1289"/>
      <c r="CM227" s="1289"/>
      <c r="CN227" s="1289"/>
      <c r="CO227" s="1289"/>
      <c r="CP227" s="1289"/>
      <c r="CQ227" s="1289"/>
      <c r="CR227" s="1289"/>
      <c r="CS227" s="1289"/>
      <c r="CT227" s="1289"/>
      <c r="CU227" s="1289"/>
      <c r="CV227" s="1289"/>
      <c r="CW227" s="1289"/>
      <c r="CX227" s="1289"/>
      <c r="CY227" s="1289"/>
      <c r="CZ227" s="1289"/>
      <c r="DA227" s="1289"/>
      <c r="DB227" s="1289"/>
      <c r="DC227" s="1289"/>
      <c r="DD227" s="1289"/>
      <c r="DE227" s="1289"/>
      <c r="DF227" s="1289"/>
      <c r="DG227" s="1289"/>
      <c r="DH227" s="1289"/>
      <c r="DI227" s="1289"/>
      <c r="DJ227" s="1289"/>
      <c r="DK227" s="1289"/>
      <c r="DL227" s="1289"/>
      <c r="DM227" s="1289"/>
      <c r="DN227" s="1289"/>
      <c r="DO227" s="1289"/>
      <c r="DP227" s="1289"/>
      <c r="DQ227" s="1289"/>
      <c r="DR227" s="1289"/>
      <c r="DS227" s="1289"/>
      <c r="DT227" s="1289"/>
      <c r="DU227" s="1289"/>
      <c r="DV227" s="1289"/>
      <c r="DW227" s="1289"/>
      <c r="DX227" s="1289"/>
      <c r="DY227" s="1289"/>
      <c r="DZ227" s="1289"/>
      <c r="EA227" s="1289"/>
      <c r="EB227" s="1289"/>
      <c r="EC227" s="1289"/>
      <c r="ED227" s="1289"/>
      <c r="EE227" s="1289"/>
      <c r="EF227" s="1289"/>
      <c r="EG227" s="1289"/>
      <c r="EH227" s="1289"/>
      <c r="EI227" s="1289"/>
      <c r="EJ227" s="1289"/>
      <c r="EK227" s="1289"/>
      <c r="EL227" s="1289"/>
      <c r="EM227" s="1289"/>
      <c r="EN227" s="1289"/>
      <c r="EO227" s="1289"/>
      <c r="EP227" s="1289"/>
      <c r="EQ227" s="1289"/>
      <c r="ER227" s="1289"/>
      <c r="ES227" s="1289"/>
      <c r="ET227" s="1289"/>
      <c r="EU227" s="1289"/>
      <c r="EV227" s="1289"/>
      <c r="EW227" s="1289"/>
      <c r="EX227" s="1289"/>
      <c r="EY227" s="1289"/>
      <c r="EZ227" s="1289"/>
      <c r="FA227" s="1289"/>
      <c r="FB227" s="1289"/>
      <c r="FC227" s="1289"/>
      <c r="FD227" s="1289"/>
      <c r="FE227" s="1289"/>
      <c r="FF227" s="1289"/>
      <c r="FG227" s="1289"/>
      <c r="FH227" s="1289"/>
      <c r="FI227" s="1289"/>
      <c r="FJ227" s="1289"/>
      <c r="FK227" s="1289"/>
      <c r="FL227" s="1289"/>
      <c r="FM227" s="1289"/>
      <c r="FN227" s="1289"/>
      <c r="FO227" s="1289"/>
      <c r="FP227" s="1289"/>
      <c r="FQ227" s="1289"/>
      <c r="FR227" s="1289"/>
      <c r="FS227" s="1289"/>
      <c r="FT227" s="1289"/>
      <c r="FU227" s="1289"/>
      <c r="FV227" s="1289"/>
      <c r="FW227" s="1289"/>
      <c r="FX227" s="1289"/>
      <c r="FY227" s="1289"/>
      <c r="FZ227" s="1289"/>
      <c r="GA227" s="1289"/>
      <c r="GB227" s="1289"/>
      <c r="GC227" s="1289"/>
      <c r="GD227" s="1289"/>
      <c r="GE227" s="1289"/>
      <c r="GF227" s="1289"/>
      <c r="GG227" s="1289"/>
      <c r="GH227" s="1289"/>
      <c r="GI227" s="1289"/>
      <c r="GJ227" s="1289"/>
      <c r="GK227" s="1289"/>
      <c r="GL227" s="1289"/>
      <c r="GM227" s="1289"/>
    </row>
    <row r="228" spans="1:195" ht="15">
      <c r="D228" s="126" t="s">
        <v>46</v>
      </c>
      <c r="E228" s="127" t="s">
        <v>592</v>
      </c>
      <c r="F228" s="383">
        <f>F229+F230+F231+F232</f>
        <v>1440377.2481999998</v>
      </c>
      <c r="G228" s="383">
        <f>G229+G230+G231+G232</f>
        <v>1661745.0633929078</v>
      </c>
      <c r="H228" s="116">
        <f t="shared" si="13"/>
        <v>221367.81519290805</v>
      </c>
      <c r="I228" s="1826">
        <f t="shared" si="16"/>
        <v>0.1536873867381239</v>
      </c>
      <c r="J228" s="1129"/>
      <c r="K228" s="227"/>
    </row>
    <row r="229" spans="1:195" s="50" customFormat="1" ht="15" outlineLevel="1">
      <c r="A229" s="1665" t="s">
        <v>1942</v>
      </c>
      <c r="B229" s="1665" t="s">
        <v>663</v>
      </c>
      <c r="C229" s="1858"/>
      <c r="D229" s="160"/>
      <c r="E229" s="161" t="s">
        <v>663</v>
      </c>
      <c r="F229" s="389">
        <f>SUMIFS(INPUT!H:H,INPUT!E:E,BAZE_2024!A229,INPUT!B:B,BAZE_2024!B229)</f>
        <v>478581.24819999991</v>
      </c>
      <c r="G229" s="389">
        <f>SUMIFS(INPUT!L:L,INPUT!E:E,BAZE_2024!A229,INPUT!B:B,BAZE_2024!B229)</f>
        <v>530384.05539290793</v>
      </c>
      <c r="H229" s="146">
        <f t="shared" si="13"/>
        <v>51802.807192908018</v>
      </c>
      <c r="I229" s="1836">
        <f t="shared" si="16"/>
        <v>0.10824245075991681</v>
      </c>
      <c r="J229" s="1141" t="s">
        <v>6250</v>
      </c>
      <c r="K229" s="227"/>
      <c r="L229" s="77"/>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row>
    <row r="230" spans="1:195" s="50" customFormat="1" ht="15" outlineLevel="1">
      <c r="A230" s="1665" t="s">
        <v>1942</v>
      </c>
      <c r="B230" s="1665" t="s">
        <v>1248</v>
      </c>
      <c r="C230" s="1858"/>
      <c r="D230" s="216"/>
      <c r="E230" s="217" t="s">
        <v>579</v>
      </c>
      <c r="F230" s="389">
        <f>SUMIFS(INPUT!H:H,INPUT!E:E,BAZE_2024!A230,INPUT!B:B,BAZE_2024!B230)</f>
        <v>85818</v>
      </c>
      <c r="G230" s="389">
        <f>SUMIFS(INPUT!L:L,INPUT!E:E,BAZE_2024!A230,INPUT!B:B,BAZE_2024!B230)</f>
        <v>66888.008000000002</v>
      </c>
      <c r="H230" s="146">
        <f t="shared" si="13"/>
        <v>-18929.991999999998</v>
      </c>
      <c r="I230" s="1836">
        <f t="shared" si="16"/>
        <v>-0.22058300123517208</v>
      </c>
      <c r="J230" s="1132"/>
      <c r="K230" s="156">
        <v>-0.02</v>
      </c>
      <c r="L230" s="1222">
        <f>G230*K230</f>
        <v>-1337.76016</v>
      </c>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50" customFormat="1" ht="15" outlineLevel="1">
      <c r="A231" s="1665" t="s">
        <v>1942</v>
      </c>
      <c r="B231" s="1665" t="s">
        <v>531</v>
      </c>
      <c r="C231" s="1858"/>
      <c r="D231" s="160"/>
      <c r="E231" s="161" t="s">
        <v>531</v>
      </c>
      <c r="F231" s="393">
        <f>SUMIFS(INPUT!H:H,INPUT!E:E,BAZE_2024!A231,INPUT!B:B,BAZE_2024!B231)-84000-73000</f>
        <v>874678</v>
      </c>
      <c r="G231" s="393">
        <f>SUMIFS(INPUT!L:L,INPUT!E:E,BAZE_2024!A231,INPUT!B:B,BAZE_2024!B231)-50000-60000</f>
        <v>1063173</v>
      </c>
      <c r="H231" s="146">
        <f t="shared" si="13"/>
        <v>188495</v>
      </c>
      <c r="I231" s="1836">
        <f t="shared" si="16"/>
        <v>0.21550216193845048</v>
      </c>
      <c r="J231" s="2041" t="s">
        <v>6207</v>
      </c>
      <c r="K231" s="227"/>
      <c r="L231" s="77"/>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50" customFormat="1" ht="15" outlineLevel="1">
      <c r="A232" s="1665" t="s">
        <v>1942</v>
      </c>
      <c r="B232" s="1665" t="s">
        <v>1250</v>
      </c>
      <c r="C232" s="1858"/>
      <c r="D232" s="160"/>
      <c r="E232" s="161" t="s">
        <v>578</v>
      </c>
      <c r="F232" s="389">
        <f>SUMIFS(INPUT!H:H,INPUT!E:E,BAZE_2024!A232,INPUT!B:B,BAZE_2024!B232)</f>
        <v>1300</v>
      </c>
      <c r="G232" s="389">
        <f>SUMIFS(INPUT!L:L,INPUT!E:E,BAZE_2024!A232,INPUT!B:B,BAZE_2024!B232)</f>
        <v>1300</v>
      </c>
      <c r="H232" s="146">
        <f t="shared" si="13"/>
        <v>0</v>
      </c>
      <c r="I232" s="1836">
        <f t="shared" si="16"/>
        <v>0</v>
      </c>
      <c r="J232" s="1141"/>
      <c r="K232" s="227"/>
      <c r="L232" s="77"/>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1299" customFormat="1" ht="15" outlineLevel="1">
      <c r="A233" s="2127" t="s">
        <v>1942</v>
      </c>
      <c r="B233" s="2127" t="s">
        <v>512</v>
      </c>
      <c r="C233" s="2128"/>
      <c r="D233" s="1302"/>
      <c r="E233" s="1294" t="s">
        <v>431</v>
      </c>
      <c r="F233" s="380">
        <f>SUMIFS(INPUT!H:H,INPUT!E:E,BAZE_2024!A233,INPUT!B:B,BAZE_2024!B233)</f>
        <v>25953.9</v>
      </c>
      <c r="G233" s="380">
        <f>SUMIFS(INPUT!L:L,INPUT!E:E,BAZE_2024!A233,INPUT!B:B,BAZE_2024!B233)</f>
        <v>0</v>
      </c>
      <c r="H233" s="1285">
        <f t="shared" si="13"/>
        <v>-25953.9</v>
      </c>
      <c r="I233" s="1834">
        <f t="shared" si="16"/>
        <v>-1</v>
      </c>
      <c r="J233" s="2133"/>
      <c r="K233" s="2129"/>
      <c r="L233" s="2014"/>
      <c r="M233" s="1289"/>
      <c r="N233" s="1289"/>
      <c r="O233" s="1289"/>
      <c r="P233" s="1289"/>
      <c r="Q233" s="1289"/>
      <c r="R233" s="1289"/>
      <c r="S233" s="1289"/>
      <c r="T233" s="1289"/>
      <c r="U233" s="1289"/>
      <c r="V233" s="1289"/>
      <c r="W233" s="1289"/>
      <c r="X233" s="1289"/>
      <c r="Y233" s="1289"/>
      <c r="Z233" s="1289"/>
      <c r="AA233" s="1289"/>
      <c r="AB233" s="1289"/>
      <c r="AC233" s="1289"/>
      <c r="AD233" s="1289"/>
      <c r="AE233" s="1289"/>
      <c r="AF233" s="1289"/>
      <c r="AG233" s="1289"/>
      <c r="AH233" s="1289"/>
      <c r="AI233" s="1289"/>
      <c r="AJ233" s="1289"/>
      <c r="AK233" s="1289"/>
      <c r="AL233" s="1289"/>
      <c r="AM233" s="1289"/>
      <c r="AN233" s="1289"/>
      <c r="AO233" s="1289"/>
      <c r="AP233" s="1289"/>
      <c r="AQ233" s="1289"/>
      <c r="AR233" s="1289"/>
      <c r="AS233" s="1289"/>
      <c r="AT233" s="1289"/>
      <c r="AU233" s="1289"/>
      <c r="AV233" s="1289"/>
      <c r="AW233" s="1289"/>
      <c r="AX233" s="1289"/>
      <c r="AY233" s="1289"/>
      <c r="AZ233" s="1289"/>
      <c r="BA233" s="1289"/>
      <c r="BB233" s="1289"/>
      <c r="BC233" s="1289"/>
      <c r="BD233" s="1289"/>
      <c r="BE233" s="1289"/>
      <c r="BF233" s="1289"/>
      <c r="BG233" s="1289"/>
      <c r="BH233" s="1289"/>
      <c r="BI233" s="1289"/>
      <c r="BJ233" s="1289"/>
      <c r="BK233" s="1289"/>
      <c r="BL233" s="1289"/>
      <c r="BM233" s="1289"/>
      <c r="BN233" s="1289"/>
      <c r="BO233" s="1289"/>
      <c r="BP233" s="1289"/>
      <c r="BQ233" s="1289"/>
      <c r="BR233" s="1289"/>
      <c r="BS233" s="1289"/>
      <c r="BT233" s="1289"/>
      <c r="BU233" s="1289"/>
      <c r="BV233" s="1289"/>
      <c r="BW233" s="1289"/>
      <c r="BX233" s="1289"/>
      <c r="BY233" s="1289"/>
      <c r="BZ233" s="1289"/>
      <c r="CA233" s="1289"/>
      <c r="CB233" s="1289"/>
      <c r="CC233" s="1289"/>
      <c r="CD233" s="1289"/>
      <c r="CE233" s="1289"/>
      <c r="CF233" s="1289"/>
      <c r="CG233" s="1289"/>
      <c r="CH233" s="1289"/>
      <c r="CI233" s="1289"/>
      <c r="CJ233" s="1289"/>
      <c r="CK233" s="1289"/>
      <c r="CL233" s="1289"/>
      <c r="CM233" s="1289"/>
      <c r="CN233" s="1289"/>
      <c r="CO233" s="1289"/>
      <c r="CP233" s="1289"/>
      <c r="CQ233" s="1289"/>
      <c r="CR233" s="1289"/>
      <c r="CS233" s="1289"/>
      <c r="CT233" s="1289"/>
      <c r="CU233" s="1289"/>
      <c r="CV233" s="1289"/>
      <c r="CW233" s="1289"/>
      <c r="CX233" s="1289"/>
      <c r="CY233" s="1289"/>
      <c r="CZ233" s="1289"/>
      <c r="DA233" s="1289"/>
      <c r="DB233" s="1289"/>
      <c r="DC233" s="1289"/>
      <c r="DD233" s="1289"/>
      <c r="DE233" s="1289"/>
      <c r="DF233" s="1289"/>
      <c r="DG233" s="1289"/>
      <c r="DH233" s="1289"/>
      <c r="DI233" s="1289"/>
      <c r="DJ233" s="1289"/>
      <c r="DK233" s="1289"/>
      <c r="DL233" s="1289"/>
      <c r="DM233" s="1289"/>
      <c r="DN233" s="1289"/>
      <c r="DO233" s="1289"/>
      <c r="DP233" s="1289"/>
      <c r="DQ233" s="1289"/>
      <c r="DR233" s="1289"/>
      <c r="DS233" s="1289"/>
      <c r="DT233" s="1289"/>
      <c r="DU233" s="1289"/>
      <c r="DV233" s="1289"/>
      <c r="DW233" s="1289"/>
      <c r="DX233" s="1289"/>
      <c r="DY233" s="1289"/>
      <c r="DZ233" s="1289"/>
      <c r="EA233" s="1289"/>
      <c r="EB233" s="1289"/>
      <c r="EC233" s="1289"/>
      <c r="ED233" s="1289"/>
      <c r="EE233" s="1289"/>
      <c r="EF233" s="1289"/>
      <c r="EG233" s="1289"/>
      <c r="EH233" s="1289"/>
      <c r="EI233" s="1289"/>
      <c r="EJ233" s="1289"/>
      <c r="EK233" s="1289"/>
      <c r="EL233" s="1289"/>
      <c r="EM233" s="1289"/>
      <c r="EN233" s="1289"/>
      <c r="EO233" s="1289"/>
      <c r="EP233" s="1289"/>
      <c r="EQ233" s="1289"/>
      <c r="ER233" s="1289"/>
      <c r="ES233" s="1289"/>
      <c r="ET233" s="1289"/>
      <c r="EU233" s="1289"/>
      <c r="EV233" s="1289"/>
      <c r="EW233" s="1289"/>
      <c r="EX233" s="1289"/>
      <c r="EY233" s="1289"/>
      <c r="EZ233" s="1289"/>
      <c r="FA233" s="1289"/>
      <c r="FB233" s="1289"/>
      <c r="FC233" s="1289"/>
      <c r="FD233" s="1289"/>
      <c r="FE233" s="1289"/>
      <c r="FF233" s="1289"/>
      <c r="FG233" s="1289"/>
      <c r="FH233" s="1289"/>
      <c r="FI233" s="1289"/>
      <c r="FJ233" s="1289"/>
      <c r="FK233" s="1289"/>
      <c r="FL233" s="1289"/>
      <c r="FM233" s="1289"/>
      <c r="FN233" s="1289"/>
      <c r="FO233" s="1289"/>
      <c r="FP233" s="1289"/>
      <c r="FQ233" s="1289"/>
      <c r="FR233" s="1289"/>
      <c r="FS233" s="1289"/>
      <c r="FT233" s="1289"/>
      <c r="FU233" s="1289"/>
      <c r="FV233" s="1289"/>
      <c r="FW233" s="1289"/>
      <c r="FX233" s="1289"/>
      <c r="FY233" s="1289"/>
      <c r="FZ233" s="1289"/>
      <c r="GA233" s="1289"/>
      <c r="GB233" s="1289"/>
      <c r="GC233" s="1289"/>
      <c r="GD233" s="1289"/>
      <c r="GE233" s="1289"/>
      <c r="GF233" s="1289"/>
      <c r="GG233" s="1289"/>
      <c r="GH233" s="1289"/>
      <c r="GI233" s="1289"/>
      <c r="GJ233" s="1289"/>
      <c r="GK233" s="1289"/>
      <c r="GL233" s="1289"/>
      <c r="GM233" s="1289"/>
    </row>
    <row r="234" spans="1:195" s="1299" customFormat="1" ht="15" outlineLevel="1">
      <c r="A234" s="2127" t="s">
        <v>1942</v>
      </c>
      <c r="B234" s="2127" t="s">
        <v>1249</v>
      </c>
      <c r="C234" s="2128"/>
      <c r="D234" s="1297"/>
      <c r="E234" s="1294" t="s">
        <v>1249</v>
      </c>
      <c r="F234" s="380">
        <f>SUMIFS(INPUT!H:H,INPUT!E:E,BAZE_2024!A234,INPUT!B:B,BAZE_2024!B234)</f>
        <v>355312</v>
      </c>
      <c r="G234" s="380">
        <f>SUMIFS(INPUT!L:L,INPUT!E:E,BAZE_2024!A234,INPUT!B:B,BAZE_2024!B234)</f>
        <v>478022</v>
      </c>
      <c r="H234" s="1285">
        <f t="shared" si="13"/>
        <v>122710</v>
      </c>
      <c r="I234" s="1834">
        <f t="shared" si="16"/>
        <v>0.34535844553519163</v>
      </c>
      <c r="J234" s="4580" t="s">
        <v>6208</v>
      </c>
      <c r="K234" s="2129"/>
      <c r="L234" s="2014"/>
      <c r="M234" s="1289"/>
      <c r="N234" s="1289"/>
      <c r="O234" s="1289"/>
      <c r="P234" s="1289"/>
      <c r="Q234" s="1289"/>
      <c r="R234" s="1289"/>
      <c r="S234" s="1289"/>
      <c r="T234" s="1289"/>
      <c r="U234" s="1289"/>
      <c r="V234" s="1289"/>
      <c r="W234" s="1289"/>
      <c r="X234" s="1289"/>
      <c r="Y234" s="1289"/>
      <c r="Z234" s="1289"/>
      <c r="AA234" s="1289"/>
      <c r="AB234" s="1289"/>
      <c r="AC234" s="1289"/>
      <c r="AD234" s="1289"/>
      <c r="AE234" s="1289"/>
      <c r="AF234" s="1289"/>
      <c r="AG234" s="1289"/>
      <c r="AH234" s="1289"/>
      <c r="AI234" s="1289"/>
      <c r="AJ234" s="1289"/>
      <c r="AK234" s="1289"/>
      <c r="AL234" s="1289"/>
      <c r="AM234" s="1289"/>
      <c r="AN234" s="1289"/>
      <c r="AO234" s="1289"/>
      <c r="AP234" s="1289"/>
      <c r="AQ234" s="1289"/>
      <c r="AR234" s="1289"/>
      <c r="AS234" s="1289"/>
      <c r="AT234" s="1289"/>
      <c r="AU234" s="1289"/>
      <c r="AV234" s="1289"/>
      <c r="AW234" s="1289"/>
      <c r="AX234" s="1289"/>
      <c r="AY234" s="1289"/>
      <c r="AZ234" s="1289"/>
      <c r="BA234" s="1289"/>
      <c r="BB234" s="1289"/>
      <c r="BC234" s="1289"/>
      <c r="BD234" s="1289"/>
      <c r="BE234" s="1289"/>
      <c r="BF234" s="1289"/>
      <c r="BG234" s="1289"/>
      <c r="BH234" s="1289"/>
      <c r="BI234" s="1289"/>
      <c r="BJ234" s="1289"/>
      <c r="BK234" s="1289"/>
      <c r="BL234" s="1289"/>
      <c r="BM234" s="1289"/>
      <c r="BN234" s="1289"/>
      <c r="BO234" s="1289"/>
      <c r="BP234" s="1289"/>
      <c r="BQ234" s="1289"/>
      <c r="BR234" s="1289"/>
      <c r="BS234" s="1289"/>
      <c r="BT234" s="1289"/>
      <c r="BU234" s="1289"/>
      <c r="BV234" s="1289"/>
      <c r="BW234" s="1289"/>
      <c r="BX234" s="1289"/>
      <c r="BY234" s="1289"/>
      <c r="BZ234" s="1289"/>
      <c r="CA234" s="1289"/>
      <c r="CB234" s="1289"/>
      <c r="CC234" s="1289"/>
      <c r="CD234" s="1289"/>
      <c r="CE234" s="1289"/>
      <c r="CF234" s="1289"/>
      <c r="CG234" s="1289"/>
      <c r="CH234" s="1289"/>
      <c r="CI234" s="1289"/>
      <c r="CJ234" s="1289"/>
      <c r="CK234" s="1289"/>
      <c r="CL234" s="1289"/>
      <c r="CM234" s="1289"/>
      <c r="CN234" s="1289"/>
      <c r="CO234" s="1289"/>
      <c r="CP234" s="1289"/>
      <c r="CQ234" s="1289"/>
      <c r="CR234" s="1289"/>
      <c r="CS234" s="1289"/>
      <c r="CT234" s="1289"/>
      <c r="CU234" s="1289"/>
      <c r="CV234" s="1289"/>
      <c r="CW234" s="1289"/>
      <c r="CX234" s="1289"/>
      <c r="CY234" s="1289"/>
      <c r="CZ234" s="1289"/>
      <c r="DA234" s="1289"/>
      <c r="DB234" s="1289"/>
      <c r="DC234" s="1289"/>
      <c r="DD234" s="1289"/>
      <c r="DE234" s="1289"/>
      <c r="DF234" s="1289"/>
      <c r="DG234" s="1289"/>
      <c r="DH234" s="1289"/>
      <c r="DI234" s="1289"/>
      <c r="DJ234" s="1289"/>
      <c r="DK234" s="1289"/>
      <c r="DL234" s="1289"/>
      <c r="DM234" s="1289"/>
      <c r="DN234" s="1289"/>
      <c r="DO234" s="1289"/>
      <c r="DP234" s="1289"/>
      <c r="DQ234" s="1289"/>
      <c r="DR234" s="1289"/>
      <c r="DS234" s="1289"/>
      <c r="DT234" s="1289"/>
      <c r="DU234" s="1289"/>
      <c r="DV234" s="1289"/>
      <c r="DW234" s="1289"/>
      <c r="DX234" s="1289"/>
      <c r="DY234" s="1289"/>
      <c r="DZ234" s="1289"/>
      <c r="EA234" s="1289"/>
      <c r="EB234" s="1289"/>
      <c r="EC234" s="1289"/>
      <c r="ED234" s="1289"/>
      <c r="EE234" s="1289"/>
      <c r="EF234" s="1289"/>
      <c r="EG234" s="1289"/>
      <c r="EH234" s="1289"/>
      <c r="EI234" s="1289"/>
      <c r="EJ234" s="1289"/>
      <c r="EK234" s="1289"/>
      <c r="EL234" s="1289"/>
      <c r="EM234" s="1289"/>
      <c r="EN234" s="1289"/>
      <c r="EO234" s="1289"/>
      <c r="EP234" s="1289"/>
      <c r="EQ234" s="1289"/>
      <c r="ER234" s="1289"/>
      <c r="ES234" s="1289"/>
      <c r="ET234" s="1289"/>
      <c r="EU234" s="1289"/>
      <c r="EV234" s="1289"/>
      <c r="EW234" s="1289"/>
      <c r="EX234" s="1289"/>
      <c r="EY234" s="1289"/>
      <c r="EZ234" s="1289"/>
      <c r="FA234" s="1289"/>
      <c r="FB234" s="1289"/>
      <c r="FC234" s="1289"/>
      <c r="FD234" s="1289"/>
      <c r="FE234" s="1289"/>
      <c r="FF234" s="1289"/>
      <c r="FG234" s="1289"/>
      <c r="FH234" s="1289"/>
      <c r="FI234" s="1289"/>
      <c r="FJ234" s="1289"/>
      <c r="FK234" s="1289"/>
      <c r="FL234" s="1289"/>
      <c r="FM234" s="1289"/>
      <c r="FN234" s="1289"/>
      <c r="FO234" s="1289"/>
      <c r="FP234" s="1289"/>
      <c r="FQ234" s="1289"/>
      <c r="FR234" s="1289"/>
      <c r="FS234" s="1289"/>
      <c r="FT234" s="1289"/>
      <c r="FU234" s="1289"/>
      <c r="FV234" s="1289"/>
      <c r="FW234" s="1289"/>
      <c r="FX234" s="1289"/>
      <c r="FY234" s="1289"/>
      <c r="FZ234" s="1289"/>
      <c r="GA234" s="1289"/>
      <c r="GB234" s="1289"/>
      <c r="GC234" s="1289"/>
      <c r="GD234" s="1289"/>
      <c r="GE234" s="1289"/>
      <c r="GF234" s="1289"/>
      <c r="GG234" s="1289"/>
      <c r="GH234" s="1289"/>
      <c r="GI234" s="1289"/>
      <c r="GJ234" s="1289"/>
      <c r="GK234" s="1289"/>
      <c r="GL234" s="1289"/>
      <c r="GM234" s="1289"/>
    </row>
    <row r="235" spans="1:195" s="1289" customFormat="1" ht="15" outlineLevel="1">
      <c r="A235" s="2127" t="s">
        <v>1943</v>
      </c>
      <c r="B235" s="2127" t="s">
        <v>512</v>
      </c>
      <c r="C235" s="2128"/>
      <c r="D235" s="1297" t="s">
        <v>52</v>
      </c>
      <c r="E235" s="2141" t="s">
        <v>541</v>
      </c>
      <c r="F235" s="380">
        <f>SUMIFS(INPUT!H:H,INPUT!E:E,BAZE_2024!A235,INPUT!B:B,BAZE_2024!B235)</f>
        <v>421092</v>
      </c>
      <c r="G235" s="380">
        <f>SUMIFS(INPUT!L:L,INPUT!E:E,BAZE_2024!A235,INPUT!B:B,BAZE_2024!B235)</f>
        <v>501000</v>
      </c>
      <c r="H235" s="1285">
        <f t="shared" si="13"/>
        <v>79908</v>
      </c>
      <c r="I235" s="1834">
        <f t="shared" si="16"/>
        <v>0.18976375708871221</v>
      </c>
      <c r="J235" s="1300"/>
      <c r="K235" s="2129"/>
      <c r="L235" s="2014"/>
    </row>
    <row r="236" spans="1:195" ht="45">
      <c r="D236" s="126" t="s">
        <v>56</v>
      </c>
      <c r="E236" s="127" t="s">
        <v>1225</v>
      </c>
      <c r="F236" s="383">
        <f>F237+F238+F239+F240</f>
        <v>326296.75069250003</v>
      </c>
      <c r="G236" s="383">
        <f>G237+G238+G239+G240</f>
        <v>402246.62317695009</v>
      </c>
      <c r="H236" s="116">
        <f t="shared" ref="H236:H245" si="17">G236-F236</f>
        <v>75949.872484450054</v>
      </c>
      <c r="I236" s="1826">
        <f t="shared" si="16"/>
        <v>0.23276318971384649</v>
      </c>
      <c r="J236" s="1133"/>
      <c r="K236" s="227"/>
    </row>
    <row r="237" spans="1:195" s="50" customFormat="1" ht="31.15" hidden="1" customHeight="1" outlineLevel="1">
      <c r="A237" s="1665" t="s">
        <v>3053</v>
      </c>
      <c r="B237" s="1665" t="s">
        <v>663</v>
      </c>
      <c r="C237" s="1858"/>
      <c r="D237" s="160"/>
      <c r="E237" s="161" t="s">
        <v>663</v>
      </c>
      <c r="F237" s="389">
        <f>SUMIFS(INPUT!H:H,INPUT!E:E,BAZE_2024!A237,INPUT!B:B,BAZE_2024!B237)</f>
        <v>247677.39069250005</v>
      </c>
      <c r="G237" s="389">
        <f>SUMIFS(INPUT!L:L,INPUT!E:E,BAZE_2024!A237,INPUT!B:B,BAZE_2024!B237)</f>
        <v>331194.02317695011</v>
      </c>
      <c r="H237" s="146">
        <f t="shared" si="17"/>
        <v>83516.632484450063</v>
      </c>
      <c r="I237" s="1836">
        <f t="shared" si="16"/>
        <v>0.33719925848273657</v>
      </c>
      <c r="J237" s="1132" t="s">
        <v>5687</v>
      </c>
      <c r="K237" s="227"/>
      <c r="L237" s="2042"/>
      <c r="M237" s="156"/>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row>
    <row r="238" spans="1:195" s="50" customFormat="1" ht="15" hidden="1" outlineLevel="1">
      <c r="A238" s="1665" t="s">
        <v>3053</v>
      </c>
      <c r="B238" s="1665" t="s">
        <v>1248</v>
      </c>
      <c r="C238" s="1858"/>
      <c r="D238" s="216"/>
      <c r="E238" s="217" t="s">
        <v>579</v>
      </c>
      <c r="F238" s="389">
        <f>SUMIFS(INPUT!H:H,INPUT!E:E,BAZE_2024!A238,INPUT!B:B,BAZE_2024!B238)</f>
        <v>56577</v>
      </c>
      <c r="G238" s="389">
        <f>SUMIFS(INPUT!L:L,INPUT!E:E,BAZE_2024!A238,INPUT!B:B,BAZE_2024!B238)</f>
        <v>49552.6</v>
      </c>
      <c r="H238" s="146">
        <f t="shared" si="17"/>
        <v>-7024.4000000000015</v>
      </c>
      <c r="I238" s="1836">
        <f t="shared" si="16"/>
        <v>-0.12415645933860052</v>
      </c>
      <c r="J238" s="1130"/>
      <c r="K238" s="156">
        <v>-0.02</v>
      </c>
      <c r="L238" s="1222">
        <f>G238*K238</f>
        <v>-991.05200000000002</v>
      </c>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row>
    <row r="239" spans="1:195" s="50" customFormat="1" ht="15" hidden="1" outlineLevel="1">
      <c r="A239" s="1665" t="s">
        <v>3053</v>
      </c>
      <c r="B239" s="1665" t="s">
        <v>1250</v>
      </c>
      <c r="C239" s="1858"/>
      <c r="D239" s="216"/>
      <c r="E239" s="161" t="s">
        <v>578</v>
      </c>
      <c r="F239" s="389">
        <f>SUMIFS(INPUT!H:H,INPUT!E:E,BAZE_2024!A239,INPUT!B:B,BAZE_2024!B239)</f>
        <v>1900</v>
      </c>
      <c r="G239" s="389">
        <f>SUMIFS(INPUT!L:L,INPUT!E:E,BAZE_2024!A239,INPUT!B:B,BAZE_2024!B239)</f>
        <v>1000</v>
      </c>
      <c r="H239" s="146">
        <f t="shared" si="17"/>
        <v>-900</v>
      </c>
      <c r="I239" s="1836">
        <f t="shared" si="16"/>
        <v>-0.47368421052631576</v>
      </c>
      <c r="J239" s="1144"/>
      <c r="K239" s="227"/>
      <c r="L239" s="77"/>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50" customFormat="1" ht="15" hidden="1" outlineLevel="1">
      <c r="A240" s="1665" t="s">
        <v>3053</v>
      </c>
      <c r="B240" s="1665" t="s">
        <v>1517</v>
      </c>
      <c r="C240" s="1858"/>
      <c r="D240" s="1274"/>
      <c r="E240" s="161" t="s">
        <v>531</v>
      </c>
      <c r="F240" s="393">
        <f>SUMIFS(INPUT!H:H,INPUT!E:E,BAZE_2024!A240,INPUT!B:B,BAZE_2024!B240)</f>
        <v>20142.36</v>
      </c>
      <c r="G240" s="393">
        <f>SUMIFS(INPUT!L:L,INPUT!E:E,BAZE_2024!A240,INPUT!B:B,BAZE_2024!B240)</f>
        <v>20500</v>
      </c>
      <c r="H240" s="146">
        <f t="shared" si="17"/>
        <v>357.63999999999942</v>
      </c>
      <c r="I240" s="1836">
        <f t="shared" si="16"/>
        <v>1.7755615528666918E-2</v>
      </c>
      <c r="J240" s="1902"/>
      <c r="K240" s="227"/>
      <c r="L240" s="77"/>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1299" customFormat="1" ht="16.149999999999999" hidden="1" customHeight="1" outlineLevel="1">
      <c r="A241" s="2127" t="s">
        <v>3053</v>
      </c>
      <c r="B241" s="2127" t="s">
        <v>566</v>
      </c>
      <c r="C241" s="2128"/>
      <c r="D241" s="1302"/>
      <c r="E241" s="4631" t="s">
        <v>3054</v>
      </c>
      <c r="F241" s="380">
        <f>SUMIFS(INPUT!H:H,INPUT!E:E,BAZE_2024!A241,INPUT!B:B,BAZE_2024!B241)</f>
        <v>161210</v>
      </c>
      <c r="G241" s="380">
        <f>SUMIFS(INPUT!L:L,INPUT!E:E,BAZE_2024!A241,INPUT!B:B,BAZE_2024!B241)</f>
        <v>600</v>
      </c>
      <c r="H241" s="373">
        <f t="shared" si="17"/>
        <v>-160610</v>
      </c>
      <c r="I241" s="1837">
        <f t="shared" si="16"/>
        <v>-0.99627814651696545</v>
      </c>
      <c r="J241" s="1300">
        <f>F241*$J$105</f>
        <v>0</v>
      </c>
      <c r="K241" s="2129"/>
      <c r="L241" s="2014"/>
      <c r="M241" s="1289"/>
      <c r="N241" s="1289"/>
      <c r="O241" s="1289"/>
      <c r="P241" s="1289"/>
      <c r="Q241" s="1289"/>
      <c r="R241" s="1289"/>
      <c r="S241" s="1289"/>
      <c r="T241" s="1289"/>
      <c r="U241" s="1289"/>
      <c r="V241" s="1289"/>
      <c r="W241" s="1289"/>
      <c r="X241" s="1289"/>
      <c r="Y241" s="1289"/>
      <c r="Z241" s="1289"/>
      <c r="AA241" s="1289"/>
      <c r="AB241" s="1289"/>
      <c r="AC241" s="1289"/>
      <c r="AD241" s="1289"/>
      <c r="AE241" s="1289"/>
      <c r="AF241" s="1289"/>
      <c r="AG241" s="1289"/>
      <c r="AH241" s="1289"/>
      <c r="AI241" s="1289"/>
      <c r="AJ241" s="1289"/>
      <c r="AK241" s="1289"/>
      <c r="AL241" s="1289"/>
      <c r="AM241" s="1289"/>
      <c r="AN241" s="1289"/>
      <c r="AO241" s="1289"/>
      <c r="AP241" s="1289"/>
      <c r="AQ241" s="1289"/>
      <c r="AR241" s="1289"/>
      <c r="AS241" s="1289"/>
      <c r="AT241" s="1289"/>
      <c r="AU241" s="1289"/>
      <c r="AV241" s="1289"/>
      <c r="AW241" s="1289"/>
      <c r="AX241" s="1289"/>
      <c r="AY241" s="1289"/>
      <c r="AZ241" s="1289"/>
      <c r="BA241" s="1289"/>
      <c r="BB241" s="1289"/>
      <c r="BC241" s="1289"/>
      <c r="BD241" s="1289"/>
      <c r="BE241" s="1289"/>
      <c r="BF241" s="1289"/>
      <c r="BG241" s="1289"/>
      <c r="BH241" s="1289"/>
      <c r="BI241" s="1289"/>
      <c r="BJ241" s="1289"/>
      <c r="BK241" s="1289"/>
      <c r="BL241" s="1289"/>
      <c r="BM241" s="1289"/>
      <c r="BN241" s="1289"/>
      <c r="BO241" s="1289"/>
      <c r="BP241" s="1289"/>
      <c r="BQ241" s="1289"/>
      <c r="BR241" s="1289"/>
      <c r="BS241" s="1289"/>
      <c r="BT241" s="1289"/>
      <c r="BU241" s="1289"/>
      <c r="BV241" s="1289"/>
      <c r="BW241" s="1289"/>
      <c r="BX241" s="1289"/>
      <c r="BY241" s="1289"/>
      <c r="BZ241" s="1289"/>
      <c r="CA241" s="1289"/>
      <c r="CB241" s="1289"/>
      <c r="CC241" s="1289"/>
      <c r="CD241" s="1289"/>
      <c r="CE241" s="1289"/>
      <c r="CF241" s="1289"/>
      <c r="CG241" s="1289"/>
      <c r="CH241" s="1289"/>
      <c r="CI241" s="1289"/>
      <c r="CJ241" s="1289"/>
      <c r="CK241" s="1289"/>
      <c r="CL241" s="1289"/>
      <c r="CM241" s="1289"/>
      <c r="CN241" s="1289"/>
      <c r="CO241" s="1289"/>
      <c r="CP241" s="1289"/>
      <c r="CQ241" s="1289"/>
      <c r="CR241" s="1289"/>
      <c r="CS241" s="1289"/>
      <c r="CT241" s="1289"/>
      <c r="CU241" s="1289"/>
      <c r="CV241" s="1289"/>
      <c r="CW241" s="1289"/>
      <c r="CX241" s="1289"/>
      <c r="CY241" s="1289"/>
      <c r="CZ241" s="1289"/>
      <c r="DA241" s="1289"/>
      <c r="DB241" s="1289"/>
      <c r="DC241" s="1289"/>
      <c r="DD241" s="1289"/>
      <c r="DE241" s="1289"/>
      <c r="DF241" s="1289"/>
      <c r="DG241" s="1289"/>
      <c r="DH241" s="1289"/>
      <c r="DI241" s="1289"/>
      <c r="DJ241" s="1289"/>
      <c r="DK241" s="1289"/>
      <c r="DL241" s="1289"/>
      <c r="DM241" s="1289"/>
      <c r="DN241" s="1289"/>
      <c r="DO241" s="1289"/>
      <c r="DP241" s="1289"/>
      <c r="DQ241" s="1289"/>
      <c r="DR241" s="1289"/>
      <c r="DS241" s="1289"/>
      <c r="DT241" s="1289"/>
      <c r="DU241" s="1289"/>
      <c r="DV241" s="1289"/>
      <c r="DW241" s="1289"/>
      <c r="DX241" s="1289"/>
      <c r="DY241" s="1289"/>
      <c r="DZ241" s="1289"/>
      <c r="EA241" s="1289"/>
      <c r="EB241" s="1289"/>
      <c r="EC241" s="1289"/>
      <c r="ED241" s="1289"/>
      <c r="EE241" s="1289"/>
      <c r="EF241" s="1289"/>
      <c r="EG241" s="1289"/>
      <c r="EH241" s="1289"/>
      <c r="EI241" s="1289"/>
      <c r="EJ241" s="1289"/>
      <c r="EK241" s="1289"/>
      <c r="EL241" s="1289"/>
      <c r="EM241" s="1289"/>
      <c r="EN241" s="1289"/>
      <c r="EO241" s="1289"/>
      <c r="EP241" s="1289"/>
      <c r="EQ241" s="1289"/>
      <c r="ER241" s="1289"/>
      <c r="ES241" s="1289"/>
      <c r="ET241" s="1289"/>
      <c r="EU241" s="1289"/>
      <c r="EV241" s="1289"/>
      <c r="EW241" s="1289"/>
      <c r="EX241" s="1289"/>
      <c r="EY241" s="1289"/>
      <c r="EZ241" s="1289"/>
      <c r="FA241" s="1289"/>
      <c r="FB241" s="1289"/>
      <c r="FC241" s="1289"/>
      <c r="FD241" s="1289"/>
      <c r="FE241" s="1289"/>
      <c r="FF241" s="1289"/>
      <c r="FG241" s="1289"/>
      <c r="FH241" s="1289"/>
      <c r="FI241" s="1289"/>
      <c r="FJ241" s="1289"/>
      <c r="FK241" s="1289"/>
      <c r="FL241" s="1289"/>
      <c r="FM241" s="1289"/>
      <c r="FN241" s="1289"/>
      <c r="FO241" s="1289"/>
      <c r="FP241" s="1289"/>
      <c r="FQ241" s="1289"/>
      <c r="FR241" s="1289"/>
      <c r="FS241" s="1289"/>
      <c r="FT241" s="1289"/>
      <c r="FU241" s="1289"/>
      <c r="FV241" s="1289"/>
      <c r="FW241" s="1289"/>
      <c r="FX241" s="1289"/>
      <c r="FY241" s="1289"/>
      <c r="FZ241" s="1289"/>
      <c r="GA241" s="1289"/>
      <c r="GB241" s="1289"/>
      <c r="GC241" s="1289"/>
      <c r="GD241" s="1289"/>
      <c r="GE241" s="1289"/>
      <c r="GF241" s="1289"/>
      <c r="GG241" s="1289"/>
      <c r="GH241" s="1289"/>
      <c r="GI241" s="1289"/>
      <c r="GJ241" s="1289"/>
      <c r="GK241" s="1289"/>
      <c r="GL241" s="1289"/>
      <c r="GM241" s="1289"/>
    </row>
    <row r="242" spans="1:195" s="1299" customFormat="1" ht="28.15" hidden="1" customHeight="1" outlineLevel="1">
      <c r="A242" s="2127" t="s">
        <v>1944</v>
      </c>
      <c r="B242" s="2127" t="s">
        <v>566</v>
      </c>
      <c r="C242" s="2128"/>
      <c r="D242" s="1302"/>
      <c r="E242" s="4631" t="s">
        <v>1112</v>
      </c>
      <c r="F242" s="2143">
        <f>SUMIF(INPUT!E:E,BAZE_2024!A242,INPUT!H:H)</f>
        <v>330670</v>
      </c>
      <c r="G242" s="2143">
        <f>SUMIF(INPUT!E:E,BAZE_2024!A242,INPUT!L:L)</f>
        <v>0</v>
      </c>
      <c r="H242" s="373">
        <f t="shared" si="17"/>
        <v>-330670</v>
      </c>
      <c r="I242" s="1837">
        <f t="shared" si="16"/>
        <v>-1</v>
      </c>
      <c r="J242" s="2142"/>
      <c r="K242" s="2129"/>
      <c r="L242" s="2014"/>
      <c r="M242" s="1289"/>
      <c r="N242" s="1289"/>
      <c r="O242" s="1289"/>
      <c r="P242" s="1289"/>
      <c r="Q242" s="1289"/>
      <c r="R242" s="1289"/>
      <c r="S242" s="1289"/>
      <c r="T242" s="1289"/>
      <c r="U242" s="1289"/>
      <c r="V242" s="1289"/>
      <c r="W242" s="1289"/>
      <c r="X242" s="1289"/>
      <c r="Y242" s="1289"/>
      <c r="Z242" s="1289"/>
      <c r="AA242" s="1289"/>
      <c r="AB242" s="1289"/>
      <c r="AC242" s="1289"/>
      <c r="AD242" s="1289"/>
      <c r="AE242" s="1289"/>
      <c r="AF242" s="1289"/>
      <c r="AG242" s="1289"/>
      <c r="AH242" s="1289"/>
      <c r="AI242" s="1289"/>
      <c r="AJ242" s="1289"/>
      <c r="AK242" s="1289"/>
      <c r="AL242" s="1289"/>
      <c r="AM242" s="1289"/>
      <c r="AN242" s="1289"/>
      <c r="AO242" s="1289"/>
      <c r="AP242" s="1289"/>
      <c r="AQ242" s="1289"/>
      <c r="AR242" s="1289"/>
      <c r="AS242" s="1289"/>
      <c r="AT242" s="1289"/>
      <c r="AU242" s="1289"/>
      <c r="AV242" s="1289"/>
      <c r="AW242" s="1289"/>
      <c r="AX242" s="1289"/>
      <c r="AY242" s="1289"/>
      <c r="AZ242" s="1289"/>
      <c r="BA242" s="1289"/>
      <c r="BB242" s="1289"/>
      <c r="BC242" s="1289"/>
      <c r="BD242" s="1289"/>
      <c r="BE242" s="1289"/>
      <c r="BF242" s="1289"/>
      <c r="BG242" s="1289"/>
      <c r="BH242" s="1289"/>
      <c r="BI242" s="1289"/>
      <c r="BJ242" s="1289"/>
      <c r="BK242" s="1289"/>
      <c r="BL242" s="1289"/>
      <c r="BM242" s="1289"/>
      <c r="BN242" s="1289"/>
      <c r="BO242" s="1289"/>
      <c r="BP242" s="1289"/>
      <c r="BQ242" s="1289"/>
      <c r="BR242" s="1289"/>
      <c r="BS242" s="1289"/>
      <c r="BT242" s="1289"/>
      <c r="BU242" s="1289"/>
      <c r="BV242" s="1289"/>
      <c r="BW242" s="1289"/>
      <c r="BX242" s="1289"/>
      <c r="BY242" s="1289"/>
      <c r="BZ242" s="1289"/>
      <c r="CA242" s="1289"/>
      <c r="CB242" s="1289"/>
      <c r="CC242" s="1289"/>
      <c r="CD242" s="1289"/>
      <c r="CE242" s="1289"/>
      <c r="CF242" s="1289"/>
      <c r="CG242" s="1289"/>
      <c r="CH242" s="1289"/>
      <c r="CI242" s="1289"/>
      <c r="CJ242" s="1289"/>
      <c r="CK242" s="1289"/>
      <c r="CL242" s="1289"/>
      <c r="CM242" s="1289"/>
      <c r="CN242" s="1289"/>
      <c r="CO242" s="1289"/>
      <c r="CP242" s="1289"/>
      <c r="CQ242" s="1289"/>
      <c r="CR242" s="1289"/>
      <c r="CS242" s="1289"/>
      <c r="CT242" s="1289"/>
      <c r="CU242" s="1289"/>
      <c r="CV242" s="1289"/>
      <c r="CW242" s="1289"/>
      <c r="CX242" s="1289"/>
      <c r="CY242" s="1289"/>
      <c r="CZ242" s="1289"/>
      <c r="DA242" s="1289"/>
      <c r="DB242" s="1289"/>
      <c r="DC242" s="1289"/>
      <c r="DD242" s="1289"/>
      <c r="DE242" s="1289"/>
      <c r="DF242" s="1289"/>
      <c r="DG242" s="1289"/>
      <c r="DH242" s="1289"/>
      <c r="DI242" s="1289"/>
      <c r="DJ242" s="1289"/>
      <c r="DK242" s="1289"/>
      <c r="DL242" s="1289"/>
      <c r="DM242" s="1289"/>
      <c r="DN242" s="1289"/>
      <c r="DO242" s="1289"/>
      <c r="DP242" s="1289"/>
      <c r="DQ242" s="1289"/>
      <c r="DR242" s="1289"/>
      <c r="DS242" s="1289"/>
      <c r="DT242" s="1289"/>
      <c r="DU242" s="1289"/>
      <c r="DV242" s="1289"/>
      <c r="DW242" s="1289"/>
      <c r="DX242" s="1289"/>
      <c r="DY242" s="1289"/>
      <c r="DZ242" s="1289"/>
      <c r="EA242" s="1289"/>
      <c r="EB242" s="1289"/>
      <c r="EC242" s="1289"/>
      <c r="ED242" s="1289"/>
      <c r="EE242" s="1289"/>
      <c r="EF242" s="1289"/>
      <c r="EG242" s="1289"/>
      <c r="EH242" s="1289"/>
      <c r="EI242" s="1289"/>
      <c r="EJ242" s="1289"/>
      <c r="EK242" s="1289"/>
      <c r="EL242" s="1289"/>
      <c r="EM242" s="1289"/>
      <c r="EN242" s="1289"/>
      <c r="EO242" s="1289"/>
      <c r="EP242" s="1289"/>
      <c r="EQ242" s="1289"/>
      <c r="ER242" s="1289"/>
      <c r="ES242" s="1289"/>
      <c r="ET242" s="1289"/>
      <c r="EU242" s="1289"/>
      <c r="EV242" s="1289"/>
      <c r="EW242" s="1289"/>
      <c r="EX242" s="1289"/>
      <c r="EY242" s="1289"/>
      <c r="EZ242" s="1289"/>
      <c r="FA242" s="1289"/>
      <c r="FB242" s="1289"/>
      <c r="FC242" s="1289"/>
      <c r="FD242" s="1289"/>
      <c r="FE242" s="1289"/>
      <c r="FF242" s="1289"/>
      <c r="FG242" s="1289"/>
      <c r="FH242" s="1289"/>
      <c r="FI242" s="1289"/>
      <c r="FJ242" s="1289"/>
      <c r="FK242" s="1289"/>
      <c r="FL242" s="1289"/>
      <c r="FM242" s="1289"/>
      <c r="FN242" s="1289"/>
      <c r="FO242" s="1289"/>
      <c r="FP242" s="1289"/>
      <c r="FQ242" s="1289"/>
      <c r="FR242" s="1289"/>
      <c r="FS242" s="1289"/>
      <c r="FT242" s="1289"/>
      <c r="FU242" s="1289"/>
      <c r="FV242" s="1289"/>
      <c r="FW242" s="1289"/>
      <c r="FX242" s="1289"/>
      <c r="FY242" s="1289"/>
      <c r="FZ242" s="1289"/>
      <c r="GA242" s="1289"/>
      <c r="GB242" s="1289"/>
      <c r="GC242" s="1289"/>
      <c r="GD242" s="1289"/>
      <c r="GE242" s="1289"/>
      <c r="GF242" s="1289"/>
      <c r="GG242" s="1289"/>
      <c r="GH242" s="1289"/>
      <c r="GI242" s="1289"/>
      <c r="GJ242" s="1289"/>
      <c r="GK242" s="1289"/>
      <c r="GL242" s="1289"/>
      <c r="GM242" s="1289"/>
    </row>
    <row r="243" spans="1:195" ht="45" collapsed="1">
      <c r="D243" s="126" t="s">
        <v>179</v>
      </c>
      <c r="E243" s="127" t="s">
        <v>1226</v>
      </c>
      <c r="F243" s="383">
        <f>F244+F245+F246</f>
        <v>0</v>
      </c>
      <c r="G243" s="383">
        <f>G244+G245+G246</f>
        <v>0</v>
      </c>
      <c r="H243" s="116">
        <f t="shared" si="17"/>
        <v>0</v>
      </c>
      <c r="I243" s="1826" t="str">
        <f t="shared" si="16"/>
        <v>-</v>
      </c>
      <c r="J243" s="2087"/>
      <c r="K243" s="227"/>
    </row>
    <row r="244" spans="1:195" s="50" customFormat="1" ht="13.9" hidden="1" customHeight="1" outlineLevel="1">
      <c r="A244" s="1665" t="s">
        <v>1945</v>
      </c>
      <c r="B244" s="1665" t="s">
        <v>663</v>
      </c>
      <c r="C244" s="1858"/>
      <c r="D244" s="160"/>
      <c r="E244" s="161" t="s">
        <v>663</v>
      </c>
      <c r="F244" s="389">
        <f>SUMIFS(INPUT!H:H,INPUT!E:E,BAZE_2024!A244,INPUT!B:B,BAZE_2024!B244)</f>
        <v>0</v>
      </c>
      <c r="G244" s="389">
        <f>SUMIFS(INPUT!L:L,INPUT!E:E,BAZE_2024!A244,INPUT!B:B,BAZE_2024!B244)</f>
        <v>0</v>
      </c>
      <c r="H244" s="146">
        <f t="shared" si="17"/>
        <v>0</v>
      </c>
      <c r="I244" s="1836" t="str">
        <f t="shared" si="16"/>
        <v>-</v>
      </c>
      <c r="J244" s="1139"/>
      <c r="K244" s="227"/>
      <c r="L244" s="77"/>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row>
    <row r="245" spans="1:195" s="50" customFormat="1" ht="15" hidden="1" outlineLevel="1">
      <c r="A245" s="1665" t="s">
        <v>1945</v>
      </c>
      <c r="B245" s="1665" t="s">
        <v>1248</v>
      </c>
      <c r="C245" s="1858"/>
      <c r="D245" s="216"/>
      <c r="E245" s="217" t="s">
        <v>579</v>
      </c>
      <c r="F245" s="389">
        <f>SUMIFS(INPUT!H:H,INPUT!E:E,BAZE_2024!A245,INPUT!B:B,BAZE_2024!B245)</f>
        <v>0</v>
      </c>
      <c r="G245" s="389">
        <f>SUMIFS(INPUT!L:L,INPUT!E:E,BAZE_2024!A245,INPUT!B:B,BAZE_2024!B245)</f>
        <v>0</v>
      </c>
      <c r="H245" s="146">
        <f t="shared" si="17"/>
        <v>0</v>
      </c>
      <c r="I245" s="1836" t="str">
        <f t="shared" si="16"/>
        <v>-</v>
      </c>
      <c r="J245" s="1139"/>
      <c r="K245" s="227"/>
      <c r="L245" s="77"/>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row>
    <row r="246" spans="1:195" s="50" customFormat="1" ht="15" hidden="1" outlineLevel="1">
      <c r="A246" s="1665" t="s">
        <v>1945</v>
      </c>
      <c r="B246" s="1665" t="s">
        <v>1517</v>
      </c>
      <c r="C246" s="1858"/>
      <c r="D246" s="216"/>
      <c r="E246" s="161" t="s">
        <v>531</v>
      </c>
      <c r="F246" s="389">
        <f>SUMIFS(INPUT!H:H,INPUT!E:E,BAZE_2024!A246,INPUT!B:B,BAZE_2024!B246)</f>
        <v>0</v>
      </c>
      <c r="G246" s="389">
        <f>SUMIFS(INPUT!L:L,INPUT!E:E,BAZE_2024!A246,INPUT!B:B,BAZE_2024!B246)</f>
        <v>0</v>
      </c>
      <c r="H246" s="384"/>
      <c r="I246" s="1847" t="str">
        <f t="shared" si="16"/>
        <v>-</v>
      </c>
      <c r="J246" s="1144"/>
      <c r="K246" s="227"/>
      <c r="L246" s="77"/>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row>
    <row r="247" spans="1:195" s="2150" customFormat="1" ht="16.149999999999999" hidden="1" customHeight="1" outlineLevel="1">
      <c r="A247" s="2151" t="s">
        <v>1945</v>
      </c>
      <c r="B247" s="2151" t="s">
        <v>566</v>
      </c>
      <c r="C247" s="2152"/>
      <c r="D247" s="2144"/>
      <c r="E247" s="4631" t="s">
        <v>1111</v>
      </c>
      <c r="F247" s="380">
        <f>SUMIFS(INPUT!H:H,INPUT!E:E,BAZE_2024!A247,INPUT!B:B,BAZE_2024!B247)</f>
        <v>0</v>
      </c>
      <c r="G247" s="380">
        <f>SUMIFS(INPUT!L:L,INPUT!E:E,BAZE_2024!A247,INPUT!B:B,BAZE_2024!B247)</f>
        <v>0</v>
      </c>
      <c r="H247" s="373">
        <f t="shared" ref="H247:H252" si="18">G247-F247</f>
        <v>0</v>
      </c>
      <c r="I247" s="1837" t="str">
        <f t="shared" si="16"/>
        <v>-</v>
      </c>
      <c r="J247" s="2147"/>
      <c r="K247" s="2154"/>
      <c r="L247" s="2148"/>
      <c r="M247" s="2149"/>
      <c r="N247" s="2149"/>
      <c r="O247" s="2149"/>
      <c r="P247" s="2149"/>
      <c r="Q247" s="2149"/>
      <c r="R247" s="2149"/>
      <c r="S247" s="2149"/>
      <c r="T247" s="2149"/>
      <c r="U247" s="2149"/>
      <c r="V247" s="2149"/>
      <c r="W247" s="2149"/>
      <c r="X247" s="2149"/>
      <c r="Y247" s="2149"/>
      <c r="Z247" s="2149"/>
      <c r="AA247" s="2149"/>
      <c r="AB247" s="2149"/>
      <c r="AC247" s="2149"/>
      <c r="AD247" s="2149"/>
      <c r="AE247" s="2149"/>
      <c r="AF247" s="2149"/>
      <c r="AG247" s="2149"/>
      <c r="AH247" s="2149"/>
      <c r="AI247" s="2149"/>
      <c r="AJ247" s="2149"/>
      <c r="AK247" s="2149"/>
      <c r="AL247" s="2149"/>
      <c r="AM247" s="2149"/>
      <c r="AN247" s="2149"/>
      <c r="AO247" s="2149"/>
      <c r="AP247" s="2149"/>
      <c r="AQ247" s="2149"/>
      <c r="AR247" s="2149"/>
      <c r="AS247" s="2149"/>
      <c r="AT247" s="2149"/>
      <c r="AU247" s="2149"/>
      <c r="AV247" s="2149"/>
      <c r="AW247" s="2149"/>
      <c r="AX247" s="2149"/>
      <c r="AY247" s="2149"/>
      <c r="AZ247" s="2149"/>
      <c r="BA247" s="2149"/>
      <c r="BB247" s="2149"/>
      <c r="BC247" s="2149"/>
      <c r="BD247" s="2149"/>
      <c r="BE247" s="2149"/>
      <c r="BF247" s="2149"/>
      <c r="BG247" s="2149"/>
      <c r="BH247" s="2149"/>
      <c r="BI247" s="2149"/>
      <c r="BJ247" s="2149"/>
      <c r="BK247" s="2149"/>
      <c r="BL247" s="2149"/>
      <c r="BM247" s="2149"/>
      <c r="BN247" s="2149"/>
      <c r="BO247" s="2149"/>
      <c r="BP247" s="2149"/>
      <c r="BQ247" s="2149"/>
      <c r="BR247" s="2149"/>
      <c r="BS247" s="2149"/>
      <c r="BT247" s="2149"/>
      <c r="BU247" s="2149"/>
      <c r="BV247" s="2149"/>
      <c r="BW247" s="2149"/>
      <c r="BX247" s="2149"/>
      <c r="BY247" s="2149"/>
      <c r="BZ247" s="2149"/>
      <c r="CA247" s="2149"/>
      <c r="CB247" s="2149"/>
      <c r="CC247" s="2149"/>
      <c r="CD247" s="2149"/>
      <c r="CE247" s="2149"/>
      <c r="CF247" s="2149"/>
      <c r="CG247" s="2149"/>
      <c r="CH247" s="2149"/>
      <c r="CI247" s="2149"/>
      <c r="CJ247" s="2149"/>
      <c r="CK247" s="2149"/>
      <c r="CL247" s="2149"/>
      <c r="CM247" s="2149"/>
      <c r="CN247" s="2149"/>
      <c r="CO247" s="2149"/>
      <c r="CP247" s="2149"/>
      <c r="CQ247" s="2149"/>
      <c r="CR247" s="2149"/>
      <c r="CS247" s="2149"/>
      <c r="CT247" s="2149"/>
      <c r="CU247" s="2149"/>
      <c r="CV247" s="2149"/>
      <c r="CW247" s="2149"/>
      <c r="CX247" s="2149"/>
      <c r="CY247" s="2149"/>
      <c r="CZ247" s="2149"/>
      <c r="DA247" s="2149"/>
      <c r="DB247" s="2149"/>
      <c r="DC247" s="2149"/>
      <c r="DD247" s="2149"/>
      <c r="DE247" s="2149"/>
      <c r="DF247" s="2149"/>
      <c r="DG247" s="2149"/>
      <c r="DH247" s="2149"/>
      <c r="DI247" s="2149"/>
      <c r="DJ247" s="2149"/>
      <c r="DK247" s="2149"/>
      <c r="DL247" s="2149"/>
      <c r="DM247" s="2149"/>
      <c r="DN247" s="2149"/>
      <c r="DO247" s="2149"/>
      <c r="DP247" s="2149"/>
      <c r="DQ247" s="2149"/>
      <c r="DR247" s="2149"/>
      <c r="DS247" s="2149"/>
      <c r="DT247" s="2149"/>
      <c r="DU247" s="2149"/>
      <c r="DV247" s="2149"/>
      <c r="DW247" s="2149"/>
      <c r="DX247" s="2149"/>
      <c r="DY247" s="2149"/>
      <c r="DZ247" s="2149"/>
      <c r="EA247" s="2149"/>
      <c r="EB247" s="2149"/>
      <c r="EC247" s="2149"/>
      <c r="ED247" s="2149"/>
      <c r="EE247" s="2149"/>
      <c r="EF247" s="2149"/>
      <c r="EG247" s="2149"/>
      <c r="EH247" s="2149"/>
      <c r="EI247" s="2149"/>
      <c r="EJ247" s="2149"/>
      <c r="EK247" s="2149"/>
      <c r="EL247" s="2149"/>
      <c r="EM247" s="2149"/>
      <c r="EN247" s="2149"/>
      <c r="EO247" s="2149"/>
      <c r="EP247" s="2149"/>
      <c r="EQ247" s="2149"/>
      <c r="ER247" s="2149"/>
      <c r="ES247" s="2149"/>
      <c r="ET247" s="2149"/>
      <c r="EU247" s="2149"/>
      <c r="EV247" s="2149"/>
      <c r="EW247" s="2149"/>
      <c r="EX247" s="2149"/>
      <c r="EY247" s="2149"/>
      <c r="EZ247" s="2149"/>
      <c r="FA247" s="2149"/>
      <c r="FB247" s="2149"/>
      <c r="FC247" s="2149"/>
      <c r="FD247" s="2149"/>
      <c r="FE247" s="2149"/>
      <c r="FF247" s="2149"/>
      <c r="FG247" s="2149"/>
      <c r="FH247" s="2149"/>
      <c r="FI247" s="2149"/>
      <c r="FJ247" s="2149"/>
      <c r="FK247" s="2149"/>
      <c r="FL247" s="2149"/>
      <c r="FM247" s="2149"/>
      <c r="FN247" s="2149"/>
      <c r="FO247" s="2149"/>
      <c r="FP247" s="2149"/>
      <c r="FQ247" s="2149"/>
      <c r="FR247" s="2149"/>
      <c r="FS247" s="2149"/>
      <c r="FT247" s="2149"/>
      <c r="FU247" s="2149"/>
      <c r="FV247" s="2149"/>
      <c r="FW247" s="2149"/>
      <c r="FX247" s="2149"/>
      <c r="FY247" s="2149"/>
      <c r="FZ247" s="2149"/>
      <c r="GA247" s="2149"/>
      <c r="GB247" s="2149"/>
      <c r="GC247" s="2149"/>
      <c r="GD247" s="2149"/>
      <c r="GE247" s="2149"/>
      <c r="GF247" s="2149"/>
      <c r="GG247" s="2149"/>
      <c r="GH247" s="2149"/>
      <c r="GI247" s="2149"/>
      <c r="GJ247" s="2149"/>
      <c r="GK247" s="2149"/>
      <c r="GL247" s="2149"/>
      <c r="GM247" s="2149"/>
    </row>
    <row r="248" spans="1:195" s="2150" customFormat="1" ht="16.149999999999999" hidden="1" customHeight="1" outlineLevel="1">
      <c r="A248" s="2151"/>
      <c r="B248" s="2151"/>
      <c r="C248" s="2152"/>
      <c r="D248" s="2144"/>
      <c r="E248" s="4631" t="s">
        <v>1112</v>
      </c>
      <c r="F248" s="380">
        <f>SUMIFS(INPUT!H:H,INPUT!E:E,BAZE_2024!A248,INPUT!B:B,BAZE_2024!B248)</f>
        <v>0</v>
      </c>
      <c r="G248" s="380">
        <f>SUMIFS(INPUT!L:L,INPUT!E:E,BAZE_2024!A248,INPUT!B:B,BAZE_2024!B248)</f>
        <v>0</v>
      </c>
      <c r="H248" s="373">
        <f t="shared" si="18"/>
        <v>0</v>
      </c>
      <c r="I248" s="1837" t="str">
        <f t="shared" si="16"/>
        <v>-</v>
      </c>
      <c r="J248" s="2147"/>
      <c r="K248" s="2154"/>
      <c r="L248" s="2148"/>
      <c r="M248" s="2149"/>
      <c r="N248" s="2149"/>
      <c r="O248" s="2149"/>
      <c r="P248" s="2149"/>
      <c r="Q248" s="2149"/>
      <c r="R248" s="2149"/>
      <c r="S248" s="2149"/>
      <c r="T248" s="2149"/>
      <c r="U248" s="2149"/>
      <c r="V248" s="2149"/>
      <c r="W248" s="2149"/>
      <c r="X248" s="2149"/>
      <c r="Y248" s="2149"/>
      <c r="Z248" s="2149"/>
      <c r="AA248" s="2149"/>
      <c r="AB248" s="2149"/>
      <c r="AC248" s="2149"/>
      <c r="AD248" s="2149"/>
      <c r="AE248" s="2149"/>
      <c r="AF248" s="2149"/>
      <c r="AG248" s="2149"/>
      <c r="AH248" s="2149"/>
      <c r="AI248" s="2149"/>
      <c r="AJ248" s="2149"/>
      <c r="AK248" s="2149"/>
      <c r="AL248" s="2149"/>
      <c r="AM248" s="2149"/>
      <c r="AN248" s="2149"/>
      <c r="AO248" s="2149"/>
      <c r="AP248" s="2149"/>
      <c r="AQ248" s="2149"/>
      <c r="AR248" s="2149"/>
      <c r="AS248" s="2149"/>
      <c r="AT248" s="2149"/>
      <c r="AU248" s="2149"/>
      <c r="AV248" s="2149"/>
      <c r="AW248" s="2149"/>
      <c r="AX248" s="2149"/>
      <c r="AY248" s="2149"/>
      <c r="AZ248" s="2149"/>
      <c r="BA248" s="2149"/>
      <c r="BB248" s="2149"/>
      <c r="BC248" s="2149"/>
      <c r="BD248" s="2149"/>
      <c r="BE248" s="2149"/>
      <c r="BF248" s="2149"/>
      <c r="BG248" s="2149"/>
      <c r="BH248" s="2149"/>
      <c r="BI248" s="2149"/>
      <c r="BJ248" s="2149"/>
      <c r="BK248" s="2149"/>
      <c r="BL248" s="2149"/>
      <c r="BM248" s="2149"/>
      <c r="BN248" s="2149"/>
      <c r="BO248" s="2149"/>
      <c r="BP248" s="2149"/>
      <c r="BQ248" s="2149"/>
      <c r="BR248" s="2149"/>
      <c r="BS248" s="2149"/>
      <c r="BT248" s="2149"/>
      <c r="BU248" s="2149"/>
      <c r="BV248" s="2149"/>
      <c r="BW248" s="2149"/>
      <c r="BX248" s="2149"/>
      <c r="BY248" s="2149"/>
      <c r="BZ248" s="2149"/>
      <c r="CA248" s="2149"/>
      <c r="CB248" s="2149"/>
      <c r="CC248" s="2149"/>
      <c r="CD248" s="2149"/>
      <c r="CE248" s="2149"/>
      <c r="CF248" s="2149"/>
      <c r="CG248" s="2149"/>
      <c r="CH248" s="2149"/>
      <c r="CI248" s="2149"/>
      <c r="CJ248" s="2149"/>
      <c r="CK248" s="2149"/>
      <c r="CL248" s="2149"/>
      <c r="CM248" s="2149"/>
      <c r="CN248" s="2149"/>
      <c r="CO248" s="2149"/>
      <c r="CP248" s="2149"/>
      <c r="CQ248" s="2149"/>
      <c r="CR248" s="2149"/>
      <c r="CS248" s="2149"/>
      <c r="CT248" s="2149"/>
      <c r="CU248" s="2149"/>
      <c r="CV248" s="2149"/>
      <c r="CW248" s="2149"/>
      <c r="CX248" s="2149"/>
      <c r="CY248" s="2149"/>
      <c r="CZ248" s="2149"/>
      <c r="DA248" s="2149"/>
      <c r="DB248" s="2149"/>
      <c r="DC248" s="2149"/>
      <c r="DD248" s="2149"/>
      <c r="DE248" s="2149"/>
      <c r="DF248" s="2149"/>
      <c r="DG248" s="2149"/>
      <c r="DH248" s="2149"/>
      <c r="DI248" s="2149"/>
      <c r="DJ248" s="2149"/>
      <c r="DK248" s="2149"/>
      <c r="DL248" s="2149"/>
      <c r="DM248" s="2149"/>
      <c r="DN248" s="2149"/>
      <c r="DO248" s="2149"/>
      <c r="DP248" s="2149"/>
      <c r="DQ248" s="2149"/>
      <c r="DR248" s="2149"/>
      <c r="DS248" s="2149"/>
      <c r="DT248" s="2149"/>
      <c r="DU248" s="2149"/>
      <c r="DV248" s="2149"/>
      <c r="DW248" s="2149"/>
      <c r="DX248" s="2149"/>
      <c r="DY248" s="2149"/>
      <c r="DZ248" s="2149"/>
      <c r="EA248" s="2149"/>
      <c r="EB248" s="2149"/>
      <c r="EC248" s="2149"/>
      <c r="ED248" s="2149"/>
      <c r="EE248" s="2149"/>
      <c r="EF248" s="2149"/>
      <c r="EG248" s="2149"/>
      <c r="EH248" s="2149"/>
      <c r="EI248" s="2149"/>
      <c r="EJ248" s="2149"/>
      <c r="EK248" s="2149"/>
      <c r="EL248" s="2149"/>
      <c r="EM248" s="2149"/>
      <c r="EN248" s="2149"/>
      <c r="EO248" s="2149"/>
      <c r="EP248" s="2149"/>
      <c r="EQ248" s="2149"/>
      <c r="ER248" s="2149"/>
      <c r="ES248" s="2149"/>
      <c r="ET248" s="2149"/>
      <c r="EU248" s="2149"/>
      <c r="EV248" s="2149"/>
      <c r="EW248" s="2149"/>
      <c r="EX248" s="2149"/>
      <c r="EY248" s="2149"/>
      <c r="EZ248" s="2149"/>
      <c r="FA248" s="2149"/>
      <c r="FB248" s="2149"/>
      <c r="FC248" s="2149"/>
      <c r="FD248" s="2149"/>
      <c r="FE248" s="2149"/>
      <c r="FF248" s="2149"/>
      <c r="FG248" s="2149"/>
      <c r="FH248" s="2149"/>
      <c r="FI248" s="2149"/>
      <c r="FJ248" s="2149"/>
      <c r="FK248" s="2149"/>
      <c r="FL248" s="2149"/>
      <c r="FM248" s="2149"/>
      <c r="FN248" s="2149"/>
      <c r="FO248" s="2149"/>
      <c r="FP248" s="2149"/>
      <c r="FQ248" s="2149"/>
      <c r="FR248" s="2149"/>
      <c r="FS248" s="2149"/>
      <c r="FT248" s="2149"/>
      <c r="FU248" s="2149"/>
      <c r="FV248" s="2149"/>
      <c r="FW248" s="2149"/>
      <c r="FX248" s="2149"/>
      <c r="FY248" s="2149"/>
      <c r="FZ248" s="2149"/>
      <c r="GA248" s="2149"/>
      <c r="GB248" s="2149"/>
      <c r="GC248" s="2149"/>
      <c r="GD248" s="2149"/>
      <c r="GE248" s="2149"/>
      <c r="GF248" s="2149"/>
      <c r="GG248" s="2149"/>
      <c r="GH248" s="2149"/>
      <c r="GI248" s="2149"/>
      <c r="GJ248" s="2149"/>
      <c r="GK248" s="2149"/>
      <c r="GL248" s="2149"/>
      <c r="GM248" s="2149"/>
    </row>
    <row r="249" spans="1:195" ht="30" collapsed="1">
      <c r="D249" s="126" t="s">
        <v>181</v>
      </c>
      <c r="E249" s="127" t="s">
        <v>1591</v>
      </c>
      <c r="F249" s="383">
        <f>F250+F251</f>
        <v>5800</v>
      </c>
      <c r="G249" s="383">
        <f>G250+G251</f>
        <v>6220</v>
      </c>
      <c r="H249" s="116">
        <f t="shared" si="18"/>
        <v>420</v>
      </c>
      <c r="I249" s="1826">
        <f t="shared" si="16"/>
        <v>7.2413793103448282E-2</v>
      </c>
      <c r="J249" s="1129"/>
      <c r="K249" s="227"/>
    </row>
    <row r="250" spans="1:195" s="50" customFormat="1" ht="15" hidden="1" outlineLevel="1">
      <c r="A250" s="1665" t="s">
        <v>1946</v>
      </c>
      <c r="B250" s="1665" t="s">
        <v>663</v>
      </c>
      <c r="C250" s="1858"/>
      <c r="D250" s="160"/>
      <c r="E250" s="161" t="s">
        <v>663</v>
      </c>
      <c r="F250" s="364">
        <f>SUMIFS(INPUT!H:H,INPUT!E:E,BAZE_2024!A250,INPUT!B:B,BAZE_2024!B250)</f>
        <v>0</v>
      </c>
      <c r="G250" s="389">
        <f>SUMIFS(INPUT!L:L,INPUT!E:E,BAZE_2024!A250,INPUT!B:B,BAZE_2024!B250)</f>
        <v>0</v>
      </c>
      <c r="H250" s="146">
        <f t="shared" si="18"/>
        <v>0</v>
      </c>
      <c r="I250" s="1836" t="str">
        <f t="shared" si="16"/>
        <v>-</v>
      </c>
      <c r="J250" s="1139" t="s">
        <v>6218</v>
      </c>
      <c r="K250" s="227"/>
      <c r="L250" s="77"/>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row>
    <row r="251" spans="1:195" s="50" customFormat="1" ht="15" hidden="1" outlineLevel="1">
      <c r="A251" s="1665" t="s">
        <v>1946</v>
      </c>
      <c r="B251" s="1665" t="s">
        <v>1248</v>
      </c>
      <c r="C251" s="1858"/>
      <c r="D251" s="216"/>
      <c r="E251" s="217" t="s">
        <v>579</v>
      </c>
      <c r="F251" s="364">
        <f>SUMIFS(INPUT!H:H,INPUT!E:E,BAZE_2024!A251,INPUT!B:B,BAZE_2024!B251)</f>
        <v>5800</v>
      </c>
      <c r="G251" s="389">
        <f>SUMIFS(INPUT!L:L,INPUT!E:E,BAZE_2024!A251,INPUT!B:B,BAZE_2024!B251)</f>
        <v>6220</v>
      </c>
      <c r="H251" s="146">
        <f t="shared" si="18"/>
        <v>420</v>
      </c>
      <c r="I251" s="1836">
        <f t="shared" si="16"/>
        <v>7.2413793103448282E-2</v>
      </c>
      <c r="J251" s="1139" t="s">
        <v>5908</v>
      </c>
      <c r="K251" s="227"/>
      <c r="L251" s="77"/>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row>
    <row r="252" spans="1:195" s="2150" customFormat="1" ht="15" hidden="1" outlineLevel="1">
      <c r="A252" s="2151" t="s">
        <v>1946</v>
      </c>
      <c r="B252" s="2151" t="s">
        <v>1249</v>
      </c>
      <c r="C252" s="2152"/>
      <c r="D252" s="2155"/>
      <c r="E252" s="2156" t="s">
        <v>1249</v>
      </c>
      <c r="F252" s="2153">
        <f>SUMIFS(INPUT!H:H,INPUT!E:E,BAZE_2024!A252,INPUT!B:B,BAZE_2024!B252)</f>
        <v>0</v>
      </c>
      <c r="G252" s="380">
        <f>SUMIFS(INPUT!L:L,INPUT!E:E,BAZE_2024!A252,INPUT!B:B,BAZE_2024!B252)</f>
        <v>0</v>
      </c>
      <c r="H252" s="2145">
        <f t="shared" si="18"/>
        <v>0</v>
      </c>
      <c r="I252" s="2146" t="str">
        <f t="shared" si="16"/>
        <v>-</v>
      </c>
      <c r="J252" s="2147"/>
      <c r="K252" s="2154"/>
      <c r="L252" s="2148"/>
      <c r="M252" s="2149"/>
      <c r="N252" s="2149"/>
      <c r="O252" s="2149"/>
      <c r="P252" s="2149"/>
      <c r="Q252" s="2149"/>
      <c r="R252" s="2149"/>
      <c r="S252" s="2149"/>
      <c r="T252" s="2149"/>
      <c r="U252" s="2149"/>
      <c r="V252" s="2149"/>
      <c r="W252" s="2149"/>
      <c r="X252" s="2149"/>
      <c r="Y252" s="2149"/>
      <c r="Z252" s="2149"/>
      <c r="AA252" s="2149"/>
      <c r="AB252" s="2149"/>
      <c r="AC252" s="2149"/>
      <c r="AD252" s="2149"/>
      <c r="AE252" s="2149"/>
      <c r="AF252" s="2149"/>
      <c r="AG252" s="2149"/>
      <c r="AH252" s="2149"/>
      <c r="AI252" s="2149"/>
      <c r="AJ252" s="2149"/>
      <c r="AK252" s="2149"/>
      <c r="AL252" s="2149"/>
      <c r="AM252" s="2149"/>
      <c r="AN252" s="2149"/>
      <c r="AO252" s="2149"/>
      <c r="AP252" s="2149"/>
      <c r="AQ252" s="2149"/>
      <c r="AR252" s="2149"/>
      <c r="AS252" s="2149"/>
      <c r="AT252" s="2149"/>
      <c r="AU252" s="2149"/>
      <c r="AV252" s="2149"/>
      <c r="AW252" s="2149"/>
      <c r="AX252" s="2149"/>
      <c r="AY252" s="2149"/>
      <c r="AZ252" s="2149"/>
      <c r="BA252" s="2149"/>
      <c r="BB252" s="2149"/>
      <c r="BC252" s="2149"/>
      <c r="BD252" s="2149"/>
      <c r="BE252" s="2149"/>
      <c r="BF252" s="2149"/>
      <c r="BG252" s="2149"/>
      <c r="BH252" s="2149"/>
      <c r="BI252" s="2149"/>
      <c r="BJ252" s="2149"/>
      <c r="BK252" s="2149"/>
      <c r="BL252" s="2149"/>
      <c r="BM252" s="2149"/>
      <c r="BN252" s="2149"/>
      <c r="BO252" s="2149"/>
      <c r="BP252" s="2149"/>
      <c r="BQ252" s="2149"/>
      <c r="BR252" s="2149"/>
      <c r="BS252" s="2149"/>
      <c r="BT252" s="2149"/>
      <c r="BU252" s="2149"/>
      <c r="BV252" s="2149"/>
      <c r="BW252" s="2149"/>
      <c r="BX252" s="2149"/>
      <c r="BY252" s="2149"/>
      <c r="BZ252" s="2149"/>
      <c r="CA252" s="2149"/>
      <c r="CB252" s="2149"/>
      <c r="CC252" s="2149"/>
      <c r="CD252" s="2149"/>
      <c r="CE252" s="2149"/>
      <c r="CF252" s="2149"/>
      <c r="CG252" s="2149"/>
      <c r="CH252" s="2149"/>
      <c r="CI252" s="2149"/>
      <c r="CJ252" s="2149"/>
      <c r="CK252" s="2149"/>
      <c r="CL252" s="2149"/>
      <c r="CM252" s="2149"/>
      <c r="CN252" s="2149"/>
      <c r="CO252" s="2149"/>
      <c r="CP252" s="2149"/>
      <c r="CQ252" s="2149"/>
      <c r="CR252" s="2149"/>
      <c r="CS252" s="2149"/>
      <c r="CT252" s="2149"/>
      <c r="CU252" s="2149"/>
      <c r="CV252" s="2149"/>
      <c r="CW252" s="2149"/>
      <c r="CX252" s="2149"/>
      <c r="CY252" s="2149"/>
      <c r="CZ252" s="2149"/>
      <c r="DA252" s="2149"/>
      <c r="DB252" s="2149"/>
      <c r="DC252" s="2149"/>
      <c r="DD252" s="2149"/>
      <c r="DE252" s="2149"/>
      <c r="DF252" s="2149"/>
      <c r="DG252" s="2149"/>
      <c r="DH252" s="2149"/>
      <c r="DI252" s="2149"/>
      <c r="DJ252" s="2149"/>
      <c r="DK252" s="2149"/>
      <c r="DL252" s="2149"/>
      <c r="DM252" s="2149"/>
      <c r="DN252" s="2149"/>
      <c r="DO252" s="2149"/>
      <c r="DP252" s="2149"/>
      <c r="DQ252" s="2149"/>
      <c r="DR252" s="2149"/>
      <c r="DS252" s="2149"/>
      <c r="DT252" s="2149"/>
      <c r="DU252" s="2149"/>
      <c r="DV252" s="2149"/>
      <c r="DW252" s="2149"/>
      <c r="DX252" s="2149"/>
      <c r="DY252" s="2149"/>
      <c r="DZ252" s="2149"/>
      <c r="EA252" s="2149"/>
      <c r="EB252" s="2149"/>
      <c r="EC252" s="2149"/>
      <c r="ED252" s="2149"/>
      <c r="EE252" s="2149"/>
      <c r="EF252" s="2149"/>
      <c r="EG252" s="2149"/>
      <c r="EH252" s="2149"/>
      <c r="EI252" s="2149"/>
      <c r="EJ252" s="2149"/>
      <c r="EK252" s="2149"/>
      <c r="EL252" s="2149"/>
      <c r="EM252" s="2149"/>
      <c r="EN252" s="2149"/>
      <c r="EO252" s="2149"/>
      <c r="EP252" s="2149"/>
      <c r="EQ252" s="2149"/>
      <c r="ER252" s="2149"/>
      <c r="ES252" s="2149"/>
      <c r="ET252" s="2149"/>
      <c r="EU252" s="2149"/>
      <c r="EV252" s="2149"/>
      <c r="EW252" s="2149"/>
      <c r="EX252" s="2149"/>
      <c r="EY252" s="2149"/>
      <c r="EZ252" s="2149"/>
      <c r="FA252" s="2149"/>
      <c r="FB252" s="2149"/>
      <c r="FC252" s="2149"/>
      <c r="FD252" s="2149"/>
      <c r="FE252" s="2149"/>
      <c r="FF252" s="2149"/>
      <c r="FG252" s="2149"/>
      <c r="FH252" s="2149"/>
      <c r="FI252" s="2149"/>
      <c r="FJ252" s="2149"/>
      <c r="FK252" s="2149"/>
      <c r="FL252" s="2149"/>
      <c r="FM252" s="2149"/>
      <c r="FN252" s="2149"/>
      <c r="FO252" s="2149"/>
      <c r="FP252" s="2149"/>
      <c r="FQ252" s="2149"/>
      <c r="FR252" s="2149"/>
      <c r="FS252" s="2149"/>
      <c r="FT252" s="2149"/>
      <c r="FU252" s="2149"/>
      <c r="FV252" s="2149"/>
      <c r="FW252" s="2149"/>
      <c r="FX252" s="2149"/>
      <c r="FY252" s="2149"/>
      <c r="FZ252" s="2149"/>
      <c r="GA252" s="2149"/>
      <c r="GB252" s="2149"/>
      <c r="GC252" s="2149"/>
      <c r="GD252" s="2149"/>
      <c r="GE252" s="2149"/>
      <c r="GF252" s="2149"/>
      <c r="GG252" s="2149"/>
      <c r="GH252" s="2149"/>
      <c r="GI252" s="2149"/>
      <c r="GJ252" s="2149"/>
      <c r="GK252" s="2149"/>
      <c r="GL252" s="2149"/>
      <c r="GM252" s="2149"/>
    </row>
    <row r="253" spans="1:195" ht="15" collapsed="1">
      <c r="D253" s="126" t="s">
        <v>183</v>
      </c>
      <c r="E253" s="127" t="s">
        <v>1592</v>
      </c>
      <c r="F253" s="2">
        <f>F254</f>
        <v>1407</v>
      </c>
      <c r="G253" s="383">
        <f>G254</f>
        <v>1407</v>
      </c>
      <c r="H253" s="116">
        <f t="shared" si="13"/>
        <v>0</v>
      </c>
      <c r="I253" s="1826">
        <f t="shared" si="16"/>
        <v>0</v>
      </c>
      <c r="J253" s="1129"/>
      <c r="K253" s="227"/>
    </row>
    <row r="254" spans="1:195" s="50" customFormat="1" ht="15" hidden="1" outlineLevel="1">
      <c r="A254" s="1665" t="s">
        <v>1950</v>
      </c>
      <c r="B254" s="1665" t="s">
        <v>1248</v>
      </c>
      <c r="C254" s="1858"/>
      <c r="D254" s="160"/>
      <c r="E254" s="161" t="s">
        <v>579</v>
      </c>
      <c r="F254" s="364">
        <f>SUMIFS(INPUT!H:H,INPUT!E:E,BAZE_2024!A254,INPUT!B:B,BAZE_2024!B254)</f>
        <v>1407</v>
      </c>
      <c r="G254" s="389">
        <f>SUMIFS(INPUT!L:L,INPUT!E:E,BAZE_2024!A254,INPUT!B:B,BAZE_2024!B254)</f>
        <v>1407</v>
      </c>
      <c r="H254" s="146">
        <f>G254-F254</f>
        <v>0</v>
      </c>
      <c r="I254" s="1836">
        <f t="shared" si="16"/>
        <v>0</v>
      </c>
      <c r="J254" s="1139"/>
      <c r="K254" s="227"/>
      <c r="L254" s="77"/>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row>
    <row r="255" spans="1:195" s="165" customFormat="1" ht="15" hidden="1" outlineLevel="1">
      <c r="A255" s="1665" t="s">
        <v>1950</v>
      </c>
      <c r="B255" s="1665" t="s">
        <v>512</v>
      </c>
      <c r="C255" s="1858"/>
      <c r="D255" s="278"/>
      <c r="E255" s="164" t="s">
        <v>431</v>
      </c>
      <c r="F255" s="364">
        <f>SUMIFS(INPUT!H:H,INPUT!E:E,BAZE_2024!A255,INPUT!B:B,BAZE_2024!B255)</f>
        <v>8631</v>
      </c>
      <c r="G255" s="389">
        <f>SUMIFS(INPUT!L:L,INPUT!E:E,BAZE_2024!A255,INPUT!B:B,BAZE_2024!B255)</f>
        <v>8631</v>
      </c>
      <c r="H255" s="373"/>
      <c r="I255" s="1837">
        <f t="shared" si="16"/>
        <v>0</v>
      </c>
      <c r="J255" s="1142"/>
      <c r="K255" s="227"/>
      <c r="L255" s="2018"/>
      <c r="M255" s="447"/>
      <c r="N255" s="447"/>
      <c r="O255" s="447"/>
      <c r="P255" s="447"/>
      <c r="Q255" s="447"/>
      <c r="R255" s="447"/>
      <c r="S255" s="447"/>
      <c r="T255" s="447"/>
      <c r="U255" s="447"/>
      <c r="V255" s="447"/>
      <c r="W255" s="447"/>
      <c r="X255" s="447"/>
      <c r="Y255" s="447"/>
      <c r="Z255" s="447"/>
      <c r="AA255" s="447"/>
      <c r="AB255" s="447"/>
      <c r="AC255" s="447"/>
      <c r="AD255" s="447"/>
      <c r="AE255" s="447"/>
      <c r="AF255" s="447"/>
      <c r="AG255" s="447"/>
      <c r="AH255" s="447"/>
      <c r="AI255" s="447"/>
      <c r="AJ255" s="447"/>
      <c r="AK255" s="447"/>
      <c r="AL255" s="447"/>
      <c r="AM255" s="447"/>
      <c r="AN255" s="447"/>
      <c r="AO255" s="447"/>
      <c r="AP255" s="447"/>
      <c r="AQ255" s="447"/>
      <c r="AR255" s="447"/>
      <c r="AS255" s="447"/>
      <c r="AT255" s="447"/>
      <c r="AU255" s="447"/>
      <c r="AV255" s="447"/>
      <c r="AW255" s="447"/>
      <c r="AX255" s="447"/>
      <c r="AY255" s="447"/>
      <c r="AZ255" s="447"/>
      <c r="BA255" s="447"/>
      <c r="BB255" s="447"/>
      <c r="BC255" s="447"/>
      <c r="BD255" s="447"/>
      <c r="BE255" s="447"/>
      <c r="BF255" s="447"/>
      <c r="BG255" s="447"/>
      <c r="BH255" s="447"/>
      <c r="BI255" s="447"/>
      <c r="BJ255" s="447"/>
      <c r="BK255" s="447"/>
      <c r="BL255" s="447"/>
      <c r="BM255" s="447"/>
      <c r="BN255" s="447"/>
      <c r="BO255" s="447"/>
      <c r="BP255" s="447"/>
      <c r="BQ255" s="447"/>
      <c r="BR255" s="447"/>
      <c r="BS255" s="447"/>
      <c r="BT255" s="447"/>
      <c r="BU255" s="447"/>
      <c r="BV255" s="447"/>
      <c r="BW255" s="447"/>
      <c r="BX255" s="447"/>
      <c r="BY255" s="447"/>
      <c r="BZ255" s="447"/>
      <c r="CA255" s="447"/>
      <c r="CB255" s="447"/>
      <c r="CC255" s="447"/>
      <c r="CD255" s="447"/>
      <c r="CE255" s="447"/>
      <c r="CF255" s="447"/>
      <c r="CG255" s="447"/>
      <c r="CH255" s="447"/>
      <c r="CI255" s="447"/>
      <c r="CJ255" s="447"/>
      <c r="CK255" s="447"/>
      <c r="CL255" s="447"/>
      <c r="CM255" s="447"/>
      <c r="CN255" s="447"/>
      <c r="CO255" s="447"/>
      <c r="CP255" s="447"/>
      <c r="CQ255" s="447"/>
      <c r="CR255" s="447"/>
      <c r="CS255" s="447"/>
      <c r="CT255" s="447"/>
      <c r="CU255" s="447"/>
      <c r="CV255" s="447"/>
      <c r="CW255" s="447"/>
      <c r="CX255" s="447"/>
      <c r="CY255" s="447"/>
      <c r="CZ255" s="447"/>
      <c r="DA255" s="447"/>
      <c r="DB255" s="447"/>
      <c r="DC255" s="447"/>
      <c r="DD255" s="447"/>
      <c r="DE255" s="447"/>
      <c r="DF255" s="447"/>
      <c r="DG255" s="447"/>
      <c r="DH255" s="447"/>
      <c r="DI255" s="447"/>
      <c r="DJ255" s="447"/>
      <c r="DK255" s="447"/>
      <c r="DL255" s="447"/>
      <c r="DM255" s="447"/>
      <c r="DN255" s="447"/>
      <c r="DO255" s="447"/>
      <c r="DP255" s="447"/>
      <c r="DQ255" s="447"/>
      <c r="DR255" s="447"/>
      <c r="DS255" s="447"/>
      <c r="DT255" s="447"/>
      <c r="DU255" s="447"/>
      <c r="DV255" s="447"/>
      <c r="DW255" s="447"/>
      <c r="DX255" s="447"/>
      <c r="DY255" s="447"/>
      <c r="DZ255" s="447"/>
      <c r="EA255" s="447"/>
      <c r="EB255" s="447"/>
      <c r="EC255" s="447"/>
      <c r="ED255" s="447"/>
      <c r="EE255" s="447"/>
      <c r="EF255" s="447"/>
      <c r="EG255" s="447"/>
      <c r="EH255" s="447"/>
      <c r="EI255" s="447"/>
      <c r="EJ255" s="447"/>
      <c r="EK255" s="447"/>
      <c r="EL255" s="447"/>
      <c r="EM255" s="447"/>
      <c r="EN255" s="447"/>
      <c r="EO255" s="447"/>
      <c r="EP255" s="447"/>
      <c r="EQ255" s="447"/>
      <c r="ER255" s="447"/>
      <c r="ES255" s="447"/>
      <c r="ET255" s="447"/>
      <c r="EU255" s="447"/>
      <c r="EV255" s="447"/>
      <c r="EW255" s="447"/>
      <c r="EX255" s="447"/>
      <c r="EY255" s="447"/>
      <c r="EZ255" s="447"/>
      <c r="FA255" s="447"/>
      <c r="FB255" s="447"/>
      <c r="FC255" s="447"/>
      <c r="FD255" s="447"/>
      <c r="FE255" s="447"/>
      <c r="FF255" s="447"/>
      <c r="FG255" s="447"/>
      <c r="FH255" s="447"/>
      <c r="FI255" s="447"/>
      <c r="FJ255" s="447"/>
      <c r="FK255" s="447"/>
      <c r="FL255" s="447"/>
      <c r="FM255" s="447"/>
      <c r="FN255" s="447"/>
      <c r="FO255" s="447"/>
      <c r="FP255" s="447"/>
      <c r="FQ255" s="447"/>
      <c r="FR255" s="447"/>
      <c r="FS255" s="447"/>
      <c r="FT255" s="447"/>
      <c r="FU255" s="447"/>
      <c r="FV255" s="447"/>
      <c r="FW255" s="447"/>
      <c r="FX255" s="447"/>
      <c r="FY255" s="447"/>
      <c r="FZ255" s="447"/>
      <c r="GA255" s="447"/>
      <c r="GB255" s="447"/>
      <c r="GC255" s="447"/>
      <c r="GD255" s="447"/>
      <c r="GE255" s="447"/>
      <c r="GF255" s="447"/>
      <c r="GG255" s="447"/>
      <c r="GH255" s="447"/>
      <c r="GI255" s="447"/>
      <c r="GJ255" s="447"/>
      <c r="GK255" s="447"/>
      <c r="GL255" s="447"/>
      <c r="GM255" s="447"/>
    </row>
    <row r="256" spans="1:195" ht="15" collapsed="1">
      <c r="D256" s="126" t="s">
        <v>598</v>
      </c>
      <c r="E256" s="127" t="s">
        <v>188</v>
      </c>
      <c r="F256" s="2">
        <f>F257+F258+F259</f>
        <v>125796.09117999999</v>
      </c>
      <c r="G256" s="383">
        <f>G257+G258+G259</f>
        <v>139599.07449700119</v>
      </c>
      <c r="H256" s="116">
        <f t="shared" si="13"/>
        <v>13802.983317001199</v>
      </c>
      <c r="I256" s="1826">
        <f t="shared" si="16"/>
        <v>0.10972505733306681</v>
      </c>
      <c r="J256" s="1129"/>
      <c r="K256" s="227"/>
    </row>
    <row r="257" spans="1:195" s="50" customFormat="1" ht="45" hidden="1" outlineLevel="1">
      <c r="A257" s="1665" t="s">
        <v>1921</v>
      </c>
      <c r="B257" s="1665" t="s">
        <v>663</v>
      </c>
      <c r="C257" s="1858"/>
      <c r="D257" s="160"/>
      <c r="E257" s="161" t="s">
        <v>663</v>
      </c>
      <c r="F257" s="364">
        <f>SUMIFS(INPUT!H:H,INPUT!E:E,BAZE_2024!A257,INPUT!B:B,BAZE_2024!B257)</f>
        <v>115918.09117999999</v>
      </c>
      <c r="G257" s="389">
        <f>SUMIFS(INPUT!L:L,INPUT!E:E,BAZE_2024!A257,INPUT!B:B,BAZE_2024!B257)-9210</f>
        <v>130537.87449700118</v>
      </c>
      <c r="H257" s="162">
        <f t="shared" si="13"/>
        <v>14619.783317001187</v>
      </c>
      <c r="I257" s="1842">
        <f t="shared" si="16"/>
        <v>0.12612167063982521</v>
      </c>
      <c r="J257" s="1188" t="s">
        <v>6219</v>
      </c>
      <c r="K257" s="227"/>
      <c r="L257" s="7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row>
    <row r="258" spans="1:195" s="50" customFormat="1" ht="15" hidden="1" outlineLevel="1">
      <c r="A258" s="1665" t="s">
        <v>1921</v>
      </c>
      <c r="B258" s="1665" t="s">
        <v>1248</v>
      </c>
      <c r="C258" s="1858"/>
      <c r="D258" s="216"/>
      <c r="E258" s="217" t="s">
        <v>579</v>
      </c>
      <c r="F258" s="364">
        <f>SUMIFS(INPUT!H:H,INPUT!E:E,BAZE_2024!A258,INPUT!B:B,BAZE_2024!B258)</f>
        <v>9878</v>
      </c>
      <c r="G258" s="389">
        <f>SUMIFS(INPUT!L:L,INPUT!E:E,BAZE_2024!A258,INPUT!B:B,BAZE_2024!B258)</f>
        <v>9061.2000000000007</v>
      </c>
      <c r="H258" s="146">
        <f t="shared" si="13"/>
        <v>-816.79999999999927</v>
      </c>
      <c r="I258" s="1836">
        <f t="shared" si="16"/>
        <v>-8.2688803401498201E-2</v>
      </c>
      <c r="J258" s="1130"/>
      <c r="K258" s="156">
        <v>-0.01</v>
      </c>
      <c r="L258" s="1222">
        <f>G258*K258</f>
        <v>-90.612000000000009</v>
      </c>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row>
    <row r="259" spans="1:195" s="50" customFormat="1" ht="15" hidden="1" outlineLevel="1">
      <c r="A259" s="1665" t="s">
        <v>1921</v>
      </c>
      <c r="B259" s="1665" t="s">
        <v>1250</v>
      </c>
      <c r="C259" s="1858"/>
      <c r="D259" s="216"/>
      <c r="E259" s="161" t="s">
        <v>578</v>
      </c>
      <c r="F259" s="364">
        <f>SUMIFS(INPUT!H:H,INPUT!E:E,BAZE_2024!A259,INPUT!B:B,BAZE_2024!B259)</f>
        <v>0</v>
      </c>
      <c r="G259" s="389">
        <f>SUMIFS(INPUT!L:L,INPUT!E:E,BAZE_2024!A259,INPUT!B:B,BAZE_2024!B259)</f>
        <v>0</v>
      </c>
      <c r="H259" s="258"/>
      <c r="I259" s="1845" t="str">
        <f t="shared" si="16"/>
        <v>-</v>
      </c>
      <c r="J259" s="1143"/>
      <c r="K259" s="227"/>
      <c r="L259" s="77"/>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row>
    <row r="260" spans="1:195" s="2150" customFormat="1" ht="15" hidden="1" outlineLevel="1">
      <c r="A260" s="2151" t="s">
        <v>1921</v>
      </c>
      <c r="B260" s="2151" t="s">
        <v>1249</v>
      </c>
      <c r="C260" s="2152"/>
      <c r="D260" s="2155"/>
      <c r="E260" s="2156" t="s">
        <v>1249</v>
      </c>
      <c r="F260" s="2153">
        <f>SUMIFS(INPUT!H:H,INPUT!E:E,BAZE_2024!A260,INPUT!B:B,BAZE_2024!B260)</f>
        <v>0</v>
      </c>
      <c r="G260" s="380">
        <f>SUMIFS(INPUT!L:L,INPUT!E:E,BAZE_2024!A260,INPUT!B:B,BAZE_2024!B260)</f>
        <v>0</v>
      </c>
      <c r="H260" s="2145">
        <f t="shared" si="13"/>
        <v>0</v>
      </c>
      <c r="I260" s="2146" t="str">
        <f t="shared" si="16"/>
        <v>-</v>
      </c>
      <c r="J260" s="2147"/>
      <c r="K260" s="2154"/>
      <c r="L260" s="2148"/>
      <c r="M260" s="2149"/>
      <c r="N260" s="2149"/>
      <c r="O260" s="2149"/>
      <c r="P260" s="2149"/>
      <c r="Q260" s="2149"/>
      <c r="R260" s="2149"/>
      <c r="S260" s="2149"/>
      <c r="T260" s="2149"/>
      <c r="U260" s="2149"/>
      <c r="V260" s="2149"/>
      <c r="W260" s="2149"/>
      <c r="X260" s="2149"/>
      <c r="Y260" s="2149"/>
      <c r="Z260" s="2149"/>
      <c r="AA260" s="2149"/>
      <c r="AB260" s="2149"/>
      <c r="AC260" s="2149"/>
      <c r="AD260" s="2149"/>
      <c r="AE260" s="2149"/>
      <c r="AF260" s="2149"/>
      <c r="AG260" s="2149"/>
      <c r="AH260" s="2149"/>
      <c r="AI260" s="2149"/>
      <c r="AJ260" s="2149"/>
      <c r="AK260" s="2149"/>
      <c r="AL260" s="2149"/>
      <c r="AM260" s="2149"/>
      <c r="AN260" s="2149"/>
      <c r="AO260" s="2149"/>
      <c r="AP260" s="2149"/>
      <c r="AQ260" s="2149"/>
      <c r="AR260" s="2149"/>
      <c r="AS260" s="2149"/>
      <c r="AT260" s="2149"/>
      <c r="AU260" s="2149"/>
      <c r="AV260" s="2149"/>
      <c r="AW260" s="2149"/>
      <c r="AX260" s="2149"/>
      <c r="AY260" s="2149"/>
      <c r="AZ260" s="2149"/>
      <c r="BA260" s="2149"/>
      <c r="BB260" s="2149"/>
      <c r="BC260" s="2149"/>
      <c r="BD260" s="2149"/>
      <c r="BE260" s="2149"/>
      <c r="BF260" s="2149"/>
      <c r="BG260" s="2149"/>
      <c r="BH260" s="2149"/>
      <c r="BI260" s="2149"/>
      <c r="BJ260" s="2149"/>
      <c r="BK260" s="2149"/>
      <c r="BL260" s="2149"/>
      <c r="BM260" s="2149"/>
      <c r="BN260" s="2149"/>
      <c r="BO260" s="2149"/>
      <c r="BP260" s="2149"/>
      <c r="BQ260" s="2149"/>
      <c r="BR260" s="2149"/>
      <c r="BS260" s="2149"/>
      <c r="BT260" s="2149"/>
      <c r="BU260" s="2149"/>
      <c r="BV260" s="2149"/>
      <c r="BW260" s="2149"/>
      <c r="BX260" s="2149"/>
      <c r="BY260" s="2149"/>
      <c r="BZ260" s="2149"/>
      <c r="CA260" s="2149"/>
      <c r="CB260" s="2149"/>
      <c r="CC260" s="2149"/>
      <c r="CD260" s="2149"/>
      <c r="CE260" s="2149"/>
      <c r="CF260" s="2149"/>
      <c r="CG260" s="2149"/>
      <c r="CH260" s="2149"/>
      <c r="CI260" s="2149"/>
      <c r="CJ260" s="2149"/>
      <c r="CK260" s="2149"/>
      <c r="CL260" s="2149"/>
      <c r="CM260" s="2149"/>
      <c r="CN260" s="2149"/>
      <c r="CO260" s="2149"/>
      <c r="CP260" s="2149"/>
      <c r="CQ260" s="2149"/>
      <c r="CR260" s="2149"/>
      <c r="CS260" s="2149"/>
      <c r="CT260" s="2149"/>
      <c r="CU260" s="2149"/>
      <c r="CV260" s="2149"/>
      <c r="CW260" s="2149"/>
      <c r="CX260" s="2149"/>
      <c r="CY260" s="2149"/>
      <c r="CZ260" s="2149"/>
      <c r="DA260" s="2149"/>
      <c r="DB260" s="2149"/>
      <c r="DC260" s="2149"/>
      <c r="DD260" s="2149"/>
      <c r="DE260" s="2149"/>
      <c r="DF260" s="2149"/>
      <c r="DG260" s="2149"/>
      <c r="DH260" s="2149"/>
      <c r="DI260" s="2149"/>
      <c r="DJ260" s="2149"/>
      <c r="DK260" s="2149"/>
      <c r="DL260" s="2149"/>
      <c r="DM260" s="2149"/>
      <c r="DN260" s="2149"/>
      <c r="DO260" s="2149"/>
      <c r="DP260" s="2149"/>
      <c r="DQ260" s="2149"/>
      <c r="DR260" s="2149"/>
      <c r="DS260" s="2149"/>
      <c r="DT260" s="2149"/>
      <c r="DU260" s="2149"/>
      <c r="DV260" s="2149"/>
      <c r="DW260" s="2149"/>
      <c r="DX260" s="2149"/>
      <c r="DY260" s="2149"/>
      <c r="DZ260" s="2149"/>
      <c r="EA260" s="2149"/>
      <c r="EB260" s="2149"/>
      <c r="EC260" s="2149"/>
      <c r="ED260" s="2149"/>
      <c r="EE260" s="2149"/>
      <c r="EF260" s="2149"/>
      <c r="EG260" s="2149"/>
      <c r="EH260" s="2149"/>
      <c r="EI260" s="2149"/>
      <c r="EJ260" s="2149"/>
      <c r="EK260" s="2149"/>
      <c r="EL260" s="2149"/>
      <c r="EM260" s="2149"/>
      <c r="EN260" s="2149"/>
      <c r="EO260" s="2149"/>
      <c r="EP260" s="2149"/>
      <c r="EQ260" s="2149"/>
      <c r="ER260" s="2149"/>
      <c r="ES260" s="2149"/>
      <c r="ET260" s="2149"/>
      <c r="EU260" s="2149"/>
      <c r="EV260" s="2149"/>
      <c r="EW260" s="2149"/>
      <c r="EX260" s="2149"/>
      <c r="EY260" s="2149"/>
      <c r="EZ260" s="2149"/>
      <c r="FA260" s="2149"/>
      <c r="FB260" s="2149"/>
      <c r="FC260" s="2149"/>
      <c r="FD260" s="2149"/>
      <c r="FE260" s="2149"/>
      <c r="FF260" s="2149"/>
      <c r="FG260" s="2149"/>
      <c r="FH260" s="2149"/>
      <c r="FI260" s="2149"/>
      <c r="FJ260" s="2149"/>
      <c r="FK260" s="2149"/>
      <c r="FL260" s="2149"/>
      <c r="FM260" s="2149"/>
      <c r="FN260" s="2149"/>
      <c r="FO260" s="2149"/>
      <c r="FP260" s="2149"/>
      <c r="FQ260" s="2149"/>
      <c r="FR260" s="2149"/>
      <c r="FS260" s="2149"/>
      <c r="FT260" s="2149"/>
      <c r="FU260" s="2149"/>
      <c r="FV260" s="2149"/>
      <c r="FW260" s="2149"/>
      <c r="FX260" s="2149"/>
      <c r="FY260" s="2149"/>
      <c r="FZ260" s="2149"/>
      <c r="GA260" s="2149"/>
      <c r="GB260" s="2149"/>
      <c r="GC260" s="2149"/>
      <c r="GD260" s="2149"/>
      <c r="GE260" s="2149"/>
      <c r="GF260" s="2149"/>
      <c r="GG260" s="2149"/>
      <c r="GH260" s="2149"/>
      <c r="GI260" s="2149"/>
      <c r="GJ260" s="2149"/>
      <c r="GK260" s="2149"/>
      <c r="GL260" s="2149"/>
      <c r="GM260" s="2149"/>
    </row>
    <row r="261" spans="1:195" s="1861" customFormat="1" ht="14.25" collapsed="1">
      <c r="A261" s="2124"/>
      <c r="B261" s="2123"/>
      <c r="C261" s="2122"/>
      <c r="D261" s="2157" t="s">
        <v>71</v>
      </c>
      <c r="E261" s="2158" t="s">
        <v>189</v>
      </c>
      <c r="F261" s="2159">
        <f>F268+F269+F277+F281+F288+F295+F302+F309+F315+F322+F334+F344+F358+F352+F364</f>
        <v>13034838.032551607</v>
      </c>
      <c r="G261" s="2159">
        <f>G268+G269+G277+G281+G288+G295+G302+G309+G315+G322+G334+G344+G358+G352+G364</f>
        <v>14553579.751117995</v>
      </c>
      <c r="H261" s="484">
        <f>G261-F261</f>
        <v>1518741.7185663879</v>
      </c>
      <c r="I261" s="2160">
        <f t="shared" si="16"/>
        <v>0.11651404603368821</v>
      </c>
      <c r="J261" s="2161"/>
      <c r="K261" s="1229"/>
      <c r="L261" s="2017"/>
    </row>
    <row r="262" spans="1:195" s="477" customFormat="1" ht="14.25">
      <c r="A262" s="2124"/>
      <c r="B262" s="2124"/>
      <c r="C262" s="2122"/>
      <c r="D262" s="472"/>
      <c r="E262" s="1224" t="s">
        <v>663</v>
      </c>
      <c r="F262" s="1225">
        <f>F270+F282+F289+F296+F303+F316+F323+F335+F345+F353+F359+F365</f>
        <v>6507912.6671266062</v>
      </c>
      <c r="G262" s="1225">
        <f>G270+G282+G289+G296+G303+G316+G323+G335+G345+G353+G359+G365</f>
        <v>7733885.2659701686</v>
      </c>
      <c r="H262" s="1226">
        <f t="shared" si="13"/>
        <v>1225972.5988435624</v>
      </c>
      <c r="I262" s="1848">
        <f t="shared" si="16"/>
        <v>0.18838184553955573</v>
      </c>
      <c r="J262" s="476"/>
      <c r="K262" s="1229"/>
      <c r="L262" s="2013"/>
      <c r="M262" s="1860"/>
      <c r="N262" s="1860"/>
      <c r="O262" s="1860"/>
      <c r="P262" s="1860"/>
      <c r="Q262" s="1860"/>
      <c r="R262" s="1860"/>
      <c r="S262" s="1860"/>
      <c r="T262" s="1860"/>
      <c r="U262" s="1860"/>
      <c r="V262" s="1860"/>
      <c r="W262" s="1860"/>
      <c r="X262" s="1860"/>
      <c r="Y262" s="1860"/>
      <c r="Z262" s="1860"/>
      <c r="AA262" s="1860"/>
      <c r="AB262" s="1860"/>
      <c r="AC262" s="1860"/>
      <c r="AD262" s="1860"/>
      <c r="AE262" s="1860"/>
      <c r="AF262" s="1860"/>
      <c r="AG262" s="1860"/>
      <c r="AH262" s="1860"/>
      <c r="AI262" s="1860"/>
      <c r="AJ262" s="1860"/>
      <c r="AK262" s="1860"/>
      <c r="AL262" s="1860"/>
      <c r="AM262" s="1860"/>
      <c r="AN262" s="1860"/>
      <c r="AO262" s="1860"/>
      <c r="AP262" s="1860"/>
      <c r="AQ262" s="1860"/>
      <c r="AR262" s="1860"/>
      <c r="AS262" s="1860"/>
      <c r="AT262" s="1860"/>
      <c r="AU262" s="1860"/>
      <c r="AV262" s="1860"/>
      <c r="AW262" s="1860"/>
      <c r="AX262" s="1860"/>
      <c r="AY262" s="1860"/>
      <c r="AZ262" s="1860"/>
      <c r="BA262" s="1860"/>
      <c r="BB262" s="1860"/>
      <c r="BC262" s="1860"/>
      <c r="BD262" s="1860"/>
      <c r="BE262" s="1860"/>
      <c r="BF262" s="1860"/>
      <c r="BG262" s="1860"/>
      <c r="BH262" s="1860"/>
      <c r="BI262" s="1860"/>
      <c r="BJ262" s="1860"/>
      <c r="BK262" s="1860"/>
      <c r="BL262" s="1860"/>
      <c r="BM262" s="1860"/>
      <c r="BN262" s="1860"/>
      <c r="BO262" s="1860"/>
      <c r="BP262" s="1860"/>
      <c r="BQ262" s="1860"/>
      <c r="BR262" s="1860"/>
      <c r="BS262" s="1860"/>
      <c r="BT262" s="1860"/>
      <c r="BU262" s="1860"/>
      <c r="BV262" s="1860"/>
      <c r="BW262" s="1860"/>
      <c r="BX262" s="1860"/>
      <c r="BY262" s="1860"/>
      <c r="BZ262" s="1860"/>
      <c r="CA262" s="1860"/>
      <c r="CB262" s="1860"/>
      <c r="CC262" s="1860"/>
      <c r="CD262" s="1860"/>
      <c r="CE262" s="1860"/>
      <c r="CF262" s="1860"/>
      <c r="CG262" s="1860"/>
      <c r="CH262" s="1860"/>
      <c r="CI262" s="1860"/>
      <c r="CJ262" s="1860"/>
      <c r="CK262" s="1860"/>
      <c r="CL262" s="1860"/>
      <c r="CM262" s="1860"/>
      <c r="CN262" s="1860"/>
      <c r="CO262" s="1860"/>
      <c r="CP262" s="1860"/>
      <c r="CQ262" s="1860"/>
      <c r="CR262" s="1860"/>
      <c r="CS262" s="1860"/>
      <c r="CT262" s="1860"/>
      <c r="CU262" s="1860"/>
      <c r="CV262" s="1860"/>
      <c r="CW262" s="1860"/>
      <c r="CX262" s="1860"/>
      <c r="CY262" s="1860"/>
      <c r="CZ262" s="1860"/>
      <c r="DA262" s="1860"/>
      <c r="DB262" s="1860"/>
      <c r="DC262" s="1860"/>
      <c r="DD262" s="1860"/>
      <c r="DE262" s="1860"/>
      <c r="DF262" s="1860"/>
      <c r="DG262" s="1860"/>
      <c r="DH262" s="1860"/>
      <c r="DI262" s="1860"/>
      <c r="DJ262" s="1860"/>
      <c r="DK262" s="1860"/>
      <c r="DL262" s="1860"/>
      <c r="DM262" s="1860"/>
      <c r="DN262" s="1860"/>
      <c r="DO262" s="1860"/>
      <c r="DP262" s="1860"/>
      <c r="DQ262" s="1860"/>
      <c r="DR262" s="1860"/>
      <c r="DS262" s="1860"/>
      <c r="DT262" s="1860"/>
      <c r="DU262" s="1860"/>
      <c r="DV262" s="1860"/>
      <c r="DW262" s="1860"/>
      <c r="DX262" s="1860"/>
      <c r="DY262" s="1860"/>
      <c r="DZ262" s="1860"/>
      <c r="EA262" s="1860"/>
      <c r="EB262" s="1860"/>
      <c r="EC262" s="1860"/>
      <c r="ED262" s="1860"/>
      <c r="EE262" s="1860"/>
      <c r="EF262" s="1860"/>
      <c r="EG262" s="1860"/>
      <c r="EH262" s="1860"/>
      <c r="EI262" s="1860"/>
      <c r="EJ262" s="1860"/>
      <c r="EK262" s="1860"/>
      <c r="EL262" s="1860"/>
      <c r="EM262" s="1860"/>
      <c r="EN262" s="1860"/>
      <c r="EO262" s="1860"/>
      <c r="EP262" s="1860"/>
      <c r="EQ262" s="1860"/>
      <c r="ER262" s="1860"/>
      <c r="ES262" s="1860"/>
      <c r="ET262" s="1860"/>
      <c r="EU262" s="1860"/>
      <c r="EV262" s="1860"/>
      <c r="EW262" s="1860"/>
      <c r="EX262" s="1860"/>
      <c r="EY262" s="1860"/>
      <c r="EZ262" s="1860"/>
      <c r="FA262" s="1860"/>
      <c r="FB262" s="1860"/>
      <c r="FC262" s="1860"/>
      <c r="FD262" s="1860"/>
      <c r="FE262" s="1860"/>
      <c r="FF262" s="1860"/>
      <c r="FG262" s="1860"/>
      <c r="FH262" s="1860"/>
      <c r="FI262" s="1860"/>
      <c r="FJ262" s="1860"/>
      <c r="FK262" s="1860"/>
      <c r="FL262" s="1860"/>
      <c r="FM262" s="1860"/>
      <c r="FN262" s="1860"/>
      <c r="FO262" s="1860"/>
      <c r="FP262" s="1860"/>
      <c r="FQ262" s="1860"/>
      <c r="FR262" s="1860"/>
      <c r="FS262" s="1860"/>
      <c r="FT262" s="1860"/>
      <c r="FU262" s="1860"/>
      <c r="FV262" s="1860"/>
      <c r="FW262" s="1860"/>
      <c r="FX262" s="1860"/>
      <c r="FY262" s="1860"/>
      <c r="FZ262" s="1860"/>
      <c r="GA262" s="1860"/>
      <c r="GB262" s="1860"/>
      <c r="GC262" s="1860"/>
      <c r="GD262" s="1860"/>
      <c r="GE262" s="1860"/>
      <c r="GF262" s="1860"/>
      <c r="GG262" s="1860"/>
      <c r="GH262" s="1860"/>
      <c r="GI262" s="1860"/>
      <c r="GJ262" s="1860"/>
      <c r="GK262" s="1860"/>
      <c r="GL262" s="1860"/>
      <c r="GM262" s="1860"/>
    </row>
    <row r="263" spans="1:195" s="477" customFormat="1" ht="14.25">
      <c r="A263" s="2124"/>
      <c r="B263" s="2124"/>
      <c r="C263" s="2122"/>
      <c r="D263" s="478"/>
      <c r="E263" s="1227" t="s">
        <v>579</v>
      </c>
      <c r="F263" s="1225">
        <f>F268+F271+F278+F283+F290+F297+F304+F310+F313+F314+F317+F324+F336+F346+F354+F360+F366</f>
        <v>5840085.4914250001</v>
      </c>
      <c r="G263" s="1225">
        <f>G268+G271+G278+G283+G290+G297+G304+G310+G313+G314+G317+G324+G336+G346+G354+G360+G366</f>
        <v>6116661.4851478264</v>
      </c>
      <c r="H263" s="1226">
        <f>G263-F263</f>
        <v>276575.99372282624</v>
      </c>
      <c r="I263" s="1848">
        <f t="shared" si="16"/>
        <v>4.7358209760614445E-2</v>
      </c>
      <c r="J263" s="482"/>
      <c r="K263" s="1229"/>
      <c r="L263" s="2013"/>
      <c r="M263" s="1860"/>
      <c r="N263" s="1860"/>
      <c r="O263" s="1860"/>
      <c r="P263" s="1860"/>
      <c r="Q263" s="1860"/>
      <c r="R263" s="1860"/>
      <c r="S263" s="1860"/>
      <c r="T263" s="1860"/>
      <c r="U263" s="1860"/>
      <c r="V263" s="1860"/>
      <c r="W263" s="1860"/>
      <c r="X263" s="1860"/>
      <c r="Y263" s="1860"/>
      <c r="Z263" s="1860"/>
      <c r="AA263" s="1860"/>
      <c r="AB263" s="1860"/>
      <c r="AC263" s="1860"/>
      <c r="AD263" s="1860"/>
      <c r="AE263" s="1860"/>
      <c r="AF263" s="1860"/>
      <c r="AG263" s="1860"/>
      <c r="AH263" s="1860"/>
      <c r="AI263" s="1860"/>
      <c r="AJ263" s="1860"/>
      <c r="AK263" s="1860"/>
      <c r="AL263" s="1860"/>
      <c r="AM263" s="1860"/>
      <c r="AN263" s="1860"/>
      <c r="AO263" s="1860"/>
      <c r="AP263" s="1860"/>
      <c r="AQ263" s="1860"/>
      <c r="AR263" s="1860"/>
      <c r="AS263" s="1860"/>
      <c r="AT263" s="1860"/>
      <c r="AU263" s="1860"/>
      <c r="AV263" s="1860"/>
      <c r="AW263" s="1860"/>
      <c r="AX263" s="1860"/>
      <c r="AY263" s="1860"/>
      <c r="AZ263" s="1860"/>
      <c r="BA263" s="1860"/>
      <c r="BB263" s="1860"/>
      <c r="BC263" s="1860"/>
      <c r="BD263" s="1860"/>
      <c r="BE263" s="1860"/>
      <c r="BF263" s="1860"/>
      <c r="BG263" s="1860"/>
      <c r="BH263" s="1860"/>
      <c r="BI263" s="1860"/>
      <c r="BJ263" s="1860"/>
      <c r="BK263" s="1860"/>
      <c r="BL263" s="1860"/>
      <c r="BM263" s="1860"/>
      <c r="BN263" s="1860"/>
      <c r="BO263" s="1860"/>
      <c r="BP263" s="1860"/>
      <c r="BQ263" s="1860"/>
      <c r="BR263" s="1860"/>
      <c r="BS263" s="1860"/>
      <c r="BT263" s="1860"/>
      <c r="BU263" s="1860"/>
      <c r="BV263" s="1860"/>
      <c r="BW263" s="1860"/>
      <c r="BX263" s="1860"/>
      <c r="BY263" s="1860"/>
      <c r="BZ263" s="1860"/>
      <c r="CA263" s="1860"/>
      <c r="CB263" s="1860"/>
      <c r="CC263" s="1860"/>
      <c r="CD263" s="1860"/>
      <c r="CE263" s="1860"/>
      <c r="CF263" s="1860"/>
      <c r="CG263" s="1860"/>
      <c r="CH263" s="1860"/>
      <c r="CI263" s="1860"/>
      <c r="CJ263" s="1860"/>
      <c r="CK263" s="1860"/>
      <c r="CL263" s="1860"/>
      <c r="CM263" s="1860"/>
      <c r="CN263" s="1860"/>
      <c r="CO263" s="1860"/>
      <c r="CP263" s="1860"/>
      <c r="CQ263" s="1860"/>
      <c r="CR263" s="1860"/>
      <c r="CS263" s="1860"/>
      <c r="CT263" s="1860"/>
      <c r="CU263" s="1860"/>
      <c r="CV263" s="1860"/>
      <c r="CW263" s="1860"/>
      <c r="CX263" s="1860"/>
      <c r="CY263" s="1860"/>
      <c r="CZ263" s="1860"/>
      <c r="DA263" s="1860"/>
      <c r="DB263" s="1860"/>
      <c r="DC263" s="1860"/>
      <c r="DD263" s="1860"/>
      <c r="DE263" s="1860"/>
      <c r="DF263" s="1860"/>
      <c r="DG263" s="1860"/>
      <c r="DH263" s="1860"/>
      <c r="DI263" s="1860"/>
      <c r="DJ263" s="1860"/>
      <c r="DK263" s="1860"/>
      <c r="DL263" s="1860"/>
      <c r="DM263" s="1860"/>
      <c r="DN263" s="1860"/>
      <c r="DO263" s="1860"/>
      <c r="DP263" s="1860"/>
      <c r="DQ263" s="1860"/>
      <c r="DR263" s="1860"/>
      <c r="DS263" s="1860"/>
      <c r="DT263" s="1860"/>
      <c r="DU263" s="1860"/>
      <c r="DV263" s="1860"/>
      <c r="DW263" s="1860"/>
      <c r="DX263" s="1860"/>
      <c r="DY263" s="1860"/>
      <c r="DZ263" s="1860"/>
      <c r="EA263" s="1860"/>
      <c r="EB263" s="1860"/>
      <c r="EC263" s="1860"/>
      <c r="ED263" s="1860"/>
      <c r="EE263" s="1860"/>
      <c r="EF263" s="1860"/>
      <c r="EG263" s="1860"/>
      <c r="EH263" s="1860"/>
      <c r="EI263" s="1860"/>
      <c r="EJ263" s="1860"/>
      <c r="EK263" s="1860"/>
      <c r="EL263" s="1860"/>
      <c r="EM263" s="1860"/>
      <c r="EN263" s="1860"/>
      <c r="EO263" s="1860"/>
      <c r="EP263" s="1860"/>
      <c r="EQ263" s="1860"/>
      <c r="ER263" s="1860"/>
      <c r="ES263" s="1860"/>
      <c r="ET263" s="1860"/>
      <c r="EU263" s="1860"/>
      <c r="EV263" s="1860"/>
      <c r="EW263" s="1860"/>
      <c r="EX263" s="1860"/>
      <c r="EY263" s="1860"/>
      <c r="EZ263" s="1860"/>
      <c r="FA263" s="1860"/>
      <c r="FB263" s="1860"/>
      <c r="FC263" s="1860"/>
      <c r="FD263" s="1860"/>
      <c r="FE263" s="1860"/>
      <c r="FF263" s="1860"/>
      <c r="FG263" s="1860"/>
      <c r="FH263" s="1860"/>
      <c r="FI263" s="1860"/>
      <c r="FJ263" s="1860"/>
      <c r="FK263" s="1860"/>
      <c r="FL263" s="1860"/>
      <c r="FM263" s="1860"/>
      <c r="FN263" s="1860"/>
      <c r="FO263" s="1860"/>
      <c r="FP263" s="1860"/>
      <c r="FQ263" s="1860"/>
      <c r="FR263" s="1860"/>
      <c r="FS263" s="1860"/>
      <c r="FT263" s="1860"/>
      <c r="FU263" s="1860"/>
      <c r="FV263" s="1860"/>
      <c r="FW263" s="1860"/>
      <c r="FX263" s="1860"/>
      <c r="FY263" s="1860"/>
      <c r="FZ263" s="1860"/>
      <c r="GA263" s="1860"/>
      <c r="GB263" s="1860"/>
      <c r="GC263" s="1860"/>
      <c r="GD263" s="1860"/>
      <c r="GE263" s="1860"/>
      <c r="GF263" s="1860"/>
      <c r="GG263" s="1860"/>
      <c r="GH263" s="1860"/>
      <c r="GI263" s="1860"/>
      <c r="GJ263" s="1860"/>
      <c r="GK263" s="1860"/>
      <c r="GL263" s="1860"/>
      <c r="GM263" s="1860"/>
    </row>
    <row r="264" spans="1:195" s="477" customFormat="1" ht="15">
      <c r="A264" s="2124"/>
      <c r="B264" s="2124"/>
      <c r="C264" s="2122"/>
      <c r="D264" s="3933"/>
      <c r="E264" s="2793" t="s">
        <v>2648</v>
      </c>
      <c r="F264" s="3934">
        <f>SUM(F272,F284,F291,F298,F305,F318,F325,F337,F347,)</f>
        <v>566502</v>
      </c>
      <c r="G264" s="3934">
        <f>SUM(G272,G284,G291,G298,G305,G318,G325,G337,G347,)</f>
        <v>582664</v>
      </c>
      <c r="H264" s="1226">
        <f>G264-F264</f>
        <v>16162</v>
      </c>
      <c r="I264" s="1848">
        <f>IFERROR(H264/F264,"-")</f>
        <v>2.8529466797998948E-2</v>
      </c>
      <c r="J264" s="3935"/>
      <c r="K264" s="1229"/>
      <c r="L264" s="2013"/>
      <c r="M264" s="1860"/>
      <c r="N264" s="1860"/>
      <c r="O264" s="1860"/>
      <c r="P264" s="1860"/>
      <c r="Q264" s="1860"/>
      <c r="R264" s="1860"/>
      <c r="S264" s="1860"/>
      <c r="T264" s="1860"/>
      <c r="U264" s="1860"/>
      <c r="V264" s="1860"/>
      <c r="W264" s="1860"/>
      <c r="X264" s="1860"/>
      <c r="Y264" s="1860"/>
      <c r="Z264" s="1860"/>
      <c r="AA264" s="1860"/>
      <c r="AB264" s="1860"/>
      <c r="AC264" s="1860"/>
      <c r="AD264" s="1860"/>
      <c r="AE264" s="1860"/>
      <c r="AF264" s="1860"/>
      <c r="AG264" s="1860"/>
      <c r="AH264" s="1860"/>
      <c r="AI264" s="1860"/>
      <c r="AJ264" s="1860"/>
      <c r="AK264" s="1860"/>
      <c r="AL264" s="1860"/>
      <c r="AM264" s="1860"/>
      <c r="AN264" s="1860"/>
      <c r="AO264" s="1860"/>
      <c r="AP264" s="1860"/>
      <c r="AQ264" s="1860"/>
      <c r="AR264" s="1860"/>
      <c r="AS264" s="1860"/>
      <c r="AT264" s="1860"/>
      <c r="AU264" s="1860"/>
      <c r="AV264" s="1860"/>
      <c r="AW264" s="1860"/>
      <c r="AX264" s="1860"/>
      <c r="AY264" s="1860"/>
      <c r="AZ264" s="1860"/>
      <c r="BA264" s="1860"/>
      <c r="BB264" s="1860"/>
      <c r="BC264" s="1860"/>
      <c r="BD264" s="1860"/>
      <c r="BE264" s="1860"/>
      <c r="BF264" s="1860"/>
      <c r="BG264" s="1860"/>
      <c r="BH264" s="1860"/>
      <c r="BI264" s="1860"/>
      <c r="BJ264" s="1860"/>
      <c r="BK264" s="1860"/>
      <c r="BL264" s="1860"/>
      <c r="BM264" s="1860"/>
      <c r="BN264" s="1860"/>
      <c r="BO264" s="1860"/>
      <c r="BP264" s="1860"/>
      <c r="BQ264" s="1860"/>
      <c r="BR264" s="1860"/>
      <c r="BS264" s="1860"/>
      <c r="BT264" s="1860"/>
      <c r="BU264" s="1860"/>
      <c r="BV264" s="1860"/>
      <c r="BW264" s="1860"/>
      <c r="BX264" s="1860"/>
      <c r="BY264" s="1860"/>
      <c r="BZ264" s="1860"/>
      <c r="CA264" s="1860"/>
      <c r="CB264" s="1860"/>
      <c r="CC264" s="1860"/>
      <c r="CD264" s="1860"/>
      <c r="CE264" s="1860"/>
      <c r="CF264" s="1860"/>
      <c r="CG264" s="1860"/>
      <c r="CH264" s="1860"/>
      <c r="CI264" s="1860"/>
      <c r="CJ264" s="1860"/>
      <c r="CK264" s="1860"/>
      <c r="CL264" s="1860"/>
      <c r="CM264" s="1860"/>
      <c r="CN264" s="1860"/>
      <c r="CO264" s="1860"/>
      <c r="CP264" s="1860"/>
      <c r="CQ264" s="1860"/>
      <c r="CR264" s="1860"/>
      <c r="CS264" s="1860"/>
      <c r="CT264" s="1860"/>
      <c r="CU264" s="1860"/>
      <c r="CV264" s="1860"/>
      <c r="CW264" s="1860"/>
      <c r="CX264" s="1860"/>
      <c r="CY264" s="1860"/>
      <c r="CZ264" s="1860"/>
      <c r="DA264" s="1860"/>
      <c r="DB264" s="1860"/>
      <c r="DC264" s="1860"/>
      <c r="DD264" s="1860"/>
      <c r="DE264" s="1860"/>
      <c r="DF264" s="1860"/>
      <c r="DG264" s="1860"/>
      <c r="DH264" s="1860"/>
      <c r="DI264" s="1860"/>
      <c r="DJ264" s="1860"/>
      <c r="DK264" s="1860"/>
      <c r="DL264" s="1860"/>
      <c r="DM264" s="1860"/>
      <c r="DN264" s="1860"/>
      <c r="DO264" s="1860"/>
      <c r="DP264" s="1860"/>
      <c r="DQ264" s="1860"/>
      <c r="DR264" s="1860"/>
      <c r="DS264" s="1860"/>
      <c r="DT264" s="1860"/>
      <c r="DU264" s="1860"/>
      <c r="DV264" s="1860"/>
      <c r="DW264" s="1860"/>
      <c r="DX264" s="1860"/>
      <c r="DY264" s="1860"/>
      <c r="DZ264" s="1860"/>
      <c r="EA264" s="1860"/>
      <c r="EB264" s="1860"/>
      <c r="EC264" s="1860"/>
      <c r="ED264" s="1860"/>
      <c r="EE264" s="1860"/>
      <c r="EF264" s="1860"/>
      <c r="EG264" s="1860"/>
      <c r="EH264" s="1860"/>
      <c r="EI264" s="1860"/>
      <c r="EJ264" s="1860"/>
      <c r="EK264" s="1860"/>
      <c r="EL264" s="1860"/>
      <c r="EM264" s="1860"/>
      <c r="EN264" s="1860"/>
      <c r="EO264" s="1860"/>
      <c r="EP264" s="1860"/>
      <c r="EQ264" s="1860"/>
      <c r="ER264" s="1860"/>
      <c r="ES264" s="1860"/>
      <c r="ET264" s="1860"/>
      <c r="EU264" s="1860"/>
      <c r="EV264" s="1860"/>
      <c r="EW264" s="1860"/>
      <c r="EX264" s="1860"/>
      <c r="EY264" s="1860"/>
      <c r="EZ264" s="1860"/>
      <c r="FA264" s="1860"/>
      <c r="FB264" s="1860"/>
      <c r="FC264" s="1860"/>
      <c r="FD264" s="1860"/>
      <c r="FE264" s="1860"/>
      <c r="FF264" s="1860"/>
      <c r="FG264" s="1860"/>
      <c r="FH264" s="1860"/>
      <c r="FI264" s="1860"/>
      <c r="FJ264" s="1860"/>
      <c r="FK264" s="1860"/>
      <c r="FL264" s="1860"/>
      <c r="FM264" s="1860"/>
      <c r="FN264" s="1860"/>
      <c r="FO264" s="1860"/>
      <c r="FP264" s="1860"/>
      <c r="FQ264" s="1860"/>
      <c r="FR264" s="1860"/>
      <c r="FS264" s="1860"/>
      <c r="FT264" s="1860"/>
      <c r="FU264" s="1860"/>
      <c r="FV264" s="1860"/>
      <c r="FW264" s="1860"/>
      <c r="FX264" s="1860"/>
      <c r="FY264" s="1860"/>
      <c r="FZ264" s="1860"/>
      <c r="GA264" s="1860"/>
      <c r="GB264" s="1860"/>
      <c r="GC264" s="1860"/>
      <c r="GD264" s="1860"/>
      <c r="GE264" s="1860"/>
      <c r="GF264" s="1860"/>
      <c r="GG264" s="1860"/>
      <c r="GH264" s="1860"/>
      <c r="GI264" s="1860"/>
      <c r="GJ264" s="1860"/>
      <c r="GK264" s="1860"/>
      <c r="GL264" s="1860"/>
      <c r="GM264" s="1860"/>
    </row>
    <row r="265" spans="1:195" s="477" customFormat="1" ht="15">
      <c r="A265" s="2124"/>
      <c r="B265" s="2124"/>
      <c r="C265" s="2122"/>
      <c r="D265" s="478"/>
      <c r="E265" s="1228" t="s">
        <v>578</v>
      </c>
      <c r="F265" s="483">
        <f>F273+F279+F285+F292+F299+F306+F319+F326+F338+F348+F355+F361+F367</f>
        <v>120337.874</v>
      </c>
      <c r="G265" s="483">
        <f>G273+G279+G285+G292+G299+G306+G319+G326+G338+G348+G355+G361+G367</f>
        <v>120369</v>
      </c>
      <c r="H265" s="1226">
        <f>G265-F265</f>
        <v>31.126000000003842</v>
      </c>
      <c r="I265" s="1848">
        <f t="shared" si="16"/>
        <v>2.5865505983597352E-4</v>
      </c>
      <c r="J265" s="482"/>
      <c r="K265" s="1229"/>
      <c r="L265" s="2013"/>
      <c r="M265" s="1860"/>
      <c r="N265" s="1860"/>
      <c r="O265" s="1860"/>
      <c r="P265" s="1860"/>
      <c r="Q265" s="1860"/>
      <c r="R265" s="1860"/>
      <c r="S265" s="1860"/>
      <c r="T265" s="1860"/>
      <c r="U265" s="1860"/>
      <c r="V265" s="1860"/>
      <c r="W265" s="1860"/>
      <c r="X265" s="1860"/>
      <c r="Y265" s="1860"/>
      <c r="Z265" s="1860"/>
      <c r="AA265" s="1860"/>
      <c r="AB265" s="1860"/>
      <c r="AC265" s="1860"/>
      <c r="AD265" s="1860"/>
      <c r="AE265" s="1860"/>
      <c r="AF265" s="1860"/>
      <c r="AG265" s="1860"/>
      <c r="AH265" s="1860"/>
      <c r="AI265" s="1860"/>
      <c r="AJ265" s="1860"/>
      <c r="AK265" s="1860"/>
      <c r="AL265" s="1860"/>
      <c r="AM265" s="1860"/>
      <c r="AN265" s="1860"/>
      <c r="AO265" s="1860"/>
      <c r="AP265" s="1860"/>
      <c r="AQ265" s="1860"/>
      <c r="AR265" s="1860"/>
      <c r="AS265" s="1860"/>
      <c r="AT265" s="1860"/>
      <c r="AU265" s="1860"/>
      <c r="AV265" s="1860"/>
      <c r="AW265" s="1860"/>
      <c r="AX265" s="1860"/>
      <c r="AY265" s="1860"/>
      <c r="AZ265" s="1860"/>
      <c r="BA265" s="1860"/>
      <c r="BB265" s="1860"/>
      <c r="BC265" s="1860"/>
      <c r="BD265" s="1860"/>
      <c r="BE265" s="1860"/>
      <c r="BF265" s="1860"/>
      <c r="BG265" s="1860"/>
      <c r="BH265" s="1860"/>
      <c r="BI265" s="1860"/>
      <c r="BJ265" s="1860"/>
      <c r="BK265" s="1860"/>
      <c r="BL265" s="1860"/>
      <c r="BM265" s="1860"/>
      <c r="BN265" s="1860"/>
      <c r="BO265" s="1860"/>
      <c r="BP265" s="1860"/>
      <c r="BQ265" s="1860"/>
      <c r="BR265" s="1860"/>
      <c r="BS265" s="1860"/>
      <c r="BT265" s="1860"/>
      <c r="BU265" s="1860"/>
      <c r="BV265" s="1860"/>
      <c r="BW265" s="1860"/>
      <c r="BX265" s="1860"/>
      <c r="BY265" s="1860"/>
      <c r="BZ265" s="1860"/>
      <c r="CA265" s="1860"/>
      <c r="CB265" s="1860"/>
      <c r="CC265" s="1860"/>
      <c r="CD265" s="1860"/>
      <c r="CE265" s="1860"/>
      <c r="CF265" s="1860"/>
      <c r="CG265" s="1860"/>
      <c r="CH265" s="1860"/>
      <c r="CI265" s="1860"/>
      <c r="CJ265" s="1860"/>
      <c r="CK265" s="1860"/>
      <c r="CL265" s="1860"/>
      <c r="CM265" s="1860"/>
      <c r="CN265" s="1860"/>
      <c r="CO265" s="1860"/>
      <c r="CP265" s="1860"/>
      <c r="CQ265" s="1860"/>
      <c r="CR265" s="1860"/>
      <c r="CS265" s="1860"/>
      <c r="CT265" s="1860"/>
      <c r="CU265" s="1860"/>
      <c r="CV265" s="1860"/>
      <c r="CW265" s="1860"/>
      <c r="CX265" s="1860"/>
      <c r="CY265" s="1860"/>
      <c r="CZ265" s="1860"/>
      <c r="DA265" s="1860"/>
      <c r="DB265" s="1860"/>
      <c r="DC265" s="1860"/>
      <c r="DD265" s="1860"/>
      <c r="DE265" s="1860"/>
      <c r="DF265" s="1860"/>
      <c r="DG265" s="1860"/>
      <c r="DH265" s="1860"/>
      <c r="DI265" s="1860"/>
      <c r="DJ265" s="1860"/>
      <c r="DK265" s="1860"/>
      <c r="DL265" s="1860"/>
      <c r="DM265" s="1860"/>
      <c r="DN265" s="1860"/>
      <c r="DO265" s="1860"/>
      <c r="DP265" s="1860"/>
      <c r="DQ265" s="1860"/>
      <c r="DR265" s="1860"/>
      <c r="DS265" s="1860"/>
      <c r="DT265" s="1860"/>
      <c r="DU265" s="1860"/>
      <c r="DV265" s="1860"/>
      <c r="DW265" s="1860"/>
      <c r="DX265" s="1860"/>
      <c r="DY265" s="1860"/>
      <c r="DZ265" s="1860"/>
      <c r="EA265" s="1860"/>
      <c r="EB265" s="1860"/>
      <c r="EC265" s="1860"/>
      <c r="ED265" s="1860"/>
      <c r="EE265" s="1860"/>
      <c r="EF265" s="1860"/>
      <c r="EG265" s="1860"/>
      <c r="EH265" s="1860"/>
      <c r="EI265" s="1860"/>
      <c r="EJ265" s="1860"/>
      <c r="EK265" s="1860"/>
      <c r="EL265" s="1860"/>
      <c r="EM265" s="1860"/>
      <c r="EN265" s="1860"/>
      <c r="EO265" s="1860"/>
      <c r="EP265" s="1860"/>
      <c r="EQ265" s="1860"/>
      <c r="ER265" s="1860"/>
      <c r="ES265" s="1860"/>
      <c r="ET265" s="1860"/>
      <c r="EU265" s="1860"/>
      <c r="EV265" s="1860"/>
      <c r="EW265" s="1860"/>
      <c r="EX265" s="1860"/>
      <c r="EY265" s="1860"/>
      <c r="EZ265" s="1860"/>
      <c r="FA265" s="1860"/>
      <c r="FB265" s="1860"/>
      <c r="FC265" s="1860"/>
      <c r="FD265" s="1860"/>
      <c r="FE265" s="1860"/>
      <c r="FF265" s="1860"/>
      <c r="FG265" s="1860"/>
      <c r="FH265" s="1860"/>
      <c r="FI265" s="1860"/>
      <c r="FJ265" s="1860"/>
      <c r="FK265" s="1860"/>
      <c r="FL265" s="1860"/>
      <c r="FM265" s="1860"/>
      <c r="FN265" s="1860"/>
      <c r="FO265" s="1860"/>
      <c r="FP265" s="1860"/>
      <c r="FQ265" s="1860"/>
      <c r="FR265" s="1860"/>
      <c r="FS265" s="1860"/>
      <c r="FT265" s="1860"/>
      <c r="FU265" s="1860"/>
      <c r="FV265" s="1860"/>
      <c r="FW265" s="1860"/>
      <c r="FX265" s="1860"/>
      <c r="FY265" s="1860"/>
      <c r="FZ265" s="1860"/>
      <c r="GA265" s="1860"/>
      <c r="GB265" s="1860"/>
      <c r="GC265" s="1860"/>
      <c r="GD265" s="1860"/>
      <c r="GE265" s="1860"/>
      <c r="GF265" s="1860"/>
      <c r="GG265" s="1860"/>
      <c r="GH265" s="1860"/>
      <c r="GI265" s="1860"/>
      <c r="GJ265" s="1860"/>
      <c r="GK265" s="1860"/>
      <c r="GL265" s="1860"/>
      <c r="GM265" s="1860"/>
    </row>
    <row r="266" spans="1:195" s="1311" customFormat="1" ht="15">
      <c r="A266" s="2125"/>
      <c r="B266" s="2125"/>
      <c r="C266" s="2126"/>
      <c r="D266" s="2162"/>
      <c r="E266" s="2163" t="s">
        <v>431</v>
      </c>
      <c r="F266" s="2164">
        <f>F274+F286+F293+F300+F307+F311+F320+F327+F339+F349+F356</f>
        <v>6727150.4209479997</v>
      </c>
      <c r="G266" s="2164">
        <f>G274+G286+G293+G300+G307+G311+G320+G327+G339+G349+G356</f>
        <v>7149186.8452224405</v>
      </c>
      <c r="H266" s="2165">
        <f t="shared" ref="H266:H306" si="19">G266-F266</f>
        <v>422036.42427444085</v>
      </c>
      <c r="I266" s="2166">
        <f t="shared" si="16"/>
        <v>6.2736284736586406E-2</v>
      </c>
      <c r="J266" s="2167"/>
      <c r="K266" s="2129"/>
      <c r="L266" s="2015"/>
      <c r="M266" s="1862"/>
      <c r="N266" s="1862"/>
      <c r="O266" s="1862"/>
      <c r="P266" s="1862"/>
      <c r="Q266" s="1862"/>
      <c r="R266" s="1862"/>
      <c r="S266" s="1862"/>
      <c r="T266" s="1862"/>
      <c r="U266" s="1862"/>
      <c r="V266" s="1862"/>
      <c r="W266" s="1862"/>
      <c r="X266" s="1862"/>
      <c r="Y266" s="1862"/>
      <c r="Z266" s="1862"/>
      <c r="AA266" s="1862"/>
      <c r="AB266" s="1862"/>
      <c r="AC266" s="1862"/>
      <c r="AD266" s="1862"/>
      <c r="AE266" s="1862"/>
      <c r="AF266" s="1862"/>
      <c r="AG266" s="1862"/>
      <c r="AH266" s="1862"/>
      <c r="AI266" s="1862"/>
      <c r="AJ266" s="1862"/>
      <c r="AK266" s="1862"/>
      <c r="AL266" s="1862"/>
      <c r="AM266" s="1862"/>
      <c r="AN266" s="1862"/>
      <c r="AO266" s="1862"/>
      <c r="AP266" s="1862"/>
      <c r="AQ266" s="1862"/>
      <c r="AR266" s="1862"/>
      <c r="AS266" s="1862"/>
      <c r="AT266" s="1862"/>
      <c r="AU266" s="1862"/>
      <c r="AV266" s="1862"/>
      <c r="AW266" s="1862"/>
      <c r="AX266" s="1862"/>
      <c r="AY266" s="1862"/>
      <c r="AZ266" s="1862"/>
      <c r="BA266" s="1862"/>
      <c r="BB266" s="1862"/>
      <c r="BC266" s="1862"/>
      <c r="BD266" s="1862"/>
      <c r="BE266" s="1862"/>
      <c r="BF266" s="1862"/>
      <c r="BG266" s="1862"/>
      <c r="BH266" s="1862"/>
      <c r="BI266" s="1862"/>
      <c r="BJ266" s="1862"/>
      <c r="BK266" s="1862"/>
      <c r="BL266" s="1862"/>
      <c r="BM266" s="1862"/>
      <c r="BN266" s="1862"/>
      <c r="BO266" s="1862"/>
      <c r="BP266" s="1862"/>
      <c r="BQ266" s="1862"/>
      <c r="BR266" s="1862"/>
      <c r="BS266" s="1862"/>
      <c r="BT266" s="1862"/>
      <c r="BU266" s="1862"/>
      <c r="BV266" s="1862"/>
      <c r="BW266" s="1862"/>
      <c r="BX266" s="1862"/>
      <c r="BY266" s="1862"/>
      <c r="BZ266" s="1862"/>
      <c r="CA266" s="1862"/>
      <c r="CB266" s="1862"/>
      <c r="CC266" s="1862"/>
      <c r="CD266" s="1862"/>
      <c r="CE266" s="1862"/>
      <c r="CF266" s="1862"/>
      <c r="CG266" s="1862"/>
      <c r="CH266" s="1862"/>
      <c r="CI266" s="1862"/>
      <c r="CJ266" s="1862"/>
      <c r="CK266" s="1862"/>
      <c r="CL266" s="1862"/>
      <c r="CM266" s="1862"/>
      <c r="CN266" s="1862"/>
      <c r="CO266" s="1862"/>
      <c r="CP266" s="1862"/>
      <c r="CQ266" s="1862"/>
      <c r="CR266" s="1862"/>
      <c r="CS266" s="1862"/>
      <c r="CT266" s="1862"/>
      <c r="CU266" s="1862"/>
      <c r="CV266" s="1862"/>
      <c r="CW266" s="1862"/>
      <c r="CX266" s="1862"/>
      <c r="CY266" s="1862"/>
      <c r="CZ266" s="1862"/>
      <c r="DA266" s="1862"/>
      <c r="DB266" s="1862"/>
      <c r="DC266" s="1862"/>
      <c r="DD266" s="1862"/>
      <c r="DE266" s="1862"/>
      <c r="DF266" s="1862"/>
      <c r="DG266" s="1862"/>
      <c r="DH266" s="1862"/>
      <c r="DI266" s="1862"/>
      <c r="DJ266" s="1862"/>
      <c r="DK266" s="1862"/>
      <c r="DL266" s="1862"/>
      <c r="DM266" s="1862"/>
      <c r="DN266" s="1862"/>
      <c r="DO266" s="1862"/>
      <c r="DP266" s="1862"/>
      <c r="DQ266" s="1862"/>
      <c r="DR266" s="1862"/>
      <c r="DS266" s="1862"/>
      <c r="DT266" s="1862"/>
      <c r="DU266" s="1862"/>
      <c r="DV266" s="1862"/>
      <c r="DW266" s="1862"/>
      <c r="DX266" s="1862"/>
      <c r="DY266" s="1862"/>
      <c r="DZ266" s="1862"/>
      <c r="EA266" s="1862"/>
      <c r="EB266" s="1862"/>
      <c r="EC266" s="1862"/>
      <c r="ED266" s="1862"/>
      <c r="EE266" s="1862"/>
      <c r="EF266" s="1862"/>
      <c r="EG266" s="1862"/>
      <c r="EH266" s="1862"/>
      <c r="EI266" s="1862"/>
      <c r="EJ266" s="1862"/>
      <c r="EK266" s="1862"/>
      <c r="EL266" s="1862"/>
      <c r="EM266" s="1862"/>
      <c r="EN266" s="1862"/>
      <c r="EO266" s="1862"/>
      <c r="EP266" s="1862"/>
      <c r="EQ266" s="1862"/>
      <c r="ER266" s="1862"/>
      <c r="ES266" s="1862"/>
      <c r="ET266" s="1862"/>
      <c r="EU266" s="1862"/>
      <c r="EV266" s="1862"/>
      <c r="EW266" s="1862"/>
      <c r="EX266" s="1862"/>
      <c r="EY266" s="1862"/>
      <c r="EZ266" s="1862"/>
      <c r="FA266" s="1862"/>
      <c r="FB266" s="1862"/>
      <c r="FC266" s="1862"/>
      <c r="FD266" s="1862"/>
      <c r="FE266" s="1862"/>
      <c r="FF266" s="1862"/>
      <c r="FG266" s="1862"/>
      <c r="FH266" s="1862"/>
      <c r="FI266" s="1862"/>
      <c r="FJ266" s="1862"/>
      <c r="FK266" s="1862"/>
      <c r="FL266" s="1862"/>
      <c r="FM266" s="1862"/>
      <c r="FN266" s="1862"/>
      <c r="FO266" s="1862"/>
      <c r="FP266" s="1862"/>
      <c r="FQ266" s="1862"/>
      <c r="FR266" s="1862"/>
      <c r="FS266" s="1862"/>
      <c r="FT266" s="1862"/>
      <c r="FU266" s="1862"/>
      <c r="FV266" s="1862"/>
      <c r="FW266" s="1862"/>
      <c r="FX266" s="1862"/>
      <c r="FY266" s="1862"/>
      <c r="FZ266" s="1862"/>
      <c r="GA266" s="1862"/>
      <c r="GB266" s="1862"/>
      <c r="GC266" s="1862"/>
      <c r="GD266" s="1862"/>
      <c r="GE266" s="1862"/>
      <c r="GF266" s="1862"/>
      <c r="GG266" s="1862"/>
      <c r="GH266" s="1862"/>
      <c r="GI266" s="1862"/>
      <c r="GJ266" s="1862"/>
      <c r="GK266" s="1862"/>
      <c r="GL266" s="1862"/>
      <c r="GM266" s="1862"/>
    </row>
    <row r="267" spans="1:195" s="1299" customFormat="1" ht="15">
      <c r="A267" s="2125"/>
      <c r="B267" s="2125"/>
      <c r="C267" s="2126"/>
      <c r="D267" s="1297"/>
      <c r="E267" s="1819" t="s">
        <v>1249</v>
      </c>
      <c r="F267" s="1292">
        <f>F275+F280+F287+F294+F301+F308+F312+F321+F328+F340+F350+F357+F363+F368</f>
        <v>820717.8</v>
      </c>
      <c r="G267" s="1292">
        <f>G275+G280+G287+G294+G301+G308+G312+G321+G328+G340+G350+G357+G363+G368</f>
        <v>1960902.21</v>
      </c>
      <c r="H267" s="1287">
        <f t="shared" si="19"/>
        <v>1140184.4099999999</v>
      </c>
      <c r="I267" s="1849">
        <f t="shared" si="16"/>
        <v>1.3892526883174703</v>
      </c>
      <c r="J267" s="2168"/>
      <c r="K267" s="2129"/>
      <c r="L267" s="2014"/>
      <c r="M267" s="1289"/>
      <c r="N267" s="1289"/>
      <c r="O267" s="1289"/>
      <c r="P267" s="1289"/>
      <c r="Q267" s="1289"/>
      <c r="R267" s="1289"/>
      <c r="S267" s="1289"/>
      <c r="T267" s="1289"/>
      <c r="U267" s="1289"/>
      <c r="V267" s="1289"/>
      <c r="W267" s="1289"/>
      <c r="X267" s="1289"/>
      <c r="Y267" s="1289"/>
      <c r="Z267" s="1289"/>
      <c r="AA267" s="1289"/>
      <c r="AB267" s="1289"/>
      <c r="AC267" s="1289"/>
      <c r="AD267" s="1289"/>
      <c r="AE267" s="1289"/>
      <c r="AF267" s="1289"/>
      <c r="AG267" s="1289"/>
      <c r="AH267" s="1289"/>
      <c r="AI267" s="1289"/>
      <c r="AJ267" s="1289"/>
      <c r="AK267" s="1289"/>
      <c r="AL267" s="1289"/>
      <c r="AM267" s="1289"/>
      <c r="AN267" s="1289"/>
      <c r="AO267" s="1289"/>
      <c r="AP267" s="1289"/>
      <c r="AQ267" s="1289"/>
      <c r="AR267" s="1289"/>
      <c r="AS267" s="1289"/>
      <c r="AT267" s="1289"/>
      <c r="AU267" s="1289"/>
      <c r="AV267" s="1289"/>
      <c r="AW267" s="1289"/>
      <c r="AX267" s="1289"/>
      <c r="AY267" s="1289"/>
      <c r="AZ267" s="1289"/>
      <c r="BA267" s="1289"/>
      <c r="BB267" s="1289"/>
      <c r="BC267" s="1289"/>
      <c r="BD267" s="1289"/>
      <c r="BE267" s="1289"/>
      <c r="BF267" s="1289"/>
      <c r="BG267" s="1289"/>
      <c r="BH267" s="1289"/>
      <c r="BI267" s="1289"/>
      <c r="BJ267" s="1289"/>
      <c r="BK267" s="1289"/>
      <c r="BL267" s="1289"/>
      <c r="BM267" s="1289"/>
      <c r="BN267" s="1289"/>
      <c r="BO267" s="1289"/>
      <c r="BP267" s="1289"/>
      <c r="BQ267" s="1289"/>
      <c r="BR267" s="1289"/>
      <c r="BS267" s="1289"/>
      <c r="BT267" s="1289"/>
      <c r="BU267" s="1289"/>
      <c r="BV267" s="1289"/>
      <c r="BW267" s="1289"/>
      <c r="BX267" s="1289"/>
      <c r="BY267" s="1289"/>
      <c r="BZ267" s="1289"/>
      <c r="CA267" s="1289"/>
      <c r="CB267" s="1289"/>
      <c r="CC267" s="1289"/>
      <c r="CD267" s="1289"/>
      <c r="CE267" s="1289"/>
      <c r="CF267" s="1289"/>
      <c r="CG267" s="1289"/>
      <c r="CH267" s="1289"/>
      <c r="CI267" s="1289"/>
      <c r="CJ267" s="1289"/>
      <c r="CK267" s="1289"/>
      <c r="CL267" s="1289"/>
      <c r="CM267" s="1289"/>
      <c r="CN267" s="1289"/>
      <c r="CO267" s="1289"/>
      <c r="CP267" s="1289"/>
      <c r="CQ267" s="1289"/>
      <c r="CR267" s="1289"/>
      <c r="CS267" s="1289"/>
      <c r="CT267" s="1289"/>
      <c r="CU267" s="1289"/>
      <c r="CV267" s="1289"/>
      <c r="CW267" s="1289"/>
      <c r="CX267" s="1289"/>
      <c r="CY267" s="1289"/>
      <c r="CZ267" s="1289"/>
      <c r="DA267" s="1289"/>
      <c r="DB267" s="1289"/>
      <c r="DC267" s="1289"/>
      <c r="DD267" s="1289"/>
      <c r="DE267" s="1289"/>
      <c r="DF267" s="1289"/>
      <c r="DG267" s="1289"/>
      <c r="DH267" s="1289"/>
      <c r="DI267" s="1289"/>
      <c r="DJ267" s="1289"/>
      <c r="DK267" s="1289"/>
      <c r="DL267" s="1289"/>
      <c r="DM267" s="1289"/>
      <c r="DN267" s="1289"/>
      <c r="DO267" s="1289"/>
      <c r="DP267" s="1289"/>
      <c r="DQ267" s="1289"/>
      <c r="DR267" s="1289"/>
      <c r="DS267" s="1289"/>
      <c r="DT267" s="1289"/>
      <c r="DU267" s="1289"/>
      <c r="DV267" s="1289"/>
      <c r="DW267" s="1289"/>
      <c r="DX267" s="1289"/>
      <c r="DY267" s="1289"/>
      <c r="DZ267" s="1289"/>
      <c r="EA267" s="1289"/>
      <c r="EB267" s="1289"/>
      <c r="EC267" s="1289"/>
      <c r="ED267" s="1289"/>
      <c r="EE267" s="1289"/>
      <c r="EF267" s="1289"/>
      <c r="EG267" s="1289"/>
      <c r="EH267" s="1289"/>
      <c r="EI267" s="1289"/>
      <c r="EJ267" s="1289"/>
      <c r="EK267" s="1289"/>
      <c r="EL267" s="1289"/>
      <c r="EM267" s="1289"/>
      <c r="EN267" s="1289"/>
      <c r="EO267" s="1289"/>
      <c r="EP267" s="1289"/>
      <c r="EQ267" s="1289"/>
      <c r="ER267" s="1289"/>
      <c r="ES267" s="1289"/>
      <c r="ET267" s="1289"/>
      <c r="EU267" s="1289"/>
      <c r="EV267" s="1289"/>
      <c r="EW267" s="1289"/>
      <c r="EX267" s="1289"/>
      <c r="EY267" s="1289"/>
      <c r="EZ267" s="1289"/>
      <c r="FA267" s="1289"/>
      <c r="FB267" s="1289"/>
      <c r="FC267" s="1289"/>
      <c r="FD267" s="1289"/>
      <c r="FE267" s="1289"/>
      <c r="FF267" s="1289"/>
      <c r="FG267" s="1289"/>
      <c r="FH267" s="1289"/>
      <c r="FI267" s="1289"/>
      <c r="FJ267" s="1289"/>
      <c r="FK267" s="1289"/>
      <c r="FL267" s="1289"/>
      <c r="FM267" s="1289"/>
      <c r="FN267" s="1289"/>
      <c r="FO267" s="1289"/>
      <c r="FP267" s="1289"/>
      <c r="FQ267" s="1289"/>
      <c r="FR267" s="1289"/>
      <c r="FS267" s="1289"/>
      <c r="FT267" s="1289"/>
      <c r="FU267" s="1289"/>
      <c r="FV267" s="1289"/>
      <c r="FW267" s="1289"/>
      <c r="FX267" s="1289"/>
      <c r="FY267" s="1289"/>
      <c r="FZ267" s="1289"/>
      <c r="GA267" s="1289"/>
      <c r="GB267" s="1289"/>
      <c r="GC267" s="1289"/>
      <c r="GD267" s="1289"/>
      <c r="GE267" s="1289"/>
      <c r="GF267" s="1289"/>
      <c r="GG267" s="1289"/>
      <c r="GH267" s="1289"/>
      <c r="GI267" s="1289"/>
      <c r="GJ267" s="1289"/>
      <c r="GK267" s="1289"/>
      <c r="GL267" s="1289"/>
      <c r="GM267" s="1289"/>
    </row>
    <row r="268" spans="1:195" ht="43.5">
      <c r="A268" s="1665" t="s">
        <v>3463</v>
      </c>
      <c r="B268" s="1665" t="s">
        <v>1248</v>
      </c>
      <c r="D268" s="138" t="s">
        <v>74</v>
      </c>
      <c r="E268" s="130" t="s">
        <v>191</v>
      </c>
      <c r="F268" s="383">
        <f>SUMIFS(INPUT!H:H,INPUT!E:E,BAZE_2024!A268,INPUT!B:B,BAZE_2024!B268)</f>
        <v>788532</v>
      </c>
      <c r="G268" s="383">
        <f>SUMIFS(INPUT!L:L,INPUT!E:E,BAZE_2024!A268,INPUT!B:B,BAZE_2024!B268)</f>
        <v>750000</v>
      </c>
      <c r="H268" s="383">
        <f t="shared" si="19"/>
        <v>-38532</v>
      </c>
      <c r="I268" s="1826">
        <f t="shared" si="16"/>
        <v>-4.8865486752598497E-2</v>
      </c>
      <c r="J268" s="4059"/>
      <c r="K268" s="227"/>
    </row>
    <row r="269" spans="1:195" ht="27" customHeight="1">
      <c r="D269" s="138" t="s">
        <v>2500</v>
      </c>
      <c r="E269" s="130" t="s">
        <v>581</v>
      </c>
      <c r="F269" s="383">
        <f>F270+F271+F273+F272</f>
        <v>1589226.3519472245</v>
      </c>
      <c r="G269" s="383">
        <f>G270+G271+G273+G272</f>
        <v>1804783.5649073652</v>
      </c>
      <c r="H269" s="116">
        <f t="shared" si="19"/>
        <v>215557.21296014078</v>
      </c>
      <c r="I269" s="1826">
        <f t="shared" si="16"/>
        <v>0.13563657102465357</v>
      </c>
      <c r="J269" s="223"/>
      <c r="K269" s="227"/>
    </row>
    <row r="270" spans="1:195" s="50" customFormat="1" ht="15" hidden="1" outlineLevel="1">
      <c r="A270" s="1665" t="s">
        <v>1909</v>
      </c>
      <c r="B270" s="1665" t="s">
        <v>663</v>
      </c>
      <c r="C270" s="1858"/>
      <c r="D270" s="160"/>
      <c r="E270" s="217" t="s">
        <v>663</v>
      </c>
      <c r="F270" s="389">
        <f>SUMIFS(INPUT!H:H,INPUT!E:E,BAZE_2024!A270,INPUT!B:B,BAZE_2024!B270)</f>
        <v>1198121.8679472245</v>
      </c>
      <c r="G270" s="389">
        <f>SUMIFS(INPUT!L:L,INPUT!E:E,BAZE_2024!A270,INPUT!B:B,BAZE_2024!B270)</f>
        <v>1463591.0649073652</v>
      </c>
      <c r="H270" s="102">
        <f t="shared" si="19"/>
        <v>265469.19696014072</v>
      </c>
      <c r="I270" s="1824">
        <f>IFERROR(H270/F270,"-")</f>
        <v>0.22157111397605694</v>
      </c>
      <c r="J270" s="1149" t="s">
        <v>5733</v>
      </c>
      <c r="K270" s="227"/>
      <c r="L270" s="77"/>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50" customFormat="1" ht="15" hidden="1" outlineLevel="1">
      <c r="A271" s="1665" t="s">
        <v>1909</v>
      </c>
      <c r="B271" s="1665" t="s">
        <v>1248</v>
      </c>
      <c r="C271" s="1858"/>
      <c r="D271" s="216"/>
      <c r="E271" s="161" t="s">
        <v>579</v>
      </c>
      <c r="F271" s="389">
        <f>SUMIFS(INPUT!H:H,INPUT!E:E,BAZE_2024!A271,INPUT!B:B,BAZE_2024!B271)</f>
        <v>358492.44</v>
      </c>
      <c r="G271" s="389">
        <f>SUMIFS(INPUT!L:L,INPUT!E:E,BAZE_2024!A271,INPUT!B:B,BAZE_2024!B271)</f>
        <v>317692.5</v>
      </c>
      <c r="H271" s="102">
        <f t="shared" si="19"/>
        <v>-40799.94</v>
      </c>
      <c r="I271" s="1824">
        <f t="shared" si="16"/>
        <v>-0.11380976402180197</v>
      </c>
      <c r="J271" s="4069"/>
      <c r="K271" s="156">
        <v>-0.02</v>
      </c>
      <c r="L271" s="1222">
        <f>G271*K271</f>
        <v>-6353.85</v>
      </c>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2477" customFormat="1" ht="15" hidden="1" outlineLevel="1">
      <c r="A272" s="2791" t="s">
        <v>1909</v>
      </c>
      <c r="B272" s="2791" t="s">
        <v>2649</v>
      </c>
      <c r="C272" s="1858"/>
      <c r="D272" s="2792"/>
      <c r="E272" s="2793" t="s">
        <v>2648</v>
      </c>
      <c r="F272" s="2572">
        <f>SUMIFS(INPUT!H:H,INPUT!E:E,BAZE_2024!A272,INPUT!B:B,BAZE_2024!B272)</f>
        <v>0</v>
      </c>
      <c r="G272" s="2572">
        <f>SUMIFS(INPUT!L:L,INPUT!E:E,BAZE_2024!A272,INPUT!B:B,BAZE_2024!B272)</f>
        <v>0</v>
      </c>
      <c r="H272" s="103">
        <f>G272-F272</f>
        <v>0</v>
      </c>
      <c r="I272" s="3932" t="str">
        <f>IFERROR(H272/F272,"-")</f>
        <v>-</v>
      </c>
      <c r="J272" s="2794"/>
      <c r="K272" s="2121"/>
      <c r="L272" s="224"/>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c r="AQ272" s="79"/>
      <c r="AR272" s="79"/>
      <c r="AS272" s="79"/>
      <c r="AT272" s="79"/>
      <c r="AU272" s="79"/>
      <c r="AV272" s="79"/>
      <c r="AW272" s="79"/>
      <c r="AX272" s="79"/>
      <c r="AY272" s="79"/>
      <c r="AZ272" s="79"/>
      <c r="BA272" s="79"/>
      <c r="BB272" s="79"/>
      <c r="BC272" s="79"/>
      <c r="BD272" s="79"/>
      <c r="BE272" s="79"/>
      <c r="BF272" s="79"/>
      <c r="BG272" s="79"/>
      <c r="BH272" s="79"/>
      <c r="BI272" s="79"/>
      <c r="BJ272" s="79"/>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c r="CJ272" s="79"/>
      <c r="CK272" s="79"/>
      <c r="CL272" s="79"/>
      <c r="CM272" s="79"/>
      <c r="CN272" s="79"/>
      <c r="CO272" s="79"/>
      <c r="CP272" s="79"/>
      <c r="CQ272" s="79"/>
      <c r="CR272" s="79"/>
      <c r="CS272" s="79"/>
      <c r="CT272" s="79"/>
      <c r="CU272" s="79"/>
      <c r="CV272" s="79"/>
      <c r="CW272" s="79"/>
      <c r="CX272" s="79"/>
      <c r="CY272" s="79"/>
      <c r="CZ272" s="79"/>
      <c r="DA272" s="79"/>
      <c r="DB272" s="79"/>
      <c r="DC272" s="79"/>
      <c r="DD272" s="79"/>
      <c r="DE272" s="79"/>
      <c r="DF272" s="79"/>
      <c r="DG272" s="79"/>
      <c r="DH272" s="79"/>
      <c r="DI272" s="79"/>
      <c r="DJ272" s="79"/>
      <c r="DK272" s="79"/>
      <c r="DL272" s="79"/>
      <c r="DM272" s="79"/>
      <c r="DN272" s="79"/>
      <c r="DO272" s="79"/>
      <c r="DP272" s="79"/>
      <c r="DQ272" s="79"/>
      <c r="DR272" s="79"/>
      <c r="DS272" s="79"/>
      <c r="DT272" s="79"/>
      <c r="DU272" s="79"/>
      <c r="DV272" s="79"/>
      <c r="DW272" s="79"/>
      <c r="DX272" s="79"/>
      <c r="DY272" s="79"/>
      <c r="DZ272" s="79"/>
      <c r="EA272" s="79"/>
      <c r="EB272" s="79"/>
      <c r="EC272" s="79"/>
      <c r="ED272" s="79"/>
      <c r="EE272" s="79"/>
      <c r="EF272" s="79"/>
      <c r="EG272" s="79"/>
      <c r="EH272" s="79"/>
      <c r="EI272" s="79"/>
      <c r="EJ272" s="79"/>
      <c r="EK272" s="79"/>
      <c r="EL272" s="79"/>
      <c r="EM272" s="79"/>
      <c r="EN272" s="79"/>
      <c r="EO272" s="79"/>
      <c r="EP272" s="79"/>
      <c r="EQ272" s="79"/>
      <c r="ER272" s="79"/>
      <c r="ES272" s="79"/>
      <c r="ET272" s="79"/>
      <c r="EU272" s="79"/>
      <c r="EV272" s="79"/>
      <c r="EW272" s="79"/>
      <c r="EX272" s="79"/>
      <c r="EY272" s="79"/>
      <c r="EZ272" s="79"/>
      <c r="FA272" s="79"/>
      <c r="FB272" s="79"/>
      <c r="FC272" s="79"/>
      <c r="FD272" s="79"/>
      <c r="FE272" s="79"/>
      <c r="FF272" s="79"/>
      <c r="FG272" s="79"/>
      <c r="FH272" s="79"/>
      <c r="FI272" s="79"/>
      <c r="FJ272" s="79"/>
      <c r="FK272" s="79"/>
      <c r="FL272" s="79"/>
      <c r="FM272" s="79"/>
      <c r="FN272" s="79"/>
      <c r="FO272" s="79"/>
      <c r="FP272" s="79"/>
      <c r="FQ272" s="79"/>
      <c r="FR272" s="79"/>
      <c r="FS272" s="79"/>
      <c r="FT272" s="79"/>
      <c r="FU272" s="79"/>
      <c r="FV272" s="79"/>
      <c r="FW272" s="79"/>
      <c r="FX272" s="79"/>
      <c r="FY272" s="79"/>
      <c r="FZ272" s="79"/>
      <c r="GA272" s="79"/>
      <c r="GB272" s="79"/>
      <c r="GC272" s="79"/>
      <c r="GD272" s="79"/>
      <c r="GE272" s="79"/>
      <c r="GF272" s="79"/>
      <c r="GG272" s="79"/>
      <c r="GH272" s="79"/>
      <c r="GI272" s="79"/>
      <c r="GJ272" s="79"/>
      <c r="GK272" s="79"/>
      <c r="GL272" s="79"/>
      <c r="GM272" s="79"/>
    </row>
    <row r="273" spans="1:195" s="50" customFormat="1" ht="15" hidden="1" outlineLevel="1">
      <c r="A273" s="1665" t="s">
        <v>1909</v>
      </c>
      <c r="B273" s="1665" t="s">
        <v>1250</v>
      </c>
      <c r="C273" s="1858"/>
      <c r="D273" s="160"/>
      <c r="E273" s="161" t="s">
        <v>578</v>
      </c>
      <c r="F273" s="389">
        <f>SUMIFS(INPUT!H:H,INPUT!E:E,BAZE_2024!A273,INPUT!B:B,BAZE_2024!B273)</f>
        <v>32612.044000000002</v>
      </c>
      <c r="G273" s="389">
        <f>SUMIFS(INPUT!L:L,INPUT!E:E,BAZE_2024!A273,INPUT!B:B,BAZE_2024!B273)</f>
        <v>23500</v>
      </c>
      <c r="H273" s="102">
        <f t="shared" si="19"/>
        <v>-9112.0440000000017</v>
      </c>
      <c r="I273" s="1824">
        <f t="shared" si="16"/>
        <v>-0.27940732571070986</v>
      </c>
      <c r="J273" s="4069"/>
      <c r="K273" s="227"/>
      <c r="L273" s="77"/>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row>
    <row r="274" spans="1:195" s="1299" customFormat="1" ht="15" hidden="1" outlineLevel="1">
      <c r="A274" s="2127" t="s">
        <v>1910</v>
      </c>
      <c r="B274" s="2127" t="s">
        <v>512</v>
      </c>
      <c r="C274" s="2128"/>
      <c r="D274" s="1297"/>
      <c r="E274" s="1294" t="s">
        <v>431</v>
      </c>
      <c r="F274" s="380">
        <f>SUMIFS(INPUT!H:H,INPUT!E:E,BAZE_2024!A274,INPUT!B:B,BAZE_2024!B274)</f>
        <v>299142.68942400004</v>
      </c>
      <c r="G274" s="380">
        <f>SUMIFS(INPUT!L:L,INPUT!E:E,BAZE_2024!A274,INPUT!B:B,BAZE_2024!B274)</f>
        <v>425062.88877600018</v>
      </c>
      <c r="H274" s="1287">
        <f>G274-F274</f>
        <v>125920.19935200014</v>
      </c>
      <c r="I274" s="1849">
        <f t="shared" si="16"/>
        <v>0.42093691005606648</v>
      </c>
      <c r="J274" s="2168"/>
      <c r="K274" s="2129"/>
      <c r="L274" s="2014"/>
      <c r="M274" s="1289"/>
      <c r="N274" s="1289"/>
      <c r="O274" s="1289"/>
      <c r="P274" s="1289"/>
      <c r="Q274" s="1289"/>
      <c r="R274" s="1289"/>
      <c r="S274" s="1289"/>
      <c r="T274" s="1289"/>
      <c r="U274" s="1289"/>
      <c r="V274" s="1289"/>
      <c r="W274" s="1289"/>
      <c r="X274" s="1289"/>
      <c r="Y274" s="1289"/>
      <c r="Z274" s="1289"/>
      <c r="AA274" s="1289"/>
      <c r="AB274" s="1289"/>
      <c r="AC274" s="1289"/>
      <c r="AD274" s="1289"/>
      <c r="AE274" s="1289"/>
      <c r="AF274" s="1289"/>
      <c r="AG274" s="1289"/>
      <c r="AH274" s="1289"/>
      <c r="AI274" s="1289"/>
      <c r="AJ274" s="1289"/>
      <c r="AK274" s="1289"/>
      <c r="AL274" s="1289"/>
      <c r="AM274" s="1289"/>
      <c r="AN274" s="1289"/>
      <c r="AO274" s="1289"/>
      <c r="AP274" s="1289"/>
      <c r="AQ274" s="1289"/>
      <c r="AR274" s="1289"/>
      <c r="AS274" s="1289"/>
      <c r="AT274" s="1289"/>
      <c r="AU274" s="1289"/>
      <c r="AV274" s="1289"/>
      <c r="AW274" s="1289"/>
      <c r="AX274" s="1289"/>
      <c r="AY274" s="1289"/>
      <c r="AZ274" s="1289"/>
      <c r="BA274" s="1289"/>
      <c r="BB274" s="1289"/>
      <c r="BC274" s="1289"/>
      <c r="BD274" s="1289"/>
      <c r="BE274" s="1289"/>
      <c r="BF274" s="1289"/>
      <c r="BG274" s="1289"/>
      <c r="BH274" s="1289"/>
      <c r="BI274" s="1289"/>
      <c r="BJ274" s="1289"/>
      <c r="BK274" s="1289"/>
      <c r="BL274" s="1289"/>
      <c r="BM274" s="1289"/>
      <c r="BN274" s="1289"/>
      <c r="BO274" s="1289"/>
      <c r="BP274" s="1289"/>
      <c r="BQ274" s="1289"/>
      <c r="BR274" s="1289"/>
      <c r="BS274" s="1289"/>
      <c r="BT274" s="1289"/>
      <c r="BU274" s="1289"/>
      <c r="BV274" s="1289"/>
      <c r="BW274" s="1289"/>
      <c r="BX274" s="1289"/>
      <c r="BY274" s="1289"/>
      <c r="BZ274" s="1289"/>
      <c r="CA274" s="1289"/>
      <c r="CB274" s="1289"/>
      <c r="CC274" s="1289"/>
      <c r="CD274" s="1289"/>
      <c r="CE274" s="1289"/>
      <c r="CF274" s="1289"/>
      <c r="CG274" s="1289"/>
      <c r="CH274" s="1289"/>
      <c r="CI274" s="1289"/>
      <c r="CJ274" s="1289"/>
      <c r="CK274" s="1289"/>
      <c r="CL274" s="1289"/>
      <c r="CM274" s="1289"/>
      <c r="CN274" s="1289"/>
      <c r="CO274" s="1289"/>
      <c r="CP274" s="1289"/>
      <c r="CQ274" s="1289"/>
      <c r="CR274" s="1289"/>
      <c r="CS274" s="1289"/>
      <c r="CT274" s="1289"/>
      <c r="CU274" s="1289"/>
      <c r="CV274" s="1289"/>
      <c r="CW274" s="1289"/>
      <c r="CX274" s="1289"/>
      <c r="CY274" s="1289"/>
      <c r="CZ274" s="1289"/>
      <c r="DA274" s="1289"/>
      <c r="DB274" s="1289"/>
      <c r="DC274" s="1289"/>
      <c r="DD274" s="1289"/>
      <c r="DE274" s="1289"/>
      <c r="DF274" s="1289"/>
      <c r="DG274" s="1289"/>
      <c r="DH274" s="1289"/>
      <c r="DI274" s="1289"/>
      <c r="DJ274" s="1289"/>
      <c r="DK274" s="1289"/>
      <c r="DL274" s="1289"/>
      <c r="DM274" s="1289"/>
      <c r="DN274" s="1289"/>
      <c r="DO274" s="1289"/>
      <c r="DP274" s="1289"/>
      <c r="DQ274" s="1289"/>
      <c r="DR274" s="1289"/>
      <c r="DS274" s="1289"/>
      <c r="DT274" s="1289"/>
      <c r="DU274" s="1289"/>
      <c r="DV274" s="1289"/>
      <c r="DW274" s="1289"/>
      <c r="DX274" s="1289"/>
      <c r="DY274" s="1289"/>
      <c r="DZ274" s="1289"/>
      <c r="EA274" s="1289"/>
      <c r="EB274" s="1289"/>
      <c r="EC274" s="1289"/>
      <c r="ED274" s="1289"/>
      <c r="EE274" s="1289"/>
      <c r="EF274" s="1289"/>
      <c r="EG274" s="1289"/>
      <c r="EH274" s="1289"/>
      <c r="EI274" s="1289"/>
      <c r="EJ274" s="1289"/>
      <c r="EK274" s="1289"/>
      <c r="EL274" s="1289"/>
      <c r="EM274" s="1289"/>
      <c r="EN274" s="1289"/>
      <c r="EO274" s="1289"/>
      <c r="EP274" s="1289"/>
      <c r="EQ274" s="1289"/>
      <c r="ER274" s="1289"/>
      <c r="ES274" s="1289"/>
      <c r="ET274" s="1289"/>
      <c r="EU274" s="1289"/>
      <c r="EV274" s="1289"/>
      <c r="EW274" s="1289"/>
      <c r="EX274" s="1289"/>
      <c r="EY274" s="1289"/>
      <c r="EZ274" s="1289"/>
      <c r="FA274" s="1289"/>
      <c r="FB274" s="1289"/>
      <c r="FC274" s="1289"/>
      <c r="FD274" s="1289"/>
      <c r="FE274" s="1289"/>
      <c r="FF274" s="1289"/>
      <c r="FG274" s="1289"/>
      <c r="FH274" s="1289"/>
      <c r="FI274" s="1289"/>
      <c r="FJ274" s="1289"/>
      <c r="FK274" s="1289"/>
      <c r="FL274" s="1289"/>
      <c r="FM274" s="1289"/>
      <c r="FN274" s="1289"/>
      <c r="FO274" s="1289"/>
      <c r="FP274" s="1289"/>
      <c r="FQ274" s="1289"/>
      <c r="FR274" s="1289"/>
      <c r="FS274" s="1289"/>
      <c r="FT274" s="1289"/>
      <c r="FU274" s="1289"/>
      <c r="FV274" s="1289"/>
      <c r="FW274" s="1289"/>
      <c r="FX274" s="1289"/>
      <c r="FY274" s="1289"/>
      <c r="FZ274" s="1289"/>
      <c r="GA274" s="1289"/>
      <c r="GB274" s="1289"/>
      <c r="GC274" s="1289"/>
      <c r="GD274" s="1289"/>
      <c r="GE274" s="1289"/>
      <c r="GF274" s="1289"/>
      <c r="GG274" s="1289"/>
      <c r="GH274" s="1289"/>
      <c r="GI274" s="1289"/>
      <c r="GJ274" s="1289"/>
      <c r="GK274" s="1289"/>
      <c r="GL274" s="1289"/>
      <c r="GM274" s="1289"/>
    </row>
    <row r="275" spans="1:195" s="1299" customFormat="1" ht="15" hidden="1" outlineLevel="1">
      <c r="A275" s="2127" t="s">
        <v>1909</v>
      </c>
      <c r="B275" s="2127" t="s">
        <v>1249</v>
      </c>
      <c r="C275" s="2128"/>
      <c r="D275" s="1297"/>
      <c r="E275" s="1294" t="s">
        <v>1249</v>
      </c>
      <c r="F275" s="380">
        <f>SUMIFS(INPUT!H:H,INPUT!E:E,BAZE_2024!A275,INPUT!B:B,BAZE_2024!B275)</f>
        <v>93022</v>
      </c>
      <c r="G275" s="380">
        <f>SUMIFS(INPUT!L:L,INPUT!E:E,BAZE_2024!A275,INPUT!B:B,BAZE_2024!B275)</f>
        <v>97222</v>
      </c>
      <c r="H275" s="1287">
        <f t="shared" si="19"/>
        <v>4200</v>
      </c>
      <c r="I275" s="1849">
        <f t="shared" si="16"/>
        <v>4.5150609533228699E-2</v>
      </c>
      <c r="J275" s="2168"/>
      <c r="K275" s="2129"/>
      <c r="L275" s="2014"/>
      <c r="M275" s="1289"/>
      <c r="N275" s="1289"/>
      <c r="O275" s="1289"/>
      <c r="P275" s="1289"/>
      <c r="Q275" s="1289"/>
      <c r="R275" s="1289"/>
      <c r="S275" s="1289"/>
      <c r="T275" s="1289"/>
      <c r="U275" s="1289"/>
      <c r="V275" s="1289"/>
      <c r="W275" s="1289"/>
      <c r="X275" s="1289"/>
      <c r="Y275" s="1289"/>
      <c r="Z275" s="1289"/>
      <c r="AA275" s="1289"/>
      <c r="AB275" s="1289"/>
      <c r="AC275" s="1289"/>
      <c r="AD275" s="1289"/>
      <c r="AE275" s="1289"/>
      <c r="AF275" s="1289"/>
      <c r="AG275" s="1289"/>
      <c r="AH275" s="1289"/>
      <c r="AI275" s="1289"/>
      <c r="AJ275" s="1289"/>
      <c r="AK275" s="1289"/>
      <c r="AL275" s="1289"/>
      <c r="AM275" s="1289"/>
      <c r="AN275" s="1289"/>
      <c r="AO275" s="1289"/>
      <c r="AP275" s="1289"/>
      <c r="AQ275" s="1289"/>
      <c r="AR275" s="1289"/>
      <c r="AS275" s="1289"/>
      <c r="AT275" s="1289"/>
      <c r="AU275" s="1289"/>
      <c r="AV275" s="1289"/>
      <c r="AW275" s="1289"/>
      <c r="AX275" s="1289"/>
      <c r="AY275" s="1289"/>
      <c r="AZ275" s="1289"/>
      <c r="BA275" s="1289"/>
      <c r="BB275" s="1289"/>
      <c r="BC275" s="1289"/>
      <c r="BD275" s="1289"/>
      <c r="BE275" s="1289"/>
      <c r="BF275" s="1289"/>
      <c r="BG275" s="1289"/>
      <c r="BH275" s="1289"/>
      <c r="BI275" s="1289"/>
      <c r="BJ275" s="1289"/>
      <c r="BK275" s="1289"/>
      <c r="BL275" s="1289"/>
      <c r="BM275" s="1289"/>
      <c r="BN275" s="1289"/>
      <c r="BO275" s="1289"/>
      <c r="BP275" s="1289"/>
      <c r="BQ275" s="1289"/>
      <c r="BR275" s="1289"/>
      <c r="BS275" s="1289"/>
      <c r="BT275" s="1289"/>
      <c r="BU275" s="1289"/>
      <c r="BV275" s="1289"/>
      <c r="BW275" s="1289"/>
      <c r="BX275" s="1289"/>
      <c r="BY275" s="1289"/>
      <c r="BZ275" s="1289"/>
      <c r="CA275" s="1289"/>
      <c r="CB275" s="1289"/>
      <c r="CC275" s="1289"/>
      <c r="CD275" s="1289"/>
      <c r="CE275" s="1289"/>
      <c r="CF275" s="1289"/>
      <c r="CG275" s="1289"/>
      <c r="CH275" s="1289"/>
      <c r="CI275" s="1289"/>
      <c r="CJ275" s="1289"/>
      <c r="CK275" s="1289"/>
      <c r="CL275" s="1289"/>
      <c r="CM275" s="1289"/>
      <c r="CN275" s="1289"/>
      <c r="CO275" s="1289"/>
      <c r="CP275" s="1289"/>
      <c r="CQ275" s="1289"/>
      <c r="CR275" s="1289"/>
      <c r="CS275" s="1289"/>
      <c r="CT275" s="1289"/>
      <c r="CU275" s="1289"/>
      <c r="CV275" s="1289"/>
      <c r="CW275" s="1289"/>
      <c r="CX275" s="1289"/>
      <c r="CY275" s="1289"/>
      <c r="CZ275" s="1289"/>
      <c r="DA275" s="1289"/>
      <c r="DB275" s="1289"/>
      <c r="DC275" s="1289"/>
      <c r="DD275" s="1289"/>
      <c r="DE275" s="1289"/>
      <c r="DF275" s="1289"/>
      <c r="DG275" s="1289"/>
      <c r="DH275" s="1289"/>
      <c r="DI275" s="1289"/>
      <c r="DJ275" s="1289"/>
      <c r="DK275" s="1289"/>
      <c r="DL275" s="1289"/>
      <c r="DM275" s="1289"/>
      <c r="DN275" s="1289"/>
      <c r="DO275" s="1289"/>
      <c r="DP275" s="1289"/>
      <c r="DQ275" s="1289"/>
      <c r="DR275" s="1289"/>
      <c r="DS275" s="1289"/>
      <c r="DT275" s="1289"/>
      <c r="DU275" s="1289"/>
      <c r="DV275" s="1289"/>
      <c r="DW275" s="1289"/>
      <c r="DX275" s="1289"/>
      <c r="DY275" s="1289"/>
      <c r="DZ275" s="1289"/>
      <c r="EA275" s="1289"/>
      <c r="EB275" s="1289"/>
      <c r="EC275" s="1289"/>
      <c r="ED275" s="1289"/>
      <c r="EE275" s="1289"/>
      <c r="EF275" s="1289"/>
      <c r="EG275" s="1289"/>
      <c r="EH275" s="1289"/>
      <c r="EI275" s="1289"/>
      <c r="EJ275" s="1289"/>
      <c r="EK275" s="1289"/>
      <c r="EL275" s="1289"/>
      <c r="EM275" s="1289"/>
      <c r="EN275" s="1289"/>
      <c r="EO275" s="1289"/>
      <c r="EP275" s="1289"/>
      <c r="EQ275" s="1289"/>
      <c r="ER275" s="1289"/>
      <c r="ES275" s="1289"/>
      <c r="ET275" s="1289"/>
      <c r="EU275" s="1289"/>
      <c r="EV275" s="1289"/>
      <c r="EW275" s="1289"/>
      <c r="EX275" s="1289"/>
      <c r="EY275" s="1289"/>
      <c r="EZ275" s="1289"/>
      <c r="FA275" s="1289"/>
      <c r="FB275" s="1289"/>
      <c r="FC275" s="1289"/>
      <c r="FD275" s="1289"/>
      <c r="FE275" s="1289"/>
      <c r="FF275" s="1289"/>
      <c r="FG275" s="1289"/>
      <c r="FH275" s="1289"/>
      <c r="FI275" s="1289"/>
      <c r="FJ275" s="1289"/>
      <c r="FK275" s="1289"/>
      <c r="FL275" s="1289"/>
      <c r="FM275" s="1289"/>
      <c r="FN275" s="1289"/>
      <c r="FO275" s="1289"/>
      <c r="FP275" s="1289"/>
      <c r="FQ275" s="1289"/>
      <c r="FR275" s="1289"/>
      <c r="FS275" s="1289"/>
      <c r="FT275" s="1289"/>
      <c r="FU275" s="1289"/>
      <c r="FV275" s="1289"/>
      <c r="FW275" s="1289"/>
      <c r="FX275" s="1289"/>
      <c r="FY275" s="1289"/>
      <c r="FZ275" s="1289"/>
      <c r="GA275" s="1289"/>
      <c r="GB275" s="1289"/>
      <c r="GC275" s="1289"/>
      <c r="GD275" s="1289"/>
      <c r="GE275" s="1289"/>
      <c r="GF275" s="1289"/>
      <c r="GG275" s="1289"/>
      <c r="GH275" s="1289"/>
      <c r="GI275" s="1289"/>
      <c r="GJ275" s="1289"/>
      <c r="GK275" s="1289"/>
      <c r="GL275" s="1289"/>
      <c r="GM275" s="1289"/>
    </row>
    <row r="276" spans="1:195" s="218" customFormat="1" ht="15" hidden="1" outlineLevel="1">
      <c r="A276" s="1665" t="s">
        <v>1894</v>
      </c>
      <c r="B276" s="1665" t="s">
        <v>566</v>
      </c>
      <c r="C276" s="1858"/>
      <c r="D276" s="275"/>
      <c r="E276" s="392" t="s">
        <v>664</v>
      </c>
      <c r="F276" s="2">
        <f>SUMIFS(INPUT!H:H,INPUT!E:E,BAZE_2024!A276,INPUT!B:B,BAZE_2024!B276)</f>
        <v>1557</v>
      </c>
      <c r="G276" s="2">
        <f>SUMIFS(INPUT!L:L,INPUT!E:E,BAZE_2024!A276,INPUT!B:B,BAZE_2024!B276)</f>
        <v>0</v>
      </c>
      <c r="H276" s="446">
        <f t="shared" si="19"/>
        <v>-1557</v>
      </c>
      <c r="I276" s="1850">
        <f t="shared" si="16"/>
        <v>-1</v>
      </c>
      <c r="J276" s="219"/>
      <c r="K276" s="227"/>
      <c r="L276" s="2012"/>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6"/>
      <c r="AN276" s="226"/>
      <c r="AO276" s="226"/>
      <c r="AP276" s="226"/>
      <c r="AQ276" s="226"/>
      <c r="AR276" s="226"/>
      <c r="AS276" s="226"/>
      <c r="AT276" s="226"/>
      <c r="AU276" s="226"/>
      <c r="AV276" s="226"/>
      <c r="AW276" s="226"/>
      <c r="AX276" s="226"/>
      <c r="AY276" s="226"/>
      <c r="AZ276" s="226"/>
      <c r="BA276" s="226"/>
      <c r="BB276" s="226"/>
      <c r="BC276" s="226"/>
      <c r="BD276" s="226"/>
      <c r="BE276" s="226"/>
      <c r="BF276" s="226"/>
      <c r="BG276" s="226"/>
      <c r="BH276" s="226"/>
      <c r="BI276" s="226"/>
      <c r="BJ276" s="226"/>
      <c r="BK276" s="226"/>
      <c r="BL276" s="226"/>
      <c r="BM276" s="226"/>
      <c r="BN276" s="226"/>
      <c r="BO276" s="226"/>
      <c r="BP276" s="226"/>
      <c r="BQ276" s="226"/>
      <c r="BR276" s="226"/>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226"/>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226"/>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226"/>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row>
    <row r="277" spans="1:195" ht="15" collapsed="1">
      <c r="D277" s="138" t="s">
        <v>2501</v>
      </c>
      <c r="E277" s="130" t="s">
        <v>636</v>
      </c>
      <c r="F277" s="383">
        <f>F278+F279</f>
        <v>19228.173900000002</v>
      </c>
      <c r="G277" s="383">
        <f>G278+G279</f>
        <v>19228.173900000002</v>
      </c>
      <c r="H277" s="116">
        <f>G277-F277</f>
        <v>0</v>
      </c>
      <c r="I277" s="1826">
        <f t="shared" si="16"/>
        <v>0</v>
      </c>
      <c r="J277" s="219"/>
      <c r="K277" s="227"/>
    </row>
    <row r="278" spans="1:195" s="50" customFormat="1" ht="15" hidden="1" outlineLevel="1">
      <c r="A278" s="1665" t="s">
        <v>1911</v>
      </c>
      <c r="B278" s="1665" t="s">
        <v>1248</v>
      </c>
      <c r="C278" s="1858"/>
      <c r="D278" s="160"/>
      <c r="E278" s="161" t="s">
        <v>579</v>
      </c>
      <c r="F278" s="389">
        <f>SUMIFS(INPUT!H:H,INPUT!E:E,BAZE_2024!A278,INPUT!B:B,BAZE_2024!B278)</f>
        <v>19228.173900000002</v>
      </c>
      <c r="G278" s="389">
        <f>SUMIFS(INPUT!L:L,INPUT!E:E,BAZE_2024!A278,INPUT!B:B,BAZE_2024!B278)</f>
        <v>19228.173900000002</v>
      </c>
      <c r="H278" s="146">
        <f>G278-F278</f>
        <v>0</v>
      </c>
      <c r="I278" s="1836">
        <f t="shared" si="16"/>
        <v>0</v>
      </c>
      <c r="J278" s="220"/>
      <c r="K278" s="227"/>
      <c r="L278" s="77"/>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50" customFormat="1" ht="15" hidden="1" outlineLevel="1">
      <c r="A279" s="1665" t="s">
        <v>1911</v>
      </c>
      <c r="B279" s="1665" t="s">
        <v>1250</v>
      </c>
      <c r="C279" s="1858"/>
      <c r="D279" s="160"/>
      <c r="E279" s="161" t="s">
        <v>578</v>
      </c>
      <c r="F279" s="389">
        <f>SUMIFS(INPUT!H:H,INPUT!E:E,BAZE_2024!A279,INPUT!B:B,BAZE_2024!B279)</f>
        <v>0</v>
      </c>
      <c r="G279" s="389">
        <f>SUMIFS(INPUT!L:L,INPUT!E:E,BAZE_2024!A279,INPUT!B:B,BAZE_2024!B279)</f>
        <v>0</v>
      </c>
      <c r="H279" s="146">
        <f>G279-F279</f>
        <v>0</v>
      </c>
      <c r="I279" s="1836" t="str">
        <f t="shared" si="16"/>
        <v>-</v>
      </c>
      <c r="J279" s="220"/>
      <c r="K279" s="227"/>
      <c r="L279" s="77"/>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218" customFormat="1" ht="15" hidden="1" outlineLevel="1">
      <c r="A280" s="1665" t="s">
        <v>1911</v>
      </c>
      <c r="B280" s="1665" t="s">
        <v>1249</v>
      </c>
      <c r="C280" s="1858"/>
      <c r="D280" s="163"/>
      <c r="E280" s="164" t="s">
        <v>1249</v>
      </c>
      <c r="F280" s="389">
        <f>SUMIFS(INPUT!H:H,INPUT!E:E,BAZE_2024!A280,INPUT!B:B,BAZE_2024!B280)</f>
        <v>0</v>
      </c>
      <c r="G280" s="389">
        <f>SUMIFS(INPUT!L:L,INPUT!E:E,BAZE_2024!A280,INPUT!B:B,BAZE_2024!B280)</f>
        <v>0</v>
      </c>
      <c r="H280" s="373">
        <f>G280-F280</f>
        <v>0</v>
      </c>
      <c r="I280" s="1837" t="str">
        <f t="shared" si="16"/>
        <v>-</v>
      </c>
      <c r="J280" s="220"/>
      <c r="K280" s="227"/>
      <c r="L280" s="2012"/>
      <c r="M280" s="226"/>
      <c r="N280" s="226"/>
      <c r="O280" s="226"/>
      <c r="P280" s="226"/>
      <c r="Q280" s="226"/>
      <c r="R280" s="226"/>
      <c r="S280" s="226"/>
      <c r="T280" s="226"/>
      <c r="U280" s="226"/>
      <c r="V280" s="226"/>
      <c r="W280" s="226"/>
      <c r="X280" s="226"/>
      <c r="Y280" s="226"/>
      <c r="Z280" s="226"/>
      <c r="AA280" s="226"/>
      <c r="AB280" s="226"/>
      <c r="AC280" s="226"/>
      <c r="AD280" s="226"/>
      <c r="AE280" s="226"/>
      <c r="AF280" s="226"/>
      <c r="AG280" s="226"/>
      <c r="AH280" s="226"/>
      <c r="AI280" s="226"/>
      <c r="AJ280" s="226"/>
      <c r="AK280" s="226"/>
      <c r="AL280" s="226"/>
      <c r="AM280" s="226"/>
      <c r="AN280" s="226"/>
      <c r="AO280" s="226"/>
      <c r="AP280" s="226"/>
      <c r="AQ280" s="226"/>
      <c r="AR280" s="226"/>
      <c r="AS280" s="226"/>
      <c r="AT280" s="226"/>
      <c r="AU280" s="226"/>
      <c r="AV280" s="226"/>
      <c r="AW280" s="226"/>
      <c r="AX280" s="226"/>
      <c r="AY280" s="226"/>
      <c r="AZ280" s="226"/>
      <c r="BA280" s="226"/>
      <c r="BB280" s="226"/>
      <c r="BC280" s="226"/>
      <c r="BD280" s="226"/>
      <c r="BE280" s="226"/>
      <c r="BF280" s="226"/>
      <c r="BG280" s="226"/>
      <c r="BH280" s="226"/>
      <c r="BI280" s="226"/>
      <c r="BJ280" s="226"/>
      <c r="BK280" s="226"/>
      <c r="BL280" s="226"/>
      <c r="BM280" s="226"/>
      <c r="BN280" s="226"/>
      <c r="BO280" s="226"/>
      <c r="BP280" s="226"/>
      <c r="BQ280" s="226"/>
      <c r="BR280" s="226"/>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226"/>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226"/>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226"/>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row>
    <row r="281" spans="1:195" ht="15" collapsed="1">
      <c r="D281" s="138" t="s">
        <v>187</v>
      </c>
      <c r="E281" s="130" t="s">
        <v>583</v>
      </c>
      <c r="F281" s="383">
        <f>F282+F283+F285+F284</f>
        <v>1116833.6494368</v>
      </c>
      <c r="G281" s="383">
        <f>G282+G283+G285+G284</f>
        <v>1289102.9786112006</v>
      </c>
      <c r="H281" s="116">
        <f t="shared" si="19"/>
        <v>172269.32917440054</v>
      </c>
      <c r="I281" s="1826">
        <f t="shared" si="16"/>
        <v>0.15424797530166914</v>
      </c>
      <c r="J281" s="223"/>
      <c r="K281" s="227"/>
    </row>
    <row r="282" spans="1:195" s="50" customFormat="1" ht="15" hidden="1" outlineLevel="1">
      <c r="A282" s="1665" t="s">
        <v>1924</v>
      </c>
      <c r="B282" s="1665" t="s">
        <v>663</v>
      </c>
      <c r="C282" s="1858"/>
      <c r="D282" s="160"/>
      <c r="E282" s="217" t="s">
        <v>663</v>
      </c>
      <c r="F282" s="389">
        <f>SUMIFS(INPUT!H:H,INPUT!E:E,BAZE_2024!A282,INPUT!B:B,BAZE_2024!B282)</f>
        <v>850650.84403679997</v>
      </c>
      <c r="G282" s="389">
        <f>SUMIFS(INPUT!L:L,INPUT!E:E,BAZE_2024!A282,INPUT!B:B,BAZE_2024!B282)</f>
        <v>1060396.6552112005</v>
      </c>
      <c r="H282" s="146">
        <f t="shared" si="19"/>
        <v>209745.8111744005</v>
      </c>
      <c r="I282" s="1836">
        <f t="shared" si="16"/>
        <v>0.24657097873322828</v>
      </c>
      <c r="J282" s="1149" t="s">
        <v>5733</v>
      </c>
      <c r="K282" s="227"/>
      <c r="L282" s="77"/>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row>
    <row r="283" spans="1:195" s="50" customFormat="1" ht="15" hidden="1" outlineLevel="1">
      <c r="A283" s="1665" t="s">
        <v>1924</v>
      </c>
      <c r="B283" s="1665" t="s">
        <v>1248</v>
      </c>
      <c r="C283" s="1858"/>
      <c r="D283" s="216"/>
      <c r="E283" s="161" t="s">
        <v>579</v>
      </c>
      <c r="F283" s="389">
        <f>SUMIFS(INPUT!H:H,INPUT!E:E,BAZE_2024!A283,INPUT!B:B,BAZE_2024!B283)</f>
        <v>255922.80540000001</v>
      </c>
      <c r="G283" s="389">
        <f>SUMIFS(INPUT!L:L,INPUT!E:E,BAZE_2024!A283,INPUT!B:B,BAZE_2024!B283)</f>
        <v>217106.32339999999</v>
      </c>
      <c r="H283" s="146">
        <f t="shared" si="19"/>
        <v>-38816.482000000018</v>
      </c>
      <c r="I283" s="1836">
        <f t="shared" si="16"/>
        <v>-0.15167261838713814</v>
      </c>
      <c r="J283" s="1181"/>
      <c r="K283" s="156">
        <v>-0.02</v>
      </c>
      <c r="L283" s="1222">
        <f>G283*K283</f>
        <v>-4342.1264680000004</v>
      </c>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2477" customFormat="1" ht="15" hidden="1" outlineLevel="1">
      <c r="A284" s="2791" t="s">
        <v>1924</v>
      </c>
      <c r="B284" s="2791" t="s">
        <v>2649</v>
      </c>
      <c r="C284" s="1858"/>
      <c r="D284" s="2792"/>
      <c r="E284" s="2793" t="s">
        <v>2648</v>
      </c>
      <c r="F284" s="389">
        <f>SUMIFS(INPUT!H:H,INPUT!E:E,BAZE_2024!A284,INPUT!B:B,BAZE_2024!B284)</f>
        <v>0</v>
      </c>
      <c r="G284" s="389">
        <f>SUMIFS(INPUT!L:L,INPUT!E:E,BAZE_2024!A284,INPUT!B:B,BAZE_2024!B284)</f>
        <v>0</v>
      </c>
      <c r="H284" s="146">
        <f>G284-F284</f>
        <v>0</v>
      </c>
      <c r="I284" s="1836" t="str">
        <f>IFERROR(H284/F284,"-")</f>
        <v>-</v>
      </c>
      <c r="J284" s="2794"/>
      <c r="K284" s="2121"/>
      <c r="L284" s="224"/>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c r="AJ284" s="79"/>
      <c r="AK284" s="79"/>
      <c r="AL284" s="79"/>
      <c r="AM284" s="79"/>
      <c r="AN284" s="79"/>
      <c r="AO284" s="79"/>
      <c r="AP284" s="79"/>
      <c r="AQ284" s="79"/>
      <c r="AR284" s="79"/>
      <c r="AS284" s="79"/>
      <c r="AT284" s="79"/>
      <c r="AU284" s="79"/>
      <c r="AV284" s="79"/>
      <c r="AW284" s="79"/>
      <c r="AX284" s="79"/>
      <c r="AY284" s="79"/>
      <c r="AZ284" s="79"/>
      <c r="BA284" s="79"/>
      <c r="BB284" s="79"/>
      <c r="BC284" s="79"/>
      <c r="BD284" s="79"/>
      <c r="BE284" s="79"/>
      <c r="BF284" s="79"/>
      <c r="BG284" s="79"/>
      <c r="BH284" s="79"/>
      <c r="BI284" s="79"/>
      <c r="BJ284" s="79"/>
      <c r="BK284" s="79"/>
      <c r="BL284" s="79"/>
      <c r="BM284" s="79"/>
      <c r="BN284" s="79"/>
      <c r="BO284" s="79"/>
      <c r="BP284" s="79"/>
      <c r="BQ284" s="79"/>
      <c r="BR284" s="79"/>
      <c r="BS284" s="79"/>
      <c r="BT284" s="79"/>
      <c r="BU284" s="79"/>
      <c r="BV284" s="79"/>
      <c r="BW284" s="79"/>
      <c r="BX284" s="79"/>
      <c r="BY284" s="79"/>
      <c r="BZ284" s="79"/>
      <c r="CA284" s="79"/>
      <c r="CB284" s="79"/>
      <c r="CC284" s="79"/>
      <c r="CD284" s="79"/>
      <c r="CE284" s="79"/>
      <c r="CF284" s="79"/>
      <c r="CG284" s="79"/>
      <c r="CH284" s="79"/>
      <c r="CI284" s="79"/>
      <c r="CJ284" s="79"/>
      <c r="CK284" s="79"/>
      <c r="CL284" s="79"/>
      <c r="CM284" s="79"/>
      <c r="CN284" s="79"/>
      <c r="CO284" s="79"/>
      <c r="CP284" s="79"/>
      <c r="CQ284" s="79"/>
      <c r="CR284" s="79"/>
      <c r="CS284" s="79"/>
      <c r="CT284" s="79"/>
      <c r="CU284" s="79"/>
      <c r="CV284" s="79"/>
      <c r="CW284" s="79"/>
      <c r="CX284" s="79"/>
      <c r="CY284" s="79"/>
      <c r="CZ284" s="79"/>
      <c r="DA284" s="79"/>
      <c r="DB284" s="79"/>
      <c r="DC284" s="79"/>
      <c r="DD284" s="79"/>
      <c r="DE284" s="79"/>
      <c r="DF284" s="79"/>
      <c r="DG284" s="79"/>
      <c r="DH284" s="79"/>
      <c r="DI284" s="79"/>
      <c r="DJ284" s="79"/>
      <c r="DK284" s="79"/>
      <c r="DL284" s="79"/>
      <c r="DM284" s="79"/>
      <c r="DN284" s="79"/>
      <c r="DO284" s="79"/>
      <c r="DP284" s="79"/>
      <c r="DQ284" s="79"/>
      <c r="DR284" s="79"/>
      <c r="DS284" s="79"/>
      <c r="DT284" s="79"/>
      <c r="DU284" s="79"/>
      <c r="DV284" s="79"/>
      <c r="DW284" s="79"/>
      <c r="DX284" s="79"/>
      <c r="DY284" s="79"/>
      <c r="DZ284" s="79"/>
      <c r="EA284" s="79"/>
      <c r="EB284" s="79"/>
      <c r="EC284" s="79"/>
      <c r="ED284" s="79"/>
      <c r="EE284" s="79"/>
      <c r="EF284" s="79"/>
      <c r="EG284" s="79"/>
      <c r="EH284" s="79"/>
      <c r="EI284" s="79"/>
      <c r="EJ284" s="79"/>
      <c r="EK284" s="79"/>
      <c r="EL284" s="79"/>
      <c r="EM284" s="79"/>
      <c r="EN284" s="79"/>
      <c r="EO284" s="79"/>
      <c r="EP284" s="79"/>
      <c r="EQ284" s="79"/>
      <c r="ER284" s="79"/>
      <c r="ES284" s="79"/>
      <c r="ET284" s="79"/>
      <c r="EU284" s="79"/>
      <c r="EV284" s="79"/>
      <c r="EW284" s="79"/>
      <c r="EX284" s="79"/>
      <c r="EY284" s="79"/>
      <c r="EZ284" s="79"/>
      <c r="FA284" s="79"/>
      <c r="FB284" s="79"/>
      <c r="FC284" s="79"/>
      <c r="FD284" s="79"/>
      <c r="FE284" s="79"/>
      <c r="FF284" s="79"/>
      <c r="FG284" s="79"/>
      <c r="FH284" s="79"/>
      <c r="FI284" s="79"/>
      <c r="FJ284" s="79"/>
      <c r="FK284" s="79"/>
      <c r="FL284" s="79"/>
      <c r="FM284" s="79"/>
      <c r="FN284" s="79"/>
      <c r="FO284" s="79"/>
      <c r="FP284" s="79"/>
      <c r="FQ284" s="79"/>
      <c r="FR284" s="79"/>
      <c r="FS284" s="79"/>
      <c r="FT284" s="79"/>
      <c r="FU284" s="79"/>
      <c r="FV284" s="79"/>
      <c r="FW284" s="79"/>
      <c r="FX284" s="79"/>
      <c r="FY284" s="79"/>
      <c r="FZ284" s="79"/>
      <c r="GA284" s="79"/>
      <c r="GB284" s="79"/>
      <c r="GC284" s="79"/>
      <c r="GD284" s="79"/>
      <c r="GE284" s="79"/>
      <c r="GF284" s="79"/>
      <c r="GG284" s="79"/>
      <c r="GH284" s="79"/>
      <c r="GI284" s="79"/>
      <c r="GJ284" s="79"/>
      <c r="GK284" s="79"/>
      <c r="GL284" s="79"/>
      <c r="GM284" s="79"/>
    </row>
    <row r="285" spans="1:195" s="50" customFormat="1" ht="15" hidden="1" outlineLevel="1">
      <c r="A285" s="1665" t="s">
        <v>1924</v>
      </c>
      <c r="B285" s="1665" t="s">
        <v>1250</v>
      </c>
      <c r="C285" s="1858"/>
      <c r="D285" s="160"/>
      <c r="E285" s="161" t="s">
        <v>578</v>
      </c>
      <c r="F285" s="389">
        <f>SUMIFS(INPUT!H:H,INPUT!E:E,BAZE_2024!A285,INPUT!B:B,BAZE_2024!B285)</f>
        <v>10260</v>
      </c>
      <c r="G285" s="389">
        <f>SUMIFS(INPUT!L:L,INPUT!E:E,BAZE_2024!A285,INPUT!B:B,BAZE_2024!B285)</f>
        <v>11600</v>
      </c>
      <c r="H285" s="146">
        <f t="shared" si="19"/>
        <v>1340</v>
      </c>
      <c r="I285" s="1836">
        <f t="shared" si="16"/>
        <v>0.13060428849902533</v>
      </c>
      <c r="J285" s="220"/>
      <c r="K285" s="227"/>
      <c r="L285" s="77"/>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row>
    <row r="286" spans="1:195" s="1299" customFormat="1" ht="15" hidden="1" outlineLevel="1">
      <c r="A286" s="2127" t="s">
        <v>1923</v>
      </c>
      <c r="B286" s="2127" t="s">
        <v>512</v>
      </c>
      <c r="C286" s="2128"/>
      <c r="D286" s="1297"/>
      <c r="E286" s="1294" t="s">
        <v>431</v>
      </c>
      <c r="F286" s="380">
        <f>SUMIFS(INPUT!H:H,INPUT!E:E,BAZE_2024!A286,INPUT!B:B,BAZE_2024!B286)</f>
        <v>115813.23944</v>
      </c>
      <c r="G286" s="380">
        <f>SUMIFS(INPUT!L:L,INPUT!E:E,BAZE_2024!A286,INPUT!B:B,BAZE_2024!B286)</f>
        <v>146969.78408000001</v>
      </c>
      <c r="H286" s="1285">
        <f t="shared" si="19"/>
        <v>31156.544640000007</v>
      </c>
      <c r="I286" s="1834">
        <f t="shared" si="16"/>
        <v>0.2690240320593178</v>
      </c>
      <c r="J286" s="2168"/>
      <c r="K286" s="2129"/>
      <c r="L286" s="2014"/>
      <c r="M286" s="1289"/>
      <c r="N286" s="1289"/>
      <c r="O286" s="1289"/>
      <c r="P286" s="1289"/>
      <c r="Q286" s="1289"/>
      <c r="R286" s="1289"/>
      <c r="S286" s="1289"/>
      <c r="T286" s="1289"/>
      <c r="U286" s="1289"/>
      <c r="V286" s="1289"/>
      <c r="W286" s="1289"/>
      <c r="X286" s="1289"/>
      <c r="Y286" s="1289"/>
      <c r="Z286" s="1289"/>
      <c r="AA286" s="1289"/>
      <c r="AB286" s="1289"/>
      <c r="AC286" s="1289"/>
      <c r="AD286" s="1289"/>
      <c r="AE286" s="1289"/>
      <c r="AF286" s="1289"/>
      <c r="AG286" s="1289"/>
      <c r="AH286" s="1289"/>
      <c r="AI286" s="1289"/>
      <c r="AJ286" s="1289"/>
      <c r="AK286" s="1289"/>
      <c r="AL286" s="1289"/>
      <c r="AM286" s="1289"/>
      <c r="AN286" s="1289"/>
      <c r="AO286" s="1289"/>
      <c r="AP286" s="1289"/>
      <c r="AQ286" s="1289"/>
      <c r="AR286" s="1289"/>
      <c r="AS286" s="1289"/>
      <c r="AT286" s="1289"/>
      <c r="AU286" s="1289"/>
      <c r="AV286" s="1289"/>
      <c r="AW286" s="1289"/>
      <c r="AX286" s="1289"/>
      <c r="AY286" s="1289"/>
      <c r="AZ286" s="1289"/>
      <c r="BA286" s="1289"/>
      <c r="BB286" s="1289"/>
      <c r="BC286" s="1289"/>
      <c r="BD286" s="1289"/>
      <c r="BE286" s="1289"/>
      <c r="BF286" s="1289"/>
      <c r="BG286" s="1289"/>
      <c r="BH286" s="1289"/>
      <c r="BI286" s="1289"/>
      <c r="BJ286" s="1289"/>
      <c r="BK286" s="1289"/>
      <c r="BL286" s="1289"/>
      <c r="BM286" s="1289"/>
      <c r="BN286" s="1289"/>
      <c r="BO286" s="1289"/>
      <c r="BP286" s="1289"/>
      <c r="BQ286" s="1289"/>
      <c r="BR286" s="1289"/>
      <c r="BS286" s="1289"/>
      <c r="BT286" s="1289"/>
      <c r="BU286" s="1289"/>
      <c r="BV286" s="1289"/>
      <c r="BW286" s="1289"/>
      <c r="BX286" s="1289"/>
      <c r="BY286" s="1289"/>
      <c r="BZ286" s="1289"/>
      <c r="CA286" s="1289"/>
      <c r="CB286" s="1289"/>
      <c r="CC286" s="1289"/>
      <c r="CD286" s="1289"/>
      <c r="CE286" s="1289"/>
      <c r="CF286" s="1289"/>
      <c r="CG286" s="1289"/>
      <c r="CH286" s="1289"/>
      <c r="CI286" s="1289"/>
      <c r="CJ286" s="1289"/>
      <c r="CK286" s="1289"/>
      <c r="CL286" s="1289"/>
      <c r="CM286" s="1289"/>
      <c r="CN286" s="1289"/>
      <c r="CO286" s="1289"/>
      <c r="CP286" s="1289"/>
      <c r="CQ286" s="1289"/>
      <c r="CR286" s="1289"/>
      <c r="CS286" s="1289"/>
      <c r="CT286" s="1289"/>
      <c r="CU286" s="1289"/>
      <c r="CV286" s="1289"/>
      <c r="CW286" s="1289"/>
      <c r="CX286" s="1289"/>
      <c r="CY286" s="1289"/>
      <c r="CZ286" s="1289"/>
      <c r="DA286" s="1289"/>
      <c r="DB286" s="1289"/>
      <c r="DC286" s="1289"/>
      <c r="DD286" s="1289"/>
      <c r="DE286" s="1289"/>
      <c r="DF286" s="1289"/>
      <c r="DG286" s="1289"/>
      <c r="DH286" s="1289"/>
      <c r="DI286" s="1289"/>
      <c r="DJ286" s="1289"/>
      <c r="DK286" s="1289"/>
      <c r="DL286" s="1289"/>
      <c r="DM286" s="1289"/>
      <c r="DN286" s="1289"/>
      <c r="DO286" s="1289"/>
      <c r="DP286" s="1289"/>
      <c r="DQ286" s="1289"/>
      <c r="DR286" s="1289"/>
      <c r="DS286" s="1289"/>
      <c r="DT286" s="1289"/>
      <c r="DU286" s="1289"/>
      <c r="DV286" s="1289"/>
      <c r="DW286" s="1289"/>
      <c r="DX286" s="1289"/>
      <c r="DY286" s="1289"/>
      <c r="DZ286" s="1289"/>
      <c r="EA286" s="1289"/>
      <c r="EB286" s="1289"/>
      <c r="EC286" s="1289"/>
      <c r="ED286" s="1289"/>
      <c r="EE286" s="1289"/>
      <c r="EF286" s="1289"/>
      <c r="EG286" s="1289"/>
      <c r="EH286" s="1289"/>
      <c r="EI286" s="1289"/>
      <c r="EJ286" s="1289"/>
      <c r="EK286" s="1289"/>
      <c r="EL286" s="1289"/>
      <c r="EM286" s="1289"/>
      <c r="EN286" s="1289"/>
      <c r="EO286" s="1289"/>
      <c r="EP286" s="1289"/>
      <c r="EQ286" s="1289"/>
      <c r="ER286" s="1289"/>
      <c r="ES286" s="1289"/>
      <c r="ET286" s="1289"/>
      <c r="EU286" s="1289"/>
      <c r="EV286" s="1289"/>
      <c r="EW286" s="1289"/>
      <c r="EX286" s="1289"/>
      <c r="EY286" s="1289"/>
      <c r="EZ286" s="1289"/>
      <c r="FA286" s="1289"/>
      <c r="FB286" s="1289"/>
      <c r="FC286" s="1289"/>
      <c r="FD286" s="1289"/>
      <c r="FE286" s="1289"/>
      <c r="FF286" s="1289"/>
      <c r="FG286" s="1289"/>
      <c r="FH286" s="1289"/>
      <c r="FI286" s="1289"/>
      <c r="FJ286" s="1289"/>
      <c r="FK286" s="1289"/>
      <c r="FL286" s="1289"/>
      <c r="FM286" s="1289"/>
      <c r="FN286" s="1289"/>
      <c r="FO286" s="1289"/>
      <c r="FP286" s="1289"/>
      <c r="FQ286" s="1289"/>
      <c r="FR286" s="1289"/>
      <c r="FS286" s="1289"/>
      <c r="FT286" s="1289"/>
      <c r="FU286" s="1289"/>
      <c r="FV286" s="1289"/>
      <c r="FW286" s="1289"/>
      <c r="FX286" s="1289"/>
      <c r="FY286" s="1289"/>
      <c r="FZ286" s="1289"/>
      <c r="GA286" s="1289"/>
      <c r="GB286" s="1289"/>
      <c r="GC286" s="1289"/>
      <c r="GD286" s="1289"/>
      <c r="GE286" s="1289"/>
      <c r="GF286" s="1289"/>
      <c r="GG286" s="1289"/>
      <c r="GH286" s="1289"/>
      <c r="GI286" s="1289"/>
      <c r="GJ286" s="1289"/>
      <c r="GK286" s="1289"/>
      <c r="GL286" s="1289"/>
      <c r="GM286" s="1289"/>
    </row>
    <row r="287" spans="1:195" s="1299" customFormat="1" ht="15" hidden="1" outlineLevel="1">
      <c r="A287" s="2127" t="s">
        <v>1924</v>
      </c>
      <c r="B287" s="2127" t="s">
        <v>1249</v>
      </c>
      <c r="C287" s="2128"/>
      <c r="D287" s="1297"/>
      <c r="E287" s="1294" t="s">
        <v>1249</v>
      </c>
      <c r="F287" s="380">
        <f>SUMIFS(INPUT!H:H,INPUT!E:E,BAZE_2024!A287,INPUT!B:B,BAZE_2024!B287)</f>
        <v>0</v>
      </c>
      <c r="G287" s="380">
        <f>SUMIFS(INPUT!L:L,INPUT!E:E,BAZE_2024!A287,INPUT!B:B,BAZE_2024!B287)</f>
        <v>0</v>
      </c>
      <c r="H287" s="1285">
        <f t="shared" si="19"/>
        <v>0</v>
      </c>
      <c r="I287" s="1834" t="str">
        <f t="shared" ref="I287:I314" si="20">IFERROR(H287/F287,"-")</f>
        <v>-</v>
      </c>
      <c r="J287" s="2168"/>
      <c r="K287" s="2129"/>
      <c r="L287" s="2014"/>
      <c r="M287" s="1289"/>
      <c r="N287" s="1289"/>
      <c r="O287" s="1289"/>
      <c r="P287" s="1289"/>
      <c r="Q287" s="1289"/>
      <c r="R287" s="1289"/>
      <c r="S287" s="1289"/>
      <c r="T287" s="1289"/>
      <c r="U287" s="1289"/>
      <c r="V287" s="1289"/>
      <c r="W287" s="1289"/>
      <c r="X287" s="1289"/>
      <c r="Y287" s="1289"/>
      <c r="Z287" s="1289"/>
      <c r="AA287" s="1289"/>
      <c r="AB287" s="1289"/>
      <c r="AC287" s="1289"/>
      <c r="AD287" s="1289"/>
      <c r="AE287" s="1289"/>
      <c r="AF287" s="1289"/>
      <c r="AG287" s="1289"/>
      <c r="AH287" s="1289"/>
      <c r="AI287" s="1289"/>
      <c r="AJ287" s="1289"/>
      <c r="AK287" s="1289"/>
      <c r="AL287" s="1289"/>
      <c r="AM287" s="1289"/>
      <c r="AN287" s="1289"/>
      <c r="AO287" s="1289"/>
      <c r="AP287" s="1289"/>
      <c r="AQ287" s="1289"/>
      <c r="AR287" s="1289"/>
      <c r="AS287" s="1289"/>
      <c r="AT287" s="1289"/>
      <c r="AU287" s="1289"/>
      <c r="AV287" s="1289"/>
      <c r="AW287" s="1289"/>
      <c r="AX287" s="1289"/>
      <c r="AY287" s="1289"/>
      <c r="AZ287" s="1289"/>
      <c r="BA287" s="1289"/>
      <c r="BB287" s="1289"/>
      <c r="BC287" s="1289"/>
      <c r="BD287" s="1289"/>
      <c r="BE287" s="1289"/>
      <c r="BF287" s="1289"/>
      <c r="BG287" s="1289"/>
      <c r="BH287" s="1289"/>
      <c r="BI287" s="1289"/>
      <c r="BJ287" s="1289"/>
      <c r="BK287" s="1289"/>
      <c r="BL287" s="1289"/>
      <c r="BM287" s="1289"/>
      <c r="BN287" s="1289"/>
      <c r="BO287" s="1289"/>
      <c r="BP287" s="1289"/>
      <c r="BQ287" s="1289"/>
      <c r="BR287" s="1289"/>
      <c r="BS287" s="1289"/>
      <c r="BT287" s="1289"/>
      <c r="BU287" s="1289"/>
      <c r="BV287" s="1289"/>
      <c r="BW287" s="1289"/>
      <c r="BX287" s="1289"/>
      <c r="BY287" s="1289"/>
      <c r="BZ287" s="1289"/>
      <c r="CA287" s="1289"/>
      <c r="CB287" s="1289"/>
      <c r="CC287" s="1289"/>
      <c r="CD287" s="1289"/>
      <c r="CE287" s="1289"/>
      <c r="CF287" s="1289"/>
      <c r="CG287" s="1289"/>
      <c r="CH287" s="1289"/>
      <c r="CI287" s="1289"/>
      <c r="CJ287" s="1289"/>
      <c r="CK287" s="1289"/>
      <c r="CL287" s="1289"/>
      <c r="CM287" s="1289"/>
      <c r="CN287" s="1289"/>
      <c r="CO287" s="1289"/>
      <c r="CP287" s="1289"/>
      <c r="CQ287" s="1289"/>
      <c r="CR287" s="1289"/>
      <c r="CS287" s="1289"/>
      <c r="CT287" s="1289"/>
      <c r="CU287" s="1289"/>
      <c r="CV287" s="1289"/>
      <c r="CW287" s="1289"/>
      <c r="CX287" s="1289"/>
      <c r="CY287" s="1289"/>
      <c r="CZ287" s="1289"/>
      <c r="DA287" s="1289"/>
      <c r="DB287" s="1289"/>
      <c r="DC287" s="1289"/>
      <c r="DD287" s="1289"/>
      <c r="DE287" s="1289"/>
      <c r="DF287" s="1289"/>
      <c r="DG287" s="1289"/>
      <c r="DH287" s="1289"/>
      <c r="DI287" s="1289"/>
      <c r="DJ287" s="1289"/>
      <c r="DK287" s="1289"/>
      <c r="DL287" s="1289"/>
      <c r="DM287" s="1289"/>
      <c r="DN287" s="1289"/>
      <c r="DO287" s="1289"/>
      <c r="DP287" s="1289"/>
      <c r="DQ287" s="1289"/>
      <c r="DR287" s="1289"/>
      <c r="DS287" s="1289"/>
      <c r="DT287" s="1289"/>
      <c r="DU287" s="1289"/>
      <c r="DV287" s="1289"/>
      <c r="DW287" s="1289"/>
      <c r="DX287" s="1289"/>
      <c r="DY287" s="1289"/>
      <c r="DZ287" s="1289"/>
      <c r="EA287" s="1289"/>
      <c r="EB287" s="1289"/>
      <c r="EC287" s="1289"/>
      <c r="ED287" s="1289"/>
      <c r="EE287" s="1289"/>
      <c r="EF287" s="1289"/>
      <c r="EG287" s="1289"/>
      <c r="EH287" s="1289"/>
      <c r="EI287" s="1289"/>
      <c r="EJ287" s="1289"/>
      <c r="EK287" s="1289"/>
      <c r="EL287" s="1289"/>
      <c r="EM287" s="1289"/>
      <c r="EN287" s="1289"/>
      <c r="EO287" s="1289"/>
      <c r="EP287" s="1289"/>
      <c r="EQ287" s="1289"/>
      <c r="ER287" s="1289"/>
      <c r="ES287" s="1289"/>
      <c r="ET287" s="1289"/>
      <c r="EU287" s="1289"/>
      <c r="EV287" s="1289"/>
      <c r="EW287" s="1289"/>
      <c r="EX287" s="1289"/>
      <c r="EY287" s="1289"/>
      <c r="EZ287" s="1289"/>
      <c r="FA287" s="1289"/>
      <c r="FB287" s="1289"/>
      <c r="FC287" s="1289"/>
      <c r="FD287" s="1289"/>
      <c r="FE287" s="1289"/>
      <c r="FF287" s="1289"/>
      <c r="FG287" s="1289"/>
      <c r="FH287" s="1289"/>
      <c r="FI287" s="1289"/>
      <c r="FJ287" s="1289"/>
      <c r="FK287" s="1289"/>
      <c r="FL287" s="1289"/>
      <c r="FM287" s="1289"/>
      <c r="FN287" s="1289"/>
      <c r="FO287" s="1289"/>
      <c r="FP287" s="1289"/>
      <c r="FQ287" s="1289"/>
      <c r="FR287" s="1289"/>
      <c r="FS287" s="1289"/>
      <c r="FT287" s="1289"/>
      <c r="FU287" s="1289"/>
      <c r="FV287" s="1289"/>
      <c r="FW287" s="1289"/>
      <c r="FX287" s="1289"/>
      <c r="FY287" s="1289"/>
      <c r="FZ287" s="1289"/>
      <c r="GA287" s="1289"/>
      <c r="GB287" s="1289"/>
      <c r="GC287" s="1289"/>
      <c r="GD287" s="1289"/>
      <c r="GE287" s="1289"/>
      <c r="GF287" s="1289"/>
      <c r="GG287" s="1289"/>
      <c r="GH287" s="1289"/>
      <c r="GI287" s="1289"/>
      <c r="GJ287" s="1289"/>
      <c r="GK287" s="1289"/>
      <c r="GL287" s="1289"/>
      <c r="GM287" s="1289"/>
    </row>
    <row r="288" spans="1:195" ht="29.25" collapsed="1">
      <c r="D288" s="138" t="s">
        <v>769</v>
      </c>
      <c r="E288" s="130" t="s">
        <v>1593</v>
      </c>
      <c r="F288" s="383">
        <f>F289+F290+F291+F292</f>
        <v>1130510.0530065843</v>
      </c>
      <c r="G288" s="383">
        <f>G289+G290+G291+G292</f>
        <v>1345065.4529886562</v>
      </c>
      <c r="H288" s="116">
        <f t="shared" si="19"/>
        <v>214555.39998207195</v>
      </c>
      <c r="I288" s="1826">
        <f t="shared" si="20"/>
        <v>0.18978637068415555</v>
      </c>
      <c r="J288" s="223"/>
      <c r="K288" s="227"/>
    </row>
    <row r="289" spans="1:195" s="50" customFormat="1" ht="15" hidden="1" outlineLevel="1">
      <c r="A289" s="1665" t="s">
        <v>1934</v>
      </c>
      <c r="B289" s="1665" t="s">
        <v>663</v>
      </c>
      <c r="C289" s="1858"/>
      <c r="D289" s="160"/>
      <c r="E289" s="217" t="s">
        <v>663</v>
      </c>
      <c r="F289" s="389">
        <f>SUMIFS(INPUT!H:H,INPUT!E:E,BAZE_2024!A289,INPUT!B:B,BAZE_2024!B289)</f>
        <v>821903.05300658429</v>
      </c>
      <c r="G289" s="389">
        <f>SUMIFS(INPUT!L:L,INPUT!E:E,BAZE_2024!A289,INPUT!B:B,BAZE_2024!B289)</f>
        <v>1034627.9729886563</v>
      </c>
      <c r="H289" s="146">
        <f t="shared" si="19"/>
        <v>212724.91998207197</v>
      </c>
      <c r="I289" s="1836">
        <f t="shared" si="20"/>
        <v>0.25881996569292198</v>
      </c>
      <c r="J289" s="1181" t="s">
        <v>5733</v>
      </c>
      <c r="K289" s="227"/>
      <c r="L289" s="77"/>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row>
    <row r="290" spans="1:195" s="50" customFormat="1" ht="42" hidden="1" customHeight="1" outlineLevel="1">
      <c r="A290" s="1665" t="s">
        <v>1934</v>
      </c>
      <c r="B290" s="1665" t="s">
        <v>1248</v>
      </c>
      <c r="C290" s="1858"/>
      <c r="D290" s="216"/>
      <c r="E290" s="161" t="s">
        <v>579</v>
      </c>
      <c r="F290" s="393">
        <f>SUMIFS(INPUT!H:H,INPUT!E:E,BAZE_2024!A290,INPUT!B:B,BAZE_2024!B290)</f>
        <v>135943</v>
      </c>
      <c r="G290" s="393">
        <f>SUMIFS(INPUT!L:L,INPUT!E:E,BAZE_2024!A290,INPUT!B:B,BAZE_2024!B290)</f>
        <v>150905.47999999998</v>
      </c>
      <c r="H290" s="146">
        <f t="shared" si="19"/>
        <v>14962.479999999981</v>
      </c>
      <c r="I290" s="1836">
        <f t="shared" si="20"/>
        <v>0.11006436521189014</v>
      </c>
      <c r="J290" s="1181" t="s">
        <v>6220</v>
      </c>
      <c r="K290" s="156">
        <v>-0.02</v>
      </c>
      <c r="L290" s="1222">
        <f>G290*K290</f>
        <v>-3018.1095999999998</v>
      </c>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row>
    <row r="291" spans="1:195" s="50" customFormat="1" ht="68.45" hidden="1" customHeight="1" outlineLevel="1">
      <c r="A291" s="1665" t="s">
        <v>1934</v>
      </c>
      <c r="B291" s="1665" t="s">
        <v>2649</v>
      </c>
      <c r="C291" s="1858"/>
      <c r="D291" s="1274"/>
      <c r="E291" s="161" t="s">
        <v>2648</v>
      </c>
      <c r="F291" s="393">
        <f>SUMIFS(INPUT!H:H,INPUT!E:E,BAZE_2024!A291,INPUT!B:B,BAZE_2024!B291)</f>
        <v>162974</v>
      </c>
      <c r="G291" s="393">
        <f>SUMIFS(INPUT!L:L,INPUT!E:E,BAZE_2024!A291,INPUT!B:B,BAZE_2024!B291)</f>
        <v>154032</v>
      </c>
      <c r="H291" s="146">
        <f>G291-F291</f>
        <v>-8942</v>
      </c>
      <c r="I291" s="1836">
        <f>IFERROR(H291/F291,"-")</f>
        <v>-5.4867647600230711E-2</v>
      </c>
      <c r="J291" s="1888" t="s">
        <v>6221</v>
      </c>
      <c r="K291" s="227"/>
      <c r="L291" s="77"/>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row>
    <row r="292" spans="1:195" s="50" customFormat="1" ht="15" hidden="1" outlineLevel="1">
      <c r="A292" s="1665" t="s">
        <v>1934</v>
      </c>
      <c r="B292" s="1665" t="s">
        <v>1250</v>
      </c>
      <c r="C292" s="1858"/>
      <c r="D292" s="160"/>
      <c r="E292" s="161" t="s">
        <v>578</v>
      </c>
      <c r="F292" s="389">
        <f>SUMIFS(INPUT!H:H,INPUT!E:E,BAZE_2024!A292,INPUT!B:B,BAZE_2024!B292)</f>
        <v>9690</v>
      </c>
      <c r="G292" s="389">
        <f>SUMIFS(INPUT!L:L,INPUT!E:E,BAZE_2024!A292,INPUT!B:B,BAZE_2024!B292)</f>
        <v>5500</v>
      </c>
      <c r="H292" s="146">
        <f t="shared" si="19"/>
        <v>-4190</v>
      </c>
      <c r="I292" s="1836">
        <f t="shared" si="20"/>
        <v>-0.43240454076367391</v>
      </c>
      <c r="J292" s="220"/>
      <c r="K292" s="227"/>
      <c r="L292" s="77"/>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row>
    <row r="293" spans="1:195" s="1299" customFormat="1" ht="15" hidden="1" outlineLevel="1">
      <c r="A293" s="2002" t="s">
        <v>1935</v>
      </c>
      <c r="B293" s="2002" t="s">
        <v>512</v>
      </c>
      <c r="C293" s="2003"/>
      <c r="D293" s="1297"/>
      <c r="E293" s="1294" t="s">
        <v>431</v>
      </c>
      <c r="F293" s="389">
        <f>SUMIFS(INPUT!H:H,INPUT!E:E,BAZE_2024!A293,INPUT!B:B,BAZE_2024!B293)</f>
        <v>194979.22961600003</v>
      </c>
      <c r="G293" s="389">
        <f>SUMIFS(INPUT!L:L,INPUT!E:E,BAZE_2024!A293,INPUT!B:B,BAZE_2024!B293)</f>
        <v>239674.21327999994</v>
      </c>
      <c r="H293" s="1285">
        <f t="shared" si="19"/>
        <v>44694.983663999912</v>
      </c>
      <c r="I293" s="1834">
        <f t="shared" si="20"/>
        <v>0.2292294607585845</v>
      </c>
      <c r="J293" s="2168"/>
      <c r="K293" s="1282"/>
      <c r="L293" s="2014"/>
      <c r="M293" s="1289"/>
      <c r="N293" s="1289"/>
      <c r="O293" s="1289"/>
      <c r="P293" s="1289"/>
      <c r="Q293" s="1289"/>
      <c r="R293" s="1289"/>
      <c r="S293" s="1289"/>
      <c r="T293" s="1289"/>
      <c r="U293" s="1289"/>
      <c r="V293" s="1289"/>
      <c r="W293" s="1289"/>
      <c r="X293" s="1289"/>
      <c r="Y293" s="1289"/>
      <c r="Z293" s="1289"/>
      <c r="AA293" s="1289"/>
      <c r="AB293" s="1289"/>
      <c r="AC293" s="1289"/>
      <c r="AD293" s="1289"/>
      <c r="AE293" s="1289"/>
      <c r="AF293" s="1289"/>
      <c r="AG293" s="1289"/>
      <c r="AH293" s="1289"/>
      <c r="AI293" s="1289"/>
      <c r="AJ293" s="1289"/>
      <c r="AK293" s="1289"/>
      <c r="AL293" s="1289"/>
      <c r="AM293" s="1289"/>
      <c r="AN293" s="1289"/>
      <c r="AO293" s="1289"/>
      <c r="AP293" s="1289"/>
      <c r="AQ293" s="1289"/>
      <c r="AR293" s="1289"/>
      <c r="AS293" s="1289"/>
      <c r="AT293" s="1289"/>
      <c r="AU293" s="1289"/>
      <c r="AV293" s="1289"/>
      <c r="AW293" s="1289"/>
      <c r="AX293" s="1289"/>
      <c r="AY293" s="1289"/>
      <c r="AZ293" s="1289"/>
      <c r="BA293" s="1289"/>
      <c r="BB293" s="1289"/>
      <c r="BC293" s="1289"/>
      <c r="BD293" s="1289"/>
      <c r="BE293" s="1289"/>
      <c r="BF293" s="1289"/>
      <c r="BG293" s="1289"/>
      <c r="BH293" s="1289"/>
      <c r="BI293" s="1289"/>
      <c r="BJ293" s="1289"/>
      <c r="BK293" s="1289"/>
      <c r="BL293" s="1289"/>
      <c r="BM293" s="1289"/>
      <c r="BN293" s="1289"/>
      <c r="BO293" s="1289"/>
      <c r="BP293" s="1289"/>
      <c r="BQ293" s="1289"/>
      <c r="BR293" s="1289"/>
      <c r="BS293" s="1289"/>
      <c r="BT293" s="1289"/>
      <c r="BU293" s="1289"/>
      <c r="BV293" s="1289"/>
      <c r="BW293" s="1289"/>
      <c r="BX293" s="1289"/>
      <c r="BY293" s="1289"/>
      <c r="BZ293" s="1289"/>
      <c r="CA293" s="1289"/>
      <c r="CB293" s="1289"/>
      <c r="CC293" s="1289"/>
      <c r="CD293" s="1289"/>
      <c r="CE293" s="1289"/>
      <c r="CF293" s="1289"/>
      <c r="CG293" s="1289"/>
      <c r="CH293" s="1289"/>
      <c r="CI293" s="1289"/>
      <c r="CJ293" s="1289"/>
      <c r="CK293" s="1289"/>
      <c r="CL293" s="1289"/>
      <c r="CM293" s="1289"/>
      <c r="CN293" s="1289"/>
      <c r="CO293" s="1289"/>
      <c r="CP293" s="1289"/>
      <c r="CQ293" s="1289"/>
      <c r="CR293" s="1289"/>
      <c r="CS293" s="1289"/>
      <c r="CT293" s="1289"/>
      <c r="CU293" s="1289"/>
      <c r="CV293" s="1289"/>
      <c r="CW293" s="1289"/>
      <c r="CX293" s="1289"/>
      <c r="CY293" s="1289"/>
      <c r="CZ293" s="1289"/>
      <c r="DA293" s="1289"/>
      <c r="DB293" s="1289"/>
      <c r="DC293" s="1289"/>
      <c r="DD293" s="1289"/>
      <c r="DE293" s="1289"/>
      <c r="DF293" s="1289"/>
      <c r="DG293" s="1289"/>
      <c r="DH293" s="1289"/>
      <c r="DI293" s="1289"/>
      <c r="DJ293" s="1289"/>
      <c r="DK293" s="1289"/>
      <c r="DL293" s="1289"/>
      <c r="DM293" s="1289"/>
      <c r="DN293" s="1289"/>
      <c r="DO293" s="1289"/>
      <c r="DP293" s="1289"/>
      <c r="DQ293" s="1289"/>
      <c r="DR293" s="1289"/>
      <c r="DS293" s="1289"/>
      <c r="DT293" s="1289"/>
      <c r="DU293" s="1289"/>
      <c r="DV293" s="1289"/>
      <c r="DW293" s="1289"/>
      <c r="DX293" s="1289"/>
      <c r="DY293" s="1289"/>
      <c r="DZ293" s="1289"/>
      <c r="EA293" s="1289"/>
      <c r="EB293" s="1289"/>
      <c r="EC293" s="1289"/>
      <c r="ED293" s="1289"/>
      <c r="EE293" s="1289"/>
      <c r="EF293" s="1289"/>
      <c r="EG293" s="1289"/>
      <c r="EH293" s="1289"/>
      <c r="EI293" s="1289"/>
      <c r="EJ293" s="1289"/>
      <c r="EK293" s="1289"/>
      <c r="EL293" s="1289"/>
      <c r="EM293" s="1289"/>
      <c r="EN293" s="1289"/>
      <c r="EO293" s="1289"/>
      <c r="EP293" s="1289"/>
      <c r="EQ293" s="1289"/>
      <c r="ER293" s="1289"/>
      <c r="ES293" s="1289"/>
      <c r="ET293" s="1289"/>
      <c r="EU293" s="1289"/>
      <c r="EV293" s="1289"/>
      <c r="EW293" s="1289"/>
      <c r="EX293" s="1289"/>
      <c r="EY293" s="1289"/>
      <c r="EZ293" s="1289"/>
      <c r="FA293" s="1289"/>
      <c r="FB293" s="1289"/>
      <c r="FC293" s="1289"/>
      <c r="FD293" s="1289"/>
      <c r="FE293" s="1289"/>
      <c r="FF293" s="1289"/>
      <c r="FG293" s="1289"/>
      <c r="FH293" s="1289"/>
      <c r="FI293" s="1289"/>
      <c r="FJ293" s="1289"/>
      <c r="FK293" s="1289"/>
      <c r="FL293" s="1289"/>
      <c r="FM293" s="1289"/>
      <c r="FN293" s="1289"/>
      <c r="FO293" s="1289"/>
      <c r="FP293" s="1289"/>
      <c r="FQ293" s="1289"/>
      <c r="FR293" s="1289"/>
      <c r="FS293" s="1289"/>
      <c r="FT293" s="1289"/>
      <c r="FU293" s="1289"/>
      <c r="FV293" s="1289"/>
      <c r="FW293" s="1289"/>
      <c r="FX293" s="1289"/>
      <c r="FY293" s="1289"/>
      <c r="FZ293" s="1289"/>
      <c r="GA293" s="1289"/>
      <c r="GB293" s="1289"/>
      <c r="GC293" s="1289"/>
      <c r="GD293" s="1289"/>
      <c r="GE293" s="1289"/>
      <c r="GF293" s="1289"/>
      <c r="GG293" s="1289"/>
      <c r="GH293" s="1289"/>
      <c r="GI293" s="1289"/>
      <c r="GJ293" s="1289"/>
      <c r="GK293" s="1289"/>
      <c r="GL293" s="1289"/>
      <c r="GM293" s="1289"/>
    </row>
    <row r="294" spans="1:195" s="1299" customFormat="1" ht="15" hidden="1" outlineLevel="1">
      <c r="A294" s="2002" t="s">
        <v>1934</v>
      </c>
      <c r="B294" s="2002" t="s">
        <v>1249</v>
      </c>
      <c r="C294" s="2003"/>
      <c r="D294" s="1297"/>
      <c r="E294" s="1294" t="s">
        <v>1249</v>
      </c>
      <c r="F294" s="389">
        <f>SUMIFS(INPUT!H:H,INPUT!E:E,BAZE_2024!A294,INPUT!B:B,BAZE_2024!B294)</f>
        <v>1000</v>
      </c>
      <c r="G294" s="389">
        <f>SUMIFS(INPUT!L:L,INPUT!E:E,BAZE_2024!A294,INPUT!B:B,BAZE_2024!B294)</f>
        <v>167500</v>
      </c>
      <c r="H294" s="1285">
        <f t="shared" si="19"/>
        <v>166500</v>
      </c>
      <c r="I294" s="1834">
        <f t="shared" si="20"/>
        <v>166.5</v>
      </c>
      <c r="J294" s="1290"/>
      <c r="K294" s="1282"/>
      <c r="L294" s="2014"/>
      <c r="M294" s="1289"/>
      <c r="N294" s="1289"/>
      <c r="O294" s="1289"/>
      <c r="P294" s="1289"/>
      <c r="Q294" s="1289"/>
      <c r="R294" s="1289"/>
      <c r="S294" s="1289"/>
      <c r="T294" s="1289"/>
      <c r="U294" s="1289"/>
      <c r="V294" s="1289"/>
      <c r="W294" s="1289"/>
      <c r="X294" s="1289"/>
      <c r="Y294" s="1289"/>
      <c r="Z294" s="1289"/>
      <c r="AA294" s="1289"/>
      <c r="AB294" s="1289"/>
      <c r="AC294" s="1289"/>
      <c r="AD294" s="1289"/>
      <c r="AE294" s="1289"/>
      <c r="AF294" s="1289"/>
      <c r="AG294" s="1289"/>
      <c r="AH294" s="1289"/>
      <c r="AI294" s="1289"/>
      <c r="AJ294" s="1289"/>
      <c r="AK294" s="1289"/>
      <c r="AL294" s="1289"/>
      <c r="AM294" s="1289"/>
      <c r="AN294" s="1289"/>
      <c r="AO294" s="1289"/>
      <c r="AP294" s="1289"/>
      <c r="AQ294" s="1289"/>
      <c r="AR294" s="1289"/>
      <c r="AS294" s="1289"/>
      <c r="AT294" s="1289"/>
      <c r="AU294" s="1289"/>
      <c r="AV294" s="1289"/>
      <c r="AW294" s="1289"/>
      <c r="AX294" s="1289"/>
      <c r="AY294" s="1289"/>
      <c r="AZ294" s="1289"/>
      <c r="BA294" s="1289"/>
      <c r="BB294" s="1289"/>
      <c r="BC294" s="1289"/>
      <c r="BD294" s="1289"/>
      <c r="BE294" s="1289"/>
      <c r="BF294" s="1289"/>
      <c r="BG294" s="1289"/>
      <c r="BH294" s="1289"/>
      <c r="BI294" s="1289"/>
      <c r="BJ294" s="1289"/>
      <c r="BK294" s="1289"/>
      <c r="BL294" s="1289"/>
      <c r="BM294" s="1289"/>
      <c r="BN294" s="1289"/>
      <c r="BO294" s="1289"/>
      <c r="BP294" s="1289"/>
      <c r="BQ294" s="1289"/>
      <c r="BR294" s="1289"/>
      <c r="BS294" s="1289"/>
      <c r="BT294" s="1289"/>
      <c r="BU294" s="1289"/>
      <c r="BV294" s="1289"/>
      <c r="BW294" s="1289"/>
      <c r="BX294" s="1289"/>
      <c r="BY294" s="1289"/>
      <c r="BZ294" s="1289"/>
      <c r="CA294" s="1289"/>
      <c r="CB294" s="1289"/>
      <c r="CC294" s="1289"/>
      <c r="CD294" s="1289"/>
      <c r="CE294" s="1289"/>
      <c r="CF294" s="1289"/>
      <c r="CG294" s="1289"/>
      <c r="CH294" s="1289"/>
      <c r="CI294" s="1289"/>
      <c r="CJ294" s="1289"/>
      <c r="CK294" s="1289"/>
      <c r="CL294" s="1289"/>
      <c r="CM294" s="1289"/>
      <c r="CN294" s="1289"/>
      <c r="CO294" s="1289"/>
      <c r="CP294" s="1289"/>
      <c r="CQ294" s="1289"/>
      <c r="CR294" s="1289"/>
      <c r="CS294" s="1289"/>
      <c r="CT294" s="1289"/>
      <c r="CU294" s="1289"/>
      <c r="CV294" s="1289"/>
      <c r="CW294" s="1289"/>
      <c r="CX294" s="1289"/>
      <c r="CY294" s="1289"/>
      <c r="CZ294" s="1289"/>
      <c r="DA294" s="1289"/>
      <c r="DB294" s="1289"/>
      <c r="DC294" s="1289"/>
      <c r="DD294" s="1289"/>
      <c r="DE294" s="1289"/>
      <c r="DF294" s="1289"/>
      <c r="DG294" s="1289"/>
      <c r="DH294" s="1289"/>
      <c r="DI294" s="1289"/>
      <c r="DJ294" s="1289"/>
      <c r="DK294" s="1289"/>
      <c r="DL294" s="1289"/>
      <c r="DM294" s="1289"/>
      <c r="DN294" s="1289"/>
      <c r="DO294" s="1289"/>
      <c r="DP294" s="1289"/>
      <c r="DQ294" s="1289"/>
      <c r="DR294" s="1289"/>
      <c r="DS294" s="1289"/>
      <c r="DT294" s="1289"/>
      <c r="DU294" s="1289"/>
      <c r="DV294" s="1289"/>
      <c r="DW294" s="1289"/>
      <c r="DX294" s="1289"/>
      <c r="DY294" s="1289"/>
      <c r="DZ294" s="1289"/>
      <c r="EA294" s="1289"/>
      <c r="EB294" s="1289"/>
      <c r="EC294" s="1289"/>
      <c r="ED294" s="1289"/>
      <c r="EE294" s="1289"/>
      <c r="EF294" s="1289"/>
      <c r="EG294" s="1289"/>
      <c r="EH294" s="1289"/>
      <c r="EI294" s="1289"/>
      <c r="EJ294" s="1289"/>
      <c r="EK294" s="1289"/>
      <c r="EL294" s="1289"/>
      <c r="EM294" s="1289"/>
      <c r="EN294" s="1289"/>
      <c r="EO294" s="1289"/>
      <c r="EP294" s="1289"/>
      <c r="EQ294" s="1289"/>
      <c r="ER294" s="1289"/>
      <c r="ES294" s="1289"/>
      <c r="ET294" s="1289"/>
      <c r="EU294" s="1289"/>
      <c r="EV294" s="1289"/>
      <c r="EW294" s="1289"/>
      <c r="EX294" s="1289"/>
      <c r="EY294" s="1289"/>
      <c r="EZ294" s="1289"/>
      <c r="FA294" s="1289"/>
      <c r="FB294" s="1289"/>
      <c r="FC294" s="1289"/>
      <c r="FD294" s="1289"/>
      <c r="FE294" s="1289"/>
      <c r="FF294" s="1289"/>
      <c r="FG294" s="1289"/>
      <c r="FH294" s="1289"/>
      <c r="FI294" s="1289"/>
      <c r="FJ294" s="1289"/>
      <c r="FK294" s="1289"/>
      <c r="FL294" s="1289"/>
      <c r="FM294" s="1289"/>
      <c r="FN294" s="1289"/>
      <c r="FO294" s="1289"/>
      <c r="FP294" s="1289"/>
      <c r="FQ294" s="1289"/>
      <c r="FR294" s="1289"/>
      <c r="FS294" s="1289"/>
      <c r="FT294" s="1289"/>
      <c r="FU294" s="1289"/>
      <c r="FV294" s="1289"/>
      <c r="FW294" s="1289"/>
      <c r="FX294" s="1289"/>
      <c r="FY294" s="1289"/>
      <c r="FZ294" s="1289"/>
      <c r="GA294" s="1289"/>
      <c r="GB294" s="1289"/>
      <c r="GC294" s="1289"/>
      <c r="GD294" s="1289"/>
      <c r="GE294" s="1289"/>
      <c r="GF294" s="1289"/>
      <c r="GG294" s="1289"/>
      <c r="GH294" s="1289"/>
      <c r="GI294" s="1289"/>
      <c r="GJ294" s="1289"/>
      <c r="GK294" s="1289"/>
      <c r="GL294" s="1289"/>
      <c r="GM294" s="1289"/>
    </row>
    <row r="295" spans="1:195" ht="28.9" customHeight="1" collapsed="1">
      <c r="D295" s="138" t="s">
        <v>1590</v>
      </c>
      <c r="E295" s="130" t="s">
        <v>1594</v>
      </c>
      <c r="F295" s="383">
        <f>F296+F297+F298+F299</f>
        <v>1149014.89365084</v>
      </c>
      <c r="G295" s="383">
        <f>G296+G297+G298+G299</f>
        <v>1299156.1020564402</v>
      </c>
      <c r="H295" s="116">
        <f t="shared" si="19"/>
        <v>150141.20840560016</v>
      </c>
      <c r="I295" s="1826">
        <f t="shared" si="20"/>
        <v>0.13066950588303228</v>
      </c>
      <c r="J295" s="219"/>
      <c r="K295" s="227"/>
    </row>
    <row r="296" spans="1:195" s="50" customFormat="1" ht="15" hidden="1" outlineLevel="1">
      <c r="A296" s="1665" t="s">
        <v>2048</v>
      </c>
      <c r="B296" s="1665" t="s">
        <v>663</v>
      </c>
      <c r="C296" s="1858"/>
      <c r="D296" s="160"/>
      <c r="E296" s="217" t="s">
        <v>663</v>
      </c>
      <c r="F296" s="389">
        <f>SUMIFS(INPUT!H:H,INPUT!E:E,BAZE_2024!A296,INPUT!B:B,BAZE_2024!B296)</f>
        <v>887062.04152584018</v>
      </c>
      <c r="G296" s="389">
        <f>SUMIFS(INPUT!L:L,INPUT!E:E,BAZE_2024!A296,INPUT!B:B,BAZE_2024!B296)</f>
        <v>1064445.4540564402</v>
      </c>
      <c r="H296" s="146">
        <f t="shared" si="19"/>
        <v>177383.41253059998</v>
      </c>
      <c r="I296" s="1836">
        <f t="shared" si="20"/>
        <v>0.19996731257430633</v>
      </c>
      <c r="J296" s="1181" t="s">
        <v>5733</v>
      </c>
      <c r="K296" s="227"/>
      <c r="L296" s="77"/>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50" customFormat="1" ht="15" hidden="1" outlineLevel="1">
      <c r="A297" s="1665" t="s">
        <v>2048</v>
      </c>
      <c r="B297" s="1665" t="s">
        <v>1248</v>
      </c>
      <c r="C297" s="1858"/>
      <c r="D297" s="216"/>
      <c r="E297" s="161" t="s">
        <v>579</v>
      </c>
      <c r="F297" s="393">
        <f>SUMIFS(INPUT!H:H,INPUT!E:E,BAZE_2024!A297,INPUT!B:B,BAZE_2024!B297)</f>
        <v>101575.852125</v>
      </c>
      <c r="G297" s="393">
        <f>SUMIFS(INPUT!L:L,INPUT!E:E,BAZE_2024!A297,INPUT!B:B,BAZE_2024!B297)</f>
        <v>87155.648000000001</v>
      </c>
      <c r="H297" s="146">
        <f t="shared" si="19"/>
        <v>-14420.204125000004</v>
      </c>
      <c r="I297" s="1836">
        <f t="shared" si="20"/>
        <v>-0.14196488459928835</v>
      </c>
      <c r="J297" s="1181"/>
      <c r="K297" s="156">
        <v>-0.02</v>
      </c>
      <c r="L297" s="1222">
        <f>G297*K297</f>
        <v>-1743.1129600000002</v>
      </c>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50" customFormat="1" ht="15" hidden="1" outlineLevel="1">
      <c r="A298" s="1665" t="s">
        <v>2048</v>
      </c>
      <c r="B298" s="1665" t="s">
        <v>2649</v>
      </c>
      <c r="C298" s="1858"/>
      <c r="D298" s="1274"/>
      <c r="E298" s="161" t="s">
        <v>2648</v>
      </c>
      <c r="F298" s="389">
        <f>SUMIFS(INPUT!H:H,INPUT!E:E,BAZE_2024!A298,INPUT!B:B,BAZE_2024!B298)</f>
        <v>158747</v>
      </c>
      <c r="G298" s="389">
        <f>SUMIFS(INPUT!L:L,INPUT!E:E,BAZE_2024!A298,INPUT!B:B,BAZE_2024!B298)</f>
        <v>144835</v>
      </c>
      <c r="H298" s="146">
        <f>G298-F298</f>
        <v>-13912</v>
      </c>
      <c r="I298" s="1836">
        <f>IFERROR(H298/F298,"-")</f>
        <v>-8.763630178838025E-2</v>
      </c>
      <c r="J298" s="1888"/>
      <c r="K298" s="227"/>
      <c r="L298" s="77"/>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row>
    <row r="299" spans="1:195" s="50" customFormat="1" ht="15" hidden="1" outlineLevel="1">
      <c r="A299" s="1665" t="s">
        <v>2048</v>
      </c>
      <c r="B299" s="1665" t="s">
        <v>1250</v>
      </c>
      <c r="C299" s="1858"/>
      <c r="D299" s="160"/>
      <c r="E299" s="161" t="s">
        <v>578</v>
      </c>
      <c r="F299" s="389">
        <f>SUMIFS(INPUT!H:H,INPUT!E:E,BAZE_2024!A299,INPUT!B:B,BAZE_2024!B299)</f>
        <v>1630</v>
      </c>
      <c r="G299" s="389">
        <f>SUMIFS(INPUT!L:L,INPUT!E:E,BAZE_2024!A299,INPUT!B:B,BAZE_2024!B299)</f>
        <v>2720</v>
      </c>
      <c r="H299" s="146">
        <f t="shared" si="19"/>
        <v>1090</v>
      </c>
      <c r="I299" s="1836">
        <f t="shared" si="20"/>
        <v>0.66871165644171782</v>
      </c>
      <c r="J299" s="1149"/>
      <c r="K299" s="227"/>
      <c r="L299" s="77"/>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299" customFormat="1" ht="15" hidden="1" outlineLevel="1">
      <c r="A300" s="2127" t="s">
        <v>2051</v>
      </c>
      <c r="B300" s="2127" t="s">
        <v>512</v>
      </c>
      <c r="C300" s="2128"/>
      <c r="D300" s="1297"/>
      <c r="E300" s="1294" t="s">
        <v>431</v>
      </c>
      <c r="F300" s="380">
        <f>SUMIFS(INPUT!H:H,INPUT!E:E,BAZE_2024!A300,INPUT!B:B,BAZE_2024!B300)</f>
        <v>72293.014768000008</v>
      </c>
      <c r="G300" s="380">
        <f>SUMIFS(INPUT!L:L,INPUT!E:E,BAZE_2024!A300,INPUT!B:B,BAZE_2024!B300)</f>
        <v>154082.35964499999</v>
      </c>
      <c r="H300" s="1285">
        <f t="shared" si="19"/>
        <v>81789.344876999981</v>
      </c>
      <c r="I300" s="1834">
        <f t="shared" si="20"/>
        <v>1.1313588890915012</v>
      </c>
      <c r="J300" s="2168"/>
      <c r="K300" s="2129"/>
      <c r="L300" s="2014"/>
      <c r="M300" s="1289"/>
      <c r="N300" s="1289"/>
      <c r="O300" s="1289"/>
      <c r="P300" s="1289"/>
      <c r="Q300" s="1289"/>
      <c r="R300" s="1289"/>
      <c r="S300" s="1289"/>
      <c r="T300" s="1289"/>
      <c r="U300" s="1289"/>
      <c r="V300" s="1289"/>
      <c r="W300" s="1289"/>
      <c r="X300" s="1289"/>
      <c r="Y300" s="1289"/>
      <c r="Z300" s="1289"/>
      <c r="AA300" s="1289"/>
      <c r="AB300" s="1289"/>
      <c r="AC300" s="1289"/>
      <c r="AD300" s="1289"/>
      <c r="AE300" s="1289"/>
      <c r="AF300" s="1289"/>
      <c r="AG300" s="1289"/>
      <c r="AH300" s="1289"/>
      <c r="AI300" s="1289"/>
      <c r="AJ300" s="1289"/>
      <c r="AK300" s="1289"/>
      <c r="AL300" s="1289"/>
      <c r="AM300" s="1289"/>
      <c r="AN300" s="1289"/>
      <c r="AO300" s="1289"/>
      <c r="AP300" s="1289"/>
      <c r="AQ300" s="1289"/>
      <c r="AR300" s="1289"/>
      <c r="AS300" s="1289"/>
      <c r="AT300" s="1289"/>
      <c r="AU300" s="1289"/>
      <c r="AV300" s="1289"/>
      <c r="AW300" s="1289"/>
      <c r="AX300" s="1289"/>
      <c r="AY300" s="1289"/>
      <c r="AZ300" s="1289"/>
      <c r="BA300" s="1289"/>
      <c r="BB300" s="1289"/>
      <c r="BC300" s="1289"/>
      <c r="BD300" s="1289"/>
      <c r="BE300" s="1289"/>
      <c r="BF300" s="1289"/>
      <c r="BG300" s="1289"/>
      <c r="BH300" s="1289"/>
      <c r="BI300" s="1289"/>
      <c r="BJ300" s="1289"/>
      <c r="BK300" s="1289"/>
      <c r="BL300" s="1289"/>
      <c r="BM300" s="1289"/>
      <c r="BN300" s="1289"/>
      <c r="BO300" s="1289"/>
      <c r="BP300" s="1289"/>
      <c r="BQ300" s="1289"/>
      <c r="BR300" s="1289"/>
      <c r="BS300" s="1289"/>
      <c r="BT300" s="1289"/>
      <c r="BU300" s="1289"/>
      <c r="BV300" s="1289"/>
      <c r="BW300" s="1289"/>
      <c r="BX300" s="1289"/>
      <c r="BY300" s="1289"/>
      <c r="BZ300" s="1289"/>
      <c r="CA300" s="1289"/>
      <c r="CB300" s="1289"/>
      <c r="CC300" s="1289"/>
      <c r="CD300" s="1289"/>
      <c r="CE300" s="1289"/>
      <c r="CF300" s="1289"/>
      <c r="CG300" s="1289"/>
      <c r="CH300" s="1289"/>
      <c r="CI300" s="1289"/>
      <c r="CJ300" s="1289"/>
      <c r="CK300" s="1289"/>
      <c r="CL300" s="1289"/>
      <c r="CM300" s="1289"/>
      <c r="CN300" s="1289"/>
      <c r="CO300" s="1289"/>
      <c r="CP300" s="1289"/>
      <c r="CQ300" s="1289"/>
      <c r="CR300" s="1289"/>
      <c r="CS300" s="1289"/>
      <c r="CT300" s="1289"/>
      <c r="CU300" s="1289"/>
      <c r="CV300" s="1289"/>
      <c r="CW300" s="1289"/>
      <c r="CX300" s="1289"/>
      <c r="CY300" s="1289"/>
      <c r="CZ300" s="1289"/>
      <c r="DA300" s="1289"/>
      <c r="DB300" s="1289"/>
      <c r="DC300" s="1289"/>
      <c r="DD300" s="1289"/>
      <c r="DE300" s="1289"/>
      <c r="DF300" s="1289"/>
      <c r="DG300" s="1289"/>
      <c r="DH300" s="1289"/>
      <c r="DI300" s="1289"/>
      <c r="DJ300" s="1289"/>
      <c r="DK300" s="1289"/>
      <c r="DL300" s="1289"/>
      <c r="DM300" s="1289"/>
      <c r="DN300" s="1289"/>
      <c r="DO300" s="1289"/>
      <c r="DP300" s="1289"/>
      <c r="DQ300" s="1289"/>
      <c r="DR300" s="1289"/>
      <c r="DS300" s="1289"/>
      <c r="DT300" s="1289"/>
      <c r="DU300" s="1289"/>
      <c r="DV300" s="1289"/>
      <c r="DW300" s="1289"/>
      <c r="DX300" s="1289"/>
      <c r="DY300" s="1289"/>
      <c r="DZ300" s="1289"/>
      <c r="EA300" s="1289"/>
      <c r="EB300" s="1289"/>
      <c r="EC300" s="1289"/>
      <c r="ED300" s="1289"/>
      <c r="EE300" s="1289"/>
      <c r="EF300" s="1289"/>
      <c r="EG300" s="1289"/>
      <c r="EH300" s="1289"/>
      <c r="EI300" s="1289"/>
      <c r="EJ300" s="1289"/>
      <c r="EK300" s="1289"/>
      <c r="EL300" s="1289"/>
      <c r="EM300" s="1289"/>
      <c r="EN300" s="1289"/>
      <c r="EO300" s="1289"/>
      <c r="EP300" s="1289"/>
      <c r="EQ300" s="1289"/>
      <c r="ER300" s="1289"/>
      <c r="ES300" s="1289"/>
      <c r="ET300" s="1289"/>
      <c r="EU300" s="1289"/>
      <c r="EV300" s="1289"/>
      <c r="EW300" s="1289"/>
      <c r="EX300" s="1289"/>
      <c r="EY300" s="1289"/>
      <c r="EZ300" s="1289"/>
      <c r="FA300" s="1289"/>
      <c r="FB300" s="1289"/>
      <c r="FC300" s="1289"/>
      <c r="FD300" s="1289"/>
      <c r="FE300" s="1289"/>
      <c r="FF300" s="1289"/>
      <c r="FG300" s="1289"/>
      <c r="FH300" s="1289"/>
      <c r="FI300" s="1289"/>
      <c r="FJ300" s="1289"/>
      <c r="FK300" s="1289"/>
      <c r="FL300" s="1289"/>
      <c r="FM300" s="1289"/>
      <c r="FN300" s="1289"/>
      <c r="FO300" s="1289"/>
      <c r="FP300" s="1289"/>
      <c r="FQ300" s="1289"/>
      <c r="FR300" s="1289"/>
      <c r="FS300" s="1289"/>
      <c r="FT300" s="1289"/>
      <c r="FU300" s="1289"/>
      <c r="FV300" s="1289"/>
      <c r="FW300" s="1289"/>
      <c r="FX300" s="1289"/>
      <c r="FY300" s="1289"/>
      <c r="FZ300" s="1289"/>
      <c r="GA300" s="1289"/>
      <c r="GB300" s="1289"/>
      <c r="GC300" s="1289"/>
      <c r="GD300" s="1289"/>
      <c r="GE300" s="1289"/>
      <c r="GF300" s="1289"/>
      <c r="GG300" s="1289"/>
      <c r="GH300" s="1289"/>
      <c r="GI300" s="1289"/>
      <c r="GJ300" s="1289"/>
      <c r="GK300" s="1289"/>
      <c r="GL300" s="1289"/>
      <c r="GM300" s="1289"/>
    </row>
    <row r="301" spans="1:195" s="1299" customFormat="1" ht="15" hidden="1" outlineLevel="1">
      <c r="A301" s="2127" t="s">
        <v>2048</v>
      </c>
      <c r="B301" s="2127" t="s">
        <v>1249</v>
      </c>
      <c r="C301" s="2128"/>
      <c r="D301" s="1297"/>
      <c r="E301" s="1294" t="s">
        <v>1249</v>
      </c>
      <c r="F301" s="380">
        <f>SUMIFS(INPUT!H:H,INPUT!E:E,BAZE_2024!A301,INPUT!B:B,BAZE_2024!B301)</f>
        <v>13500</v>
      </c>
      <c r="G301" s="380">
        <f>SUMIFS(INPUT!L:L,INPUT!E:E,BAZE_2024!A301,INPUT!B:B,BAZE_2024!B301)</f>
        <v>3600</v>
      </c>
      <c r="H301" s="1285">
        <f t="shared" si="19"/>
        <v>-9900</v>
      </c>
      <c r="I301" s="1834">
        <f t="shared" si="20"/>
        <v>-0.73333333333333328</v>
      </c>
      <c r="J301" s="2168"/>
      <c r="K301" s="2129"/>
      <c r="L301" s="2014"/>
      <c r="M301" s="1289"/>
      <c r="N301" s="1289"/>
      <c r="O301" s="1289"/>
      <c r="P301" s="1289"/>
      <c r="Q301" s="1289"/>
      <c r="R301" s="1289"/>
      <c r="S301" s="1289"/>
      <c r="T301" s="1289"/>
      <c r="U301" s="1289"/>
      <c r="V301" s="1289"/>
      <c r="W301" s="1289"/>
      <c r="X301" s="1289"/>
      <c r="Y301" s="1289"/>
      <c r="Z301" s="1289"/>
      <c r="AA301" s="1289"/>
      <c r="AB301" s="1289"/>
      <c r="AC301" s="1289"/>
      <c r="AD301" s="1289"/>
      <c r="AE301" s="1289"/>
      <c r="AF301" s="1289"/>
      <c r="AG301" s="1289"/>
      <c r="AH301" s="1289"/>
      <c r="AI301" s="1289"/>
      <c r="AJ301" s="1289"/>
      <c r="AK301" s="1289"/>
      <c r="AL301" s="1289"/>
      <c r="AM301" s="1289"/>
      <c r="AN301" s="1289"/>
      <c r="AO301" s="1289"/>
      <c r="AP301" s="1289"/>
      <c r="AQ301" s="1289"/>
      <c r="AR301" s="1289"/>
      <c r="AS301" s="1289"/>
      <c r="AT301" s="1289"/>
      <c r="AU301" s="1289"/>
      <c r="AV301" s="1289"/>
      <c r="AW301" s="1289"/>
      <c r="AX301" s="1289"/>
      <c r="AY301" s="1289"/>
      <c r="AZ301" s="1289"/>
      <c r="BA301" s="1289"/>
      <c r="BB301" s="1289"/>
      <c r="BC301" s="1289"/>
      <c r="BD301" s="1289"/>
      <c r="BE301" s="1289"/>
      <c r="BF301" s="1289"/>
      <c r="BG301" s="1289"/>
      <c r="BH301" s="1289"/>
      <c r="BI301" s="1289"/>
      <c r="BJ301" s="1289"/>
      <c r="BK301" s="1289"/>
      <c r="BL301" s="1289"/>
      <c r="BM301" s="1289"/>
      <c r="BN301" s="1289"/>
      <c r="BO301" s="1289"/>
      <c r="BP301" s="1289"/>
      <c r="BQ301" s="1289"/>
      <c r="BR301" s="1289"/>
      <c r="BS301" s="1289"/>
      <c r="BT301" s="1289"/>
      <c r="BU301" s="1289"/>
      <c r="BV301" s="1289"/>
      <c r="BW301" s="1289"/>
      <c r="BX301" s="1289"/>
      <c r="BY301" s="1289"/>
      <c r="BZ301" s="1289"/>
      <c r="CA301" s="1289"/>
      <c r="CB301" s="1289"/>
      <c r="CC301" s="1289"/>
      <c r="CD301" s="1289"/>
      <c r="CE301" s="1289"/>
      <c r="CF301" s="1289"/>
      <c r="CG301" s="1289"/>
      <c r="CH301" s="1289"/>
      <c r="CI301" s="1289"/>
      <c r="CJ301" s="1289"/>
      <c r="CK301" s="1289"/>
      <c r="CL301" s="1289"/>
      <c r="CM301" s="1289"/>
      <c r="CN301" s="1289"/>
      <c r="CO301" s="1289"/>
      <c r="CP301" s="1289"/>
      <c r="CQ301" s="1289"/>
      <c r="CR301" s="1289"/>
      <c r="CS301" s="1289"/>
      <c r="CT301" s="1289"/>
      <c r="CU301" s="1289"/>
      <c r="CV301" s="1289"/>
      <c r="CW301" s="1289"/>
      <c r="CX301" s="1289"/>
      <c r="CY301" s="1289"/>
      <c r="CZ301" s="1289"/>
      <c r="DA301" s="1289"/>
      <c r="DB301" s="1289"/>
      <c r="DC301" s="1289"/>
      <c r="DD301" s="1289"/>
      <c r="DE301" s="1289"/>
      <c r="DF301" s="1289"/>
      <c r="DG301" s="1289"/>
      <c r="DH301" s="1289"/>
      <c r="DI301" s="1289"/>
      <c r="DJ301" s="1289"/>
      <c r="DK301" s="1289"/>
      <c r="DL301" s="1289"/>
      <c r="DM301" s="1289"/>
      <c r="DN301" s="1289"/>
      <c r="DO301" s="1289"/>
      <c r="DP301" s="1289"/>
      <c r="DQ301" s="1289"/>
      <c r="DR301" s="1289"/>
      <c r="DS301" s="1289"/>
      <c r="DT301" s="1289"/>
      <c r="DU301" s="1289"/>
      <c r="DV301" s="1289"/>
      <c r="DW301" s="1289"/>
      <c r="DX301" s="1289"/>
      <c r="DY301" s="1289"/>
      <c r="DZ301" s="1289"/>
      <c r="EA301" s="1289"/>
      <c r="EB301" s="1289"/>
      <c r="EC301" s="1289"/>
      <c r="ED301" s="1289"/>
      <c r="EE301" s="1289"/>
      <c r="EF301" s="1289"/>
      <c r="EG301" s="1289"/>
      <c r="EH301" s="1289"/>
      <c r="EI301" s="1289"/>
      <c r="EJ301" s="1289"/>
      <c r="EK301" s="1289"/>
      <c r="EL301" s="1289"/>
      <c r="EM301" s="1289"/>
      <c r="EN301" s="1289"/>
      <c r="EO301" s="1289"/>
      <c r="EP301" s="1289"/>
      <c r="EQ301" s="1289"/>
      <c r="ER301" s="1289"/>
      <c r="ES301" s="1289"/>
      <c r="ET301" s="1289"/>
      <c r="EU301" s="1289"/>
      <c r="EV301" s="1289"/>
      <c r="EW301" s="1289"/>
      <c r="EX301" s="1289"/>
      <c r="EY301" s="1289"/>
      <c r="EZ301" s="1289"/>
      <c r="FA301" s="1289"/>
      <c r="FB301" s="1289"/>
      <c r="FC301" s="1289"/>
      <c r="FD301" s="1289"/>
      <c r="FE301" s="1289"/>
      <c r="FF301" s="1289"/>
      <c r="FG301" s="1289"/>
      <c r="FH301" s="1289"/>
      <c r="FI301" s="1289"/>
      <c r="FJ301" s="1289"/>
      <c r="FK301" s="1289"/>
      <c r="FL301" s="1289"/>
      <c r="FM301" s="1289"/>
      <c r="FN301" s="1289"/>
      <c r="FO301" s="1289"/>
      <c r="FP301" s="1289"/>
      <c r="FQ301" s="1289"/>
      <c r="FR301" s="1289"/>
      <c r="FS301" s="1289"/>
      <c r="FT301" s="1289"/>
      <c r="FU301" s="1289"/>
      <c r="FV301" s="1289"/>
      <c r="FW301" s="1289"/>
      <c r="FX301" s="1289"/>
      <c r="FY301" s="1289"/>
      <c r="FZ301" s="1289"/>
      <c r="GA301" s="1289"/>
      <c r="GB301" s="1289"/>
      <c r="GC301" s="1289"/>
      <c r="GD301" s="1289"/>
      <c r="GE301" s="1289"/>
      <c r="GF301" s="1289"/>
      <c r="GG301" s="1289"/>
      <c r="GH301" s="1289"/>
      <c r="GI301" s="1289"/>
      <c r="GJ301" s="1289"/>
      <c r="GK301" s="1289"/>
      <c r="GL301" s="1289"/>
      <c r="GM301" s="1289"/>
    </row>
    <row r="302" spans="1:195" ht="44.45" customHeight="1" collapsed="1">
      <c r="D302" s="138" t="s">
        <v>1706</v>
      </c>
      <c r="E302" s="130" t="s">
        <v>1595</v>
      </c>
      <c r="F302" s="383">
        <f>F303+F304+F306+F305</f>
        <v>311541.28034260002</v>
      </c>
      <c r="G302" s="383">
        <f>G303+G304+G306+G305</f>
        <v>370450.2170532</v>
      </c>
      <c r="H302" s="116">
        <f t="shared" si="19"/>
        <v>58908.936710599985</v>
      </c>
      <c r="I302" s="1826">
        <f t="shared" si="20"/>
        <v>0.18908870325569116</v>
      </c>
      <c r="J302" s="1148"/>
      <c r="K302" s="227"/>
    </row>
    <row r="303" spans="1:195" s="50" customFormat="1" ht="15" hidden="1" outlineLevel="1">
      <c r="A303" s="1665" t="s">
        <v>1936</v>
      </c>
      <c r="B303" s="1665" t="s">
        <v>663</v>
      </c>
      <c r="C303" s="1858"/>
      <c r="D303" s="160"/>
      <c r="E303" s="217" t="s">
        <v>663</v>
      </c>
      <c r="F303" s="389">
        <f>SUMIFS(INPUT!H:H,INPUT!E:E,BAZE_2024!A303,INPUT!B:B,BAZE_2024!B303)</f>
        <v>288441.28034260002</v>
      </c>
      <c r="G303" s="389">
        <f>SUMIFS(INPUT!L:L,INPUT!E:E,BAZE_2024!A303,INPUT!B:B,BAZE_2024!B303)</f>
        <v>344250.2170532</v>
      </c>
      <c r="H303" s="146">
        <f t="shared" si="19"/>
        <v>55808.936710599985</v>
      </c>
      <c r="I303" s="1836">
        <f t="shared" si="20"/>
        <v>0.19348456865921607</v>
      </c>
      <c r="J303" s="220" t="s">
        <v>5733</v>
      </c>
      <c r="K303" s="227"/>
      <c r="L303" s="77"/>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row>
    <row r="304" spans="1:195" s="50" customFormat="1" ht="15" hidden="1" outlineLevel="1">
      <c r="A304" s="1665" t="s">
        <v>1936</v>
      </c>
      <c r="B304" s="1665" t="s">
        <v>1248</v>
      </c>
      <c r="C304" s="1858"/>
      <c r="D304" s="216"/>
      <c r="E304" s="161" t="s">
        <v>579</v>
      </c>
      <c r="F304" s="389">
        <f>SUMIFS(INPUT!H:H,INPUT!E:E,BAZE_2024!A304,INPUT!B:B,BAZE_2024!B304)</f>
        <v>22800</v>
      </c>
      <c r="G304" s="389">
        <f>SUMIFS(INPUT!L:L,INPUT!E:E,BAZE_2024!A304,INPUT!B:B,BAZE_2024!B304)</f>
        <v>23400</v>
      </c>
      <c r="H304" s="146">
        <f t="shared" si="19"/>
        <v>600</v>
      </c>
      <c r="I304" s="1836">
        <f t="shared" si="20"/>
        <v>2.6315789473684209E-2</v>
      </c>
      <c r="J304" s="220"/>
      <c r="K304" s="156">
        <v>-0.02</v>
      </c>
      <c r="L304" s="1222">
        <f>G304*K304</f>
        <v>-468</v>
      </c>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2477" customFormat="1" ht="15" hidden="1" outlineLevel="1">
      <c r="A305" s="2791" t="s">
        <v>1936</v>
      </c>
      <c r="B305" s="2791" t="s">
        <v>2649</v>
      </c>
      <c r="C305" s="1858"/>
      <c r="D305" s="2792"/>
      <c r="E305" s="2793" t="s">
        <v>2648</v>
      </c>
      <c r="F305" s="389">
        <f>SUMIFS(INPUT!H:H,INPUT!E:E,BAZE_2024!A305,INPUT!B:B,BAZE_2024!B305)</f>
        <v>0</v>
      </c>
      <c r="G305" s="389">
        <f>SUMIFS(INPUT!L:L,INPUT!E:E,BAZE_2024!A305,INPUT!B:B,BAZE_2024!B305)</f>
        <v>0</v>
      </c>
      <c r="H305" s="146">
        <f>G305-F305</f>
        <v>0</v>
      </c>
      <c r="I305" s="1836" t="str">
        <f>IFERROR(H305/F305,"-")</f>
        <v>-</v>
      </c>
      <c r="J305" s="3931"/>
      <c r="K305" s="2121"/>
      <c r="L305" s="224"/>
      <c r="M305" s="79"/>
      <c r="N305" s="79"/>
      <c r="O305" s="79"/>
      <c r="P305" s="79"/>
      <c r="Q305" s="79"/>
      <c r="R305" s="79"/>
      <c r="S305" s="79"/>
      <c r="T305" s="79"/>
      <c r="U305" s="79"/>
      <c r="V305" s="79"/>
      <c r="W305" s="79"/>
      <c r="X305" s="79"/>
      <c r="Y305" s="79"/>
      <c r="Z305" s="79"/>
      <c r="AA305" s="79"/>
      <c r="AB305" s="79"/>
      <c r="AC305" s="79"/>
      <c r="AD305" s="79"/>
      <c r="AE305" s="79"/>
      <c r="AF305" s="79"/>
      <c r="AG305" s="79"/>
      <c r="AH305" s="79"/>
      <c r="AI305" s="79"/>
      <c r="AJ305" s="79"/>
      <c r="AK305" s="79"/>
      <c r="AL305" s="79"/>
      <c r="AM305" s="79"/>
      <c r="AN305" s="79"/>
      <c r="AO305" s="79"/>
      <c r="AP305" s="79"/>
      <c r="AQ305" s="79"/>
      <c r="AR305" s="79"/>
      <c r="AS305" s="79"/>
      <c r="AT305" s="79"/>
      <c r="AU305" s="79"/>
      <c r="AV305" s="79"/>
      <c r="AW305" s="79"/>
      <c r="AX305" s="79"/>
      <c r="AY305" s="79"/>
      <c r="AZ305" s="79"/>
      <c r="BA305" s="79"/>
      <c r="BB305" s="79"/>
      <c r="BC305" s="79"/>
      <c r="BD305" s="79"/>
      <c r="BE305" s="79"/>
      <c r="BF305" s="79"/>
      <c r="BG305" s="79"/>
      <c r="BH305" s="79"/>
      <c r="BI305" s="79"/>
      <c r="BJ305" s="79"/>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c r="CJ305" s="79"/>
      <c r="CK305" s="79"/>
      <c r="CL305" s="79"/>
      <c r="CM305" s="79"/>
      <c r="CN305" s="79"/>
      <c r="CO305" s="79"/>
      <c r="CP305" s="79"/>
      <c r="CQ305" s="79"/>
      <c r="CR305" s="79"/>
      <c r="CS305" s="79"/>
      <c r="CT305" s="79"/>
      <c r="CU305" s="79"/>
      <c r="CV305" s="79"/>
      <c r="CW305" s="79"/>
      <c r="CX305" s="79"/>
      <c r="CY305" s="79"/>
      <c r="CZ305" s="79"/>
      <c r="DA305" s="79"/>
      <c r="DB305" s="79"/>
      <c r="DC305" s="79"/>
      <c r="DD305" s="79"/>
      <c r="DE305" s="79"/>
      <c r="DF305" s="79"/>
      <c r="DG305" s="79"/>
      <c r="DH305" s="79"/>
      <c r="DI305" s="79"/>
      <c r="DJ305" s="79"/>
      <c r="DK305" s="79"/>
      <c r="DL305" s="79"/>
      <c r="DM305" s="79"/>
      <c r="DN305" s="79"/>
      <c r="DO305" s="79"/>
      <c r="DP305" s="79"/>
      <c r="DQ305" s="79"/>
      <c r="DR305" s="79"/>
      <c r="DS305" s="79"/>
      <c r="DT305" s="79"/>
      <c r="DU305" s="79"/>
      <c r="DV305" s="79"/>
      <c r="DW305" s="79"/>
      <c r="DX305" s="79"/>
      <c r="DY305" s="79"/>
      <c r="DZ305" s="79"/>
      <c r="EA305" s="79"/>
      <c r="EB305" s="79"/>
      <c r="EC305" s="79"/>
      <c r="ED305" s="79"/>
      <c r="EE305" s="79"/>
      <c r="EF305" s="79"/>
      <c r="EG305" s="79"/>
      <c r="EH305" s="79"/>
      <c r="EI305" s="79"/>
      <c r="EJ305" s="79"/>
      <c r="EK305" s="79"/>
      <c r="EL305" s="79"/>
      <c r="EM305" s="79"/>
      <c r="EN305" s="79"/>
      <c r="EO305" s="79"/>
      <c r="EP305" s="79"/>
      <c r="EQ305" s="79"/>
      <c r="ER305" s="79"/>
      <c r="ES305" s="79"/>
      <c r="ET305" s="79"/>
      <c r="EU305" s="79"/>
      <c r="EV305" s="79"/>
      <c r="EW305" s="79"/>
      <c r="EX305" s="79"/>
      <c r="EY305" s="79"/>
      <c r="EZ305" s="79"/>
      <c r="FA305" s="79"/>
      <c r="FB305" s="79"/>
      <c r="FC305" s="79"/>
      <c r="FD305" s="79"/>
      <c r="FE305" s="79"/>
      <c r="FF305" s="79"/>
      <c r="FG305" s="79"/>
      <c r="FH305" s="79"/>
      <c r="FI305" s="79"/>
      <c r="FJ305" s="79"/>
      <c r="FK305" s="79"/>
      <c r="FL305" s="79"/>
      <c r="FM305" s="79"/>
      <c r="FN305" s="79"/>
      <c r="FO305" s="79"/>
      <c r="FP305" s="79"/>
      <c r="FQ305" s="79"/>
      <c r="FR305" s="79"/>
      <c r="FS305" s="79"/>
      <c r="FT305" s="79"/>
      <c r="FU305" s="79"/>
      <c r="FV305" s="79"/>
      <c r="FW305" s="79"/>
      <c r="FX305" s="79"/>
      <c r="FY305" s="79"/>
      <c r="FZ305" s="79"/>
      <c r="GA305" s="79"/>
      <c r="GB305" s="79"/>
      <c r="GC305" s="79"/>
      <c r="GD305" s="79"/>
      <c r="GE305" s="79"/>
      <c r="GF305" s="79"/>
      <c r="GG305" s="79"/>
      <c r="GH305" s="79"/>
      <c r="GI305" s="79"/>
      <c r="GJ305" s="79"/>
      <c r="GK305" s="79"/>
      <c r="GL305" s="79"/>
      <c r="GM305" s="79"/>
    </row>
    <row r="306" spans="1:195" s="50" customFormat="1" ht="15" hidden="1" outlineLevel="1">
      <c r="A306" s="1665" t="s">
        <v>1936</v>
      </c>
      <c r="B306" s="1665" t="s">
        <v>1250</v>
      </c>
      <c r="C306" s="1858"/>
      <c r="D306" s="160"/>
      <c r="E306" s="161" t="s">
        <v>578</v>
      </c>
      <c r="F306" s="389">
        <f>SUMIFS(INPUT!H:H,INPUT!E:E,BAZE_2024!A306,INPUT!B:B,BAZE_2024!B306)</f>
        <v>300</v>
      </c>
      <c r="G306" s="389">
        <f>SUMIFS(INPUT!L:L,INPUT!E:E,BAZE_2024!A306,INPUT!B:B,BAZE_2024!B306)</f>
        <v>2800</v>
      </c>
      <c r="H306" s="146">
        <f t="shared" si="19"/>
        <v>2500</v>
      </c>
      <c r="I306" s="1836">
        <f t="shared" si="20"/>
        <v>8.3333333333333339</v>
      </c>
      <c r="J306" s="220"/>
      <c r="K306" s="227"/>
      <c r="L306" s="77"/>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1299" customFormat="1" ht="15" hidden="1" outlineLevel="1">
      <c r="A307" s="2127" t="s">
        <v>1937</v>
      </c>
      <c r="B307" s="2127" t="s">
        <v>512</v>
      </c>
      <c r="C307" s="2128"/>
      <c r="D307" s="1297"/>
      <c r="E307" s="1294" t="s">
        <v>431</v>
      </c>
      <c r="F307" s="380">
        <f>SUMIFS(INPUT!H:H,INPUT!E:E,BAZE_2024!A307,INPUT!B:B,BAZE_2024!B307)</f>
        <v>85028.298240000004</v>
      </c>
      <c r="G307" s="380">
        <f>SUMIFS(INPUT!L:L,INPUT!E:E,BAZE_2024!A307,INPUT!B:B,BAZE_2024!B307)</f>
        <v>144084.39872</v>
      </c>
      <c r="H307" s="1285">
        <f>G307-F307</f>
        <v>59056.100479999994</v>
      </c>
      <c r="I307" s="1834">
        <f t="shared" si="20"/>
        <v>0.69454642398356425</v>
      </c>
      <c r="J307" s="2168"/>
      <c r="K307" s="2129"/>
      <c r="L307" s="2014"/>
      <c r="M307" s="1289"/>
      <c r="N307" s="1289"/>
      <c r="O307" s="1289"/>
      <c r="P307" s="1289"/>
      <c r="Q307" s="1289"/>
      <c r="R307" s="1289"/>
      <c r="S307" s="1289"/>
      <c r="T307" s="1289"/>
      <c r="U307" s="1289"/>
      <c r="V307" s="1289"/>
      <c r="W307" s="1289"/>
      <c r="X307" s="1289"/>
      <c r="Y307" s="1289"/>
      <c r="Z307" s="1289"/>
      <c r="AA307" s="1289"/>
      <c r="AB307" s="1289"/>
      <c r="AC307" s="1289"/>
      <c r="AD307" s="1289"/>
      <c r="AE307" s="1289"/>
      <c r="AF307" s="1289"/>
      <c r="AG307" s="1289"/>
      <c r="AH307" s="1289"/>
      <c r="AI307" s="1289"/>
      <c r="AJ307" s="1289"/>
      <c r="AK307" s="1289"/>
      <c r="AL307" s="1289"/>
      <c r="AM307" s="1289"/>
      <c r="AN307" s="1289"/>
      <c r="AO307" s="1289"/>
      <c r="AP307" s="1289"/>
      <c r="AQ307" s="1289"/>
      <c r="AR307" s="1289"/>
      <c r="AS307" s="1289"/>
      <c r="AT307" s="1289"/>
      <c r="AU307" s="1289"/>
      <c r="AV307" s="1289"/>
      <c r="AW307" s="1289"/>
      <c r="AX307" s="1289"/>
      <c r="AY307" s="1289"/>
      <c r="AZ307" s="1289"/>
      <c r="BA307" s="1289"/>
      <c r="BB307" s="1289"/>
      <c r="BC307" s="1289"/>
      <c r="BD307" s="1289"/>
      <c r="BE307" s="1289"/>
      <c r="BF307" s="1289"/>
      <c r="BG307" s="1289"/>
      <c r="BH307" s="1289"/>
      <c r="BI307" s="1289"/>
      <c r="BJ307" s="1289"/>
      <c r="BK307" s="1289"/>
      <c r="BL307" s="1289"/>
      <c r="BM307" s="1289"/>
      <c r="BN307" s="1289"/>
      <c r="BO307" s="1289"/>
      <c r="BP307" s="1289"/>
      <c r="BQ307" s="1289"/>
      <c r="BR307" s="1289"/>
      <c r="BS307" s="1289"/>
      <c r="BT307" s="1289"/>
      <c r="BU307" s="1289"/>
      <c r="BV307" s="1289"/>
      <c r="BW307" s="1289"/>
      <c r="BX307" s="1289"/>
      <c r="BY307" s="1289"/>
      <c r="BZ307" s="1289"/>
      <c r="CA307" s="1289"/>
      <c r="CB307" s="1289"/>
      <c r="CC307" s="1289"/>
      <c r="CD307" s="1289"/>
      <c r="CE307" s="1289"/>
      <c r="CF307" s="1289"/>
      <c r="CG307" s="1289"/>
      <c r="CH307" s="1289"/>
      <c r="CI307" s="1289"/>
      <c r="CJ307" s="1289"/>
      <c r="CK307" s="1289"/>
      <c r="CL307" s="1289"/>
      <c r="CM307" s="1289"/>
      <c r="CN307" s="1289"/>
      <c r="CO307" s="1289"/>
      <c r="CP307" s="1289"/>
      <c r="CQ307" s="1289"/>
      <c r="CR307" s="1289"/>
      <c r="CS307" s="1289"/>
      <c r="CT307" s="1289"/>
      <c r="CU307" s="1289"/>
      <c r="CV307" s="1289"/>
      <c r="CW307" s="1289"/>
      <c r="CX307" s="1289"/>
      <c r="CY307" s="1289"/>
      <c r="CZ307" s="1289"/>
      <c r="DA307" s="1289"/>
      <c r="DB307" s="1289"/>
      <c r="DC307" s="1289"/>
      <c r="DD307" s="1289"/>
      <c r="DE307" s="1289"/>
      <c r="DF307" s="1289"/>
      <c r="DG307" s="1289"/>
      <c r="DH307" s="1289"/>
      <c r="DI307" s="1289"/>
      <c r="DJ307" s="1289"/>
      <c r="DK307" s="1289"/>
      <c r="DL307" s="1289"/>
      <c r="DM307" s="1289"/>
      <c r="DN307" s="1289"/>
      <c r="DO307" s="1289"/>
      <c r="DP307" s="1289"/>
      <c r="DQ307" s="1289"/>
      <c r="DR307" s="1289"/>
      <c r="DS307" s="1289"/>
      <c r="DT307" s="1289"/>
      <c r="DU307" s="1289"/>
      <c r="DV307" s="1289"/>
      <c r="DW307" s="1289"/>
      <c r="DX307" s="1289"/>
      <c r="DY307" s="1289"/>
      <c r="DZ307" s="1289"/>
      <c r="EA307" s="1289"/>
      <c r="EB307" s="1289"/>
      <c r="EC307" s="1289"/>
      <c r="ED307" s="1289"/>
      <c r="EE307" s="1289"/>
      <c r="EF307" s="1289"/>
      <c r="EG307" s="1289"/>
      <c r="EH307" s="1289"/>
      <c r="EI307" s="1289"/>
      <c r="EJ307" s="1289"/>
      <c r="EK307" s="1289"/>
      <c r="EL307" s="1289"/>
      <c r="EM307" s="1289"/>
      <c r="EN307" s="1289"/>
      <c r="EO307" s="1289"/>
      <c r="EP307" s="1289"/>
      <c r="EQ307" s="1289"/>
      <c r="ER307" s="1289"/>
      <c r="ES307" s="1289"/>
      <c r="ET307" s="1289"/>
      <c r="EU307" s="1289"/>
      <c r="EV307" s="1289"/>
      <c r="EW307" s="1289"/>
      <c r="EX307" s="1289"/>
      <c r="EY307" s="1289"/>
      <c r="EZ307" s="1289"/>
      <c r="FA307" s="1289"/>
      <c r="FB307" s="1289"/>
      <c r="FC307" s="1289"/>
      <c r="FD307" s="1289"/>
      <c r="FE307" s="1289"/>
      <c r="FF307" s="1289"/>
      <c r="FG307" s="1289"/>
      <c r="FH307" s="1289"/>
      <c r="FI307" s="1289"/>
      <c r="FJ307" s="1289"/>
      <c r="FK307" s="1289"/>
      <c r="FL307" s="1289"/>
      <c r="FM307" s="1289"/>
      <c r="FN307" s="1289"/>
      <c r="FO307" s="1289"/>
      <c r="FP307" s="1289"/>
      <c r="FQ307" s="1289"/>
      <c r="FR307" s="1289"/>
      <c r="FS307" s="1289"/>
      <c r="FT307" s="1289"/>
      <c r="FU307" s="1289"/>
      <c r="FV307" s="1289"/>
      <c r="FW307" s="1289"/>
      <c r="FX307" s="1289"/>
      <c r="FY307" s="1289"/>
      <c r="FZ307" s="1289"/>
      <c r="GA307" s="1289"/>
      <c r="GB307" s="1289"/>
      <c r="GC307" s="1289"/>
      <c r="GD307" s="1289"/>
      <c r="GE307" s="1289"/>
      <c r="GF307" s="1289"/>
      <c r="GG307" s="1289"/>
      <c r="GH307" s="1289"/>
      <c r="GI307" s="1289"/>
      <c r="GJ307" s="1289"/>
      <c r="GK307" s="1289"/>
      <c r="GL307" s="1289"/>
      <c r="GM307" s="1289"/>
    </row>
    <row r="308" spans="1:195" s="1299" customFormat="1" ht="15" hidden="1" outlineLevel="1">
      <c r="A308" s="2127" t="s">
        <v>1936</v>
      </c>
      <c r="B308" s="2127" t="s">
        <v>1249</v>
      </c>
      <c r="C308" s="2128"/>
      <c r="D308" s="1297"/>
      <c r="E308" s="1294" t="s">
        <v>1249</v>
      </c>
      <c r="F308" s="380">
        <f>SUMIFS(INPUT!H:H,INPUT!E:E,BAZE_2024!A308,INPUT!B:B,BAZE_2024!B308)</f>
        <v>0</v>
      </c>
      <c r="G308" s="380">
        <f>SUMIFS(INPUT!L:L,INPUT!E:E,BAZE_2024!A308,INPUT!B:B,BAZE_2024!B308)</f>
        <v>0</v>
      </c>
      <c r="H308" s="1285">
        <f>G308-F308</f>
        <v>0</v>
      </c>
      <c r="I308" s="1834" t="str">
        <f t="shared" si="20"/>
        <v>-</v>
      </c>
      <c r="J308" s="2168"/>
      <c r="K308" s="2129"/>
      <c r="L308" s="2014"/>
      <c r="M308" s="1289"/>
      <c r="N308" s="1289"/>
      <c r="O308" s="1289"/>
      <c r="P308" s="1289"/>
      <c r="Q308" s="1289"/>
      <c r="R308" s="1289"/>
      <c r="S308" s="1289"/>
      <c r="T308" s="1289"/>
      <c r="U308" s="1289"/>
      <c r="V308" s="1289"/>
      <c r="W308" s="1289"/>
      <c r="X308" s="1289"/>
      <c r="Y308" s="1289"/>
      <c r="Z308" s="1289"/>
      <c r="AA308" s="1289"/>
      <c r="AB308" s="1289"/>
      <c r="AC308" s="1289"/>
      <c r="AD308" s="1289"/>
      <c r="AE308" s="1289"/>
      <c r="AF308" s="1289"/>
      <c r="AG308" s="1289"/>
      <c r="AH308" s="1289"/>
      <c r="AI308" s="1289"/>
      <c r="AJ308" s="1289"/>
      <c r="AK308" s="1289"/>
      <c r="AL308" s="1289"/>
      <c r="AM308" s="1289"/>
      <c r="AN308" s="1289"/>
      <c r="AO308" s="1289"/>
      <c r="AP308" s="1289"/>
      <c r="AQ308" s="1289"/>
      <c r="AR308" s="1289"/>
      <c r="AS308" s="1289"/>
      <c r="AT308" s="1289"/>
      <c r="AU308" s="1289"/>
      <c r="AV308" s="1289"/>
      <c r="AW308" s="1289"/>
      <c r="AX308" s="1289"/>
      <c r="AY308" s="1289"/>
      <c r="AZ308" s="1289"/>
      <c r="BA308" s="1289"/>
      <c r="BB308" s="1289"/>
      <c r="BC308" s="1289"/>
      <c r="BD308" s="1289"/>
      <c r="BE308" s="1289"/>
      <c r="BF308" s="1289"/>
      <c r="BG308" s="1289"/>
      <c r="BH308" s="1289"/>
      <c r="BI308" s="1289"/>
      <c r="BJ308" s="1289"/>
      <c r="BK308" s="1289"/>
      <c r="BL308" s="1289"/>
      <c r="BM308" s="1289"/>
      <c r="BN308" s="1289"/>
      <c r="BO308" s="1289"/>
      <c r="BP308" s="1289"/>
      <c r="BQ308" s="1289"/>
      <c r="BR308" s="1289"/>
      <c r="BS308" s="1289"/>
      <c r="BT308" s="1289"/>
      <c r="BU308" s="1289"/>
      <c r="BV308" s="1289"/>
      <c r="BW308" s="1289"/>
      <c r="BX308" s="1289"/>
      <c r="BY308" s="1289"/>
      <c r="BZ308" s="1289"/>
      <c r="CA308" s="1289"/>
      <c r="CB308" s="1289"/>
      <c r="CC308" s="1289"/>
      <c r="CD308" s="1289"/>
      <c r="CE308" s="1289"/>
      <c r="CF308" s="1289"/>
      <c r="CG308" s="1289"/>
      <c r="CH308" s="1289"/>
      <c r="CI308" s="1289"/>
      <c r="CJ308" s="1289"/>
      <c r="CK308" s="1289"/>
      <c r="CL308" s="1289"/>
      <c r="CM308" s="1289"/>
      <c r="CN308" s="1289"/>
      <c r="CO308" s="1289"/>
      <c r="CP308" s="1289"/>
      <c r="CQ308" s="1289"/>
      <c r="CR308" s="1289"/>
      <c r="CS308" s="1289"/>
      <c r="CT308" s="1289"/>
      <c r="CU308" s="1289"/>
      <c r="CV308" s="1289"/>
      <c r="CW308" s="1289"/>
      <c r="CX308" s="1289"/>
      <c r="CY308" s="1289"/>
      <c r="CZ308" s="1289"/>
      <c r="DA308" s="1289"/>
      <c r="DB308" s="1289"/>
      <c r="DC308" s="1289"/>
      <c r="DD308" s="1289"/>
      <c r="DE308" s="1289"/>
      <c r="DF308" s="1289"/>
      <c r="DG308" s="1289"/>
      <c r="DH308" s="1289"/>
      <c r="DI308" s="1289"/>
      <c r="DJ308" s="1289"/>
      <c r="DK308" s="1289"/>
      <c r="DL308" s="1289"/>
      <c r="DM308" s="1289"/>
      <c r="DN308" s="1289"/>
      <c r="DO308" s="1289"/>
      <c r="DP308" s="1289"/>
      <c r="DQ308" s="1289"/>
      <c r="DR308" s="1289"/>
      <c r="DS308" s="1289"/>
      <c r="DT308" s="1289"/>
      <c r="DU308" s="1289"/>
      <c r="DV308" s="1289"/>
      <c r="DW308" s="1289"/>
      <c r="DX308" s="1289"/>
      <c r="DY308" s="1289"/>
      <c r="DZ308" s="1289"/>
      <c r="EA308" s="1289"/>
      <c r="EB308" s="1289"/>
      <c r="EC308" s="1289"/>
      <c r="ED308" s="1289"/>
      <c r="EE308" s="1289"/>
      <c r="EF308" s="1289"/>
      <c r="EG308" s="1289"/>
      <c r="EH308" s="1289"/>
      <c r="EI308" s="1289"/>
      <c r="EJ308" s="1289"/>
      <c r="EK308" s="1289"/>
      <c r="EL308" s="1289"/>
      <c r="EM308" s="1289"/>
      <c r="EN308" s="1289"/>
      <c r="EO308" s="1289"/>
      <c r="EP308" s="1289"/>
      <c r="EQ308" s="1289"/>
      <c r="ER308" s="1289"/>
      <c r="ES308" s="1289"/>
      <c r="ET308" s="1289"/>
      <c r="EU308" s="1289"/>
      <c r="EV308" s="1289"/>
      <c r="EW308" s="1289"/>
      <c r="EX308" s="1289"/>
      <c r="EY308" s="1289"/>
      <c r="EZ308" s="1289"/>
      <c r="FA308" s="1289"/>
      <c r="FB308" s="1289"/>
      <c r="FC308" s="1289"/>
      <c r="FD308" s="1289"/>
      <c r="FE308" s="1289"/>
      <c r="FF308" s="1289"/>
      <c r="FG308" s="1289"/>
      <c r="FH308" s="1289"/>
      <c r="FI308" s="1289"/>
      <c r="FJ308" s="1289"/>
      <c r="FK308" s="1289"/>
      <c r="FL308" s="1289"/>
      <c r="FM308" s="1289"/>
      <c r="FN308" s="1289"/>
      <c r="FO308" s="1289"/>
      <c r="FP308" s="1289"/>
      <c r="FQ308" s="1289"/>
      <c r="FR308" s="1289"/>
      <c r="FS308" s="1289"/>
      <c r="FT308" s="1289"/>
      <c r="FU308" s="1289"/>
      <c r="FV308" s="1289"/>
      <c r="FW308" s="1289"/>
      <c r="FX308" s="1289"/>
      <c r="FY308" s="1289"/>
      <c r="FZ308" s="1289"/>
      <c r="GA308" s="1289"/>
      <c r="GB308" s="1289"/>
      <c r="GC308" s="1289"/>
      <c r="GD308" s="1289"/>
      <c r="GE308" s="1289"/>
      <c r="GF308" s="1289"/>
      <c r="GG308" s="1289"/>
      <c r="GH308" s="1289"/>
      <c r="GI308" s="1289"/>
      <c r="GJ308" s="1289"/>
      <c r="GK308" s="1289"/>
      <c r="GL308" s="1289"/>
      <c r="GM308" s="1289"/>
    </row>
    <row r="309" spans="1:195" ht="15" collapsed="1">
      <c r="D309" s="138" t="s">
        <v>1707</v>
      </c>
      <c r="E309" s="130" t="s">
        <v>201</v>
      </c>
      <c r="F309" s="383">
        <f>F310+F313+F314</f>
        <v>2397852</v>
      </c>
      <c r="G309" s="383">
        <f>G310+G313+G314</f>
        <v>2783810.5</v>
      </c>
      <c r="H309" s="116">
        <f>G309-F309</f>
        <v>385958.5</v>
      </c>
      <c r="I309" s="1826">
        <f t="shared" si="20"/>
        <v>0.16096010095702321</v>
      </c>
      <c r="J309" s="222"/>
      <c r="K309" s="227"/>
    </row>
    <row r="310" spans="1:195" ht="30" hidden="1" outlineLevel="1">
      <c r="A310" s="1665" t="s">
        <v>1953</v>
      </c>
      <c r="B310" s="1665" t="s">
        <v>1248</v>
      </c>
      <c r="D310" s="135" t="s">
        <v>74</v>
      </c>
      <c r="E310" s="137" t="s">
        <v>202</v>
      </c>
      <c r="F310" s="389">
        <f>SUMIFS(INPUT!H:H,INPUT!E:E,BAZE_2024!A310,INPUT!B:B,BAZE_2024!B310)</f>
        <v>584952</v>
      </c>
      <c r="G310" s="389">
        <f>SUMIFS(INPUT!L:L,INPUT!E:E,BAZE_2024!A310,INPUT!B:B,BAZE_2024!B310)</f>
        <v>755440.5</v>
      </c>
      <c r="H310" s="102">
        <f>G310-F310</f>
        <v>170488.5</v>
      </c>
      <c r="I310" s="1824">
        <f t="shared" si="20"/>
        <v>0.29145724777417636</v>
      </c>
      <c r="J310" s="1221" t="s">
        <v>5729</v>
      </c>
      <c r="K310" s="227"/>
    </row>
    <row r="311" spans="1:195" s="1299" customFormat="1" ht="15" hidden="1" outlineLevel="1">
      <c r="A311" s="2127" t="s">
        <v>1953</v>
      </c>
      <c r="B311" s="2127" t="s">
        <v>512</v>
      </c>
      <c r="C311" s="2128"/>
      <c r="D311" s="1297"/>
      <c r="E311" s="1294" t="s">
        <v>431</v>
      </c>
      <c r="F311" s="380">
        <f>SUMIFS(INPUT!H:H,INPUT!E:E,BAZE_2024!A311,INPUT!B:B,BAZE_2024!B311)</f>
        <v>37484.5</v>
      </c>
      <c r="G311" s="380">
        <f>SUMIFS(INPUT!L:L,INPUT!E:E,BAZE_2024!A311,INPUT!B:B,BAZE_2024!B311)</f>
        <v>51448.5</v>
      </c>
      <c r="H311" s="1287">
        <f>G311-F311</f>
        <v>13964</v>
      </c>
      <c r="I311" s="1849">
        <f t="shared" si="20"/>
        <v>0.37252731128866601</v>
      </c>
      <c r="J311" s="2168"/>
      <c r="K311" s="2129"/>
      <c r="L311" s="2014"/>
      <c r="M311" s="1289"/>
      <c r="N311" s="1289"/>
      <c r="O311" s="1289"/>
      <c r="P311" s="1289"/>
      <c r="Q311" s="1289"/>
      <c r="R311" s="1289"/>
      <c r="S311" s="1289"/>
      <c r="T311" s="1289"/>
      <c r="U311" s="1289"/>
      <c r="V311" s="1289"/>
      <c r="W311" s="1289"/>
      <c r="X311" s="1289"/>
      <c r="Y311" s="1289"/>
      <c r="Z311" s="1289"/>
      <c r="AA311" s="1289"/>
      <c r="AB311" s="1289"/>
      <c r="AC311" s="1289"/>
      <c r="AD311" s="1289"/>
      <c r="AE311" s="1289"/>
      <c r="AF311" s="1289"/>
      <c r="AG311" s="1289"/>
      <c r="AH311" s="1289"/>
      <c r="AI311" s="1289"/>
      <c r="AJ311" s="1289"/>
      <c r="AK311" s="1289"/>
      <c r="AL311" s="1289"/>
      <c r="AM311" s="1289"/>
      <c r="AN311" s="1289"/>
      <c r="AO311" s="1289"/>
      <c r="AP311" s="1289"/>
      <c r="AQ311" s="1289"/>
      <c r="AR311" s="1289"/>
      <c r="AS311" s="1289"/>
      <c r="AT311" s="1289"/>
      <c r="AU311" s="1289"/>
      <c r="AV311" s="1289"/>
      <c r="AW311" s="1289"/>
      <c r="AX311" s="1289"/>
      <c r="AY311" s="1289"/>
      <c r="AZ311" s="1289"/>
      <c r="BA311" s="1289"/>
      <c r="BB311" s="1289"/>
      <c r="BC311" s="1289"/>
      <c r="BD311" s="1289"/>
      <c r="BE311" s="1289"/>
      <c r="BF311" s="1289"/>
      <c r="BG311" s="1289"/>
      <c r="BH311" s="1289"/>
      <c r="BI311" s="1289"/>
      <c r="BJ311" s="1289"/>
      <c r="BK311" s="1289"/>
      <c r="BL311" s="1289"/>
      <c r="BM311" s="1289"/>
      <c r="BN311" s="1289"/>
      <c r="BO311" s="1289"/>
      <c r="BP311" s="1289"/>
      <c r="BQ311" s="1289"/>
      <c r="BR311" s="1289"/>
      <c r="BS311" s="1289"/>
      <c r="BT311" s="1289"/>
      <c r="BU311" s="1289"/>
      <c r="BV311" s="1289"/>
      <c r="BW311" s="1289"/>
      <c r="BX311" s="1289"/>
      <c r="BY311" s="1289"/>
      <c r="BZ311" s="1289"/>
      <c r="CA311" s="1289"/>
      <c r="CB311" s="1289"/>
      <c r="CC311" s="1289"/>
      <c r="CD311" s="1289"/>
      <c r="CE311" s="1289"/>
      <c r="CF311" s="1289"/>
      <c r="CG311" s="1289"/>
      <c r="CH311" s="1289"/>
      <c r="CI311" s="1289"/>
      <c r="CJ311" s="1289"/>
      <c r="CK311" s="1289"/>
      <c r="CL311" s="1289"/>
      <c r="CM311" s="1289"/>
      <c r="CN311" s="1289"/>
      <c r="CO311" s="1289"/>
      <c r="CP311" s="1289"/>
      <c r="CQ311" s="1289"/>
      <c r="CR311" s="1289"/>
      <c r="CS311" s="1289"/>
      <c r="CT311" s="1289"/>
      <c r="CU311" s="1289"/>
      <c r="CV311" s="1289"/>
      <c r="CW311" s="1289"/>
      <c r="CX311" s="1289"/>
      <c r="CY311" s="1289"/>
      <c r="CZ311" s="1289"/>
      <c r="DA311" s="1289"/>
      <c r="DB311" s="1289"/>
      <c r="DC311" s="1289"/>
      <c r="DD311" s="1289"/>
      <c r="DE311" s="1289"/>
      <c r="DF311" s="1289"/>
      <c r="DG311" s="1289"/>
      <c r="DH311" s="1289"/>
      <c r="DI311" s="1289"/>
      <c r="DJ311" s="1289"/>
      <c r="DK311" s="1289"/>
      <c r="DL311" s="1289"/>
      <c r="DM311" s="1289"/>
      <c r="DN311" s="1289"/>
      <c r="DO311" s="1289"/>
      <c r="DP311" s="1289"/>
      <c r="DQ311" s="1289"/>
      <c r="DR311" s="1289"/>
      <c r="DS311" s="1289"/>
      <c r="DT311" s="1289"/>
      <c r="DU311" s="1289"/>
      <c r="DV311" s="1289"/>
      <c r="DW311" s="1289"/>
      <c r="DX311" s="1289"/>
      <c r="DY311" s="1289"/>
      <c r="DZ311" s="1289"/>
      <c r="EA311" s="1289"/>
      <c r="EB311" s="1289"/>
      <c r="EC311" s="1289"/>
      <c r="ED311" s="1289"/>
      <c r="EE311" s="1289"/>
      <c r="EF311" s="1289"/>
      <c r="EG311" s="1289"/>
      <c r="EH311" s="1289"/>
      <c r="EI311" s="1289"/>
      <c r="EJ311" s="1289"/>
      <c r="EK311" s="1289"/>
      <c r="EL311" s="1289"/>
      <c r="EM311" s="1289"/>
      <c r="EN311" s="1289"/>
      <c r="EO311" s="1289"/>
      <c r="EP311" s="1289"/>
      <c r="EQ311" s="1289"/>
      <c r="ER311" s="1289"/>
      <c r="ES311" s="1289"/>
      <c r="ET311" s="1289"/>
      <c r="EU311" s="1289"/>
      <c r="EV311" s="1289"/>
      <c r="EW311" s="1289"/>
      <c r="EX311" s="1289"/>
      <c r="EY311" s="1289"/>
      <c r="EZ311" s="1289"/>
      <c r="FA311" s="1289"/>
      <c r="FB311" s="1289"/>
      <c r="FC311" s="1289"/>
      <c r="FD311" s="1289"/>
      <c r="FE311" s="1289"/>
      <c r="FF311" s="1289"/>
      <c r="FG311" s="1289"/>
      <c r="FH311" s="1289"/>
      <c r="FI311" s="1289"/>
      <c r="FJ311" s="1289"/>
      <c r="FK311" s="1289"/>
      <c r="FL311" s="1289"/>
      <c r="FM311" s="1289"/>
      <c r="FN311" s="1289"/>
      <c r="FO311" s="1289"/>
      <c r="FP311" s="1289"/>
      <c r="FQ311" s="1289"/>
      <c r="FR311" s="1289"/>
      <c r="FS311" s="1289"/>
      <c r="FT311" s="1289"/>
      <c r="FU311" s="1289"/>
      <c r="FV311" s="1289"/>
      <c r="FW311" s="1289"/>
      <c r="FX311" s="1289"/>
      <c r="FY311" s="1289"/>
      <c r="FZ311" s="1289"/>
      <c r="GA311" s="1289"/>
      <c r="GB311" s="1289"/>
      <c r="GC311" s="1289"/>
      <c r="GD311" s="1289"/>
      <c r="GE311" s="1289"/>
      <c r="GF311" s="1289"/>
      <c r="GG311" s="1289"/>
      <c r="GH311" s="1289"/>
      <c r="GI311" s="1289"/>
      <c r="GJ311" s="1289"/>
      <c r="GK311" s="1289"/>
      <c r="GL311" s="1289"/>
      <c r="GM311" s="1289"/>
    </row>
    <row r="312" spans="1:195" s="1299" customFormat="1" ht="15" hidden="1" outlineLevel="1">
      <c r="A312" s="2127" t="s">
        <v>1953</v>
      </c>
      <c r="B312" s="2127" t="s">
        <v>1249</v>
      </c>
      <c r="C312" s="2128"/>
      <c r="D312" s="2169"/>
      <c r="E312" s="1294" t="s">
        <v>1249</v>
      </c>
      <c r="F312" s="380">
        <f>SUMIFS(INPUT!H:H,INPUT!E:E,BAZE_2024!A312,INPUT!B:B,BAZE_2024!B312)</f>
        <v>0</v>
      </c>
      <c r="G312" s="380">
        <f>SUMIFS(INPUT!L:L,INPUT!E:E,BAZE_2024!A312,INPUT!B:B,BAZE_2024!B312)</f>
        <v>0</v>
      </c>
      <c r="H312" s="1288"/>
      <c r="I312" s="2170" t="str">
        <f t="shared" si="20"/>
        <v>-</v>
      </c>
      <c r="J312" s="2171"/>
      <c r="K312" s="2129"/>
      <c r="L312" s="2014"/>
      <c r="M312" s="1289"/>
      <c r="N312" s="1289"/>
      <c r="O312" s="1289"/>
      <c r="P312" s="1289"/>
      <c r="Q312" s="1289"/>
      <c r="R312" s="1289"/>
      <c r="S312" s="1289"/>
      <c r="T312" s="1289"/>
      <c r="U312" s="1289"/>
      <c r="V312" s="1289"/>
      <c r="W312" s="1289"/>
      <c r="X312" s="1289"/>
      <c r="Y312" s="1289"/>
      <c r="Z312" s="1289"/>
      <c r="AA312" s="1289"/>
      <c r="AB312" s="1289"/>
      <c r="AC312" s="1289"/>
      <c r="AD312" s="1289"/>
      <c r="AE312" s="1289"/>
      <c r="AF312" s="1289"/>
      <c r="AG312" s="1289"/>
      <c r="AH312" s="1289"/>
      <c r="AI312" s="1289"/>
      <c r="AJ312" s="1289"/>
      <c r="AK312" s="1289"/>
      <c r="AL312" s="1289"/>
      <c r="AM312" s="1289"/>
      <c r="AN312" s="1289"/>
      <c r="AO312" s="1289"/>
      <c r="AP312" s="1289"/>
      <c r="AQ312" s="1289"/>
      <c r="AR312" s="1289"/>
      <c r="AS312" s="1289"/>
      <c r="AT312" s="1289"/>
      <c r="AU312" s="1289"/>
      <c r="AV312" s="1289"/>
      <c r="AW312" s="1289"/>
      <c r="AX312" s="1289"/>
      <c r="AY312" s="1289"/>
      <c r="AZ312" s="1289"/>
      <c r="BA312" s="1289"/>
      <c r="BB312" s="1289"/>
      <c r="BC312" s="1289"/>
      <c r="BD312" s="1289"/>
      <c r="BE312" s="1289"/>
      <c r="BF312" s="1289"/>
      <c r="BG312" s="1289"/>
      <c r="BH312" s="1289"/>
      <c r="BI312" s="1289"/>
      <c r="BJ312" s="1289"/>
      <c r="BK312" s="1289"/>
      <c r="BL312" s="1289"/>
      <c r="BM312" s="1289"/>
      <c r="BN312" s="1289"/>
      <c r="BO312" s="1289"/>
      <c r="BP312" s="1289"/>
      <c r="BQ312" s="1289"/>
      <c r="BR312" s="1289"/>
      <c r="BS312" s="1289"/>
      <c r="BT312" s="1289"/>
      <c r="BU312" s="1289"/>
      <c r="BV312" s="1289"/>
      <c r="BW312" s="1289"/>
      <c r="BX312" s="1289"/>
      <c r="BY312" s="1289"/>
      <c r="BZ312" s="1289"/>
      <c r="CA312" s="1289"/>
      <c r="CB312" s="1289"/>
      <c r="CC312" s="1289"/>
      <c r="CD312" s="1289"/>
      <c r="CE312" s="1289"/>
      <c r="CF312" s="1289"/>
      <c r="CG312" s="1289"/>
      <c r="CH312" s="1289"/>
      <c r="CI312" s="1289"/>
      <c r="CJ312" s="1289"/>
      <c r="CK312" s="1289"/>
      <c r="CL312" s="1289"/>
      <c r="CM312" s="1289"/>
      <c r="CN312" s="1289"/>
      <c r="CO312" s="1289"/>
      <c r="CP312" s="1289"/>
      <c r="CQ312" s="1289"/>
      <c r="CR312" s="1289"/>
      <c r="CS312" s="1289"/>
      <c r="CT312" s="1289"/>
      <c r="CU312" s="1289"/>
      <c r="CV312" s="1289"/>
      <c r="CW312" s="1289"/>
      <c r="CX312" s="1289"/>
      <c r="CY312" s="1289"/>
      <c r="CZ312" s="1289"/>
      <c r="DA312" s="1289"/>
      <c r="DB312" s="1289"/>
      <c r="DC312" s="1289"/>
      <c r="DD312" s="1289"/>
      <c r="DE312" s="1289"/>
      <c r="DF312" s="1289"/>
      <c r="DG312" s="1289"/>
      <c r="DH312" s="1289"/>
      <c r="DI312" s="1289"/>
      <c r="DJ312" s="1289"/>
      <c r="DK312" s="1289"/>
      <c r="DL312" s="1289"/>
      <c r="DM312" s="1289"/>
      <c r="DN312" s="1289"/>
      <c r="DO312" s="1289"/>
      <c r="DP312" s="1289"/>
      <c r="DQ312" s="1289"/>
      <c r="DR312" s="1289"/>
      <c r="DS312" s="1289"/>
      <c r="DT312" s="1289"/>
      <c r="DU312" s="1289"/>
      <c r="DV312" s="1289"/>
      <c r="DW312" s="1289"/>
      <c r="DX312" s="1289"/>
      <c r="DY312" s="1289"/>
      <c r="DZ312" s="1289"/>
      <c r="EA312" s="1289"/>
      <c r="EB312" s="1289"/>
      <c r="EC312" s="1289"/>
      <c r="ED312" s="1289"/>
      <c r="EE312" s="1289"/>
      <c r="EF312" s="1289"/>
      <c r="EG312" s="1289"/>
      <c r="EH312" s="1289"/>
      <c r="EI312" s="1289"/>
      <c r="EJ312" s="1289"/>
      <c r="EK312" s="1289"/>
      <c r="EL312" s="1289"/>
      <c r="EM312" s="1289"/>
      <c r="EN312" s="1289"/>
      <c r="EO312" s="1289"/>
      <c r="EP312" s="1289"/>
      <c r="EQ312" s="1289"/>
      <c r="ER312" s="1289"/>
      <c r="ES312" s="1289"/>
      <c r="ET312" s="1289"/>
      <c r="EU312" s="1289"/>
      <c r="EV312" s="1289"/>
      <c r="EW312" s="1289"/>
      <c r="EX312" s="1289"/>
      <c r="EY312" s="1289"/>
      <c r="EZ312" s="1289"/>
      <c r="FA312" s="1289"/>
      <c r="FB312" s="1289"/>
      <c r="FC312" s="1289"/>
      <c r="FD312" s="1289"/>
      <c r="FE312" s="1289"/>
      <c r="FF312" s="1289"/>
      <c r="FG312" s="1289"/>
      <c r="FH312" s="1289"/>
      <c r="FI312" s="1289"/>
      <c r="FJ312" s="1289"/>
      <c r="FK312" s="1289"/>
      <c r="FL312" s="1289"/>
      <c r="FM312" s="1289"/>
      <c r="FN312" s="1289"/>
      <c r="FO312" s="1289"/>
      <c r="FP312" s="1289"/>
      <c r="FQ312" s="1289"/>
      <c r="FR312" s="1289"/>
      <c r="FS312" s="1289"/>
      <c r="FT312" s="1289"/>
      <c r="FU312" s="1289"/>
      <c r="FV312" s="1289"/>
      <c r="FW312" s="1289"/>
      <c r="FX312" s="1289"/>
      <c r="FY312" s="1289"/>
      <c r="FZ312" s="1289"/>
      <c r="GA312" s="1289"/>
      <c r="GB312" s="1289"/>
      <c r="GC312" s="1289"/>
      <c r="GD312" s="1289"/>
      <c r="GE312" s="1289"/>
      <c r="GF312" s="1289"/>
      <c r="GG312" s="1289"/>
      <c r="GH312" s="1289"/>
      <c r="GI312" s="1289"/>
      <c r="GJ312" s="1289"/>
      <c r="GK312" s="1289"/>
      <c r="GL312" s="1289"/>
      <c r="GM312" s="1289"/>
    </row>
    <row r="313" spans="1:195" ht="45" hidden="1" outlineLevel="1">
      <c r="A313" s="1665" t="s">
        <v>3144</v>
      </c>
      <c r="B313" s="1665" t="s">
        <v>1248</v>
      </c>
      <c r="D313" s="132" t="s">
        <v>76</v>
      </c>
      <c r="E313" s="137" t="s">
        <v>5726</v>
      </c>
      <c r="F313" s="393">
        <f>SUMIFS(INPUT!H:H,INPUT!E:E,BAZE_2024!A313,INPUT!B:B,BAZE_2024!B313)</f>
        <v>1650090</v>
      </c>
      <c r="G313" s="393">
        <f>SUMIFS(INPUT!L:L,INPUT!E:E,BAZE_2024!A313,INPUT!B:B,BAZE_2024!B313)</f>
        <v>1865620</v>
      </c>
      <c r="H313" s="102">
        <f>G313-F313</f>
        <v>215530</v>
      </c>
      <c r="I313" s="1824">
        <f t="shared" si="20"/>
        <v>0.13061711785417765</v>
      </c>
      <c r="J313" s="1221" t="s">
        <v>5727</v>
      </c>
      <c r="K313" s="227"/>
    </row>
    <row r="314" spans="1:195" ht="30" hidden="1" outlineLevel="1">
      <c r="A314" s="1665" t="s">
        <v>3145</v>
      </c>
      <c r="B314" s="1665" t="s">
        <v>1248</v>
      </c>
      <c r="D314" s="132" t="s">
        <v>187</v>
      </c>
      <c r="E314" s="122" t="s">
        <v>948</v>
      </c>
      <c r="F314" s="393">
        <f>SUMIFS(INPUT!H:H,INPUT!E:E,BAZE_2024!A314,INPUT!B:B,BAZE_2024!B314)</f>
        <v>162810</v>
      </c>
      <c r="G314" s="393">
        <f>SUMIFS(INPUT!L:L,INPUT!E:E,BAZE_2024!A314,INPUT!B:B,BAZE_2024!B314)</f>
        <v>162750</v>
      </c>
      <c r="H314" s="102">
        <f>G314-F314</f>
        <v>-60</v>
      </c>
      <c r="I314" s="1824">
        <f t="shared" si="20"/>
        <v>-3.6852773171181132E-4</v>
      </c>
      <c r="J314" s="436"/>
      <c r="K314" s="227"/>
    </row>
    <row r="315" spans="1:195" ht="15" collapsed="1">
      <c r="D315" s="138" t="s">
        <v>1708</v>
      </c>
      <c r="E315" s="130" t="s">
        <v>870</v>
      </c>
      <c r="F315" s="383">
        <f>F316+F317+F319+F318</f>
        <v>840097.32233579992</v>
      </c>
      <c r="G315" s="383">
        <f>G316+G317+G319+G318</f>
        <v>1006133.6654766668</v>
      </c>
      <c r="H315" s="116">
        <f t="shared" ref="H315:H363" si="21">G315-F315</f>
        <v>166036.34314086684</v>
      </c>
      <c r="I315" s="1826">
        <f t="shared" ref="I315:I369" si="22">IFERROR(H315/F315,"-")</f>
        <v>0.19763941477544614</v>
      </c>
      <c r="J315" s="222"/>
      <c r="K315" s="227" t="s">
        <v>5749</v>
      </c>
    </row>
    <row r="316" spans="1:195" s="50" customFormat="1" ht="30" hidden="1" outlineLevel="1">
      <c r="A316" s="1665" t="s">
        <v>2486</v>
      </c>
      <c r="B316" s="1665" t="s">
        <v>663</v>
      </c>
      <c r="C316" s="1858"/>
      <c r="D316" s="160"/>
      <c r="E316" s="217" t="s">
        <v>663</v>
      </c>
      <c r="F316" s="389">
        <f>SUMIFS(INPUT!H:H,INPUT!E:E,BAZE_2024!A316,INPUT!B:B,BAZE_2024!B316)</f>
        <v>342418.52233579999</v>
      </c>
      <c r="G316" s="389">
        <f>SUMIFS(INPUT!L:L,INPUT!E:E,BAZE_2024!A316,INPUT!B:B,BAZE_2024!B316)</f>
        <v>467379.35547666665</v>
      </c>
      <c r="H316" s="102">
        <f t="shared" si="21"/>
        <v>124960.83314086666</v>
      </c>
      <c r="I316" s="1824">
        <f t="shared" si="22"/>
        <v>0.36493596283416341</v>
      </c>
      <c r="J316" s="1189" t="s">
        <v>5748</v>
      </c>
      <c r="K316" s="227"/>
      <c r="L316" s="227"/>
      <c r="M316" s="102"/>
      <c r="N316" s="1824" t="str">
        <f>IFERROR(M316/K316,"-")</f>
        <v>-</v>
      </c>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50" customFormat="1" ht="75" hidden="1" outlineLevel="1">
      <c r="A317" s="1665" t="s">
        <v>2486</v>
      </c>
      <c r="B317" s="1665" t="s">
        <v>1248</v>
      </c>
      <c r="C317" s="1858"/>
      <c r="D317" s="216"/>
      <c r="E317" s="161" t="s">
        <v>579</v>
      </c>
      <c r="F317" s="389">
        <f>SUMIFS(INPUT!H:H,INPUT!E:E,BAZE_2024!A317,INPUT!B:B,BAZE_2024!B317)</f>
        <v>496828.8</v>
      </c>
      <c r="G317" s="389">
        <f>SUMIFS(INPUT!L:L,INPUT!E:E,BAZE_2024!A317,INPUT!B:B,BAZE_2024!B317)</f>
        <v>537754.31000000006</v>
      </c>
      <c r="H317" s="146">
        <f t="shared" si="21"/>
        <v>40925.510000000068</v>
      </c>
      <c r="I317" s="2797">
        <f t="shared" si="22"/>
        <v>8.2373465467380447E-2</v>
      </c>
      <c r="J317" s="1181" t="s">
        <v>6222</v>
      </c>
      <c r="K317" s="156">
        <v>-0.02</v>
      </c>
      <c r="L317" s="1222">
        <f>G317*K317</f>
        <v>-10755.086200000002</v>
      </c>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2477" customFormat="1" ht="15" hidden="1" outlineLevel="1">
      <c r="A318" s="2791" t="s">
        <v>2486</v>
      </c>
      <c r="B318" s="2791" t="s">
        <v>2649</v>
      </c>
      <c r="C318" s="1858"/>
      <c r="D318" s="2792"/>
      <c r="E318" s="2793" t="s">
        <v>2648</v>
      </c>
      <c r="F318" s="2572">
        <f>SUMIFS(INPUT!H:H,INPUT!E:E,BAZE_2024!A318,INPUT!B:B,BAZE_2024!B318)</f>
        <v>0</v>
      </c>
      <c r="G318" s="2572">
        <f>SUMIFS(INPUT!L:L,INPUT!E:E,BAZE_2024!A318,INPUT!B:B,BAZE_2024!B318)</f>
        <v>0</v>
      </c>
      <c r="H318" s="2796">
        <f>G318-F318</f>
        <v>0</v>
      </c>
      <c r="I318" s="2797" t="str">
        <f>IFERROR(H318/F318,"-")</f>
        <v>-</v>
      </c>
      <c r="J318" s="2794"/>
      <c r="K318" s="2121"/>
      <c r="L318" s="224"/>
      <c r="M318" s="79"/>
      <c r="N318" s="79"/>
      <c r="O318" s="79"/>
      <c r="P318" s="79"/>
      <c r="Q318" s="79"/>
      <c r="R318" s="79"/>
      <c r="S318" s="79"/>
      <c r="T318" s="79"/>
      <c r="U318" s="79"/>
      <c r="V318" s="79"/>
      <c r="W318" s="79"/>
      <c r="X318" s="79"/>
      <c r="Y318" s="79"/>
      <c r="Z318" s="79"/>
      <c r="AA318" s="79"/>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c r="CJ318" s="79"/>
      <c r="CK318" s="79"/>
      <c r="CL318" s="79"/>
      <c r="CM318" s="79"/>
      <c r="CN318" s="79"/>
      <c r="CO318" s="79"/>
      <c r="CP318" s="79"/>
      <c r="CQ318" s="79"/>
      <c r="CR318" s="79"/>
      <c r="CS318" s="79"/>
      <c r="CT318" s="79"/>
      <c r="CU318" s="79"/>
      <c r="CV318" s="79"/>
      <c r="CW318" s="79"/>
      <c r="CX318" s="79"/>
      <c r="CY318" s="79"/>
      <c r="CZ318" s="79"/>
      <c r="DA318" s="79"/>
      <c r="DB318" s="79"/>
      <c r="DC318" s="79"/>
      <c r="DD318" s="79"/>
      <c r="DE318" s="79"/>
      <c r="DF318" s="79"/>
      <c r="DG318" s="79"/>
      <c r="DH318" s="79"/>
      <c r="DI318" s="79"/>
      <c r="DJ318" s="79"/>
      <c r="DK318" s="79"/>
      <c r="DL318" s="79"/>
      <c r="DM318" s="79"/>
      <c r="DN318" s="79"/>
      <c r="DO318" s="79"/>
      <c r="DP318" s="79"/>
      <c r="DQ318" s="79"/>
      <c r="DR318" s="79"/>
      <c r="DS318" s="79"/>
      <c r="DT318" s="79"/>
      <c r="DU318" s="79"/>
      <c r="DV318" s="79"/>
      <c r="DW318" s="79"/>
      <c r="DX318" s="79"/>
      <c r="DY318" s="79"/>
      <c r="DZ318" s="79"/>
      <c r="EA318" s="79"/>
      <c r="EB318" s="79"/>
      <c r="EC318" s="79"/>
      <c r="ED318" s="79"/>
      <c r="EE318" s="79"/>
      <c r="EF318" s="79"/>
      <c r="EG318" s="79"/>
      <c r="EH318" s="79"/>
      <c r="EI318" s="79"/>
      <c r="EJ318" s="79"/>
      <c r="EK318" s="79"/>
      <c r="EL318" s="79"/>
      <c r="EM318" s="79"/>
      <c r="EN318" s="79"/>
      <c r="EO318" s="79"/>
      <c r="EP318" s="79"/>
      <c r="EQ318" s="79"/>
      <c r="ER318" s="79"/>
      <c r="ES318" s="79"/>
      <c r="ET318" s="79"/>
      <c r="EU318" s="79"/>
      <c r="EV318" s="79"/>
      <c r="EW318" s="79"/>
      <c r="EX318" s="79"/>
      <c r="EY318" s="79"/>
      <c r="EZ318" s="79"/>
      <c r="FA318" s="79"/>
      <c r="FB318" s="79"/>
      <c r="FC318" s="79"/>
      <c r="FD318" s="79"/>
      <c r="FE318" s="79"/>
      <c r="FF318" s="79"/>
      <c r="FG318" s="79"/>
      <c r="FH318" s="79"/>
      <c r="FI318" s="79"/>
      <c r="FJ318" s="79"/>
      <c r="FK318" s="79"/>
      <c r="FL318" s="79"/>
      <c r="FM318" s="79"/>
      <c r="FN318" s="79"/>
      <c r="FO318" s="79"/>
      <c r="FP318" s="79"/>
      <c r="FQ318" s="79"/>
      <c r="FR318" s="79"/>
      <c r="FS318" s="79"/>
      <c r="FT318" s="79"/>
      <c r="FU318" s="79"/>
      <c r="FV318" s="79"/>
      <c r="FW318" s="79"/>
      <c r="FX318" s="79"/>
      <c r="FY318" s="79"/>
      <c r="FZ318" s="79"/>
      <c r="GA318" s="79"/>
      <c r="GB318" s="79"/>
      <c r="GC318" s="79"/>
      <c r="GD318" s="79"/>
      <c r="GE318" s="79"/>
      <c r="GF318" s="79"/>
      <c r="GG318" s="79"/>
      <c r="GH318" s="79"/>
      <c r="GI318" s="79"/>
      <c r="GJ318" s="79"/>
      <c r="GK318" s="79"/>
      <c r="GL318" s="79"/>
      <c r="GM318" s="79"/>
    </row>
    <row r="319" spans="1:195" s="50" customFormat="1" ht="15" hidden="1" outlineLevel="1">
      <c r="A319" s="1665" t="s">
        <v>2486</v>
      </c>
      <c r="B319" s="1665" t="s">
        <v>1250</v>
      </c>
      <c r="C319" s="1858"/>
      <c r="D319" s="160"/>
      <c r="E319" s="161" t="s">
        <v>578</v>
      </c>
      <c r="F319" s="389">
        <f>SUMIFS(INPUT!H:H,INPUT!E:E,BAZE_2024!A319,INPUT!B:B,BAZE_2024!B319)</f>
        <v>850</v>
      </c>
      <c r="G319" s="389">
        <f>SUMIFS(INPUT!L:L,INPUT!E:E,BAZE_2024!A319,INPUT!B:B,BAZE_2024!B319)</f>
        <v>1000</v>
      </c>
      <c r="H319" s="146">
        <f t="shared" si="21"/>
        <v>150</v>
      </c>
      <c r="I319" s="1836">
        <f t="shared" si="22"/>
        <v>0.17647058823529413</v>
      </c>
      <c r="J319" s="1189"/>
      <c r="K319" s="227"/>
      <c r="L319" s="77"/>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299" customFormat="1" ht="15" hidden="1" outlineLevel="1">
      <c r="A320" s="2127" t="s">
        <v>2486</v>
      </c>
      <c r="B320" s="2127" t="s">
        <v>512</v>
      </c>
      <c r="C320" s="2128"/>
      <c r="D320" s="1297"/>
      <c r="E320" s="1294" t="s">
        <v>431</v>
      </c>
      <c r="F320" s="380">
        <f>SUMIFS(INPUT!H:H,INPUT!E:E,BAZE_2024!A320,INPUT!B:B,BAZE_2024!B320)</f>
        <v>0</v>
      </c>
      <c r="G320" s="380">
        <f>SUMIFS(INPUT!L:L,INPUT!E:E,BAZE_2024!A320,INPUT!B:B,BAZE_2024!B320)</f>
        <v>0</v>
      </c>
      <c r="H320" s="1285">
        <f t="shared" si="21"/>
        <v>0</v>
      </c>
      <c r="I320" s="1834" t="str">
        <f t="shared" si="22"/>
        <v>-</v>
      </c>
      <c r="J320" s="2168"/>
      <c r="K320" s="2129"/>
      <c r="L320" s="2014"/>
      <c r="M320" s="1289"/>
      <c r="N320" s="1289"/>
      <c r="O320" s="1289"/>
      <c r="P320" s="1289"/>
      <c r="Q320" s="1289"/>
      <c r="R320" s="1289"/>
      <c r="S320" s="1289"/>
      <c r="T320" s="1289"/>
      <c r="U320" s="1289"/>
      <c r="V320" s="1289"/>
      <c r="W320" s="1289"/>
      <c r="X320" s="1289"/>
      <c r="Y320" s="1289"/>
      <c r="Z320" s="1289"/>
      <c r="AA320" s="1289"/>
      <c r="AB320" s="1289"/>
      <c r="AC320" s="1289"/>
      <c r="AD320" s="1289"/>
      <c r="AE320" s="1289"/>
      <c r="AF320" s="1289"/>
      <c r="AG320" s="1289"/>
      <c r="AH320" s="1289"/>
      <c r="AI320" s="1289"/>
      <c r="AJ320" s="1289"/>
      <c r="AK320" s="1289"/>
      <c r="AL320" s="1289"/>
      <c r="AM320" s="1289"/>
      <c r="AN320" s="1289"/>
      <c r="AO320" s="1289"/>
      <c r="AP320" s="1289"/>
      <c r="AQ320" s="1289"/>
      <c r="AR320" s="1289"/>
      <c r="AS320" s="1289"/>
      <c r="AT320" s="1289"/>
      <c r="AU320" s="1289"/>
      <c r="AV320" s="1289"/>
      <c r="AW320" s="1289"/>
      <c r="AX320" s="1289"/>
      <c r="AY320" s="1289"/>
      <c r="AZ320" s="1289"/>
      <c r="BA320" s="1289"/>
      <c r="BB320" s="1289"/>
      <c r="BC320" s="1289"/>
      <c r="BD320" s="1289"/>
      <c r="BE320" s="1289"/>
      <c r="BF320" s="1289"/>
      <c r="BG320" s="1289"/>
      <c r="BH320" s="1289"/>
      <c r="BI320" s="1289"/>
      <c r="BJ320" s="1289"/>
      <c r="BK320" s="1289"/>
      <c r="BL320" s="1289"/>
      <c r="BM320" s="1289"/>
      <c r="BN320" s="1289"/>
      <c r="BO320" s="1289"/>
      <c r="BP320" s="1289"/>
      <c r="BQ320" s="1289"/>
      <c r="BR320" s="1289"/>
      <c r="BS320" s="1289"/>
      <c r="BT320" s="1289"/>
      <c r="BU320" s="1289"/>
      <c r="BV320" s="1289"/>
      <c r="BW320" s="1289"/>
      <c r="BX320" s="1289"/>
      <c r="BY320" s="1289"/>
      <c r="BZ320" s="1289"/>
      <c r="CA320" s="1289"/>
      <c r="CB320" s="1289"/>
      <c r="CC320" s="1289"/>
      <c r="CD320" s="1289"/>
      <c r="CE320" s="1289"/>
      <c r="CF320" s="1289"/>
      <c r="CG320" s="1289"/>
      <c r="CH320" s="1289"/>
      <c r="CI320" s="1289"/>
      <c r="CJ320" s="1289"/>
      <c r="CK320" s="1289"/>
      <c r="CL320" s="1289"/>
      <c r="CM320" s="1289"/>
      <c r="CN320" s="1289"/>
      <c r="CO320" s="1289"/>
      <c r="CP320" s="1289"/>
      <c r="CQ320" s="1289"/>
      <c r="CR320" s="1289"/>
      <c r="CS320" s="1289"/>
      <c r="CT320" s="1289"/>
      <c r="CU320" s="1289"/>
      <c r="CV320" s="1289"/>
      <c r="CW320" s="1289"/>
      <c r="CX320" s="1289"/>
      <c r="CY320" s="1289"/>
      <c r="CZ320" s="1289"/>
      <c r="DA320" s="1289"/>
      <c r="DB320" s="1289"/>
      <c r="DC320" s="1289"/>
      <c r="DD320" s="1289"/>
      <c r="DE320" s="1289"/>
      <c r="DF320" s="1289"/>
      <c r="DG320" s="1289"/>
      <c r="DH320" s="1289"/>
      <c r="DI320" s="1289"/>
      <c r="DJ320" s="1289"/>
      <c r="DK320" s="1289"/>
      <c r="DL320" s="1289"/>
      <c r="DM320" s="1289"/>
      <c r="DN320" s="1289"/>
      <c r="DO320" s="1289"/>
      <c r="DP320" s="1289"/>
      <c r="DQ320" s="1289"/>
      <c r="DR320" s="1289"/>
      <c r="DS320" s="1289"/>
      <c r="DT320" s="1289"/>
      <c r="DU320" s="1289"/>
      <c r="DV320" s="1289"/>
      <c r="DW320" s="1289"/>
      <c r="DX320" s="1289"/>
      <c r="DY320" s="1289"/>
      <c r="DZ320" s="1289"/>
      <c r="EA320" s="1289"/>
      <c r="EB320" s="1289"/>
      <c r="EC320" s="1289"/>
      <c r="ED320" s="1289"/>
      <c r="EE320" s="1289"/>
      <c r="EF320" s="1289"/>
      <c r="EG320" s="1289"/>
      <c r="EH320" s="1289"/>
      <c r="EI320" s="1289"/>
      <c r="EJ320" s="1289"/>
      <c r="EK320" s="1289"/>
      <c r="EL320" s="1289"/>
      <c r="EM320" s="1289"/>
      <c r="EN320" s="1289"/>
      <c r="EO320" s="1289"/>
      <c r="EP320" s="1289"/>
      <c r="EQ320" s="1289"/>
      <c r="ER320" s="1289"/>
      <c r="ES320" s="1289"/>
      <c r="ET320" s="1289"/>
      <c r="EU320" s="1289"/>
      <c r="EV320" s="1289"/>
      <c r="EW320" s="1289"/>
      <c r="EX320" s="1289"/>
      <c r="EY320" s="1289"/>
      <c r="EZ320" s="1289"/>
      <c r="FA320" s="1289"/>
      <c r="FB320" s="1289"/>
      <c r="FC320" s="1289"/>
      <c r="FD320" s="1289"/>
      <c r="FE320" s="1289"/>
      <c r="FF320" s="1289"/>
      <c r="FG320" s="1289"/>
      <c r="FH320" s="1289"/>
      <c r="FI320" s="1289"/>
      <c r="FJ320" s="1289"/>
      <c r="FK320" s="1289"/>
      <c r="FL320" s="1289"/>
      <c r="FM320" s="1289"/>
      <c r="FN320" s="1289"/>
      <c r="FO320" s="1289"/>
      <c r="FP320" s="1289"/>
      <c r="FQ320" s="1289"/>
      <c r="FR320" s="1289"/>
      <c r="FS320" s="1289"/>
      <c r="FT320" s="1289"/>
      <c r="FU320" s="1289"/>
      <c r="FV320" s="1289"/>
      <c r="FW320" s="1289"/>
      <c r="FX320" s="1289"/>
      <c r="FY320" s="1289"/>
      <c r="FZ320" s="1289"/>
      <c r="GA320" s="1289"/>
      <c r="GB320" s="1289"/>
      <c r="GC320" s="1289"/>
      <c r="GD320" s="1289"/>
      <c r="GE320" s="1289"/>
      <c r="GF320" s="1289"/>
      <c r="GG320" s="1289"/>
      <c r="GH320" s="1289"/>
      <c r="GI320" s="1289"/>
      <c r="GJ320" s="1289"/>
      <c r="GK320" s="1289"/>
      <c r="GL320" s="1289"/>
      <c r="GM320" s="1289"/>
    </row>
    <row r="321" spans="1:195" s="1299" customFormat="1" ht="15" hidden="1" outlineLevel="1">
      <c r="A321" s="2127" t="s">
        <v>2486</v>
      </c>
      <c r="B321" s="2127" t="s">
        <v>1249</v>
      </c>
      <c r="C321" s="2128"/>
      <c r="D321" s="1297"/>
      <c r="E321" s="1294" t="s">
        <v>1249</v>
      </c>
      <c r="F321" s="380">
        <f>SUMIFS(INPUT!H:H,INPUT!E:E,BAZE_2024!A321,INPUT!B:B,BAZE_2024!B321)</f>
        <v>11070</v>
      </c>
      <c r="G321" s="380">
        <f>SUMIFS(INPUT!L:L,INPUT!E:E,BAZE_2024!A321,INPUT!B:B,BAZE_2024!B321)</f>
        <v>31600</v>
      </c>
      <c r="H321" s="1285">
        <f>G321-F321</f>
        <v>20530</v>
      </c>
      <c r="I321" s="1834">
        <f t="shared" si="22"/>
        <v>1.8545618789521228</v>
      </c>
      <c r="J321" s="2168"/>
      <c r="K321" s="2129"/>
      <c r="L321" s="2014"/>
      <c r="M321" s="1289"/>
      <c r="N321" s="1289"/>
      <c r="O321" s="1289"/>
      <c r="P321" s="1289"/>
      <c r="Q321" s="1289"/>
      <c r="R321" s="1289"/>
      <c r="S321" s="1289"/>
      <c r="T321" s="1289"/>
      <c r="U321" s="1289"/>
      <c r="V321" s="1289"/>
      <c r="W321" s="1289"/>
      <c r="X321" s="1289"/>
      <c r="Y321" s="1289"/>
      <c r="Z321" s="1289"/>
      <c r="AA321" s="1289"/>
      <c r="AB321" s="1289"/>
      <c r="AC321" s="1289"/>
      <c r="AD321" s="1289"/>
      <c r="AE321" s="1289"/>
      <c r="AF321" s="1289"/>
      <c r="AG321" s="1289"/>
      <c r="AH321" s="1289"/>
      <c r="AI321" s="1289"/>
      <c r="AJ321" s="1289"/>
      <c r="AK321" s="1289"/>
      <c r="AL321" s="1289"/>
      <c r="AM321" s="1289"/>
      <c r="AN321" s="1289"/>
      <c r="AO321" s="1289"/>
      <c r="AP321" s="1289"/>
      <c r="AQ321" s="1289"/>
      <c r="AR321" s="1289"/>
      <c r="AS321" s="1289"/>
      <c r="AT321" s="1289"/>
      <c r="AU321" s="1289"/>
      <c r="AV321" s="1289"/>
      <c r="AW321" s="1289"/>
      <c r="AX321" s="1289"/>
      <c r="AY321" s="1289"/>
      <c r="AZ321" s="1289"/>
      <c r="BA321" s="1289"/>
      <c r="BB321" s="1289"/>
      <c r="BC321" s="1289"/>
      <c r="BD321" s="1289"/>
      <c r="BE321" s="1289"/>
      <c r="BF321" s="1289"/>
      <c r="BG321" s="1289"/>
      <c r="BH321" s="1289"/>
      <c r="BI321" s="1289"/>
      <c r="BJ321" s="1289"/>
      <c r="BK321" s="1289"/>
      <c r="BL321" s="1289"/>
      <c r="BM321" s="1289"/>
      <c r="BN321" s="1289"/>
      <c r="BO321" s="1289"/>
      <c r="BP321" s="1289"/>
      <c r="BQ321" s="1289"/>
      <c r="BR321" s="1289"/>
      <c r="BS321" s="1289"/>
      <c r="BT321" s="1289"/>
      <c r="BU321" s="1289"/>
      <c r="BV321" s="1289"/>
      <c r="BW321" s="1289"/>
      <c r="BX321" s="1289"/>
      <c r="BY321" s="1289"/>
      <c r="BZ321" s="1289"/>
      <c r="CA321" s="1289"/>
      <c r="CB321" s="1289"/>
      <c r="CC321" s="1289"/>
      <c r="CD321" s="1289"/>
      <c r="CE321" s="1289"/>
      <c r="CF321" s="1289"/>
      <c r="CG321" s="1289"/>
      <c r="CH321" s="1289"/>
      <c r="CI321" s="1289"/>
      <c r="CJ321" s="1289"/>
      <c r="CK321" s="1289"/>
      <c r="CL321" s="1289"/>
      <c r="CM321" s="1289"/>
      <c r="CN321" s="1289"/>
      <c r="CO321" s="1289"/>
      <c r="CP321" s="1289"/>
      <c r="CQ321" s="1289"/>
      <c r="CR321" s="1289"/>
      <c r="CS321" s="1289"/>
      <c r="CT321" s="1289"/>
      <c r="CU321" s="1289"/>
      <c r="CV321" s="1289"/>
      <c r="CW321" s="1289"/>
      <c r="CX321" s="1289"/>
      <c r="CY321" s="1289"/>
      <c r="CZ321" s="1289"/>
      <c r="DA321" s="1289"/>
      <c r="DB321" s="1289"/>
      <c r="DC321" s="1289"/>
      <c r="DD321" s="1289"/>
      <c r="DE321" s="1289"/>
      <c r="DF321" s="1289"/>
      <c r="DG321" s="1289"/>
      <c r="DH321" s="1289"/>
      <c r="DI321" s="1289"/>
      <c r="DJ321" s="1289"/>
      <c r="DK321" s="1289"/>
      <c r="DL321" s="1289"/>
      <c r="DM321" s="1289"/>
      <c r="DN321" s="1289"/>
      <c r="DO321" s="1289"/>
      <c r="DP321" s="1289"/>
      <c r="DQ321" s="1289"/>
      <c r="DR321" s="1289"/>
      <c r="DS321" s="1289"/>
      <c r="DT321" s="1289"/>
      <c r="DU321" s="1289"/>
      <c r="DV321" s="1289"/>
      <c r="DW321" s="1289"/>
      <c r="DX321" s="1289"/>
      <c r="DY321" s="1289"/>
      <c r="DZ321" s="1289"/>
      <c r="EA321" s="1289"/>
      <c r="EB321" s="1289"/>
      <c r="EC321" s="1289"/>
      <c r="ED321" s="1289"/>
      <c r="EE321" s="1289"/>
      <c r="EF321" s="1289"/>
      <c r="EG321" s="1289"/>
      <c r="EH321" s="1289"/>
      <c r="EI321" s="1289"/>
      <c r="EJ321" s="1289"/>
      <c r="EK321" s="1289"/>
      <c r="EL321" s="1289"/>
      <c r="EM321" s="1289"/>
      <c r="EN321" s="1289"/>
      <c r="EO321" s="1289"/>
      <c r="EP321" s="1289"/>
      <c r="EQ321" s="1289"/>
      <c r="ER321" s="1289"/>
      <c r="ES321" s="1289"/>
      <c r="ET321" s="1289"/>
      <c r="EU321" s="1289"/>
      <c r="EV321" s="1289"/>
      <c r="EW321" s="1289"/>
      <c r="EX321" s="1289"/>
      <c r="EY321" s="1289"/>
      <c r="EZ321" s="1289"/>
      <c r="FA321" s="1289"/>
      <c r="FB321" s="1289"/>
      <c r="FC321" s="1289"/>
      <c r="FD321" s="1289"/>
      <c r="FE321" s="1289"/>
      <c r="FF321" s="1289"/>
      <c r="FG321" s="1289"/>
      <c r="FH321" s="1289"/>
      <c r="FI321" s="1289"/>
      <c r="FJ321" s="1289"/>
      <c r="FK321" s="1289"/>
      <c r="FL321" s="1289"/>
      <c r="FM321" s="1289"/>
      <c r="FN321" s="1289"/>
      <c r="FO321" s="1289"/>
      <c r="FP321" s="1289"/>
      <c r="FQ321" s="1289"/>
      <c r="FR321" s="1289"/>
      <c r="FS321" s="1289"/>
      <c r="FT321" s="1289"/>
      <c r="FU321" s="1289"/>
      <c r="FV321" s="1289"/>
      <c r="FW321" s="1289"/>
      <c r="FX321" s="1289"/>
      <c r="FY321" s="1289"/>
      <c r="FZ321" s="1289"/>
      <c r="GA321" s="1289"/>
      <c r="GB321" s="1289"/>
      <c r="GC321" s="1289"/>
      <c r="GD321" s="1289"/>
      <c r="GE321" s="1289"/>
      <c r="GF321" s="1289"/>
      <c r="GG321" s="1289"/>
      <c r="GH321" s="1289"/>
      <c r="GI321" s="1289"/>
      <c r="GJ321" s="1289"/>
      <c r="GK321" s="1289"/>
      <c r="GL321" s="1289"/>
      <c r="GM321" s="1289"/>
    </row>
    <row r="322" spans="1:195" ht="15" collapsed="1">
      <c r="D322" s="138" t="s">
        <v>1709</v>
      </c>
      <c r="E322" s="130" t="s">
        <v>1596</v>
      </c>
      <c r="F322" s="383">
        <f>F323+F324+F326+F325</f>
        <v>914055.54502642993</v>
      </c>
      <c r="G322" s="383">
        <f>G323+G324+G326+G325</f>
        <v>880759.47414999991</v>
      </c>
      <c r="H322" s="383">
        <f t="shared" si="21"/>
        <v>-33296.070876430022</v>
      </c>
      <c r="I322" s="1826">
        <f t="shared" si="22"/>
        <v>-3.6426747868443014E-2</v>
      </c>
      <c r="J322" s="222"/>
      <c r="K322" s="227"/>
    </row>
    <row r="323" spans="1:195" s="50" customFormat="1" ht="15" hidden="1" outlineLevel="1">
      <c r="A323" s="1665" t="s">
        <v>1914</v>
      </c>
      <c r="B323" s="1665" t="s">
        <v>663</v>
      </c>
      <c r="C323" s="1858"/>
      <c r="D323" s="216"/>
      <c r="E323" s="161" t="s">
        <v>663</v>
      </c>
      <c r="F323" s="389">
        <f>SUMIFS(INPUT!H:H,INPUT!E:E,BAZE_2024!A323,INPUT!B:B,BAZE_2024!B323)</f>
        <v>342319.68502643</v>
      </c>
      <c r="G323" s="389">
        <f>SUMIFS(INPUT!L:L,INPUT!E:E,BAZE_2024!A323,INPUT!B:B,BAZE_2024!B323)</f>
        <v>283156.27414999995</v>
      </c>
      <c r="H323" s="1150">
        <f t="shared" si="21"/>
        <v>-59163.410876430047</v>
      </c>
      <c r="I323" s="1851">
        <f t="shared" si="22"/>
        <v>-0.17283087553630497</v>
      </c>
      <c r="J323" s="221"/>
      <c r="K323" s="227"/>
      <c r="L323" s="77"/>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row>
    <row r="324" spans="1:195" s="50" customFormat="1" ht="60" hidden="1" outlineLevel="1">
      <c r="A324" s="1665" t="s">
        <v>1914</v>
      </c>
      <c r="B324" s="1665" t="s">
        <v>1248</v>
      </c>
      <c r="C324" s="1858"/>
      <c r="D324" s="216"/>
      <c r="E324" s="161" t="s">
        <v>579</v>
      </c>
      <c r="F324" s="389">
        <f>SUMIFS(INPUT!H:H,INPUT!E:E,BAZE_2024!A324,INPUT!B:B,BAZE_2024!B324)</f>
        <v>310593.86</v>
      </c>
      <c r="G324" s="389">
        <f>SUMIFS(INPUT!L:L,INPUT!E:E,BAZE_2024!A324,INPUT!B:B,BAZE_2024!B324)</f>
        <v>293556.2</v>
      </c>
      <c r="H324" s="1150">
        <f t="shared" si="21"/>
        <v>-17037.659999999974</v>
      </c>
      <c r="I324" s="1851">
        <f t="shared" si="22"/>
        <v>-5.4855108855017209E-2</v>
      </c>
      <c r="J324" s="1190" t="s">
        <v>6088</v>
      </c>
      <c r="K324" s="156">
        <v>-0.02</v>
      </c>
      <c r="L324" s="1222">
        <f>G324*K324</f>
        <v>-5871.1240000000007</v>
      </c>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row>
    <row r="325" spans="1:195" s="50" customFormat="1" ht="60" hidden="1" outlineLevel="1">
      <c r="A325" s="1665" t="s">
        <v>1914</v>
      </c>
      <c r="B325" s="1665" t="s">
        <v>2649</v>
      </c>
      <c r="C325" s="1858"/>
      <c r="D325" s="1274"/>
      <c r="E325" s="4350" t="s">
        <v>2649</v>
      </c>
      <c r="F325" s="393">
        <f>SUMIFS(INPUT!H:H,INPUT!E:E,BAZE_2024!A325,INPUT!B:B,BAZE_2024!B325)</f>
        <v>244781</v>
      </c>
      <c r="G325" s="393">
        <f>SUMIFS(INPUT!L:L,INPUT!E:E,BAZE_2024!A325,INPUT!B:B,BAZE_2024!B325)</f>
        <v>283797</v>
      </c>
      <c r="H325" s="1150">
        <f>G325-F325</f>
        <v>39016</v>
      </c>
      <c r="I325" s="4351">
        <f>IFERROR(H325/F325,"-")</f>
        <v>0.15939145603621196</v>
      </c>
      <c r="J325" s="4352" t="s">
        <v>6018</v>
      </c>
      <c r="K325" s="156">
        <v>-0.02</v>
      </c>
      <c r="L325" s="1222">
        <f>G325*K325</f>
        <v>-5675.9400000000005</v>
      </c>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row>
    <row r="326" spans="1:195" s="218" customFormat="1" ht="15" hidden="1" outlineLevel="1">
      <c r="A326" s="1665" t="s">
        <v>1914</v>
      </c>
      <c r="B326" s="1665" t="s">
        <v>1250</v>
      </c>
      <c r="C326" s="1858"/>
      <c r="D326" s="163"/>
      <c r="E326" s="164" t="s">
        <v>578</v>
      </c>
      <c r="F326" s="389">
        <f>SUMIFS(INPUT!H:H,INPUT!E:E,BAZE_2024!A326,INPUT!B:B,BAZE_2024!B326)</f>
        <v>16361</v>
      </c>
      <c r="G326" s="389">
        <f>SUMIFS(INPUT!L:L,INPUT!E:E,BAZE_2024!A326,INPUT!B:B,BAZE_2024!B326)</f>
        <v>20250</v>
      </c>
      <c r="H326" s="1150">
        <f t="shared" si="21"/>
        <v>3889</v>
      </c>
      <c r="I326" s="1851">
        <f t="shared" si="22"/>
        <v>0.23769940712670376</v>
      </c>
      <c r="J326" s="405"/>
      <c r="K326" s="227"/>
      <c r="L326" s="2012"/>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c r="AJ326" s="226"/>
      <c r="AK326" s="226"/>
      <c r="AL326" s="226"/>
      <c r="AM326" s="226"/>
      <c r="AN326" s="226"/>
      <c r="AO326" s="226"/>
      <c r="AP326" s="226"/>
      <c r="AQ326" s="226"/>
      <c r="AR326" s="226"/>
      <c r="AS326" s="226"/>
      <c r="AT326" s="226"/>
      <c r="AU326" s="226"/>
      <c r="AV326" s="226"/>
      <c r="AW326" s="226"/>
      <c r="AX326" s="226"/>
      <c r="AY326" s="226"/>
      <c r="AZ326" s="226"/>
      <c r="BA326" s="226"/>
      <c r="BB326" s="226"/>
      <c r="BC326" s="226"/>
      <c r="BD326" s="226"/>
      <c r="BE326" s="226"/>
      <c r="BF326" s="226"/>
      <c r="BG326" s="226"/>
      <c r="BH326" s="226"/>
      <c r="BI326" s="226"/>
      <c r="BJ326" s="226"/>
      <c r="BK326" s="226"/>
      <c r="BL326" s="226"/>
      <c r="BM326" s="226"/>
      <c r="BN326" s="226"/>
      <c r="BO326" s="226"/>
      <c r="BP326" s="226"/>
      <c r="BQ326" s="226"/>
      <c r="BR326" s="226"/>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c r="CN326" s="226"/>
      <c r="CO326" s="226"/>
      <c r="CP326" s="226"/>
      <c r="CQ326" s="226"/>
      <c r="CR326" s="226"/>
      <c r="CS326" s="226"/>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226"/>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row>
    <row r="327" spans="1:195" s="1299" customFormat="1" ht="15" hidden="1" outlineLevel="1">
      <c r="A327" s="2127" t="s">
        <v>1915</v>
      </c>
      <c r="B327" s="2127" t="s">
        <v>512</v>
      </c>
      <c r="C327" s="2128"/>
      <c r="D327" s="1297"/>
      <c r="E327" s="1294" t="s">
        <v>431</v>
      </c>
      <c r="F327" s="380">
        <f>SUMIFS(INPUT!H:H,INPUT!E:E,BAZE_2024!A327,INPUT!B:B,BAZE_2024!B327)</f>
        <v>1011688</v>
      </c>
      <c r="G327" s="380">
        <f>SUMIFS(INPUT!L:L,INPUT!E:E,BAZE_2024!A327,INPUT!B:B,BAZE_2024!B327)</f>
        <v>1004347.8</v>
      </c>
      <c r="H327" s="1287">
        <f t="shared" si="21"/>
        <v>-7340.1999999999534</v>
      </c>
      <c r="I327" s="1849">
        <f t="shared" si="22"/>
        <v>-7.2553988976838246E-3</v>
      </c>
      <c r="J327" s="2168"/>
      <c r="K327" s="2129"/>
      <c r="L327" s="2014"/>
      <c r="M327" s="1289"/>
      <c r="N327" s="1289"/>
      <c r="O327" s="1289"/>
      <c r="P327" s="1289"/>
      <c r="Q327" s="1289"/>
      <c r="R327" s="1289"/>
      <c r="S327" s="1289"/>
      <c r="T327" s="1289"/>
      <c r="U327" s="1289"/>
      <c r="V327" s="1289"/>
      <c r="W327" s="1289"/>
      <c r="X327" s="1289"/>
      <c r="Y327" s="1289"/>
      <c r="Z327" s="1289"/>
      <c r="AA327" s="1289"/>
      <c r="AB327" s="1289"/>
      <c r="AC327" s="1289"/>
      <c r="AD327" s="1289"/>
      <c r="AE327" s="1289"/>
      <c r="AF327" s="1289"/>
      <c r="AG327" s="1289"/>
      <c r="AH327" s="1289"/>
      <c r="AI327" s="1289"/>
      <c r="AJ327" s="1289"/>
      <c r="AK327" s="1289"/>
      <c r="AL327" s="1289"/>
      <c r="AM327" s="1289"/>
      <c r="AN327" s="1289"/>
      <c r="AO327" s="1289"/>
      <c r="AP327" s="1289"/>
      <c r="AQ327" s="1289"/>
      <c r="AR327" s="1289"/>
      <c r="AS327" s="1289"/>
      <c r="AT327" s="1289"/>
      <c r="AU327" s="1289"/>
      <c r="AV327" s="1289"/>
      <c r="AW327" s="1289"/>
      <c r="AX327" s="1289"/>
      <c r="AY327" s="1289"/>
      <c r="AZ327" s="1289"/>
      <c r="BA327" s="1289"/>
      <c r="BB327" s="1289"/>
      <c r="BC327" s="1289"/>
      <c r="BD327" s="1289"/>
      <c r="BE327" s="1289"/>
      <c r="BF327" s="1289"/>
      <c r="BG327" s="1289"/>
      <c r="BH327" s="1289"/>
      <c r="BI327" s="1289"/>
      <c r="BJ327" s="1289"/>
      <c r="BK327" s="1289"/>
      <c r="BL327" s="1289"/>
      <c r="BM327" s="1289"/>
      <c r="BN327" s="1289"/>
      <c r="BO327" s="1289"/>
      <c r="BP327" s="1289"/>
      <c r="BQ327" s="1289"/>
      <c r="BR327" s="1289"/>
      <c r="BS327" s="1289"/>
      <c r="BT327" s="1289"/>
      <c r="BU327" s="1289"/>
      <c r="BV327" s="1289"/>
      <c r="BW327" s="1289"/>
      <c r="BX327" s="1289"/>
      <c r="BY327" s="1289"/>
      <c r="BZ327" s="1289"/>
      <c r="CA327" s="1289"/>
      <c r="CB327" s="1289"/>
      <c r="CC327" s="1289"/>
      <c r="CD327" s="1289"/>
      <c r="CE327" s="1289"/>
      <c r="CF327" s="1289"/>
      <c r="CG327" s="1289"/>
      <c r="CH327" s="1289"/>
      <c r="CI327" s="1289"/>
      <c r="CJ327" s="1289"/>
      <c r="CK327" s="1289"/>
      <c r="CL327" s="1289"/>
      <c r="CM327" s="1289"/>
      <c r="CN327" s="1289"/>
      <c r="CO327" s="1289"/>
      <c r="CP327" s="1289"/>
      <c r="CQ327" s="1289"/>
      <c r="CR327" s="1289"/>
      <c r="CS327" s="1289"/>
      <c r="CT327" s="1289"/>
      <c r="CU327" s="1289"/>
      <c r="CV327" s="1289"/>
      <c r="CW327" s="1289"/>
      <c r="CX327" s="1289"/>
      <c r="CY327" s="1289"/>
      <c r="CZ327" s="1289"/>
      <c r="DA327" s="1289"/>
      <c r="DB327" s="1289"/>
      <c r="DC327" s="1289"/>
      <c r="DD327" s="1289"/>
      <c r="DE327" s="1289"/>
      <c r="DF327" s="1289"/>
      <c r="DG327" s="1289"/>
      <c r="DH327" s="1289"/>
      <c r="DI327" s="1289"/>
      <c r="DJ327" s="1289"/>
      <c r="DK327" s="1289"/>
      <c r="DL327" s="1289"/>
      <c r="DM327" s="1289"/>
      <c r="DN327" s="1289"/>
      <c r="DO327" s="1289"/>
      <c r="DP327" s="1289"/>
      <c r="DQ327" s="1289"/>
      <c r="DR327" s="1289"/>
      <c r="DS327" s="1289"/>
      <c r="DT327" s="1289"/>
      <c r="DU327" s="1289"/>
      <c r="DV327" s="1289"/>
      <c r="DW327" s="1289"/>
      <c r="DX327" s="1289"/>
      <c r="DY327" s="1289"/>
      <c r="DZ327" s="1289"/>
      <c r="EA327" s="1289"/>
      <c r="EB327" s="1289"/>
      <c r="EC327" s="1289"/>
      <c r="ED327" s="1289"/>
      <c r="EE327" s="1289"/>
      <c r="EF327" s="1289"/>
      <c r="EG327" s="1289"/>
      <c r="EH327" s="1289"/>
      <c r="EI327" s="1289"/>
      <c r="EJ327" s="1289"/>
      <c r="EK327" s="1289"/>
      <c r="EL327" s="1289"/>
      <c r="EM327" s="1289"/>
      <c r="EN327" s="1289"/>
      <c r="EO327" s="1289"/>
      <c r="EP327" s="1289"/>
      <c r="EQ327" s="1289"/>
      <c r="ER327" s="1289"/>
      <c r="ES327" s="1289"/>
      <c r="ET327" s="1289"/>
      <c r="EU327" s="1289"/>
      <c r="EV327" s="1289"/>
      <c r="EW327" s="1289"/>
      <c r="EX327" s="1289"/>
      <c r="EY327" s="1289"/>
      <c r="EZ327" s="1289"/>
      <c r="FA327" s="1289"/>
      <c r="FB327" s="1289"/>
      <c r="FC327" s="1289"/>
      <c r="FD327" s="1289"/>
      <c r="FE327" s="1289"/>
      <c r="FF327" s="1289"/>
      <c r="FG327" s="1289"/>
      <c r="FH327" s="1289"/>
      <c r="FI327" s="1289"/>
      <c r="FJ327" s="1289"/>
      <c r="FK327" s="1289"/>
      <c r="FL327" s="1289"/>
      <c r="FM327" s="1289"/>
      <c r="FN327" s="1289"/>
      <c r="FO327" s="1289"/>
      <c r="FP327" s="1289"/>
      <c r="FQ327" s="1289"/>
      <c r="FR327" s="1289"/>
      <c r="FS327" s="1289"/>
      <c r="FT327" s="1289"/>
      <c r="FU327" s="1289"/>
      <c r="FV327" s="1289"/>
      <c r="FW327" s="1289"/>
      <c r="FX327" s="1289"/>
      <c r="FY327" s="1289"/>
      <c r="FZ327" s="1289"/>
      <c r="GA327" s="1289"/>
      <c r="GB327" s="1289"/>
      <c r="GC327" s="1289"/>
      <c r="GD327" s="1289"/>
      <c r="GE327" s="1289"/>
      <c r="GF327" s="1289"/>
      <c r="GG327" s="1289"/>
      <c r="GH327" s="1289"/>
      <c r="GI327" s="1289"/>
      <c r="GJ327" s="1289"/>
      <c r="GK327" s="1289"/>
      <c r="GL327" s="1289"/>
      <c r="GM327" s="1289"/>
    </row>
    <row r="328" spans="1:195" s="1299" customFormat="1" ht="15" hidden="1" outlineLevel="1">
      <c r="A328" s="2127" t="s">
        <v>1914</v>
      </c>
      <c r="B328" s="2127" t="s">
        <v>1249</v>
      </c>
      <c r="C328" s="2128"/>
      <c r="D328" s="1297"/>
      <c r="E328" s="1294" t="s">
        <v>1249</v>
      </c>
      <c r="F328" s="380">
        <f>SUMIFS(INPUT!H:H,INPUT!E:E,BAZE_2024!A328,INPUT!B:B,BAZE_2024!B328)</f>
        <v>11229</v>
      </c>
      <c r="G328" s="380">
        <f>SUMIFS(INPUT!L:L,INPUT!E:E,BAZE_2024!A328,INPUT!B:B,BAZE_2024!B328)</f>
        <v>36537.730000000003</v>
      </c>
      <c r="H328" s="1287">
        <f t="shared" si="21"/>
        <v>25308.730000000003</v>
      </c>
      <c r="I328" s="1849">
        <f t="shared" si="22"/>
        <v>2.2538721168403244</v>
      </c>
      <c r="J328" s="2168"/>
      <c r="K328" s="2129"/>
      <c r="L328" s="2014"/>
      <c r="M328" s="1289"/>
      <c r="N328" s="1289"/>
      <c r="O328" s="1289"/>
      <c r="P328" s="1289"/>
      <c r="Q328" s="1289"/>
      <c r="R328" s="1289"/>
      <c r="S328" s="1289"/>
      <c r="T328" s="1289"/>
      <c r="U328" s="1289"/>
      <c r="V328" s="1289"/>
      <c r="W328" s="1289"/>
      <c r="X328" s="1289"/>
      <c r="Y328" s="1289"/>
      <c r="Z328" s="1289"/>
      <c r="AA328" s="1289"/>
      <c r="AB328" s="1289"/>
      <c r="AC328" s="1289"/>
      <c r="AD328" s="1289"/>
      <c r="AE328" s="1289"/>
      <c r="AF328" s="1289"/>
      <c r="AG328" s="1289"/>
      <c r="AH328" s="1289"/>
      <c r="AI328" s="1289"/>
      <c r="AJ328" s="1289"/>
      <c r="AK328" s="1289"/>
      <c r="AL328" s="1289"/>
      <c r="AM328" s="1289"/>
      <c r="AN328" s="1289"/>
      <c r="AO328" s="1289"/>
      <c r="AP328" s="1289"/>
      <c r="AQ328" s="1289"/>
      <c r="AR328" s="1289"/>
      <c r="AS328" s="1289"/>
      <c r="AT328" s="1289"/>
      <c r="AU328" s="1289"/>
      <c r="AV328" s="1289"/>
      <c r="AW328" s="1289"/>
      <c r="AX328" s="1289"/>
      <c r="AY328" s="1289"/>
      <c r="AZ328" s="1289"/>
      <c r="BA328" s="1289"/>
      <c r="BB328" s="1289"/>
      <c r="BC328" s="1289"/>
      <c r="BD328" s="1289"/>
      <c r="BE328" s="1289"/>
      <c r="BF328" s="1289"/>
      <c r="BG328" s="1289"/>
      <c r="BH328" s="1289"/>
      <c r="BI328" s="1289"/>
      <c r="BJ328" s="1289"/>
      <c r="BK328" s="1289"/>
      <c r="BL328" s="1289"/>
      <c r="BM328" s="1289"/>
      <c r="BN328" s="1289"/>
      <c r="BO328" s="1289"/>
      <c r="BP328" s="1289"/>
      <c r="BQ328" s="1289"/>
      <c r="BR328" s="1289"/>
      <c r="BS328" s="1289"/>
      <c r="BT328" s="1289"/>
      <c r="BU328" s="1289"/>
      <c r="BV328" s="1289"/>
      <c r="BW328" s="1289"/>
      <c r="BX328" s="1289"/>
      <c r="BY328" s="1289"/>
      <c r="BZ328" s="1289"/>
      <c r="CA328" s="1289"/>
      <c r="CB328" s="1289"/>
      <c r="CC328" s="1289"/>
      <c r="CD328" s="1289"/>
      <c r="CE328" s="1289"/>
      <c r="CF328" s="1289"/>
      <c r="CG328" s="1289"/>
      <c r="CH328" s="1289"/>
      <c r="CI328" s="1289"/>
      <c r="CJ328" s="1289"/>
      <c r="CK328" s="1289"/>
      <c r="CL328" s="1289"/>
      <c r="CM328" s="1289"/>
      <c r="CN328" s="1289"/>
      <c r="CO328" s="1289"/>
      <c r="CP328" s="1289"/>
      <c r="CQ328" s="1289"/>
      <c r="CR328" s="1289"/>
      <c r="CS328" s="1289"/>
      <c r="CT328" s="1289"/>
      <c r="CU328" s="1289"/>
      <c r="CV328" s="1289"/>
      <c r="CW328" s="1289"/>
      <c r="CX328" s="1289"/>
      <c r="CY328" s="1289"/>
      <c r="CZ328" s="1289"/>
      <c r="DA328" s="1289"/>
      <c r="DB328" s="1289"/>
      <c r="DC328" s="1289"/>
      <c r="DD328" s="1289"/>
      <c r="DE328" s="1289"/>
      <c r="DF328" s="1289"/>
      <c r="DG328" s="1289"/>
      <c r="DH328" s="1289"/>
      <c r="DI328" s="1289"/>
      <c r="DJ328" s="1289"/>
      <c r="DK328" s="1289"/>
      <c r="DL328" s="1289"/>
      <c r="DM328" s="1289"/>
      <c r="DN328" s="1289"/>
      <c r="DO328" s="1289"/>
      <c r="DP328" s="1289"/>
      <c r="DQ328" s="1289"/>
      <c r="DR328" s="1289"/>
      <c r="DS328" s="1289"/>
      <c r="DT328" s="1289"/>
      <c r="DU328" s="1289"/>
      <c r="DV328" s="1289"/>
      <c r="DW328" s="1289"/>
      <c r="DX328" s="1289"/>
      <c r="DY328" s="1289"/>
      <c r="DZ328" s="1289"/>
      <c r="EA328" s="1289"/>
      <c r="EB328" s="1289"/>
      <c r="EC328" s="1289"/>
      <c r="ED328" s="1289"/>
      <c r="EE328" s="1289"/>
      <c r="EF328" s="1289"/>
      <c r="EG328" s="1289"/>
      <c r="EH328" s="1289"/>
      <c r="EI328" s="1289"/>
      <c r="EJ328" s="1289"/>
      <c r="EK328" s="1289"/>
      <c r="EL328" s="1289"/>
      <c r="EM328" s="1289"/>
      <c r="EN328" s="1289"/>
      <c r="EO328" s="1289"/>
      <c r="EP328" s="1289"/>
      <c r="EQ328" s="1289"/>
      <c r="ER328" s="1289"/>
      <c r="ES328" s="1289"/>
      <c r="ET328" s="1289"/>
      <c r="EU328" s="1289"/>
      <c r="EV328" s="1289"/>
      <c r="EW328" s="1289"/>
      <c r="EX328" s="1289"/>
      <c r="EY328" s="1289"/>
      <c r="EZ328" s="1289"/>
      <c r="FA328" s="1289"/>
      <c r="FB328" s="1289"/>
      <c r="FC328" s="1289"/>
      <c r="FD328" s="1289"/>
      <c r="FE328" s="1289"/>
      <c r="FF328" s="1289"/>
      <c r="FG328" s="1289"/>
      <c r="FH328" s="1289"/>
      <c r="FI328" s="1289"/>
      <c r="FJ328" s="1289"/>
      <c r="FK328" s="1289"/>
      <c r="FL328" s="1289"/>
      <c r="FM328" s="1289"/>
      <c r="FN328" s="1289"/>
      <c r="FO328" s="1289"/>
      <c r="FP328" s="1289"/>
      <c r="FQ328" s="1289"/>
      <c r="FR328" s="1289"/>
      <c r="FS328" s="1289"/>
      <c r="FT328" s="1289"/>
      <c r="FU328" s="1289"/>
      <c r="FV328" s="1289"/>
      <c r="FW328" s="1289"/>
      <c r="FX328" s="1289"/>
      <c r="FY328" s="1289"/>
      <c r="FZ328" s="1289"/>
      <c r="GA328" s="1289"/>
      <c r="GB328" s="1289"/>
      <c r="GC328" s="1289"/>
      <c r="GD328" s="1289"/>
      <c r="GE328" s="1289"/>
      <c r="GF328" s="1289"/>
      <c r="GG328" s="1289"/>
      <c r="GH328" s="1289"/>
      <c r="GI328" s="1289"/>
      <c r="GJ328" s="1289"/>
      <c r="GK328" s="1289"/>
      <c r="GL328" s="1289"/>
      <c r="GM328" s="1289"/>
    </row>
    <row r="329" spans="1:195" s="1299" customFormat="1" ht="16.149999999999999" hidden="1" customHeight="1" outlineLevel="1">
      <c r="A329" s="2127" t="s">
        <v>1914</v>
      </c>
      <c r="B329" s="2127" t="s">
        <v>566</v>
      </c>
      <c r="C329" s="2128"/>
      <c r="D329" s="1302"/>
      <c r="E329" s="2004" t="s">
        <v>112</v>
      </c>
      <c r="F329" s="380">
        <f>SUMIFS(INPUT!H:H,INPUT!E:E,BAZE_2024!A329,INPUT!B:B,BAZE_2024!B329)</f>
        <v>0</v>
      </c>
      <c r="G329" s="380">
        <f>SUMIFS(INPUT!L:L,INPUT!E:E,BAZE_2024!A329,INPUT!B:B,BAZE_2024!B329)</f>
        <v>0</v>
      </c>
      <c r="H329" s="1287">
        <f t="shared" si="21"/>
        <v>0</v>
      </c>
      <c r="I329" s="1849" t="str">
        <f t="shared" si="22"/>
        <v>-</v>
      </c>
      <c r="J329" s="2168"/>
      <c r="K329" s="2129"/>
      <c r="L329" s="2014"/>
      <c r="M329" s="1289"/>
      <c r="N329" s="1289"/>
      <c r="O329" s="1289"/>
      <c r="P329" s="1289"/>
      <c r="Q329" s="1289"/>
      <c r="R329" s="1289"/>
      <c r="S329" s="1289"/>
      <c r="T329" s="1289"/>
      <c r="U329" s="1289"/>
      <c r="V329" s="1289"/>
      <c r="W329" s="1289"/>
      <c r="X329" s="1289"/>
      <c r="Y329" s="1289"/>
      <c r="Z329" s="1289"/>
      <c r="AA329" s="1289"/>
      <c r="AB329" s="1289"/>
      <c r="AC329" s="1289"/>
      <c r="AD329" s="1289"/>
      <c r="AE329" s="1289"/>
      <c r="AF329" s="1289"/>
      <c r="AG329" s="1289"/>
      <c r="AH329" s="1289"/>
      <c r="AI329" s="1289"/>
      <c r="AJ329" s="1289"/>
      <c r="AK329" s="1289"/>
      <c r="AL329" s="1289"/>
      <c r="AM329" s="1289"/>
      <c r="AN329" s="1289"/>
      <c r="AO329" s="1289"/>
      <c r="AP329" s="1289"/>
      <c r="AQ329" s="1289"/>
      <c r="AR329" s="1289"/>
      <c r="AS329" s="1289"/>
      <c r="AT329" s="1289"/>
      <c r="AU329" s="1289"/>
      <c r="AV329" s="1289"/>
      <c r="AW329" s="1289"/>
      <c r="AX329" s="1289"/>
      <c r="AY329" s="1289"/>
      <c r="AZ329" s="1289"/>
      <c r="BA329" s="1289"/>
      <c r="BB329" s="1289"/>
      <c r="BC329" s="1289"/>
      <c r="BD329" s="1289"/>
      <c r="BE329" s="1289"/>
      <c r="BF329" s="1289"/>
      <c r="BG329" s="1289"/>
      <c r="BH329" s="1289"/>
      <c r="BI329" s="1289"/>
      <c r="BJ329" s="1289"/>
      <c r="BK329" s="1289"/>
      <c r="BL329" s="1289"/>
      <c r="BM329" s="1289"/>
      <c r="BN329" s="1289"/>
      <c r="BO329" s="1289"/>
      <c r="BP329" s="1289"/>
      <c r="BQ329" s="1289"/>
      <c r="BR329" s="1289"/>
      <c r="BS329" s="1289"/>
      <c r="BT329" s="1289"/>
      <c r="BU329" s="1289"/>
      <c r="BV329" s="1289"/>
      <c r="BW329" s="1289"/>
      <c r="BX329" s="1289"/>
      <c r="BY329" s="1289"/>
      <c r="BZ329" s="1289"/>
      <c r="CA329" s="1289"/>
      <c r="CB329" s="1289"/>
      <c r="CC329" s="1289"/>
      <c r="CD329" s="1289"/>
      <c r="CE329" s="1289"/>
      <c r="CF329" s="1289"/>
      <c r="CG329" s="1289"/>
      <c r="CH329" s="1289"/>
      <c r="CI329" s="1289"/>
      <c r="CJ329" s="1289"/>
      <c r="CK329" s="1289"/>
      <c r="CL329" s="1289"/>
      <c r="CM329" s="1289"/>
      <c r="CN329" s="1289"/>
      <c r="CO329" s="1289"/>
      <c r="CP329" s="1289"/>
      <c r="CQ329" s="1289"/>
      <c r="CR329" s="1289"/>
      <c r="CS329" s="1289"/>
      <c r="CT329" s="1289"/>
      <c r="CU329" s="1289"/>
      <c r="CV329" s="1289"/>
      <c r="CW329" s="1289"/>
      <c r="CX329" s="1289"/>
      <c r="CY329" s="1289"/>
      <c r="CZ329" s="1289"/>
      <c r="DA329" s="1289"/>
      <c r="DB329" s="1289"/>
      <c r="DC329" s="1289"/>
      <c r="DD329" s="1289"/>
      <c r="DE329" s="1289"/>
      <c r="DF329" s="1289"/>
      <c r="DG329" s="1289"/>
      <c r="DH329" s="1289"/>
      <c r="DI329" s="1289"/>
      <c r="DJ329" s="1289"/>
      <c r="DK329" s="1289"/>
      <c r="DL329" s="1289"/>
      <c r="DM329" s="1289"/>
      <c r="DN329" s="1289"/>
      <c r="DO329" s="1289"/>
      <c r="DP329" s="1289"/>
      <c r="DQ329" s="1289"/>
      <c r="DR329" s="1289"/>
      <c r="DS329" s="1289"/>
      <c r="DT329" s="1289"/>
      <c r="DU329" s="1289"/>
      <c r="DV329" s="1289"/>
      <c r="DW329" s="1289"/>
      <c r="DX329" s="1289"/>
      <c r="DY329" s="1289"/>
      <c r="DZ329" s="1289"/>
      <c r="EA329" s="1289"/>
      <c r="EB329" s="1289"/>
      <c r="EC329" s="1289"/>
      <c r="ED329" s="1289"/>
      <c r="EE329" s="1289"/>
      <c r="EF329" s="1289"/>
      <c r="EG329" s="1289"/>
      <c r="EH329" s="1289"/>
      <c r="EI329" s="1289"/>
      <c r="EJ329" s="1289"/>
      <c r="EK329" s="1289"/>
      <c r="EL329" s="1289"/>
      <c r="EM329" s="1289"/>
      <c r="EN329" s="1289"/>
      <c r="EO329" s="1289"/>
      <c r="EP329" s="1289"/>
      <c r="EQ329" s="1289"/>
      <c r="ER329" s="1289"/>
      <c r="ES329" s="1289"/>
      <c r="ET329" s="1289"/>
      <c r="EU329" s="1289"/>
      <c r="EV329" s="1289"/>
      <c r="EW329" s="1289"/>
      <c r="EX329" s="1289"/>
      <c r="EY329" s="1289"/>
      <c r="EZ329" s="1289"/>
      <c r="FA329" s="1289"/>
      <c r="FB329" s="1289"/>
      <c r="FC329" s="1289"/>
      <c r="FD329" s="1289"/>
      <c r="FE329" s="1289"/>
      <c r="FF329" s="1289"/>
      <c r="FG329" s="1289"/>
      <c r="FH329" s="1289"/>
      <c r="FI329" s="1289"/>
      <c r="FJ329" s="1289"/>
      <c r="FK329" s="1289"/>
      <c r="FL329" s="1289"/>
      <c r="FM329" s="1289"/>
      <c r="FN329" s="1289"/>
      <c r="FO329" s="1289"/>
      <c r="FP329" s="1289"/>
      <c r="FQ329" s="1289"/>
      <c r="FR329" s="1289"/>
      <c r="FS329" s="1289"/>
      <c r="FT329" s="1289"/>
      <c r="FU329" s="1289"/>
      <c r="FV329" s="1289"/>
      <c r="FW329" s="1289"/>
      <c r="FX329" s="1289"/>
      <c r="FY329" s="1289"/>
      <c r="FZ329" s="1289"/>
      <c r="GA329" s="1289"/>
      <c r="GB329" s="1289"/>
      <c r="GC329" s="1289"/>
      <c r="GD329" s="1289"/>
      <c r="GE329" s="1289"/>
      <c r="GF329" s="1289"/>
      <c r="GG329" s="1289"/>
      <c r="GH329" s="1289"/>
      <c r="GI329" s="1289"/>
      <c r="GJ329" s="1289"/>
      <c r="GK329" s="1289"/>
      <c r="GL329" s="1289"/>
      <c r="GM329" s="1289"/>
    </row>
    <row r="330" spans="1:195" s="1299" customFormat="1" ht="16.149999999999999" hidden="1" customHeight="1" outlineLevel="1">
      <c r="A330" s="2127" t="s">
        <v>1940</v>
      </c>
      <c r="B330" s="2127" t="s">
        <v>566</v>
      </c>
      <c r="C330" s="2128"/>
      <c r="D330" s="1312"/>
      <c r="E330" s="2004" t="s">
        <v>1650</v>
      </c>
      <c r="F330" s="380">
        <f>SUMIFS(INPUT!H:H,INPUT!E:E,BAZE_2024!A330,INPUT!B:B,BAZE_2024!B330)</f>
        <v>3668</v>
      </c>
      <c r="G330" s="380">
        <f>SUMIFS(INPUT!L:L,INPUT!E:E,BAZE_2024!A330,INPUT!B:B,BAZE_2024!B330)</f>
        <v>3668</v>
      </c>
      <c r="H330" s="1287">
        <f>G330-F330</f>
        <v>0</v>
      </c>
      <c r="I330" s="1849">
        <f t="shared" si="22"/>
        <v>0</v>
      </c>
      <c r="J330" s="2174"/>
      <c r="K330" s="2129"/>
      <c r="L330" s="2014"/>
      <c r="M330" s="1289"/>
      <c r="N330" s="1289"/>
      <c r="O330" s="1289"/>
      <c r="P330" s="1289"/>
      <c r="Q330" s="1289"/>
      <c r="R330" s="1289"/>
      <c r="S330" s="1289"/>
      <c r="T330" s="1289"/>
      <c r="U330" s="1289"/>
      <c r="V330" s="1289"/>
      <c r="W330" s="1289"/>
      <c r="X330" s="1289"/>
      <c r="Y330" s="1289"/>
      <c r="Z330" s="1289"/>
      <c r="AA330" s="1289"/>
      <c r="AB330" s="1289"/>
      <c r="AC330" s="1289"/>
      <c r="AD330" s="1289"/>
      <c r="AE330" s="1289"/>
      <c r="AF330" s="1289"/>
      <c r="AG330" s="1289"/>
      <c r="AH330" s="1289"/>
      <c r="AI330" s="1289"/>
      <c r="AJ330" s="1289"/>
      <c r="AK330" s="1289"/>
      <c r="AL330" s="1289"/>
      <c r="AM330" s="1289"/>
      <c r="AN330" s="1289"/>
      <c r="AO330" s="1289"/>
      <c r="AP330" s="1289"/>
      <c r="AQ330" s="1289"/>
      <c r="AR330" s="1289"/>
      <c r="AS330" s="1289"/>
      <c r="AT330" s="1289"/>
      <c r="AU330" s="1289"/>
      <c r="AV330" s="1289"/>
      <c r="AW330" s="1289"/>
      <c r="AX330" s="1289"/>
      <c r="AY330" s="1289"/>
      <c r="AZ330" s="1289"/>
      <c r="BA330" s="1289"/>
      <c r="BB330" s="1289"/>
      <c r="BC330" s="1289"/>
      <c r="BD330" s="1289"/>
      <c r="BE330" s="1289"/>
      <c r="BF330" s="1289"/>
      <c r="BG330" s="1289"/>
      <c r="BH330" s="1289"/>
      <c r="BI330" s="1289"/>
      <c r="BJ330" s="1289"/>
      <c r="BK330" s="1289"/>
      <c r="BL330" s="1289"/>
      <c r="BM330" s="1289"/>
      <c r="BN330" s="1289"/>
      <c r="BO330" s="1289"/>
      <c r="BP330" s="1289"/>
      <c r="BQ330" s="1289"/>
      <c r="BR330" s="1289"/>
      <c r="BS330" s="1289"/>
      <c r="BT330" s="1289"/>
      <c r="BU330" s="1289"/>
      <c r="BV330" s="1289"/>
      <c r="BW330" s="1289"/>
      <c r="BX330" s="1289"/>
      <c r="BY330" s="1289"/>
      <c r="BZ330" s="1289"/>
      <c r="CA330" s="1289"/>
      <c r="CB330" s="1289"/>
      <c r="CC330" s="1289"/>
      <c r="CD330" s="1289"/>
      <c r="CE330" s="1289"/>
      <c r="CF330" s="1289"/>
      <c r="CG330" s="1289"/>
      <c r="CH330" s="1289"/>
      <c r="CI330" s="1289"/>
      <c r="CJ330" s="1289"/>
      <c r="CK330" s="1289"/>
      <c r="CL330" s="1289"/>
      <c r="CM330" s="1289"/>
      <c r="CN330" s="1289"/>
      <c r="CO330" s="1289"/>
      <c r="CP330" s="1289"/>
      <c r="CQ330" s="1289"/>
      <c r="CR330" s="1289"/>
      <c r="CS330" s="1289"/>
      <c r="CT330" s="1289"/>
      <c r="CU330" s="1289"/>
      <c r="CV330" s="1289"/>
      <c r="CW330" s="1289"/>
      <c r="CX330" s="1289"/>
      <c r="CY330" s="1289"/>
      <c r="CZ330" s="1289"/>
      <c r="DA330" s="1289"/>
      <c r="DB330" s="1289"/>
      <c r="DC330" s="1289"/>
      <c r="DD330" s="1289"/>
      <c r="DE330" s="1289"/>
      <c r="DF330" s="1289"/>
      <c r="DG330" s="1289"/>
      <c r="DH330" s="1289"/>
      <c r="DI330" s="1289"/>
      <c r="DJ330" s="1289"/>
      <c r="DK330" s="1289"/>
      <c r="DL330" s="1289"/>
      <c r="DM330" s="1289"/>
      <c r="DN330" s="1289"/>
      <c r="DO330" s="1289"/>
      <c r="DP330" s="1289"/>
      <c r="DQ330" s="1289"/>
      <c r="DR330" s="1289"/>
      <c r="DS330" s="1289"/>
      <c r="DT330" s="1289"/>
      <c r="DU330" s="1289"/>
      <c r="DV330" s="1289"/>
      <c r="DW330" s="1289"/>
      <c r="DX330" s="1289"/>
      <c r="DY330" s="1289"/>
      <c r="DZ330" s="1289"/>
      <c r="EA330" s="1289"/>
      <c r="EB330" s="1289"/>
      <c r="EC330" s="1289"/>
      <c r="ED330" s="1289"/>
      <c r="EE330" s="1289"/>
      <c r="EF330" s="1289"/>
      <c r="EG330" s="1289"/>
      <c r="EH330" s="1289"/>
      <c r="EI330" s="1289"/>
      <c r="EJ330" s="1289"/>
      <c r="EK330" s="1289"/>
      <c r="EL330" s="1289"/>
      <c r="EM330" s="1289"/>
      <c r="EN330" s="1289"/>
      <c r="EO330" s="1289"/>
      <c r="EP330" s="1289"/>
      <c r="EQ330" s="1289"/>
      <c r="ER330" s="1289"/>
      <c r="ES330" s="1289"/>
      <c r="ET330" s="1289"/>
      <c r="EU330" s="1289"/>
      <c r="EV330" s="1289"/>
      <c r="EW330" s="1289"/>
      <c r="EX330" s="1289"/>
      <c r="EY330" s="1289"/>
      <c r="EZ330" s="1289"/>
      <c r="FA330" s="1289"/>
      <c r="FB330" s="1289"/>
      <c r="FC330" s="1289"/>
      <c r="FD330" s="1289"/>
      <c r="FE330" s="1289"/>
      <c r="FF330" s="1289"/>
      <c r="FG330" s="1289"/>
      <c r="FH330" s="1289"/>
      <c r="FI330" s="1289"/>
      <c r="FJ330" s="1289"/>
      <c r="FK330" s="1289"/>
      <c r="FL330" s="1289"/>
      <c r="FM330" s="1289"/>
      <c r="FN330" s="1289"/>
      <c r="FO330" s="1289"/>
      <c r="FP330" s="1289"/>
      <c r="FQ330" s="1289"/>
      <c r="FR330" s="1289"/>
      <c r="FS330" s="1289"/>
      <c r="FT330" s="1289"/>
      <c r="FU330" s="1289"/>
      <c r="FV330" s="1289"/>
      <c r="FW330" s="1289"/>
      <c r="FX330" s="1289"/>
      <c r="FY330" s="1289"/>
      <c r="FZ330" s="1289"/>
      <c r="GA330" s="1289"/>
      <c r="GB330" s="1289"/>
      <c r="GC330" s="1289"/>
      <c r="GD330" s="1289"/>
      <c r="GE330" s="1289"/>
      <c r="GF330" s="1289"/>
      <c r="GG330" s="1289"/>
      <c r="GH330" s="1289"/>
      <c r="GI330" s="1289"/>
      <c r="GJ330" s="1289"/>
      <c r="GK330" s="1289"/>
      <c r="GL330" s="1289"/>
      <c r="GM330" s="1289"/>
    </row>
    <row r="331" spans="1:195" s="1299" customFormat="1" ht="16.149999999999999" hidden="1" customHeight="1" outlineLevel="1">
      <c r="A331" s="2127" t="s">
        <v>1916</v>
      </c>
      <c r="B331" s="2127" t="s">
        <v>566</v>
      </c>
      <c r="C331" s="2128"/>
      <c r="D331" s="2172"/>
      <c r="E331" s="2134" t="s">
        <v>2444</v>
      </c>
      <c r="F331" s="380">
        <f>SUMIFS(INPUT!H:H,INPUT!E:E,BAZE_2024!A331,INPUT!B:B,BAZE_2024!B331)</f>
        <v>51613</v>
      </c>
      <c r="G331" s="380">
        <f>SUMIFS(INPUT!L:L,INPUT!E:E,BAZE_2024!A331,INPUT!B:B,BAZE_2024!B331)</f>
        <v>3164.6</v>
      </c>
      <c r="H331" s="1287">
        <f>G331-F331</f>
        <v>-48448.4</v>
      </c>
      <c r="I331" s="1849">
        <f>IFERROR(H331/F331,"-")</f>
        <v>-0.93868598996376884</v>
      </c>
      <c r="J331" s="2175"/>
      <c r="K331" s="2129"/>
      <c r="L331" s="2014"/>
      <c r="M331" s="1289"/>
      <c r="N331" s="1289"/>
      <c r="O331" s="1289"/>
      <c r="P331" s="1289"/>
      <c r="Q331" s="1289"/>
      <c r="R331" s="1289"/>
      <c r="S331" s="1289"/>
      <c r="T331" s="1289"/>
      <c r="U331" s="1289"/>
      <c r="V331" s="1289"/>
      <c r="W331" s="1289"/>
      <c r="X331" s="1289"/>
      <c r="Y331" s="1289"/>
      <c r="Z331" s="1289"/>
      <c r="AA331" s="1289"/>
      <c r="AB331" s="1289"/>
      <c r="AC331" s="1289"/>
      <c r="AD331" s="1289"/>
      <c r="AE331" s="1289"/>
      <c r="AF331" s="1289"/>
      <c r="AG331" s="1289"/>
      <c r="AH331" s="1289"/>
      <c r="AI331" s="1289"/>
      <c r="AJ331" s="1289"/>
      <c r="AK331" s="1289"/>
      <c r="AL331" s="1289"/>
      <c r="AM331" s="1289"/>
      <c r="AN331" s="1289"/>
      <c r="AO331" s="1289"/>
      <c r="AP331" s="1289"/>
      <c r="AQ331" s="1289"/>
      <c r="AR331" s="1289"/>
      <c r="AS331" s="1289"/>
      <c r="AT331" s="1289"/>
      <c r="AU331" s="1289"/>
      <c r="AV331" s="1289"/>
      <c r="AW331" s="1289"/>
      <c r="AX331" s="1289"/>
      <c r="AY331" s="1289"/>
      <c r="AZ331" s="1289"/>
      <c r="BA331" s="1289"/>
      <c r="BB331" s="1289"/>
      <c r="BC331" s="1289"/>
      <c r="BD331" s="1289"/>
      <c r="BE331" s="1289"/>
      <c r="BF331" s="1289"/>
      <c r="BG331" s="1289"/>
      <c r="BH331" s="1289"/>
      <c r="BI331" s="1289"/>
      <c r="BJ331" s="1289"/>
      <c r="BK331" s="1289"/>
      <c r="BL331" s="1289"/>
      <c r="BM331" s="1289"/>
      <c r="BN331" s="1289"/>
      <c r="BO331" s="1289"/>
      <c r="BP331" s="1289"/>
      <c r="BQ331" s="1289"/>
      <c r="BR331" s="1289"/>
      <c r="BS331" s="1289"/>
      <c r="BT331" s="1289"/>
      <c r="BU331" s="1289"/>
      <c r="BV331" s="1289"/>
      <c r="BW331" s="1289"/>
      <c r="BX331" s="1289"/>
      <c r="BY331" s="1289"/>
      <c r="BZ331" s="1289"/>
      <c r="CA331" s="1289"/>
      <c r="CB331" s="1289"/>
      <c r="CC331" s="1289"/>
      <c r="CD331" s="1289"/>
      <c r="CE331" s="1289"/>
      <c r="CF331" s="1289"/>
      <c r="CG331" s="1289"/>
      <c r="CH331" s="1289"/>
      <c r="CI331" s="1289"/>
      <c r="CJ331" s="1289"/>
      <c r="CK331" s="1289"/>
      <c r="CL331" s="1289"/>
      <c r="CM331" s="1289"/>
      <c r="CN331" s="1289"/>
      <c r="CO331" s="1289"/>
      <c r="CP331" s="1289"/>
      <c r="CQ331" s="1289"/>
      <c r="CR331" s="1289"/>
      <c r="CS331" s="1289"/>
      <c r="CT331" s="1289"/>
      <c r="CU331" s="1289"/>
      <c r="CV331" s="1289"/>
      <c r="CW331" s="1289"/>
      <c r="CX331" s="1289"/>
      <c r="CY331" s="1289"/>
      <c r="CZ331" s="1289"/>
      <c r="DA331" s="1289"/>
      <c r="DB331" s="1289"/>
      <c r="DC331" s="1289"/>
      <c r="DD331" s="1289"/>
      <c r="DE331" s="1289"/>
      <c r="DF331" s="1289"/>
      <c r="DG331" s="1289"/>
      <c r="DH331" s="1289"/>
      <c r="DI331" s="1289"/>
      <c r="DJ331" s="1289"/>
      <c r="DK331" s="1289"/>
      <c r="DL331" s="1289"/>
      <c r="DM331" s="1289"/>
      <c r="DN331" s="1289"/>
      <c r="DO331" s="1289"/>
      <c r="DP331" s="1289"/>
      <c r="DQ331" s="1289"/>
      <c r="DR331" s="1289"/>
      <c r="DS331" s="1289"/>
      <c r="DT331" s="1289"/>
      <c r="DU331" s="1289"/>
      <c r="DV331" s="1289"/>
      <c r="DW331" s="1289"/>
      <c r="DX331" s="1289"/>
      <c r="DY331" s="1289"/>
      <c r="DZ331" s="1289"/>
      <c r="EA331" s="1289"/>
      <c r="EB331" s="1289"/>
      <c r="EC331" s="1289"/>
      <c r="ED331" s="1289"/>
      <c r="EE331" s="1289"/>
      <c r="EF331" s="1289"/>
      <c r="EG331" s="1289"/>
      <c r="EH331" s="1289"/>
      <c r="EI331" s="1289"/>
      <c r="EJ331" s="1289"/>
      <c r="EK331" s="1289"/>
      <c r="EL331" s="1289"/>
      <c r="EM331" s="1289"/>
      <c r="EN331" s="1289"/>
      <c r="EO331" s="1289"/>
      <c r="EP331" s="1289"/>
      <c r="EQ331" s="1289"/>
      <c r="ER331" s="1289"/>
      <c r="ES331" s="1289"/>
      <c r="ET331" s="1289"/>
      <c r="EU331" s="1289"/>
      <c r="EV331" s="1289"/>
      <c r="EW331" s="1289"/>
      <c r="EX331" s="1289"/>
      <c r="EY331" s="1289"/>
      <c r="EZ331" s="1289"/>
      <c r="FA331" s="1289"/>
      <c r="FB331" s="1289"/>
      <c r="FC331" s="1289"/>
      <c r="FD331" s="1289"/>
      <c r="FE331" s="1289"/>
      <c r="FF331" s="1289"/>
      <c r="FG331" s="1289"/>
      <c r="FH331" s="1289"/>
      <c r="FI331" s="1289"/>
      <c r="FJ331" s="1289"/>
      <c r="FK331" s="1289"/>
      <c r="FL331" s="1289"/>
      <c r="FM331" s="1289"/>
      <c r="FN331" s="1289"/>
      <c r="FO331" s="1289"/>
      <c r="FP331" s="1289"/>
      <c r="FQ331" s="1289"/>
      <c r="FR331" s="1289"/>
      <c r="FS331" s="1289"/>
      <c r="FT331" s="1289"/>
      <c r="FU331" s="1289"/>
      <c r="FV331" s="1289"/>
      <c r="FW331" s="1289"/>
      <c r="FX331" s="1289"/>
      <c r="FY331" s="1289"/>
      <c r="FZ331" s="1289"/>
      <c r="GA331" s="1289"/>
      <c r="GB331" s="1289"/>
      <c r="GC331" s="1289"/>
      <c r="GD331" s="1289"/>
      <c r="GE331" s="1289"/>
      <c r="GF331" s="1289"/>
      <c r="GG331" s="1289"/>
      <c r="GH331" s="1289"/>
      <c r="GI331" s="1289"/>
      <c r="GJ331" s="1289"/>
      <c r="GK331" s="1289"/>
      <c r="GL331" s="1289"/>
      <c r="GM331" s="1289"/>
    </row>
    <row r="332" spans="1:195" s="1299" customFormat="1" ht="16.149999999999999" hidden="1" customHeight="1" outlineLevel="1">
      <c r="A332" s="2127" t="s">
        <v>4937</v>
      </c>
      <c r="B332" s="2127" t="s">
        <v>566</v>
      </c>
      <c r="C332" s="2128"/>
      <c r="D332" s="3663"/>
      <c r="E332" s="3664" t="s">
        <v>4938</v>
      </c>
      <c r="F332" s="380">
        <f>SUMIFS(INPUT!H:H,INPUT!E:E,BAZE_2024!A332,INPUT!B:B,BAZE_2024!B332)</f>
        <v>0</v>
      </c>
      <c r="G332" s="380">
        <f>SUMIFS(INPUT!L:L,INPUT!E:E,BAZE_2024!A332,INPUT!B:B,BAZE_2024!B332)</f>
        <v>12304</v>
      </c>
      <c r="H332" s="1287">
        <f>G332-F332</f>
        <v>12304</v>
      </c>
      <c r="I332" s="1849" t="str">
        <f>IFERROR(H332/F332,"-")</f>
        <v>-</v>
      </c>
      <c r="J332" s="3665"/>
      <c r="K332" s="2129"/>
      <c r="L332" s="2014"/>
      <c r="M332" s="1289"/>
      <c r="N332" s="1289"/>
      <c r="O332" s="1289"/>
      <c r="P332" s="1289"/>
      <c r="Q332" s="1289"/>
      <c r="R332" s="1289"/>
      <c r="S332" s="1289"/>
      <c r="T332" s="1289"/>
      <c r="U332" s="1289"/>
      <c r="V332" s="1289"/>
      <c r="W332" s="1289"/>
      <c r="X332" s="1289"/>
      <c r="Y332" s="1289"/>
      <c r="Z332" s="1289"/>
      <c r="AA332" s="1289"/>
      <c r="AB332" s="1289"/>
      <c r="AC332" s="1289"/>
      <c r="AD332" s="1289"/>
      <c r="AE332" s="1289"/>
      <c r="AF332" s="1289"/>
      <c r="AG332" s="1289"/>
      <c r="AH332" s="1289"/>
      <c r="AI332" s="1289"/>
      <c r="AJ332" s="1289"/>
      <c r="AK332" s="1289"/>
      <c r="AL332" s="1289"/>
      <c r="AM332" s="1289"/>
      <c r="AN332" s="1289"/>
      <c r="AO332" s="1289"/>
      <c r="AP332" s="1289"/>
      <c r="AQ332" s="1289"/>
      <c r="AR332" s="1289"/>
      <c r="AS332" s="1289"/>
      <c r="AT332" s="1289"/>
      <c r="AU332" s="1289"/>
      <c r="AV332" s="1289"/>
      <c r="AW332" s="1289"/>
      <c r="AX332" s="1289"/>
      <c r="AY332" s="1289"/>
      <c r="AZ332" s="1289"/>
      <c r="BA332" s="1289"/>
      <c r="BB332" s="1289"/>
      <c r="BC332" s="1289"/>
      <c r="BD332" s="1289"/>
      <c r="BE332" s="1289"/>
      <c r="BF332" s="1289"/>
      <c r="BG332" s="1289"/>
      <c r="BH332" s="1289"/>
      <c r="BI332" s="1289"/>
      <c r="BJ332" s="1289"/>
      <c r="BK332" s="1289"/>
      <c r="BL332" s="1289"/>
      <c r="BM332" s="1289"/>
      <c r="BN332" s="1289"/>
      <c r="BO332" s="1289"/>
      <c r="BP332" s="1289"/>
      <c r="BQ332" s="1289"/>
      <c r="BR332" s="1289"/>
      <c r="BS332" s="1289"/>
      <c r="BT332" s="1289"/>
      <c r="BU332" s="1289"/>
      <c r="BV332" s="1289"/>
      <c r="BW332" s="1289"/>
      <c r="BX332" s="1289"/>
      <c r="BY332" s="1289"/>
      <c r="BZ332" s="1289"/>
      <c r="CA332" s="1289"/>
      <c r="CB332" s="1289"/>
      <c r="CC332" s="1289"/>
      <c r="CD332" s="1289"/>
      <c r="CE332" s="1289"/>
      <c r="CF332" s="1289"/>
      <c r="CG332" s="1289"/>
      <c r="CH332" s="1289"/>
      <c r="CI332" s="1289"/>
      <c r="CJ332" s="1289"/>
      <c r="CK332" s="1289"/>
      <c r="CL332" s="1289"/>
      <c r="CM332" s="1289"/>
      <c r="CN332" s="1289"/>
      <c r="CO332" s="1289"/>
      <c r="CP332" s="1289"/>
      <c r="CQ332" s="1289"/>
      <c r="CR332" s="1289"/>
      <c r="CS332" s="1289"/>
      <c r="CT332" s="1289"/>
      <c r="CU332" s="1289"/>
      <c r="CV332" s="1289"/>
      <c r="CW332" s="1289"/>
      <c r="CX332" s="1289"/>
      <c r="CY332" s="1289"/>
      <c r="CZ332" s="1289"/>
      <c r="DA332" s="1289"/>
      <c r="DB332" s="1289"/>
      <c r="DC332" s="1289"/>
      <c r="DD332" s="1289"/>
      <c r="DE332" s="1289"/>
      <c r="DF332" s="1289"/>
      <c r="DG332" s="1289"/>
      <c r="DH332" s="1289"/>
      <c r="DI332" s="1289"/>
      <c r="DJ332" s="1289"/>
      <c r="DK332" s="1289"/>
      <c r="DL332" s="1289"/>
      <c r="DM332" s="1289"/>
      <c r="DN332" s="1289"/>
      <c r="DO332" s="1289"/>
      <c r="DP332" s="1289"/>
      <c r="DQ332" s="1289"/>
      <c r="DR332" s="1289"/>
      <c r="DS332" s="1289"/>
      <c r="DT332" s="1289"/>
      <c r="DU332" s="1289"/>
      <c r="DV332" s="1289"/>
      <c r="DW332" s="1289"/>
      <c r="DX332" s="1289"/>
      <c r="DY332" s="1289"/>
      <c r="DZ332" s="1289"/>
      <c r="EA332" s="1289"/>
      <c r="EB332" s="1289"/>
      <c r="EC332" s="1289"/>
      <c r="ED332" s="1289"/>
      <c r="EE332" s="1289"/>
      <c r="EF332" s="1289"/>
      <c r="EG332" s="1289"/>
      <c r="EH332" s="1289"/>
      <c r="EI332" s="1289"/>
      <c r="EJ332" s="1289"/>
      <c r="EK332" s="1289"/>
      <c r="EL332" s="1289"/>
      <c r="EM332" s="1289"/>
      <c r="EN332" s="1289"/>
      <c r="EO332" s="1289"/>
      <c r="EP332" s="1289"/>
      <c r="EQ332" s="1289"/>
      <c r="ER332" s="1289"/>
      <c r="ES332" s="1289"/>
      <c r="ET332" s="1289"/>
      <c r="EU332" s="1289"/>
      <c r="EV332" s="1289"/>
      <c r="EW332" s="1289"/>
      <c r="EX332" s="1289"/>
      <c r="EY332" s="1289"/>
      <c r="EZ332" s="1289"/>
      <c r="FA332" s="1289"/>
      <c r="FB332" s="1289"/>
      <c r="FC332" s="1289"/>
      <c r="FD332" s="1289"/>
      <c r="FE332" s="1289"/>
      <c r="FF332" s="1289"/>
      <c r="FG332" s="1289"/>
      <c r="FH332" s="1289"/>
      <c r="FI332" s="1289"/>
      <c r="FJ332" s="1289"/>
      <c r="FK332" s="1289"/>
      <c r="FL332" s="1289"/>
      <c r="FM332" s="1289"/>
      <c r="FN332" s="1289"/>
      <c r="FO332" s="1289"/>
      <c r="FP332" s="1289"/>
      <c r="FQ332" s="1289"/>
      <c r="FR332" s="1289"/>
      <c r="FS332" s="1289"/>
      <c r="FT332" s="1289"/>
      <c r="FU332" s="1289"/>
      <c r="FV332" s="1289"/>
      <c r="FW332" s="1289"/>
      <c r="FX332" s="1289"/>
      <c r="FY332" s="1289"/>
      <c r="FZ332" s="1289"/>
      <c r="GA332" s="1289"/>
      <c r="GB332" s="1289"/>
      <c r="GC332" s="1289"/>
      <c r="GD332" s="1289"/>
      <c r="GE332" s="1289"/>
      <c r="GF332" s="1289"/>
      <c r="GG332" s="1289"/>
      <c r="GH332" s="1289"/>
      <c r="GI332" s="1289"/>
      <c r="GJ332" s="1289"/>
      <c r="GK332" s="1289"/>
      <c r="GL332" s="1289"/>
      <c r="GM332" s="1289"/>
    </row>
    <row r="333" spans="1:195" s="1299" customFormat="1" ht="16.149999999999999" hidden="1" customHeight="1" outlineLevel="1">
      <c r="A333" s="2127" t="s">
        <v>2021</v>
      </c>
      <c r="B333" s="2127" t="s">
        <v>566</v>
      </c>
      <c r="C333" s="2128"/>
      <c r="D333" s="2172"/>
      <c r="E333" s="2134" t="s">
        <v>2424</v>
      </c>
      <c r="F333" s="380">
        <f>SUMIFS(INPUT!H:H,INPUT!E:E,BAZE_2024!A333,INPUT!B:B,BAZE_2024!B333)</f>
        <v>1127560</v>
      </c>
      <c r="G333" s="1870">
        <f>SUMIFS(INPUT!L:L,INPUT!E:E,BAZE_2024!A333,INPUT!B:B,BAZE_2024!B333)</f>
        <v>0</v>
      </c>
      <c r="H333" s="1287">
        <f>G333-F333</f>
        <v>-1127560</v>
      </c>
      <c r="I333" s="1849">
        <f t="shared" si="22"/>
        <v>-1</v>
      </c>
      <c r="J333" s="2175"/>
      <c r="K333" s="2129"/>
      <c r="L333" s="2014"/>
      <c r="M333" s="1289"/>
      <c r="N333" s="1289"/>
      <c r="O333" s="1289"/>
      <c r="P333" s="1289"/>
      <c r="Q333" s="1289"/>
      <c r="R333" s="1289"/>
      <c r="S333" s="1289"/>
      <c r="T333" s="1289"/>
      <c r="U333" s="1289"/>
      <c r="V333" s="1289"/>
      <c r="W333" s="1289"/>
      <c r="X333" s="1289"/>
      <c r="Y333" s="1289"/>
      <c r="Z333" s="1289"/>
      <c r="AA333" s="1289"/>
      <c r="AB333" s="1289"/>
      <c r="AC333" s="1289"/>
      <c r="AD333" s="1289"/>
      <c r="AE333" s="1289"/>
      <c r="AF333" s="1289"/>
      <c r="AG333" s="1289"/>
      <c r="AH333" s="1289"/>
      <c r="AI333" s="1289"/>
      <c r="AJ333" s="1289"/>
      <c r="AK333" s="1289"/>
      <c r="AL333" s="1289"/>
      <c r="AM333" s="1289"/>
      <c r="AN333" s="1289"/>
      <c r="AO333" s="1289"/>
      <c r="AP333" s="1289"/>
      <c r="AQ333" s="1289"/>
      <c r="AR333" s="1289"/>
      <c r="AS333" s="1289"/>
      <c r="AT333" s="1289"/>
      <c r="AU333" s="1289"/>
      <c r="AV333" s="1289"/>
      <c r="AW333" s="1289"/>
      <c r="AX333" s="1289"/>
      <c r="AY333" s="1289"/>
      <c r="AZ333" s="1289"/>
      <c r="BA333" s="1289"/>
      <c r="BB333" s="1289"/>
      <c r="BC333" s="1289"/>
      <c r="BD333" s="1289"/>
      <c r="BE333" s="1289"/>
      <c r="BF333" s="1289"/>
      <c r="BG333" s="1289"/>
      <c r="BH333" s="1289"/>
      <c r="BI333" s="1289"/>
      <c r="BJ333" s="1289"/>
      <c r="BK333" s="1289"/>
      <c r="BL333" s="1289"/>
      <c r="BM333" s="1289"/>
      <c r="BN333" s="1289"/>
      <c r="BO333" s="1289"/>
      <c r="BP333" s="1289"/>
      <c r="BQ333" s="1289"/>
      <c r="BR333" s="1289"/>
      <c r="BS333" s="1289"/>
      <c r="BT333" s="1289"/>
      <c r="BU333" s="1289"/>
      <c r="BV333" s="1289"/>
      <c r="BW333" s="1289"/>
      <c r="BX333" s="1289"/>
      <c r="BY333" s="1289"/>
      <c r="BZ333" s="1289"/>
      <c r="CA333" s="1289"/>
      <c r="CB333" s="1289"/>
      <c r="CC333" s="1289"/>
      <c r="CD333" s="1289"/>
      <c r="CE333" s="1289"/>
      <c r="CF333" s="1289"/>
      <c r="CG333" s="1289"/>
      <c r="CH333" s="1289"/>
      <c r="CI333" s="1289"/>
      <c r="CJ333" s="1289"/>
      <c r="CK333" s="1289"/>
      <c r="CL333" s="1289"/>
      <c r="CM333" s="1289"/>
      <c r="CN333" s="1289"/>
      <c r="CO333" s="1289"/>
      <c r="CP333" s="1289"/>
      <c r="CQ333" s="1289"/>
      <c r="CR333" s="1289"/>
      <c r="CS333" s="1289"/>
      <c r="CT333" s="1289"/>
      <c r="CU333" s="1289"/>
      <c r="CV333" s="1289"/>
      <c r="CW333" s="1289"/>
      <c r="CX333" s="1289"/>
      <c r="CY333" s="1289"/>
      <c r="CZ333" s="1289"/>
      <c r="DA333" s="1289"/>
      <c r="DB333" s="1289"/>
      <c r="DC333" s="1289"/>
      <c r="DD333" s="1289"/>
      <c r="DE333" s="1289"/>
      <c r="DF333" s="1289"/>
      <c r="DG333" s="1289"/>
      <c r="DH333" s="1289"/>
      <c r="DI333" s="1289"/>
      <c r="DJ333" s="1289"/>
      <c r="DK333" s="1289"/>
      <c r="DL333" s="1289"/>
      <c r="DM333" s="1289"/>
      <c r="DN333" s="1289"/>
      <c r="DO333" s="1289"/>
      <c r="DP333" s="1289"/>
      <c r="DQ333" s="1289"/>
      <c r="DR333" s="1289"/>
      <c r="DS333" s="1289"/>
      <c r="DT333" s="1289"/>
      <c r="DU333" s="1289"/>
      <c r="DV333" s="1289"/>
      <c r="DW333" s="1289"/>
      <c r="DX333" s="1289"/>
      <c r="DY333" s="1289"/>
      <c r="DZ333" s="1289"/>
      <c r="EA333" s="1289"/>
      <c r="EB333" s="1289"/>
      <c r="EC333" s="1289"/>
      <c r="ED333" s="1289"/>
      <c r="EE333" s="1289"/>
      <c r="EF333" s="1289"/>
      <c r="EG333" s="1289"/>
      <c r="EH333" s="1289"/>
      <c r="EI333" s="1289"/>
      <c r="EJ333" s="1289"/>
      <c r="EK333" s="1289"/>
      <c r="EL333" s="1289"/>
      <c r="EM333" s="1289"/>
      <c r="EN333" s="1289"/>
      <c r="EO333" s="1289"/>
      <c r="EP333" s="1289"/>
      <c r="EQ333" s="1289"/>
      <c r="ER333" s="1289"/>
      <c r="ES333" s="1289"/>
      <c r="ET333" s="1289"/>
      <c r="EU333" s="1289"/>
      <c r="EV333" s="1289"/>
      <c r="EW333" s="1289"/>
      <c r="EX333" s="1289"/>
      <c r="EY333" s="1289"/>
      <c r="EZ333" s="1289"/>
      <c r="FA333" s="1289"/>
      <c r="FB333" s="1289"/>
      <c r="FC333" s="1289"/>
      <c r="FD333" s="1289"/>
      <c r="FE333" s="1289"/>
      <c r="FF333" s="1289"/>
      <c r="FG333" s="1289"/>
      <c r="FH333" s="1289"/>
      <c r="FI333" s="1289"/>
      <c r="FJ333" s="1289"/>
      <c r="FK333" s="1289"/>
      <c r="FL333" s="1289"/>
      <c r="FM333" s="1289"/>
      <c r="FN333" s="1289"/>
      <c r="FO333" s="1289"/>
      <c r="FP333" s="1289"/>
      <c r="FQ333" s="1289"/>
      <c r="FR333" s="1289"/>
      <c r="FS333" s="1289"/>
      <c r="FT333" s="1289"/>
      <c r="FU333" s="1289"/>
      <c r="FV333" s="1289"/>
      <c r="FW333" s="1289"/>
      <c r="FX333" s="1289"/>
      <c r="FY333" s="1289"/>
      <c r="FZ333" s="1289"/>
      <c r="GA333" s="1289"/>
      <c r="GB333" s="1289"/>
      <c r="GC333" s="1289"/>
      <c r="GD333" s="1289"/>
      <c r="GE333" s="1289"/>
      <c r="GF333" s="1289"/>
      <c r="GG333" s="1289"/>
      <c r="GH333" s="1289"/>
      <c r="GI333" s="1289"/>
      <c r="GJ333" s="1289"/>
      <c r="GK333" s="1289"/>
      <c r="GL333" s="1289"/>
      <c r="GM333" s="1289"/>
    </row>
    <row r="334" spans="1:195" ht="15" collapsed="1">
      <c r="D334" s="138" t="s">
        <v>2502</v>
      </c>
      <c r="E334" s="130" t="s">
        <v>582</v>
      </c>
      <c r="F334" s="383">
        <f>F335+F336+F338+F337</f>
        <v>1342702.6504966028</v>
      </c>
      <c r="G334" s="383">
        <f>G335+G336+G338+G337</f>
        <v>1291398.8621271863</v>
      </c>
      <c r="H334" s="383">
        <f t="shared" si="21"/>
        <v>-51303.788369416492</v>
      </c>
      <c r="I334" s="1826">
        <f t="shared" si="22"/>
        <v>-3.8209344675413898E-2</v>
      </c>
      <c r="J334" s="222"/>
      <c r="K334" s="227"/>
    </row>
    <row r="335" spans="1:195" s="50" customFormat="1" ht="30" hidden="1" outlineLevel="1">
      <c r="A335" s="1665" t="s">
        <v>1912</v>
      </c>
      <c r="B335" s="1665" t="s">
        <v>663</v>
      </c>
      <c r="C335" s="1858"/>
      <c r="D335" s="160"/>
      <c r="E335" s="217" t="s">
        <v>663</v>
      </c>
      <c r="F335" s="364">
        <f>SUMIFS(INPUT!H:H,INPUT!E:E,BAZE_2024!A335,INPUT!B:B,BAZE_2024!B335)</f>
        <v>726967.26049660263</v>
      </c>
      <c r="G335" s="389">
        <f>SUMIFS(INPUT!L:L,INPUT!E:E,BAZE_2024!A335,INPUT!B:B,BAZE_2024!B335)</f>
        <v>716267.65777936007</v>
      </c>
      <c r="H335" s="1150">
        <f t="shared" si="21"/>
        <v>-10699.602717242553</v>
      </c>
      <c r="I335" s="1851">
        <f t="shared" si="22"/>
        <v>-1.4718135600678204E-2</v>
      </c>
      <c r="J335" s="1189" t="s">
        <v>5748</v>
      </c>
      <c r="K335" s="227"/>
      <c r="L335" s="77"/>
      <c r="M335">
        <v>730467.80937004997</v>
      </c>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row>
    <row r="336" spans="1:195" s="50" customFormat="1" ht="114.6" hidden="1" customHeight="1" outlineLevel="1">
      <c r="A336" s="1665" t="s">
        <v>1912</v>
      </c>
      <c r="B336" s="1665" t="s">
        <v>1248</v>
      </c>
      <c r="C336" s="1858"/>
      <c r="D336" s="216"/>
      <c r="E336" s="4384" t="s">
        <v>579</v>
      </c>
      <c r="F336" s="4385">
        <f>SUMIFS(INPUT!H:H,INPUT!E:E,BAZE_2024!A336,INPUT!B:B,BAZE_2024!B336)</f>
        <v>592874.56000000006</v>
      </c>
      <c r="G336" s="4385">
        <f>SUMIFS(INPUT!L:L,INPUT!E:E,BAZE_2024!A336,INPUT!B:B,BAZE_2024!B336)</f>
        <v>550832.20434782607</v>
      </c>
      <c r="H336" s="1150">
        <f t="shared" si="21"/>
        <v>-42042.355652173981</v>
      </c>
      <c r="I336" s="1851">
        <f t="shared" si="22"/>
        <v>-7.0912733466205691E-2</v>
      </c>
      <c r="J336" s="4383" t="s">
        <v>6223</v>
      </c>
      <c r="K336" s="156">
        <v>-0.02</v>
      </c>
      <c r="L336" s="1222">
        <f>G336*K336</f>
        <v>-11016.644086956521</v>
      </c>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2477" customFormat="1" ht="15" hidden="1" outlineLevel="1">
      <c r="A337" s="2791" t="s">
        <v>1912</v>
      </c>
      <c r="B337" s="2791" t="s">
        <v>2649</v>
      </c>
      <c r="C337" s="1858"/>
      <c r="D337" s="2792"/>
      <c r="E337" s="2793" t="s">
        <v>2648</v>
      </c>
      <c r="F337" s="2572">
        <f>SUMIFS(INPUT!H:H,INPUT!E:E,BAZE_2024!A337,INPUT!B:B,BAZE_2024!B337)</f>
        <v>0</v>
      </c>
      <c r="G337" s="2572">
        <f>SUMIFS(INPUT!L:L,INPUT!E:E,BAZE_2024!A337,INPUT!B:B,BAZE_2024!B337)</f>
        <v>0</v>
      </c>
      <c r="H337" s="103">
        <f>G337-F337</f>
        <v>0</v>
      </c>
      <c r="I337" s="3932" t="str">
        <f>IFERROR(H337/F337,"-")</f>
        <v>-</v>
      </c>
      <c r="J337" s="2794"/>
      <c r="K337" s="2121"/>
      <c r="L337" s="4354"/>
      <c r="M337" s="79"/>
      <c r="N337" s="79"/>
      <c r="O337" s="79"/>
      <c r="P337" s="79"/>
      <c r="Q337" s="79"/>
      <c r="R337" s="79"/>
      <c r="S337" s="79"/>
      <c r="T337" s="79"/>
      <c r="U337" s="79"/>
      <c r="V337" s="79"/>
      <c r="W337" s="79"/>
      <c r="X337" s="79"/>
      <c r="Y337" s="79"/>
      <c r="Z337" s="79"/>
      <c r="AA337" s="79"/>
      <c r="AB337" s="79"/>
      <c r="AC337" s="79"/>
      <c r="AD337" s="79"/>
      <c r="AE337" s="79"/>
      <c r="AF337" s="79"/>
      <c r="AG337" s="79"/>
      <c r="AH337" s="79"/>
      <c r="AI337" s="79"/>
      <c r="AJ337" s="79"/>
      <c r="AK337" s="79"/>
      <c r="AL337" s="79"/>
      <c r="AM337" s="79"/>
      <c r="AN337" s="79"/>
      <c r="AO337" s="79"/>
      <c r="AP337" s="79"/>
      <c r="AQ337" s="79"/>
      <c r="AR337" s="79"/>
      <c r="AS337" s="79"/>
      <c r="AT337" s="79"/>
      <c r="AU337" s="79"/>
      <c r="AV337" s="79"/>
      <c r="AW337" s="79"/>
      <c r="AX337" s="79"/>
      <c r="AY337" s="79"/>
      <c r="AZ337" s="79"/>
      <c r="BA337" s="79"/>
      <c r="BB337" s="79"/>
      <c r="BC337" s="79"/>
      <c r="BD337" s="79"/>
      <c r="BE337" s="79"/>
      <c r="BF337" s="79"/>
      <c r="BG337" s="79"/>
      <c r="BH337" s="79"/>
      <c r="BI337" s="79"/>
      <c r="BJ337" s="79"/>
      <c r="BK337" s="79"/>
      <c r="BL337" s="79"/>
      <c r="BM337" s="79"/>
      <c r="BN337" s="79"/>
      <c r="BO337" s="79"/>
      <c r="BP337" s="79"/>
      <c r="BQ337" s="79"/>
      <c r="BR337" s="79"/>
      <c r="BS337" s="79"/>
      <c r="BT337" s="79"/>
      <c r="BU337" s="79"/>
      <c r="BV337" s="79"/>
      <c r="BW337" s="79"/>
      <c r="BX337" s="79"/>
      <c r="BY337" s="79"/>
      <c r="BZ337" s="79"/>
      <c r="CA337" s="79"/>
      <c r="CB337" s="79"/>
      <c r="CC337" s="79"/>
      <c r="CD337" s="79"/>
      <c r="CE337" s="79"/>
      <c r="CF337" s="79"/>
      <c r="CG337" s="79"/>
      <c r="CH337" s="79"/>
      <c r="CI337" s="79"/>
      <c r="CJ337" s="79"/>
      <c r="CK337" s="79"/>
      <c r="CL337" s="79"/>
      <c r="CM337" s="79"/>
      <c r="CN337" s="79"/>
      <c r="CO337" s="79"/>
      <c r="CP337" s="79"/>
      <c r="CQ337" s="79"/>
      <c r="CR337" s="79"/>
      <c r="CS337" s="79"/>
      <c r="CT337" s="79"/>
      <c r="CU337" s="79"/>
      <c r="CV337" s="79"/>
      <c r="CW337" s="79"/>
      <c r="CX337" s="79"/>
      <c r="CY337" s="79"/>
      <c r="CZ337" s="79"/>
      <c r="DA337" s="79"/>
      <c r="DB337" s="79"/>
      <c r="DC337" s="79"/>
      <c r="DD337" s="79"/>
      <c r="DE337" s="79"/>
      <c r="DF337" s="79"/>
      <c r="DG337" s="79"/>
      <c r="DH337" s="79"/>
      <c r="DI337" s="79"/>
      <c r="DJ337" s="79"/>
      <c r="DK337" s="79"/>
      <c r="DL337" s="79"/>
      <c r="DM337" s="79"/>
      <c r="DN337" s="79"/>
      <c r="DO337" s="79"/>
      <c r="DP337" s="79"/>
      <c r="DQ337" s="79"/>
      <c r="DR337" s="79"/>
      <c r="DS337" s="79"/>
      <c r="DT337" s="79"/>
      <c r="DU337" s="79"/>
      <c r="DV337" s="79"/>
      <c r="DW337" s="79"/>
      <c r="DX337" s="79"/>
      <c r="DY337" s="79"/>
      <c r="DZ337" s="79"/>
      <c r="EA337" s="79"/>
      <c r="EB337" s="79"/>
      <c r="EC337" s="79"/>
      <c r="ED337" s="79"/>
      <c r="EE337" s="79"/>
      <c r="EF337" s="79"/>
      <c r="EG337" s="79"/>
      <c r="EH337" s="79"/>
      <c r="EI337" s="79"/>
      <c r="EJ337" s="79"/>
      <c r="EK337" s="79"/>
      <c r="EL337" s="79"/>
      <c r="EM337" s="79"/>
      <c r="EN337" s="79"/>
      <c r="EO337" s="79"/>
      <c r="EP337" s="79"/>
      <c r="EQ337" s="79"/>
      <c r="ER337" s="79"/>
      <c r="ES337" s="79"/>
      <c r="ET337" s="79"/>
      <c r="EU337" s="79"/>
      <c r="EV337" s="79"/>
      <c r="EW337" s="79"/>
      <c r="EX337" s="79"/>
      <c r="EY337" s="79"/>
      <c r="EZ337" s="79"/>
      <c r="FA337" s="79"/>
      <c r="FB337" s="79"/>
      <c r="FC337" s="79"/>
      <c r="FD337" s="79"/>
      <c r="FE337" s="79"/>
      <c r="FF337" s="79"/>
      <c r="FG337" s="79"/>
      <c r="FH337" s="79"/>
      <c r="FI337" s="79"/>
      <c r="FJ337" s="79"/>
      <c r="FK337" s="79"/>
      <c r="FL337" s="79"/>
      <c r="FM337" s="79"/>
      <c r="FN337" s="79"/>
      <c r="FO337" s="79"/>
      <c r="FP337" s="79"/>
      <c r="FQ337" s="79"/>
      <c r="FR337" s="79"/>
      <c r="FS337" s="79"/>
      <c r="FT337" s="79"/>
      <c r="FU337" s="79"/>
      <c r="FV337" s="79"/>
      <c r="FW337" s="79"/>
      <c r="FX337" s="79"/>
      <c r="FY337" s="79"/>
      <c r="FZ337" s="79"/>
      <c r="GA337" s="79"/>
      <c r="GB337" s="79"/>
      <c r="GC337" s="79"/>
      <c r="GD337" s="79"/>
      <c r="GE337" s="79"/>
      <c r="GF337" s="79"/>
      <c r="GG337" s="79"/>
      <c r="GH337" s="79"/>
      <c r="GI337" s="79"/>
      <c r="GJ337" s="79"/>
      <c r="GK337" s="79"/>
      <c r="GL337" s="79"/>
      <c r="GM337" s="79"/>
    </row>
    <row r="338" spans="1:195" s="50" customFormat="1" ht="15" hidden="1" outlineLevel="1">
      <c r="A338" s="1665" t="s">
        <v>1912</v>
      </c>
      <c r="B338" s="1665" t="s">
        <v>1250</v>
      </c>
      <c r="C338" s="1858"/>
      <c r="D338" s="160"/>
      <c r="E338" s="161" t="s">
        <v>578</v>
      </c>
      <c r="F338" s="364">
        <f>SUMIFS(INPUT!H:H,INPUT!E:E,BAZE_2024!A338,INPUT!B:B,BAZE_2024!B338)</f>
        <v>22860.83</v>
      </c>
      <c r="G338" s="389">
        <f>SUMIFS(INPUT!L:L,INPUT!E:E,BAZE_2024!A338,INPUT!B:B,BAZE_2024!B338)</f>
        <v>24299</v>
      </c>
      <c r="H338" s="1150">
        <f t="shared" si="21"/>
        <v>1438.1699999999983</v>
      </c>
      <c r="I338" s="1851">
        <f t="shared" si="22"/>
        <v>6.2909789364603036E-2</v>
      </c>
      <c r="J338" s="220"/>
      <c r="K338" s="227"/>
      <c r="L338" s="4353"/>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299" customFormat="1" ht="15" hidden="1" outlineLevel="1">
      <c r="A339" s="2127" t="s">
        <v>1913</v>
      </c>
      <c r="B339" s="2127" t="s">
        <v>512</v>
      </c>
      <c r="C339" s="2128"/>
      <c r="D339" s="1297"/>
      <c r="E339" s="1294" t="s">
        <v>431</v>
      </c>
      <c r="F339" s="1280">
        <f>SUMIFS(INPUT!H:H,INPUT!E:E,BAZE_2024!A339,INPUT!B:B,BAZE_2024!B339)</f>
        <v>3965484.8000000003</v>
      </c>
      <c r="G339" s="380">
        <f>SUMIFS(INPUT!L:L,INPUT!E:E,BAZE_2024!A339,INPUT!B:B,BAZE_2024!B339)</f>
        <v>3965484.8000000003</v>
      </c>
      <c r="H339" s="1287">
        <f t="shared" si="21"/>
        <v>0</v>
      </c>
      <c r="I339" s="1849">
        <f t="shared" si="22"/>
        <v>0</v>
      </c>
      <c r="J339" s="2168"/>
      <c r="K339" s="2129"/>
      <c r="L339" s="4355"/>
      <c r="M339" s="1289"/>
      <c r="N339" s="1289"/>
      <c r="O339" s="1289"/>
      <c r="P339" s="1289"/>
      <c r="Q339" s="1289"/>
      <c r="R339" s="1289"/>
      <c r="S339" s="1289"/>
      <c r="T339" s="1289"/>
      <c r="U339" s="1289"/>
      <c r="V339" s="1289"/>
      <c r="W339" s="1289"/>
      <c r="X339" s="1289"/>
      <c r="Y339" s="1289"/>
      <c r="Z339" s="1289"/>
      <c r="AA339" s="1289"/>
      <c r="AB339" s="1289"/>
      <c r="AC339" s="1289"/>
      <c r="AD339" s="1289"/>
      <c r="AE339" s="1289"/>
      <c r="AF339" s="1289"/>
      <c r="AG339" s="1289"/>
      <c r="AH339" s="1289"/>
      <c r="AI339" s="1289"/>
      <c r="AJ339" s="1289"/>
      <c r="AK339" s="1289"/>
      <c r="AL339" s="1289"/>
      <c r="AM339" s="1289"/>
      <c r="AN339" s="1289"/>
      <c r="AO339" s="1289"/>
      <c r="AP339" s="1289"/>
      <c r="AQ339" s="1289"/>
      <c r="AR339" s="1289"/>
      <c r="AS339" s="1289"/>
      <c r="AT339" s="1289"/>
      <c r="AU339" s="1289"/>
      <c r="AV339" s="1289"/>
      <c r="AW339" s="1289"/>
      <c r="AX339" s="1289"/>
      <c r="AY339" s="1289"/>
      <c r="AZ339" s="1289"/>
      <c r="BA339" s="1289"/>
      <c r="BB339" s="1289"/>
      <c r="BC339" s="1289"/>
      <c r="BD339" s="1289"/>
      <c r="BE339" s="1289"/>
      <c r="BF339" s="1289"/>
      <c r="BG339" s="1289"/>
      <c r="BH339" s="1289"/>
      <c r="BI339" s="1289"/>
      <c r="BJ339" s="1289"/>
      <c r="BK339" s="1289"/>
      <c r="BL339" s="1289"/>
      <c r="BM339" s="1289"/>
      <c r="BN339" s="1289"/>
      <c r="BO339" s="1289"/>
      <c r="BP339" s="1289"/>
      <c r="BQ339" s="1289"/>
      <c r="BR339" s="1289"/>
      <c r="BS339" s="1289"/>
      <c r="BT339" s="1289"/>
      <c r="BU339" s="1289"/>
      <c r="BV339" s="1289"/>
      <c r="BW339" s="1289"/>
      <c r="BX339" s="1289"/>
      <c r="BY339" s="1289"/>
      <c r="BZ339" s="1289"/>
      <c r="CA339" s="1289"/>
      <c r="CB339" s="1289"/>
      <c r="CC339" s="1289"/>
      <c r="CD339" s="1289"/>
      <c r="CE339" s="1289"/>
      <c r="CF339" s="1289"/>
      <c r="CG339" s="1289"/>
      <c r="CH339" s="1289"/>
      <c r="CI339" s="1289"/>
      <c r="CJ339" s="1289"/>
      <c r="CK339" s="1289"/>
      <c r="CL339" s="1289"/>
      <c r="CM339" s="1289"/>
      <c r="CN339" s="1289"/>
      <c r="CO339" s="1289"/>
      <c r="CP339" s="1289"/>
      <c r="CQ339" s="1289"/>
      <c r="CR339" s="1289"/>
      <c r="CS339" s="1289"/>
      <c r="CT339" s="1289"/>
      <c r="CU339" s="1289"/>
      <c r="CV339" s="1289"/>
      <c r="CW339" s="1289"/>
      <c r="CX339" s="1289"/>
      <c r="CY339" s="1289"/>
      <c r="CZ339" s="1289"/>
      <c r="DA339" s="1289"/>
      <c r="DB339" s="1289"/>
      <c r="DC339" s="1289"/>
      <c r="DD339" s="1289"/>
      <c r="DE339" s="1289"/>
      <c r="DF339" s="1289"/>
      <c r="DG339" s="1289"/>
      <c r="DH339" s="1289"/>
      <c r="DI339" s="1289"/>
      <c r="DJ339" s="1289"/>
      <c r="DK339" s="1289"/>
      <c r="DL339" s="1289"/>
      <c r="DM339" s="1289"/>
      <c r="DN339" s="1289"/>
      <c r="DO339" s="1289"/>
      <c r="DP339" s="1289"/>
      <c r="DQ339" s="1289"/>
      <c r="DR339" s="1289"/>
      <c r="DS339" s="1289"/>
      <c r="DT339" s="1289"/>
      <c r="DU339" s="1289"/>
      <c r="DV339" s="1289"/>
      <c r="DW339" s="1289"/>
      <c r="DX339" s="1289"/>
      <c r="DY339" s="1289"/>
      <c r="DZ339" s="1289"/>
      <c r="EA339" s="1289"/>
      <c r="EB339" s="1289"/>
      <c r="EC339" s="1289"/>
      <c r="ED339" s="1289"/>
      <c r="EE339" s="1289"/>
      <c r="EF339" s="1289"/>
      <c r="EG339" s="1289"/>
      <c r="EH339" s="1289"/>
      <c r="EI339" s="1289"/>
      <c r="EJ339" s="1289"/>
      <c r="EK339" s="1289"/>
      <c r="EL339" s="1289"/>
      <c r="EM339" s="1289"/>
      <c r="EN339" s="1289"/>
      <c r="EO339" s="1289"/>
      <c r="EP339" s="1289"/>
      <c r="EQ339" s="1289"/>
      <c r="ER339" s="1289"/>
      <c r="ES339" s="1289"/>
      <c r="ET339" s="1289"/>
      <c r="EU339" s="1289"/>
      <c r="EV339" s="1289"/>
      <c r="EW339" s="1289"/>
      <c r="EX339" s="1289"/>
      <c r="EY339" s="1289"/>
      <c r="EZ339" s="1289"/>
      <c r="FA339" s="1289"/>
      <c r="FB339" s="1289"/>
      <c r="FC339" s="1289"/>
      <c r="FD339" s="1289"/>
      <c r="FE339" s="1289"/>
      <c r="FF339" s="1289"/>
      <c r="FG339" s="1289"/>
      <c r="FH339" s="1289"/>
      <c r="FI339" s="1289"/>
      <c r="FJ339" s="1289"/>
      <c r="FK339" s="1289"/>
      <c r="FL339" s="1289"/>
      <c r="FM339" s="1289"/>
      <c r="FN339" s="1289"/>
      <c r="FO339" s="1289"/>
      <c r="FP339" s="1289"/>
      <c r="FQ339" s="1289"/>
      <c r="FR339" s="1289"/>
      <c r="FS339" s="1289"/>
      <c r="FT339" s="1289"/>
      <c r="FU339" s="1289"/>
      <c r="FV339" s="1289"/>
      <c r="FW339" s="1289"/>
      <c r="FX339" s="1289"/>
      <c r="FY339" s="1289"/>
      <c r="FZ339" s="1289"/>
      <c r="GA339" s="1289"/>
      <c r="GB339" s="1289"/>
      <c r="GC339" s="1289"/>
      <c r="GD339" s="1289"/>
      <c r="GE339" s="1289"/>
      <c r="GF339" s="1289"/>
      <c r="GG339" s="1289"/>
      <c r="GH339" s="1289"/>
      <c r="GI339" s="1289"/>
      <c r="GJ339" s="1289"/>
      <c r="GK339" s="1289"/>
      <c r="GL339" s="1289"/>
      <c r="GM339" s="1289"/>
    </row>
    <row r="340" spans="1:195" s="1299" customFormat="1" ht="15" hidden="1" outlineLevel="1">
      <c r="A340" s="2127" t="s">
        <v>1912</v>
      </c>
      <c r="B340" s="2127" t="s">
        <v>1249</v>
      </c>
      <c r="C340" s="2128"/>
      <c r="D340" s="1297"/>
      <c r="E340" s="1294" t="s">
        <v>1249</v>
      </c>
      <c r="F340" s="1280">
        <f>SUMIFS(INPUT!H:H,INPUT!E:E,BAZE_2024!A340,INPUT!B:B,BAZE_2024!B340)</f>
        <v>557679</v>
      </c>
      <c r="G340" s="380">
        <f>SUMIFS(INPUT!L:L,INPUT!E:E,BAZE_2024!A340,INPUT!B:B,BAZE_2024!B340)</f>
        <v>1457820</v>
      </c>
      <c r="H340" s="1287">
        <f>G340-F340</f>
        <v>900141</v>
      </c>
      <c r="I340" s="1849">
        <f t="shared" si="22"/>
        <v>1.6140844464288595</v>
      </c>
      <c r="J340" s="2168"/>
      <c r="K340" s="2129"/>
      <c r="L340" s="4355"/>
      <c r="M340" s="1289"/>
      <c r="N340" s="1289"/>
      <c r="O340" s="1289"/>
      <c r="P340" s="1289"/>
      <c r="Q340" s="1289"/>
      <c r="R340" s="1289"/>
      <c r="S340" s="1289"/>
      <c r="T340" s="1289"/>
      <c r="U340" s="1289"/>
      <c r="V340" s="1289"/>
      <c r="W340" s="1289"/>
      <c r="X340" s="1289"/>
      <c r="Y340" s="1289"/>
      <c r="Z340" s="1289"/>
      <c r="AA340" s="1289"/>
      <c r="AB340" s="1289"/>
      <c r="AC340" s="1289"/>
      <c r="AD340" s="1289"/>
      <c r="AE340" s="1289"/>
      <c r="AF340" s="1289"/>
      <c r="AG340" s="1289"/>
      <c r="AH340" s="1289"/>
      <c r="AI340" s="1289"/>
      <c r="AJ340" s="1289"/>
      <c r="AK340" s="1289"/>
      <c r="AL340" s="1289"/>
      <c r="AM340" s="1289"/>
      <c r="AN340" s="1289"/>
      <c r="AO340" s="1289"/>
      <c r="AP340" s="1289"/>
      <c r="AQ340" s="1289"/>
      <c r="AR340" s="1289"/>
      <c r="AS340" s="1289"/>
      <c r="AT340" s="1289"/>
      <c r="AU340" s="1289"/>
      <c r="AV340" s="1289"/>
      <c r="AW340" s="1289"/>
      <c r="AX340" s="1289"/>
      <c r="AY340" s="1289"/>
      <c r="AZ340" s="1289"/>
      <c r="BA340" s="1289"/>
      <c r="BB340" s="1289"/>
      <c r="BC340" s="1289"/>
      <c r="BD340" s="1289"/>
      <c r="BE340" s="1289"/>
      <c r="BF340" s="1289"/>
      <c r="BG340" s="1289"/>
      <c r="BH340" s="1289"/>
      <c r="BI340" s="1289"/>
      <c r="BJ340" s="1289"/>
      <c r="BK340" s="1289"/>
      <c r="BL340" s="1289"/>
      <c r="BM340" s="1289"/>
      <c r="BN340" s="1289"/>
      <c r="BO340" s="1289"/>
      <c r="BP340" s="1289"/>
      <c r="BQ340" s="1289"/>
      <c r="BR340" s="1289"/>
      <c r="BS340" s="1289"/>
      <c r="BT340" s="1289"/>
      <c r="BU340" s="1289"/>
      <c r="BV340" s="1289"/>
      <c r="BW340" s="1289"/>
      <c r="BX340" s="1289"/>
      <c r="BY340" s="1289"/>
      <c r="BZ340" s="1289"/>
      <c r="CA340" s="1289"/>
      <c r="CB340" s="1289"/>
      <c r="CC340" s="1289"/>
      <c r="CD340" s="1289"/>
      <c r="CE340" s="1289"/>
      <c r="CF340" s="1289"/>
      <c r="CG340" s="1289"/>
      <c r="CH340" s="1289"/>
      <c r="CI340" s="1289"/>
      <c r="CJ340" s="1289"/>
      <c r="CK340" s="1289"/>
      <c r="CL340" s="1289"/>
      <c r="CM340" s="1289"/>
      <c r="CN340" s="1289"/>
      <c r="CO340" s="1289"/>
      <c r="CP340" s="1289"/>
      <c r="CQ340" s="1289"/>
      <c r="CR340" s="1289"/>
      <c r="CS340" s="1289"/>
      <c r="CT340" s="1289"/>
      <c r="CU340" s="1289"/>
      <c r="CV340" s="1289"/>
      <c r="CW340" s="1289"/>
      <c r="CX340" s="1289"/>
      <c r="CY340" s="1289"/>
      <c r="CZ340" s="1289"/>
      <c r="DA340" s="1289"/>
      <c r="DB340" s="1289"/>
      <c r="DC340" s="1289"/>
      <c r="DD340" s="1289"/>
      <c r="DE340" s="1289"/>
      <c r="DF340" s="1289"/>
      <c r="DG340" s="1289"/>
      <c r="DH340" s="1289"/>
      <c r="DI340" s="1289"/>
      <c r="DJ340" s="1289"/>
      <c r="DK340" s="1289"/>
      <c r="DL340" s="1289"/>
      <c r="DM340" s="1289"/>
      <c r="DN340" s="1289"/>
      <c r="DO340" s="1289"/>
      <c r="DP340" s="1289"/>
      <c r="DQ340" s="1289"/>
      <c r="DR340" s="1289"/>
      <c r="DS340" s="1289"/>
      <c r="DT340" s="1289"/>
      <c r="DU340" s="1289"/>
      <c r="DV340" s="1289"/>
      <c r="DW340" s="1289"/>
      <c r="DX340" s="1289"/>
      <c r="DY340" s="1289"/>
      <c r="DZ340" s="1289"/>
      <c r="EA340" s="1289"/>
      <c r="EB340" s="1289"/>
      <c r="EC340" s="1289"/>
      <c r="ED340" s="1289"/>
      <c r="EE340" s="1289"/>
      <c r="EF340" s="1289"/>
      <c r="EG340" s="1289"/>
      <c r="EH340" s="1289"/>
      <c r="EI340" s="1289"/>
      <c r="EJ340" s="1289"/>
      <c r="EK340" s="1289"/>
      <c r="EL340" s="1289"/>
      <c r="EM340" s="1289"/>
      <c r="EN340" s="1289"/>
      <c r="EO340" s="1289"/>
      <c r="EP340" s="1289"/>
      <c r="EQ340" s="1289"/>
      <c r="ER340" s="1289"/>
      <c r="ES340" s="1289"/>
      <c r="ET340" s="1289"/>
      <c r="EU340" s="1289"/>
      <c r="EV340" s="1289"/>
      <c r="EW340" s="1289"/>
      <c r="EX340" s="1289"/>
      <c r="EY340" s="1289"/>
      <c r="EZ340" s="1289"/>
      <c r="FA340" s="1289"/>
      <c r="FB340" s="1289"/>
      <c r="FC340" s="1289"/>
      <c r="FD340" s="1289"/>
      <c r="FE340" s="1289"/>
      <c r="FF340" s="1289"/>
      <c r="FG340" s="1289"/>
      <c r="FH340" s="1289"/>
      <c r="FI340" s="1289"/>
      <c r="FJ340" s="1289"/>
      <c r="FK340" s="1289"/>
      <c r="FL340" s="1289"/>
      <c r="FM340" s="1289"/>
      <c r="FN340" s="1289"/>
      <c r="FO340" s="1289"/>
      <c r="FP340" s="1289"/>
      <c r="FQ340" s="1289"/>
      <c r="FR340" s="1289"/>
      <c r="FS340" s="1289"/>
      <c r="FT340" s="1289"/>
      <c r="FU340" s="1289"/>
      <c r="FV340" s="1289"/>
      <c r="FW340" s="1289"/>
      <c r="FX340" s="1289"/>
      <c r="FY340" s="1289"/>
      <c r="FZ340" s="1289"/>
      <c r="GA340" s="1289"/>
      <c r="GB340" s="1289"/>
      <c r="GC340" s="1289"/>
      <c r="GD340" s="1289"/>
      <c r="GE340" s="1289"/>
      <c r="GF340" s="1289"/>
      <c r="GG340" s="1289"/>
      <c r="GH340" s="1289"/>
      <c r="GI340" s="1289"/>
      <c r="GJ340" s="1289"/>
      <c r="GK340" s="1289"/>
      <c r="GL340" s="1289"/>
      <c r="GM340" s="1289"/>
    </row>
    <row r="341" spans="1:195" s="1299" customFormat="1" ht="15" hidden="1" outlineLevel="1">
      <c r="A341" s="2127" t="s">
        <v>1912</v>
      </c>
      <c r="B341" s="2127" t="s">
        <v>566</v>
      </c>
      <c r="C341" s="2128"/>
      <c r="D341" s="1302"/>
      <c r="E341" s="2004" t="s">
        <v>112</v>
      </c>
      <c r="F341" s="1280">
        <f>SUMIFS(INPUT!H:H,INPUT!E:E,BAZE_2024!A341,INPUT!B:B,BAZE_2024!B341)</f>
        <v>0</v>
      </c>
      <c r="G341" s="380">
        <f>SUMIFS(INPUT!L:L,INPUT!E:E,BAZE_2024!A341,INPUT!B:B,BAZE_2024!B341)</f>
        <v>0</v>
      </c>
      <c r="H341" s="1287">
        <f t="shared" si="21"/>
        <v>0</v>
      </c>
      <c r="I341" s="1849" t="str">
        <f t="shared" si="22"/>
        <v>-</v>
      </c>
      <c r="J341" s="2168"/>
      <c r="K341" s="2129"/>
      <c r="L341" s="4355"/>
      <c r="M341" s="1289"/>
      <c r="N341" s="1289"/>
      <c r="O341" s="1289"/>
      <c r="P341" s="1289"/>
      <c r="Q341" s="1289"/>
      <c r="R341" s="1289"/>
      <c r="S341" s="1289"/>
      <c r="T341" s="1289"/>
      <c r="U341" s="1289"/>
      <c r="V341" s="1289"/>
      <c r="W341" s="1289"/>
      <c r="X341" s="1289"/>
      <c r="Y341" s="1289"/>
      <c r="Z341" s="1289"/>
      <c r="AA341" s="1289"/>
      <c r="AB341" s="1289"/>
      <c r="AC341" s="1289"/>
      <c r="AD341" s="1289"/>
      <c r="AE341" s="1289"/>
      <c r="AF341" s="1289"/>
      <c r="AG341" s="1289"/>
      <c r="AH341" s="1289"/>
      <c r="AI341" s="1289"/>
      <c r="AJ341" s="1289"/>
      <c r="AK341" s="1289"/>
      <c r="AL341" s="1289"/>
      <c r="AM341" s="1289"/>
      <c r="AN341" s="1289"/>
      <c r="AO341" s="1289"/>
      <c r="AP341" s="1289"/>
      <c r="AQ341" s="1289"/>
      <c r="AR341" s="1289"/>
      <c r="AS341" s="1289"/>
      <c r="AT341" s="1289"/>
      <c r="AU341" s="1289"/>
      <c r="AV341" s="1289"/>
      <c r="AW341" s="1289"/>
      <c r="AX341" s="1289"/>
      <c r="AY341" s="1289"/>
      <c r="AZ341" s="1289"/>
      <c r="BA341" s="1289"/>
      <c r="BB341" s="1289"/>
      <c r="BC341" s="1289"/>
      <c r="BD341" s="1289"/>
      <c r="BE341" s="1289"/>
      <c r="BF341" s="1289"/>
      <c r="BG341" s="1289"/>
      <c r="BH341" s="1289"/>
      <c r="BI341" s="1289"/>
      <c r="BJ341" s="1289"/>
      <c r="BK341" s="1289"/>
      <c r="BL341" s="1289"/>
      <c r="BM341" s="1289"/>
      <c r="BN341" s="1289"/>
      <c r="BO341" s="1289"/>
      <c r="BP341" s="1289"/>
      <c r="BQ341" s="1289"/>
      <c r="BR341" s="1289"/>
      <c r="BS341" s="1289"/>
      <c r="BT341" s="1289"/>
      <c r="BU341" s="1289"/>
      <c r="BV341" s="1289"/>
      <c r="BW341" s="1289"/>
      <c r="BX341" s="1289"/>
      <c r="BY341" s="1289"/>
      <c r="BZ341" s="1289"/>
      <c r="CA341" s="1289"/>
      <c r="CB341" s="1289"/>
      <c r="CC341" s="1289"/>
      <c r="CD341" s="1289"/>
      <c r="CE341" s="1289"/>
      <c r="CF341" s="1289"/>
      <c r="CG341" s="1289"/>
      <c r="CH341" s="1289"/>
      <c r="CI341" s="1289"/>
      <c r="CJ341" s="1289"/>
      <c r="CK341" s="1289"/>
      <c r="CL341" s="1289"/>
      <c r="CM341" s="1289"/>
      <c r="CN341" s="1289"/>
      <c r="CO341" s="1289"/>
      <c r="CP341" s="1289"/>
      <c r="CQ341" s="1289"/>
      <c r="CR341" s="1289"/>
      <c r="CS341" s="1289"/>
      <c r="CT341" s="1289"/>
      <c r="CU341" s="1289"/>
      <c r="CV341" s="1289"/>
      <c r="CW341" s="1289"/>
      <c r="CX341" s="1289"/>
      <c r="CY341" s="1289"/>
      <c r="CZ341" s="1289"/>
      <c r="DA341" s="1289"/>
      <c r="DB341" s="1289"/>
      <c r="DC341" s="1289"/>
      <c r="DD341" s="1289"/>
      <c r="DE341" s="1289"/>
      <c r="DF341" s="1289"/>
      <c r="DG341" s="1289"/>
      <c r="DH341" s="1289"/>
      <c r="DI341" s="1289"/>
      <c r="DJ341" s="1289"/>
      <c r="DK341" s="1289"/>
      <c r="DL341" s="1289"/>
      <c r="DM341" s="1289"/>
      <c r="DN341" s="1289"/>
      <c r="DO341" s="1289"/>
      <c r="DP341" s="1289"/>
      <c r="DQ341" s="1289"/>
      <c r="DR341" s="1289"/>
      <c r="DS341" s="1289"/>
      <c r="DT341" s="1289"/>
      <c r="DU341" s="1289"/>
      <c r="DV341" s="1289"/>
      <c r="DW341" s="1289"/>
      <c r="DX341" s="1289"/>
      <c r="DY341" s="1289"/>
      <c r="DZ341" s="1289"/>
      <c r="EA341" s="1289"/>
      <c r="EB341" s="1289"/>
      <c r="EC341" s="1289"/>
      <c r="ED341" s="1289"/>
      <c r="EE341" s="1289"/>
      <c r="EF341" s="1289"/>
      <c r="EG341" s="1289"/>
      <c r="EH341" s="1289"/>
      <c r="EI341" s="1289"/>
      <c r="EJ341" s="1289"/>
      <c r="EK341" s="1289"/>
      <c r="EL341" s="1289"/>
      <c r="EM341" s="1289"/>
      <c r="EN341" s="1289"/>
      <c r="EO341" s="1289"/>
      <c r="EP341" s="1289"/>
      <c r="EQ341" s="1289"/>
      <c r="ER341" s="1289"/>
      <c r="ES341" s="1289"/>
      <c r="ET341" s="1289"/>
      <c r="EU341" s="1289"/>
      <c r="EV341" s="1289"/>
      <c r="EW341" s="1289"/>
      <c r="EX341" s="1289"/>
      <c r="EY341" s="1289"/>
      <c r="EZ341" s="1289"/>
      <c r="FA341" s="1289"/>
      <c r="FB341" s="1289"/>
      <c r="FC341" s="1289"/>
      <c r="FD341" s="1289"/>
      <c r="FE341" s="1289"/>
      <c r="FF341" s="1289"/>
      <c r="FG341" s="1289"/>
      <c r="FH341" s="1289"/>
      <c r="FI341" s="1289"/>
      <c r="FJ341" s="1289"/>
      <c r="FK341" s="1289"/>
      <c r="FL341" s="1289"/>
      <c r="FM341" s="1289"/>
      <c r="FN341" s="1289"/>
      <c r="FO341" s="1289"/>
      <c r="FP341" s="1289"/>
      <c r="FQ341" s="1289"/>
      <c r="FR341" s="1289"/>
      <c r="FS341" s="1289"/>
      <c r="FT341" s="1289"/>
      <c r="FU341" s="1289"/>
      <c r="FV341" s="1289"/>
      <c r="FW341" s="1289"/>
      <c r="FX341" s="1289"/>
      <c r="FY341" s="1289"/>
      <c r="FZ341" s="1289"/>
      <c r="GA341" s="1289"/>
      <c r="GB341" s="1289"/>
      <c r="GC341" s="1289"/>
      <c r="GD341" s="1289"/>
      <c r="GE341" s="1289"/>
      <c r="GF341" s="1289"/>
      <c r="GG341" s="1289"/>
      <c r="GH341" s="1289"/>
      <c r="GI341" s="1289"/>
      <c r="GJ341" s="1289"/>
      <c r="GK341" s="1289"/>
      <c r="GL341" s="1289"/>
      <c r="GM341" s="1289"/>
    </row>
    <row r="342" spans="1:195" s="1299" customFormat="1" ht="15" hidden="1" outlineLevel="1">
      <c r="A342" s="2127" t="s">
        <v>1941</v>
      </c>
      <c r="B342" s="2127" t="s">
        <v>566</v>
      </c>
      <c r="C342" s="2128"/>
      <c r="D342" s="1312"/>
      <c r="E342" s="2004" t="s">
        <v>1650</v>
      </c>
      <c r="F342" s="1280">
        <f>SUMIFS(INPUT!H:H,INPUT!E:E,BAZE_2024!A342,INPUT!B:B,BAZE_2024!B342)</f>
        <v>14147</v>
      </c>
      <c r="G342" s="380">
        <f>SUMIFS(INPUT!L:L,INPUT!E:E,BAZE_2024!A342,INPUT!B:B,BAZE_2024!B342)</f>
        <v>14484.76</v>
      </c>
      <c r="H342" s="1287">
        <f>G342-F342</f>
        <v>337.76000000000022</v>
      </c>
      <c r="I342" s="1849">
        <f>IFERROR(H342/F342,"-")</f>
        <v>2.3875026507386741E-2</v>
      </c>
      <c r="J342" s="2174"/>
      <c r="K342" s="2129"/>
      <c r="L342" s="4355"/>
      <c r="M342" s="1289"/>
      <c r="N342" s="1289"/>
      <c r="O342" s="1289"/>
      <c r="P342" s="1289"/>
      <c r="Q342" s="1289"/>
      <c r="R342" s="1289"/>
      <c r="S342" s="1289"/>
      <c r="T342" s="1289"/>
      <c r="U342" s="1289"/>
      <c r="V342" s="1289"/>
      <c r="W342" s="1289"/>
      <c r="X342" s="1289"/>
      <c r="Y342" s="1289"/>
      <c r="Z342" s="1289"/>
      <c r="AA342" s="1289"/>
      <c r="AB342" s="1289"/>
      <c r="AC342" s="1289"/>
      <c r="AD342" s="1289"/>
      <c r="AE342" s="1289"/>
      <c r="AF342" s="1289"/>
      <c r="AG342" s="1289"/>
      <c r="AH342" s="1289"/>
      <c r="AI342" s="1289"/>
      <c r="AJ342" s="1289"/>
      <c r="AK342" s="1289"/>
      <c r="AL342" s="1289"/>
      <c r="AM342" s="1289"/>
      <c r="AN342" s="1289"/>
      <c r="AO342" s="1289"/>
      <c r="AP342" s="1289"/>
      <c r="AQ342" s="1289"/>
      <c r="AR342" s="1289"/>
      <c r="AS342" s="1289"/>
      <c r="AT342" s="1289"/>
      <c r="AU342" s="1289"/>
      <c r="AV342" s="1289"/>
      <c r="AW342" s="1289"/>
      <c r="AX342" s="1289"/>
      <c r="AY342" s="1289"/>
      <c r="AZ342" s="1289"/>
      <c r="BA342" s="1289"/>
      <c r="BB342" s="1289"/>
      <c r="BC342" s="1289"/>
      <c r="BD342" s="1289"/>
      <c r="BE342" s="1289"/>
      <c r="BF342" s="1289"/>
      <c r="BG342" s="1289"/>
      <c r="BH342" s="1289"/>
      <c r="BI342" s="1289"/>
      <c r="BJ342" s="1289"/>
      <c r="BK342" s="1289"/>
      <c r="BL342" s="1289"/>
      <c r="BM342" s="1289"/>
      <c r="BN342" s="1289"/>
      <c r="BO342" s="1289"/>
      <c r="BP342" s="1289"/>
      <c r="BQ342" s="1289"/>
      <c r="BR342" s="1289"/>
      <c r="BS342" s="1289"/>
      <c r="BT342" s="1289"/>
      <c r="BU342" s="1289"/>
      <c r="BV342" s="1289"/>
      <c r="BW342" s="1289"/>
      <c r="BX342" s="1289"/>
      <c r="BY342" s="1289"/>
      <c r="BZ342" s="1289"/>
      <c r="CA342" s="1289"/>
      <c r="CB342" s="1289"/>
      <c r="CC342" s="1289"/>
      <c r="CD342" s="1289"/>
      <c r="CE342" s="1289"/>
      <c r="CF342" s="1289"/>
      <c r="CG342" s="1289"/>
      <c r="CH342" s="1289"/>
      <c r="CI342" s="1289"/>
      <c r="CJ342" s="1289"/>
      <c r="CK342" s="1289"/>
      <c r="CL342" s="1289"/>
      <c r="CM342" s="1289"/>
      <c r="CN342" s="1289"/>
      <c r="CO342" s="1289"/>
      <c r="CP342" s="1289"/>
      <c r="CQ342" s="1289"/>
      <c r="CR342" s="1289"/>
      <c r="CS342" s="1289"/>
      <c r="CT342" s="1289"/>
      <c r="CU342" s="1289"/>
      <c r="CV342" s="1289"/>
      <c r="CW342" s="1289"/>
      <c r="CX342" s="1289"/>
      <c r="CY342" s="1289"/>
      <c r="CZ342" s="1289"/>
      <c r="DA342" s="1289"/>
      <c r="DB342" s="1289"/>
      <c r="DC342" s="1289"/>
      <c r="DD342" s="1289"/>
      <c r="DE342" s="1289"/>
      <c r="DF342" s="1289"/>
      <c r="DG342" s="1289"/>
      <c r="DH342" s="1289"/>
      <c r="DI342" s="1289"/>
      <c r="DJ342" s="1289"/>
      <c r="DK342" s="1289"/>
      <c r="DL342" s="1289"/>
      <c r="DM342" s="1289"/>
      <c r="DN342" s="1289"/>
      <c r="DO342" s="1289"/>
      <c r="DP342" s="1289"/>
      <c r="DQ342" s="1289"/>
      <c r="DR342" s="1289"/>
      <c r="DS342" s="1289"/>
      <c r="DT342" s="1289"/>
      <c r="DU342" s="1289"/>
      <c r="DV342" s="1289"/>
      <c r="DW342" s="1289"/>
      <c r="DX342" s="1289"/>
      <c r="DY342" s="1289"/>
      <c r="DZ342" s="1289"/>
      <c r="EA342" s="1289"/>
      <c r="EB342" s="1289"/>
      <c r="EC342" s="1289"/>
      <c r="ED342" s="1289"/>
      <c r="EE342" s="1289"/>
      <c r="EF342" s="1289"/>
      <c r="EG342" s="1289"/>
      <c r="EH342" s="1289"/>
      <c r="EI342" s="1289"/>
      <c r="EJ342" s="1289"/>
      <c r="EK342" s="1289"/>
      <c r="EL342" s="1289"/>
      <c r="EM342" s="1289"/>
      <c r="EN342" s="1289"/>
      <c r="EO342" s="1289"/>
      <c r="EP342" s="1289"/>
      <c r="EQ342" s="1289"/>
      <c r="ER342" s="1289"/>
      <c r="ES342" s="1289"/>
      <c r="ET342" s="1289"/>
      <c r="EU342" s="1289"/>
      <c r="EV342" s="1289"/>
      <c r="EW342" s="1289"/>
      <c r="EX342" s="1289"/>
      <c r="EY342" s="1289"/>
      <c r="EZ342" s="1289"/>
      <c r="FA342" s="1289"/>
      <c r="FB342" s="1289"/>
      <c r="FC342" s="1289"/>
      <c r="FD342" s="1289"/>
      <c r="FE342" s="1289"/>
      <c r="FF342" s="1289"/>
      <c r="FG342" s="1289"/>
      <c r="FH342" s="1289"/>
      <c r="FI342" s="1289"/>
      <c r="FJ342" s="1289"/>
      <c r="FK342" s="1289"/>
      <c r="FL342" s="1289"/>
      <c r="FM342" s="1289"/>
      <c r="FN342" s="1289"/>
      <c r="FO342" s="1289"/>
      <c r="FP342" s="1289"/>
      <c r="FQ342" s="1289"/>
      <c r="FR342" s="1289"/>
      <c r="FS342" s="1289"/>
      <c r="FT342" s="1289"/>
      <c r="FU342" s="1289"/>
      <c r="FV342" s="1289"/>
      <c r="FW342" s="1289"/>
      <c r="FX342" s="1289"/>
      <c r="FY342" s="1289"/>
      <c r="FZ342" s="1289"/>
      <c r="GA342" s="1289"/>
      <c r="GB342" s="1289"/>
      <c r="GC342" s="1289"/>
      <c r="GD342" s="1289"/>
      <c r="GE342" s="1289"/>
      <c r="GF342" s="1289"/>
      <c r="GG342" s="1289"/>
      <c r="GH342" s="1289"/>
      <c r="GI342" s="1289"/>
      <c r="GJ342" s="1289"/>
      <c r="GK342" s="1289"/>
      <c r="GL342" s="1289"/>
      <c r="GM342" s="1289"/>
    </row>
    <row r="343" spans="1:195" s="1299" customFormat="1" ht="15" hidden="1" outlineLevel="1">
      <c r="A343" s="2127" t="s">
        <v>2035</v>
      </c>
      <c r="B343" s="2127" t="s">
        <v>566</v>
      </c>
      <c r="C343" s="2128"/>
      <c r="D343" s="2172"/>
      <c r="E343" s="2134" t="s">
        <v>2445</v>
      </c>
      <c r="F343" s="1280">
        <f>SUMIFS(INPUT!H:H,INPUT!E:E,BAZE_2024!A343,INPUT!B:B,BAZE_2024!B343)</f>
        <v>250373</v>
      </c>
      <c r="G343" s="380">
        <f>SUMIFS(INPUT!L:L,INPUT!E:E,BAZE_2024!A343,INPUT!B:B,BAZE_2024!B343)</f>
        <v>266093</v>
      </c>
      <c r="H343" s="1287">
        <f>G343-F343</f>
        <v>15720</v>
      </c>
      <c r="I343" s="1849">
        <f>IFERROR(H343/F343,"-")</f>
        <v>6.2786322806372891E-2</v>
      </c>
      <c r="J343" s="2175"/>
      <c r="K343" s="2129"/>
      <c r="L343" s="2014"/>
      <c r="M343" s="1289"/>
      <c r="N343" s="1289"/>
      <c r="O343" s="1289"/>
      <c r="P343" s="1289"/>
      <c r="Q343" s="1289"/>
      <c r="R343" s="1289"/>
      <c r="S343" s="1289"/>
      <c r="T343" s="1289"/>
      <c r="U343" s="1289"/>
      <c r="V343" s="1289"/>
      <c r="W343" s="1289"/>
      <c r="X343" s="1289"/>
      <c r="Y343" s="1289"/>
      <c r="Z343" s="1289"/>
      <c r="AA343" s="1289"/>
      <c r="AB343" s="1289"/>
      <c r="AC343" s="1289"/>
      <c r="AD343" s="1289"/>
      <c r="AE343" s="1289"/>
      <c r="AF343" s="1289"/>
      <c r="AG343" s="1289"/>
      <c r="AH343" s="1289"/>
      <c r="AI343" s="1289"/>
      <c r="AJ343" s="1289"/>
      <c r="AK343" s="1289"/>
      <c r="AL343" s="1289"/>
      <c r="AM343" s="1289"/>
      <c r="AN343" s="1289"/>
      <c r="AO343" s="1289"/>
      <c r="AP343" s="1289"/>
      <c r="AQ343" s="1289"/>
      <c r="AR343" s="1289"/>
      <c r="AS343" s="1289"/>
      <c r="AT343" s="1289"/>
      <c r="AU343" s="1289"/>
      <c r="AV343" s="1289"/>
      <c r="AW343" s="1289"/>
      <c r="AX343" s="1289"/>
      <c r="AY343" s="1289"/>
      <c r="AZ343" s="1289"/>
      <c r="BA343" s="1289"/>
      <c r="BB343" s="1289"/>
      <c r="BC343" s="1289"/>
      <c r="BD343" s="1289"/>
      <c r="BE343" s="1289"/>
      <c r="BF343" s="1289"/>
      <c r="BG343" s="1289"/>
      <c r="BH343" s="1289"/>
      <c r="BI343" s="1289"/>
      <c r="BJ343" s="1289"/>
      <c r="BK343" s="1289"/>
      <c r="BL343" s="1289"/>
      <c r="BM343" s="1289"/>
      <c r="BN343" s="1289"/>
      <c r="BO343" s="1289"/>
      <c r="BP343" s="1289"/>
      <c r="BQ343" s="1289"/>
      <c r="BR343" s="1289"/>
      <c r="BS343" s="1289"/>
      <c r="BT343" s="1289"/>
      <c r="BU343" s="1289"/>
      <c r="BV343" s="1289"/>
      <c r="BW343" s="1289"/>
      <c r="BX343" s="1289"/>
      <c r="BY343" s="1289"/>
      <c r="BZ343" s="1289"/>
      <c r="CA343" s="1289"/>
      <c r="CB343" s="1289"/>
      <c r="CC343" s="1289"/>
      <c r="CD343" s="1289"/>
      <c r="CE343" s="1289"/>
      <c r="CF343" s="1289"/>
      <c r="CG343" s="1289"/>
      <c r="CH343" s="1289"/>
      <c r="CI343" s="1289"/>
      <c r="CJ343" s="1289"/>
      <c r="CK343" s="1289"/>
      <c r="CL343" s="1289"/>
      <c r="CM343" s="1289"/>
      <c r="CN343" s="1289"/>
      <c r="CO343" s="1289"/>
      <c r="CP343" s="1289"/>
      <c r="CQ343" s="1289"/>
      <c r="CR343" s="1289"/>
      <c r="CS343" s="1289"/>
      <c r="CT343" s="1289"/>
      <c r="CU343" s="1289"/>
      <c r="CV343" s="1289"/>
      <c r="CW343" s="1289"/>
      <c r="CX343" s="1289"/>
      <c r="CY343" s="1289"/>
      <c r="CZ343" s="1289"/>
      <c r="DA343" s="1289"/>
      <c r="DB343" s="1289"/>
      <c r="DC343" s="1289"/>
      <c r="DD343" s="1289"/>
      <c r="DE343" s="1289"/>
      <c r="DF343" s="1289"/>
      <c r="DG343" s="1289"/>
      <c r="DH343" s="1289"/>
      <c r="DI343" s="1289"/>
      <c r="DJ343" s="1289"/>
      <c r="DK343" s="1289"/>
      <c r="DL343" s="1289"/>
      <c r="DM343" s="1289"/>
      <c r="DN343" s="1289"/>
      <c r="DO343" s="1289"/>
      <c r="DP343" s="1289"/>
      <c r="DQ343" s="1289"/>
      <c r="DR343" s="1289"/>
      <c r="DS343" s="1289"/>
      <c r="DT343" s="1289"/>
      <c r="DU343" s="1289"/>
      <c r="DV343" s="1289"/>
      <c r="DW343" s="1289"/>
      <c r="DX343" s="1289"/>
      <c r="DY343" s="1289"/>
      <c r="DZ343" s="1289"/>
      <c r="EA343" s="1289"/>
      <c r="EB343" s="1289"/>
      <c r="EC343" s="1289"/>
      <c r="ED343" s="1289"/>
      <c r="EE343" s="1289"/>
      <c r="EF343" s="1289"/>
      <c r="EG343" s="1289"/>
      <c r="EH343" s="1289"/>
      <c r="EI343" s="1289"/>
      <c r="EJ343" s="1289"/>
      <c r="EK343" s="1289"/>
      <c r="EL343" s="1289"/>
      <c r="EM343" s="1289"/>
      <c r="EN343" s="1289"/>
      <c r="EO343" s="1289"/>
      <c r="EP343" s="1289"/>
      <c r="EQ343" s="1289"/>
      <c r="ER343" s="1289"/>
      <c r="ES343" s="1289"/>
      <c r="ET343" s="1289"/>
      <c r="EU343" s="1289"/>
      <c r="EV343" s="1289"/>
      <c r="EW343" s="1289"/>
      <c r="EX343" s="1289"/>
      <c r="EY343" s="1289"/>
      <c r="EZ343" s="1289"/>
      <c r="FA343" s="1289"/>
      <c r="FB343" s="1289"/>
      <c r="FC343" s="1289"/>
      <c r="FD343" s="1289"/>
      <c r="FE343" s="1289"/>
      <c r="FF343" s="1289"/>
      <c r="FG343" s="1289"/>
      <c r="FH343" s="1289"/>
      <c r="FI343" s="1289"/>
      <c r="FJ343" s="1289"/>
      <c r="FK343" s="1289"/>
      <c r="FL343" s="1289"/>
      <c r="FM343" s="1289"/>
      <c r="FN343" s="1289"/>
      <c r="FO343" s="1289"/>
      <c r="FP343" s="1289"/>
      <c r="FQ343" s="1289"/>
      <c r="FR343" s="1289"/>
      <c r="FS343" s="1289"/>
      <c r="FT343" s="1289"/>
      <c r="FU343" s="1289"/>
      <c r="FV343" s="1289"/>
      <c r="FW343" s="1289"/>
      <c r="FX343" s="1289"/>
      <c r="FY343" s="1289"/>
      <c r="FZ343" s="1289"/>
      <c r="GA343" s="1289"/>
      <c r="GB343" s="1289"/>
      <c r="GC343" s="1289"/>
      <c r="GD343" s="1289"/>
      <c r="GE343" s="1289"/>
      <c r="GF343" s="1289"/>
      <c r="GG343" s="1289"/>
      <c r="GH343" s="1289"/>
      <c r="GI343" s="1289"/>
      <c r="GJ343" s="1289"/>
      <c r="GK343" s="1289"/>
      <c r="GL343" s="1289"/>
      <c r="GM343" s="1289"/>
    </row>
    <row r="344" spans="1:195" ht="28.5" customHeight="1" collapsed="1">
      <c r="D344" s="138" t="s">
        <v>2503</v>
      </c>
      <c r="E344" s="130" t="s">
        <v>584</v>
      </c>
      <c r="F344" s="2">
        <f>F345+F346+F348+F347</f>
        <v>853551.60177700012</v>
      </c>
      <c r="G344" s="383">
        <f>G345+G346+G348+G347</f>
        <v>987089.57675100002</v>
      </c>
      <c r="H344" s="116">
        <f t="shared" si="21"/>
        <v>133537.9749739999</v>
      </c>
      <c r="I344" s="1826">
        <f t="shared" si="22"/>
        <v>0.15644979717217869</v>
      </c>
      <c r="J344" s="222"/>
      <c r="K344" s="227"/>
    </row>
    <row r="345" spans="1:195" s="50" customFormat="1" ht="15" hidden="1" outlineLevel="1">
      <c r="A345" s="1665" t="s">
        <v>1905</v>
      </c>
      <c r="B345" s="1665" t="s">
        <v>663</v>
      </c>
      <c r="C345" s="1858"/>
      <c r="D345" s="160"/>
      <c r="E345" s="217" t="s">
        <v>663</v>
      </c>
      <c r="F345" s="389">
        <f>SUMIFS(INPUT!H:H,INPUT!E:E,BAZE_2024!A345,INPUT!B:B,BAZE_2024!B345)</f>
        <v>712117.60177700012</v>
      </c>
      <c r="G345" s="389">
        <f>SUMIFS(INPUT!L:L,INPUT!E:E,BAZE_2024!A345,INPUT!B:B,BAZE_2024!B345)</f>
        <v>844979.42675099999</v>
      </c>
      <c r="H345" s="146">
        <f t="shared" si="21"/>
        <v>132861.82497399987</v>
      </c>
      <c r="I345" s="2797">
        <f t="shared" si="22"/>
        <v>0.18657287032711992</v>
      </c>
      <c r="J345" s="405"/>
      <c r="K345" s="227"/>
      <c r="L345" s="77"/>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row>
    <row r="346" spans="1:195" s="50" customFormat="1" ht="17.45" hidden="1" customHeight="1" outlineLevel="1">
      <c r="A346" s="1665" t="s">
        <v>1905</v>
      </c>
      <c r="B346" s="1665" t="s">
        <v>1248</v>
      </c>
      <c r="C346" s="1858"/>
      <c r="D346" s="216"/>
      <c r="E346" s="161" t="s">
        <v>579</v>
      </c>
      <c r="F346" s="389">
        <f>SUMIFS(INPUT!H:H,INPUT!E:E,BAZE_2024!A346,INPUT!B:B,BAZE_2024!B346)</f>
        <v>123534</v>
      </c>
      <c r="G346" s="389">
        <f>SUMIFS(INPUT!L:L,INPUT!E:E,BAZE_2024!A346,INPUT!B:B,BAZE_2024!B346)</f>
        <v>113410.15</v>
      </c>
      <c r="H346" s="102">
        <f t="shared" si="21"/>
        <v>-10123.850000000006</v>
      </c>
      <c r="I346" s="1824">
        <f t="shared" si="22"/>
        <v>-8.1951932261563665E-2</v>
      </c>
      <c r="J346" s="1181" t="s">
        <v>6093</v>
      </c>
      <c r="K346" s="156">
        <v>-0.02</v>
      </c>
      <c r="L346" s="1222">
        <f>G346*K346</f>
        <v>-2268.203</v>
      </c>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row>
    <row r="347" spans="1:195" s="50" customFormat="1" ht="15" hidden="1" outlineLevel="1">
      <c r="A347" s="1665" t="s">
        <v>1905</v>
      </c>
      <c r="B347" s="1665" t="s">
        <v>2649</v>
      </c>
      <c r="C347" s="1858"/>
      <c r="D347" s="2718"/>
      <c r="E347" s="1905" t="s">
        <v>2649</v>
      </c>
      <c r="F347" s="389">
        <f>SUMIFS(INPUT!H:H,INPUT!E:E,BAZE_2024!A347,INPUT!B:B,BAZE_2024!B347)</f>
        <v>0</v>
      </c>
      <c r="G347" s="389">
        <f>SUMIFS(INPUT!L:L,INPUT!E:E,BAZE_2024!A347,INPUT!B:B,BAZE_2024!B347)</f>
        <v>0</v>
      </c>
      <c r="H347" s="102">
        <f>G347-F347</f>
        <v>0</v>
      </c>
      <c r="I347" s="1824" t="str">
        <f>IFERROR(H347/F347,"-")</f>
        <v>-</v>
      </c>
      <c r="J347" s="220"/>
      <c r="K347" s="227"/>
      <c r="L347" s="7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row>
    <row r="348" spans="1:195" s="50" customFormat="1" ht="30" hidden="1" customHeight="1" outlineLevel="1">
      <c r="A348" s="1665" t="s">
        <v>1905</v>
      </c>
      <c r="B348" s="1665" t="s">
        <v>1250</v>
      </c>
      <c r="C348" s="1858"/>
      <c r="D348" s="160"/>
      <c r="E348" s="161" t="s">
        <v>578</v>
      </c>
      <c r="F348" s="389">
        <f>SUMIFS(INPUT!H:H,INPUT!E:E,BAZE_2024!A348,INPUT!B:B,BAZE_2024!B348)</f>
        <v>17900</v>
      </c>
      <c r="G348" s="389">
        <f>SUMIFS(INPUT!L:L,INPUT!E:E,BAZE_2024!A348,INPUT!B:B,BAZE_2024!B348)</f>
        <v>28700</v>
      </c>
      <c r="H348" s="146">
        <f t="shared" si="21"/>
        <v>10800</v>
      </c>
      <c r="I348" s="1836">
        <f t="shared" si="22"/>
        <v>0.6033519553072626</v>
      </c>
      <c r="J348" s="1181" t="s">
        <v>6091</v>
      </c>
      <c r="K348" s="227"/>
      <c r="L348" s="77"/>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row>
    <row r="349" spans="1:195" s="1299" customFormat="1" ht="15" hidden="1" outlineLevel="1">
      <c r="A349" s="2002" t="s">
        <v>1904</v>
      </c>
      <c r="B349" s="2002" t="s">
        <v>512</v>
      </c>
      <c r="C349" s="2003"/>
      <c r="D349" s="1297"/>
      <c r="E349" s="1294" t="s">
        <v>431</v>
      </c>
      <c r="F349" s="1279">
        <f>SUMIFS(INPUT!H:H,INPUT!E:E,BAZE_2024!A349,INPUT!B:B,BAZE_2024!B349)</f>
        <v>645928.88084</v>
      </c>
      <c r="G349" s="389">
        <f>SUMIFS(INPUT!L:L,INPUT!E:E,BAZE_2024!A349,INPUT!B:B,BAZE_2024!B349)</f>
        <v>703409.205632</v>
      </c>
      <c r="H349" s="1284">
        <f t="shared" si="21"/>
        <v>57480.324791999999</v>
      </c>
      <c r="I349" s="1836">
        <f t="shared" si="22"/>
        <v>8.8988627845916338E-2</v>
      </c>
      <c r="J349" s="1290"/>
      <c r="K349" s="1282"/>
      <c r="L349" s="2014"/>
      <c r="M349" s="1289"/>
      <c r="N349" s="1289"/>
      <c r="O349" s="1289"/>
      <c r="P349" s="1289"/>
      <c r="Q349" s="1289"/>
      <c r="R349" s="1289"/>
      <c r="S349" s="1289"/>
      <c r="T349" s="1289"/>
      <c r="U349" s="1289"/>
      <c r="V349" s="1289"/>
      <c r="W349" s="1289"/>
      <c r="X349" s="1289"/>
      <c r="Y349" s="1289"/>
      <c r="Z349" s="1289"/>
      <c r="AA349" s="1289"/>
      <c r="AB349" s="1289"/>
      <c r="AC349" s="1289"/>
      <c r="AD349" s="1289"/>
      <c r="AE349" s="1289"/>
      <c r="AF349" s="1289"/>
      <c r="AG349" s="1289"/>
      <c r="AH349" s="1289"/>
      <c r="AI349" s="1289"/>
      <c r="AJ349" s="1289"/>
      <c r="AK349" s="1289"/>
      <c r="AL349" s="1289"/>
      <c r="AM349" s="1289"/>
      <c r="AN349" s="1289"/>
      <c r="AO349" s="1289"/>
      <c r="AP349" s="1289"/>
      <c r="AQ349" s="1289"/>
      <c r="AR349" s="1289"/>
      <c r="AS349" s="1289"/>
      <c r="AT349" s="1289"/>
      <c r="AU349" s="1289"/>
      <c r="AV349" s="1289"/>
      <c r="AW349" s="1289"/>
      <c r="AX349" s="1289"/>
      <c r="AY349" s="1289"/>
      <c r="AZ349" s="1289"/>
      <c r="BA349" s="1289"/>
      <c r="BB349" s="1289"/>
      <c r="BC349" s="1289"/>
      <c r="BD349" s="1289"/>
      <c r="BE349" s="1289"/>
      <c r="BF349" s="1289"/>
      <c r="BG349" s="1289"/>
      <c r="BH349" s="1289"/>
      <c r="BI349" s="1289"/>
      <c r="BJ349" s="1289"/>
      <c r="BK349" s="1289"/>
      <c r="BL349" s="1289"/>
      <c r="BM349" s="1289"/>
      <c r="BN349" s="1289"/>
      <c r="BO349" s="1289"/>
      <c r="BP349" s="1289"/>
      <c r="BQ349" s="1289"/>
      <c r="BR349" s="1289"/>
      <c r="BS349" s="1289"/>
      <c r="BT349" s="1289"/>
      <c r="BU349" s="1289"/>
      <c r="BV349" s="1289"/>
      <c r="BW349" s="1289"/>
      <c r="BX349" s="1289"/>
      <c r="BY349" s="1289"/>
      <c r="BZ349" s="1289"/>
      <c r="CA349" s="1289"/>
      <c r="CB349" s="1289"/>
      <c r="CC349" s="1289"/>
      <c r="CD349" s="1289"/>
      <c r="CE349" s="1289"/>
      <c r="CF349" s="1289"/>
      <c r="CG349" s="1289"/>
      <c r="CH349" s="1289"/>
      <c r="CI349" s="1289"/>
      <c r="CJ349" s="1289"/>
      <c r="CK349" s="1289"/>
      <c r="CL349" s="1289"/>
      <c r="CM349" s="1289"/>
      <c r="CN349" s="1289"/>
      <c r="CO349" s="1289"/>
      <c r="CP349" s="1289"/>
      <c r="CQ349" s="1289"/>
      <c r="CR349" s="1289"/>
      <c r="CS349" s="1289"/>
      <c r="CT349" s="1289"/>
      <c r="CU349" s="1289"/>
      <c r="CV349" s="1289"/>
      <c r="CW349" s="1289"/>
      <c r="CX349" s="1289"/>
      <c r="CY349" s="1289"/>
      <c r="CZ349" s="1289"/>
      <c r="DA349" s="1289"/>
      <c r="DB349" s="1289"/>
      <c r="DC349" s="1289"/>
      <c r="DD349" s="1289"/>
      <c r="DE349" s="1289"/>
      <c r="DF349" s="1289"/>
      <c r="DG349" s="1289"/>
      <c r="DH349" s="1289"/>
      <c r="DI349" s="1289"/>
      <c r="DJ349" s="1289"/>
      <c r="DK349" s="1289"/>
      <c r="DL349" s="1289"/>
      <c r="DM349" s="1289"/>
      <c r="DN349" s="1289"/>
      <c r="DO349" s="1289"/>
      <c r="DP349" s="1289"/>
      <c r="DQ349" s="1289"/>
      <c r="DR349" s="1289"/>
      <c r="DS349" s="1289"/>
      <c r="DT349" s="1289"/>
      <c r="DU349" s="1289"/>
      <c r="DV349" s="1289"/>
      <c r="DW349" s="1289"/>
      <c r="DX349" s="1289"/>
      <c r="DY349" s="1289"/>
      <c r="DZ349" s="1289"/>
      <c r="EA349" s="1289"/>
      <c r="EB349" s="1289"/>
      <c r="EC349" s="1289"/>
      <c r="ED349" s="1289"/>
      <c r="EE349" s="1289"/>
      <c r="EF349" s="1289"/>
      <c r="EG349" s="1289"/>
      <c r="EH349" s="1289"/>
      <c r="EI349" s="1289"/>
      <c r="EJ349" s="1289"/>
      <c r="EK349" s="1289"/>
      <c r="EL349" s="1289"/>
      <c r="EM349" s="1289"/>
      <c r="EN349" s="1289"/>
      <c r="EO349" s="1289"/>
      <c r="EP349" s="1289"/>
      <c r="EQ349" s="1289"/>
      <c r="ER349" s="1289"/>
      <c r="ES349" s="1289"/>
      <c r="ET349" s="1289"/>
      <c r="EU349" s="1289"/>
      <c r="EV349" s="1289"/>
      <c r="EW349" s="1289"/>
      <c r="EX349" s="1289"/>
      <c r="EY349" s="1289"/>
      <c r="EZ349" s="1289"/>
      <c r="FA349" s="1289"/>
      <c r="FB349" s="1289"/>
      <c r="FC349" s="1289"/>
      <c r="FD349" s="1289"/>
      <c r="FE349" s="1289"/>
      <c r="FF349" s="1289"/>
      <c r="FG349" s="1289"/>
      <c r="FH349" s="1289"/>
      <c r="FI349" s="1289"/>
      <c r="FJ349" s="1289"/>
      <c r="FK349" s="1289"/>
      <c r="FL349" s="1289"/>
      <c r="FM349" s="1289"/>
      <c r="FN349" s="1289"/>
      <c r="FO349" s="1289"/>
      <c r="FP349" s="1289"/>
      <c r="FQ349" s="1289"/>
      <c r="FR349" s="1289"/>
      <c r="FS349" s="1289"/>
      <c r="FT349" s="1289"/>
      <c r="FU349" s="1289"/>
      <c r="FV349" s="1289"/>
      <c r="FW349" s="1289"/>
      <c r="FX349" s="1289"/>
      <c r="FY349" s="1289"/>
      <c r="FZ349" s="1289"/>
      <c r="GA349" s="1289"/>
      <c r="GB349" s="1289"/>
      <c r="GC349" s="1289"/>
      <c r="GD349" s="1289"/>
      <c r="GE349" s="1289"/>
      <c r="GF349" s="1289"/>
      <c r="GG349" s="1289"/>
      <c r="GH349" s="1289"/>
      <c r="GI349" s="1289"/>
      <c r="GJ349" s="1289"/>
      <c r="GK349" s="1289"/>
      <c r="GL349" s="1289"/>
      <c r="GM349" s="1289"/>
    </row>
    <row r="350" spans="1:195" s="1299" customFormat="1" ht="15" hidden="1" outlineLevel="1">
      <c r="A350" s="2002" t="s">
        <v>1905</v>
      </c>
      <c r="B350" s="2002" t="s">
        <v>1249</v>
      </c>
      <c r="C350" s="2003"/>
      <c r="D350" s="1297"/>
      <c r="E350" s="1294" t="s">
        <v>1249</v>
      </c>
      <c r="F350" s="1279">
        <f>SUMIFS(INPUT!H:H,INPUT!E:E,BAZE_2024!A350,INPUT!B:B,BAZE_2024!B350)</f>
        <v>41900</v>
      </c>
      <c r="G350" s="389">
        <f>SUMIFS(INPUT!L:L,INPUT!E:E,BAZE_2024!A350,INPUT!B:B,BAZE_2024!B350)</f>
        <v>30000</v>
      </c>
      <c r="H350" s="1285">
        <f t="shared" si="21"/>
        <v>-11900</v>
      </c>
      <c r="I350" s="1837">
        <f t="shared" si="22"/>
        <v>-0.28400954653937949</v>
      </c>
      <c r="J350" s="1290"/>
      <c r="K350" s="1282"/>
      <c r="L350" s="2014"/>
      <c r="M350" s="1289"/>
      <c r="N350" s="1289"/>
      <c r="O350" s="1289"/>
      <c r="P350" s="1289"/>
      <c r="Q350" s="1289"/>
      <c r="R350" s="1289"/>
      <c r="S350" s="1289"/>
      <c r="T350" s="1289"/>
      <c r="U350" s="1289"/>
      <c r="V350" s="1289"/>
      <c r="W350" s="1289"/>
      <c r="X350" s="1289"/>
      <c r="Y350" s="1289"/>
      <c r="Z350" s="1289"/>
      <c r="AA350" s="1289"/>
      <c r="AB350" s="1289"/>
      <c r="AC350" s="1289"/>
      <c r="AD350" s="1289"/>
      <c r="AE350" s="1289"/>
      <c r="AF350" s="1289"/>
      <c r="AG350" s="1289"/>
      <c r="AH350" s="1289"/>
      <c r="AI350" s="1289"/>
      <c r="AJ350" s="1289"/>
      <c r="AK350" s="1289"/>
      <c r="AL350" s="1289"/>
      <c r="AM350" s="1289"/>
      <c r="AN350" s="1289"/>
      <c r="AO350" s="1289"/>
      <c r="AP350" s="1289"/>
      <c r="AQ350" s="1289"/>
      <c r="AR350" s="1289"/>
      <c r="AS350" s="1289"/>
      <c r="AT350" s="1289"/>
      <c r="AU350" s="1289"/>
      <c r="AV350" s="1289"/>
      <c r="AW350" s="1289"/>
      <c r="AX350" s="1289"/>
      <c r="AY350" s="1289"/>
      <c r="AZ350" s="1289"/>
      <c r="BA350" s="1289"/>
      <c r="BB350" s="1289"/>
      <c r="BC350" s="1289"/>
      <c r="BD350" s="1289"/>
      <c r="BE350" s="1289"/>
      <c r="BF350" s="1289"/>
      <c r="BG350" s="1289"/>
      <c r="BH350" s="1289"/>
      <c r="BI350" s="1289"/>
      <c r="BJ350" s="1289"/>
      <c r="BK350" s="1289"/>
      <c r="BL350" s="1289"/>
      <c r="BM350" s="1289"/>
      <c r="BN350" s="1289"/>
      <c r="BO350" s="1289"/>
      <c r="BP350" s="1289"/>
      <c r="BQ350" s="1289"/>
      <c r="BR350" s="1289"/>
      <c r="BS350" s="1289"/>
      <c r="BT350" s="1289"/>
      <c r="BU350" s="1289"/>
      <c r="BV350" s="1289"/>
      <c r="BW350" s="1289"/>
      <c r="BX350" s="1289"/>
      <c r="BY350" s="1289"/>
      <c r="BZ350" s="1289"/>
      <c r="CA350" s="1289"/>
      <c r="CB350" s="1289"/>
      <c r="CC350" s="1289"/>
      <c r="CD350" s="1289"/>
      <c r="CE350" s="1289"/>
      <c r="CF350" s="1289"/>
      <c r="CG350" s="1289"/>
      <c r="CH350" s="1289"/>
      <c r="CI350" s="1289"/>
      <c r="CJ350" s="1289"/>
      <c r="CK350" s="1289"/>
      <c r="CL350" s="1289"/>
      <c r="CM350" s="1289"/>
      <c r="CN350" s="1289"/>
      <c r="CO350" s="1289"/>
      <c r="CP350" s="1289"/>
      <c r="CQ350" s="1289"/>
      <c r="CR350" s="1289"/>
      <c r="CS350" s="1289"/>
      <c r="CT350" s="1289"/>
      <c r="CU350" s="1289"/>
      <c r="CV350" s="1289"/>
      <c r="CW350" s="1289"/>
      <c r="CX350" s="1289"/>
      <c r="CY350" s="1289"/>
      <c r="CZ350" s="1289"/>
      <c r="DA350" s="1289"/>
      <c r="DB350" s="1289"/>
      <c r="DC350" s="1289"/>
      <c r="DD350" s="1289"/>
      <c r="DE350" s="1289"/>
      <c r="DF350" s="1289"/>
      <c r="DG350" s="1289"/>
      <c r="DH350" s="1289"/>
      <c r="DI350" s="1289"/>
      <c r="DJ350" s="1289"/>
      <c r="DK350" s="1289"/>
      <c r="DL350" s="1289"/>
      <c r="DM350" s="1289"/>
      <c r="DN350" s="1289"/>
      <c r="DO350" s="1289"/>
      <c r="DP350" s="1289"/>
      <c r="DQ350" s="1289"/>
      <c r="DR350" s="1289"/>
      <c r="DS350" s="1289"/>
      <c r="DT350" s="1289"/>
      <c r="DU350" s="1289"/>
      <c r="DV350" s="1289"/>
      <c r="DW350" s="1289"/>
      <c r="DX350" s="1289"/>
      <c r="DY350" s="1289"/>
      <c r="DZ350" s="1289"/>
      <c r="EA350" s="1289"/>
      <c r="EB350" s="1289"/>
      <c r="EC350" s="1289"/>
      <c r="ED350" s="1289"/>
      <c r="EE350" s="1289"/>
      <c r="EF350" s="1289"/>
      <c r="EG350" s="1289"/>
      <c r="EH350" s="1289"/>
      <c r="EI350" s="1289"/>
      <c r="EJ350" s="1289"/>
      <c r="EK350" s="1289"/>
      <c r="EL350" s="1289"/>
      <c r="EM350" s="1289"/>
      <c r="EN350" s="1289"/>
      <c r="EO350" s="1289"/>
      <c r="EP350" s="1289"/>
      <c r="EQ350" s="1289"/>
      <c r="ER350" s="1289"/>
      <c r="ES350" s="1289"/>
      <c r="ET350" s="1289"/>
      <c r="EU350" s="1289"/>
      <c r="EV350" s="1289"/>
      <c r="EW350" s="1289"/>
      <c r="EX350" s="1289"/>
      <c r="EY350" s="1289"/>
      <c r="EZ350" s="1289"/>
      <c r="FA350" s="1289"/>
      <c r="FB350" s="1289"/>
      <c r="FC350" s="1289"/>
      <c r="FD350" s="1289"/>
      <c r="FE350" s="1289"/>
      <c r="FF350" s="1289"/>
      <c r="FG350" s="1289"/>
      <c r="FH350" s="1289"/>
      <c r="FI350" s="1289"/>
      <c r="FJ350" s="1289"/>
      <c r="FK350" s="1289"/>
      <c r="FL350" s="1289"/>
      <c r="FM350" s="1289"/>
      <c r="FN350" s="1289"/>
      <c r="FO350" s="1289"/>
      <c r="FP350" s="1289"/>
      <c r="FQ350" s="1289"/>
      <c r="FR350" s="1289"/>
      <c r="FS350" s="1289"/>
      <c r="FT350" s="1289"/>
      <c r="FU350" s="1289"/>
      <c r="FV350" s="1289"/>
      <c r="FW350" s="1289"/>
      <c r="FX350" s="1289"/>
      <c r="FY350" s="1289"/>
      <c r="FZ350" s="1289"/>
      <c r="GA350" s="1289"/>
      <c r="GB350" s="1289"/>
      <c r="GC350" s="1289"/>
      <c r="GD350" s="1289"/>
      <c r="GE350" s="1289"/>
      <c r="GF350" s="1289"/>
      <c r="GG350" s="1289"/>
      <c r="GH350" s="1289"/>
      <c r="GI350" s="1289"/>
      <c r="GJ350" s="1289"/>
      <c r="GK350" s="1289"/>
      <c r="GL350" s="1289"/>
      <c r="GM350" s="1289"/>
    </row>
    <row r="351" spans="1:195" s="1299" customFormat="1" ht="15" hidden="1" outlineLevel="1">
      <c r="A351" s="2002" t="s">
        <v>1905</v>
      </c>
      <c r="B351" s="2002" t="s">
        <v>566</v>
      </c>
      <c r="C351" s="2003"/>
      <c r="D351" s="2172"/>
      <c r="E351" s="2004" t="s">
        <v>112</v>
      </c>
      <c r="F351" s="1279">
        <f>SUMIFS(INPUT!H:H,INPUT!E:E,BAZE_2024!A351,INPUT!B:B,BAZE_2024!B351)</f>
        <v>0</v>
      </c>
      <c r="G351" s="389">
        <f>SUMIFS(INPUT!L:L,INPUT!E:E,BAZE_2024!A351,INPUT!B:B,BAZE_2024!B351)</f>
        <v>0</v>
      </c>
      <c r="H351" s="2176"/>
      <c r="I351" s="4086" t="str">
        <f t="shared" si="22"/>
        <v>-</v>
      </c>
      <c r="J351" s="2173"/>
      <c r="K351" s="1282"/>
      <c r="L351" s="2014"/>
      <c r="M351" s="1289"/>
      <c r="N351" s="1289"/>
      <c r="O351" s="1289"/>
      <c r="P351" s="1289"/>
      <c r="Q351" s="1289"/>
      <c r="R351" s="1289"/>
      <c r="S351" s="1289"/>
      <c r="T351" s="1289"/>
      <c r="U351" s="1289"/>
      <c r="V351" s="1289"/>
      <c r="W351" s="1289"/>
      <c r="X351" s="1289"/>
      <c r="Y351" s="1289"/>
      <c r="Z351" s="1289"/>
      <c r="AA351" s="1289"/>
      <c r="AB351" s="1289"/>
      <c r="AC351" s="1289"/>
      <c r="AD351" s="1289"/>
      <c r="AE351" s="1289"/>
      <c r="AF351" s="1289"/>
      <c r="AG351" s="1289"/>
      <c r="AH351" s="1289"/>
      <c r="AI351" s="1289"/>
      <c r="AJ351" s="1289"/>
      <c r="AK351" s="1289"/>
      <c r="AL351" s="1289"/>
      <c r="AM351" s="1289"/>
      <c r="AN351" s="1289"/>
      <c r="AO351" s="1289"/>
      <c r="AP351" s="1289"/>
      <c r="AQ351" s="1289"/>
      <c r="AR351" s="1289"/>
      <c r="AS351" s="1289"/>
      <c r="AT351" s="1289"/>
      <c r="AU351" s="1289"/>
      <c r="AV351" s="1289"/>
      <c r="AW351" s="1289"/>
      <c r="AX351" s="1289"/>
      <c r="AY351" s="1289"/>
      <c r="AZ351" s="1289"/>
      <c r="BA351" s="1289"/>
      <c r="BB351" s="1289"/>
      <c r="BC351" s="1289"/>
      <c r="BD351" s="1289"/>
      <c r="BE351" s="1289"/>
      <c r="BF351" s="1289"/>
      <c r="BG351" s="1289"/>
      <c r="BH351" s="1289"/>
      <c r="BI351" s="1289"/>
      <c r="BJ351" s="1289"/>
      <c r="BK351" s="1289"/>
      <c r="BL351" s="1289"/>
      <c r="BM351" s="1289"/>
      <c r="BN351" s="1289"/>
      <c r="BO351" s="1289"/>
      <c r="BP351" s="1289"/>
      <c r="BQ351" s="1289"/>
      <c r="BR351" s="1289"/>
      <c r="BS351" s="1289"/>
      <c r="BT351" s="1289"/>
      <c r="BU351" s="1289"/>
      <c r="BV351" s="1289"/>
      <c r="BW351" s="1289"/>
      <c r="BX351" s="1289"/>
      <c r="BY351" s="1289"/>
      <c r="BZ351" s="1289"/>
      <c r="CA351" s="1289"/>
      <c r="CB351" s="1289"/>
      <c r="CC351" s="1289"/>
      <c r="CD351" s="1289"/>
      <c r="CE351" s="1289"/>
      <c r="CF351" s="1289"/>
      <c r="CG351" s="1289"/>
      <c r="CH351" s="1289"/>
      <c r="CI351" s="1289"/>
      <c r="CJ351" s="1289"/>
      <c r="CK351" s="1289"/>
      <c r="CL351" s="1289"/>
      <c r="CM351" s="1289"/>
      <c r="CN351" s="1289"/>
      <c r="CO351" s="1289"/>
      <c r="CP351" s="1289"/>
      <c r="CQ351" s="1289"/>
      <c r="CR351" s="1289"/>
      <c r="CS351" s="1289"/>
      <c r="CT351" s="1289"/>
      <c r="CU351" s="1289"/>
      <c r="CV351" s="1289"/>
      <c r="CW351" s="1289"/>
      <c r="CX351" s="1289"/>
      <c r="CY351" s="1289"/>
      <c r="CZ351" s="1289"/>
      <c r="DA351" s="1289"/>
      <c r="DB351" s="1289"/>
      <c r="DC351" s="1289"/>
      <c r="DD351" s="1289"/>
      <c r="DE351" s="1289"/>
      <c r="DF351" s="1289"/>
      <c r="DG351" s="1289"/>
      <c r="DH351" s="1289"/>
      <c r="DI351" s="1289"/>
      <c r="DJ351" s="1289"/>
      <c r="DK351" s="1289"/>
      <c r="DL351" s="1289"/>
      <c r="DM351" s="1289"/>
      <c r="DN351" s="1289"/>
      <c r="DO351" s="1289"/>
      <c r="DP351" s="1289"/>
      <c r="DQ351" s="1289"/>
      <c r="DR351" s="1289"/>
      <c r="DS351" s="1289"/>
      <c r="DT351" s="1289"/>
      <c r="DU351" s="1289"/>
      <c r="DV351" s="1289"/>
      <c r="DW351" s="1289"/>
      <c r="DX351" s="1289"/>
      <c r="DY351" s="1289"/>
      <c r="DZ351" s="1289"/>
      <c r="EA351" s="1289"/>
      <c r="EB351" s="1289"/>
      <c r="EC351" s="1289"/>
      <c r="ED351" s="1289"/>
      <c r="EE351" s="1289"/>
      <c r="EF351" s="1289"/>
      <c r="EG351" s="1289"/>
      <c r="EH351" s="1289"/>
      <c r="EI351" s="1289"/>
      <c r="EJ351" s="1289"/>
      <c r="EK351" s="1289"/>
      <c r="EL351" s="1289"/>
      <c r="EM351" s="1289"/>
      <c r="EN351" s="1289"/>
      <c r="EO351" s="1289"/>
      <c r="EP351" s="1289"/>
      <c r="EQ351" s="1289"/>
      <c r="ER351" s="1289"/>
      <c r="ES351" s="1289"/>
      <c r="ET351" s="1289"/>
      <c r="EU351" s="1289"/>
      <c r="EV351" s="1289"/>
      <c r="EW351" s="1289"/>
      <c r="EX351" s="1289"/>
      <c r="EY351" s="1289"/>
      <c r="EZ351" s="1289"/>
      <c r="FA351" s="1289"/>
      <c r="FB351" s="1289"/>
      <c r="FC351" s="1289"/>
      <c r="FD351" s="1289"/>
      <c r="FE351" s="1289"/>
      <c r="FF351" s="1289"/>
      <c r="FG351" s="1289"/>
      <c r="FH351" s="1289"/>
      <c r="FI351" s="1289"/>
      <c r="FJ351" s="1289"/>
      <c r="FK351" s="1289"/>
      <c r="FL351" s="1289"/>
      <c r="FM351" s="1289"/>
      <c r="FN351" s="1289"/>
      <c r="FO351" s="1289"/>
      <c r="FP351" s="1289"/>
      <c r="FQ351" s="1289"/>
      <c r="FR351" s="1289"/>
      <c r="FS351" s="1289"/>
      <c r="FT351" s="1289"/>
      <c r="FU351" s="1289"/>
      <c r="FV351" s="1289"/>
      <c r="FW351" s="1289"/>
      <c r="FX351" s="1289"/>
      <c r="FY351" s="1289"/>
      <c r="FZ351" s="1289"/>
      <c r="GA351" s="1289"/>
      <c r="GB351" s="1289"/>
      <c r="GC351" s="1289"/>
      <c r="GD351" s="1289"/>
      <c r="GE351" s="1289"/>
      <c r="GF351" s="1289"/>
      <c r="GG351" s="1289"/>
      <c r="GH351" s="1289"/>
      <c r="GI351" s="1289"/>
      <c r="GJ351" s="1289"/>
      <c r="GK351" s="1289"/>
      <c r="GL351" s="1289"/>
      <c r="GM351" s="1289"/>
    </row>
    <row r="352" spans="1:195" ht="15" collapsed="1">
      <c r="D352" s="138" t="s">
        <v>2504</v>
      </c>
      <c r="E352" s="130" t="s">
        <v>585</v>
      </c>
      <c r="F352" s="2">
        <f>F353+F354+F355</f>
        <v>345378.8505404999</v>
      </c>
      <c r="G352" s="383">
        <f>G353+G354+G355</f>
        <v>391971.94149168005</v>
      </c>
      <c r="H352" s="116">
        <f t="shared" si="21"/>
        <v>46593.090951180144</v>
      </c>
      <c r="I352" s="1826">
        <f t="shared" si="22"/>
        <v>0.13490429676937191</v>
      </c>
      <c r="J352" s="222"/>
      <c r="K352" s="227"/>
    </row>
    <row r="353" spans="1:195" s="50" customFormat="1" ht="15" hidden="1" outlineLevel="1">
      <c r="A353" s="1665" t="s">
        <v>1948</v>
      </c>
      <c r="B353" s="1665" t="s">
        <v>663</v>
      </c>
      <c r="C353" s="1858"/>
      <c r="D353" s="160"/>
      <c r="E353" s="161" t="s">
        <v>663</v>
      </c>
      <c r="F353" s="364">
        <f>SUMIFS(INPUT!H:H,INPUT!E:E,BAZE_2024!A353,INPUT!B:B,BAZE_2024!B353)</f>
        <v>143348.85054049993</v>
      </c>
      <c r="G353" s="389">
        <f>SUMIFS(INPUT!L:L,INPUT!E:E,BAZE_2024!A353,INPUT!B:B,BAZE_2024!B353)</f>
        <v>173551.94149168005</v>
      </c>
      <c r="H353" s="102">
        <f t="shared" si="21"/>
        <v>30203.090951180115</v>
      </c>
      <c r="I353" s="1824">
        <f t="shared" si="22"/>
        <v>0.21069642928630897</v>
      </c>
      <c r="J353" s="405"/>
      <c r="K353" s="227"/>
      <c r="L353" s="77"/>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row>
    <row r="354" spans="1:195" s="50" customFormat="1" ht="90" hidden="1" outlineLevel="1">
      <c r="A354" s="1665" t="s">
        <v>1948</v>
      </c>
      <c r="B354" s="1665" t="s">
        <v>1248</v>
      </c>
      <c r="C354" s="1858"/>
      <c r="D354" s="216"/>
      <c r="E354" s="217" t="s">
        <v>579</v>
      </c>
      <c r="F354" s="364">
        <f>SUMIFS(INPUT!H:H,INPUT!E:E,BAZE_2024!A354,INPUT!B:B,BAZE_2024!B354)</f>
        <v>198030</v>
      </c>
      <c r="G354" s="389">
        <f>SUMIFS(INPUT!L:L,INPUT!E:E,BAZE_2024!A354,INPUT!B:B,BAZE_2024!B354)</f>
        <v>218420</v>
      </c>
      <c r="H354" s="146">
        <f t="shared" si="21"/>
        <v>20390</v>
      </c>
      <c r="I354" s="1836">
        <f t="shared" si="22"/>
        <v>0.10296419734383679</v>
      </c>
      <c r="J354" s="1181" t="s">
        <v>5760</v>
      </c>
      <c r="K354" s="156">
        <v>-0.02</v>
      </c>
      <c r="L354" s="1222">
        <f>G354*K354</f>
        <v>-4368.3999999999996</v>
      </c>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row>
    <row r="355" spans="1:195" s="50" customFormat="1" ht="15" hidden="1" outlineLevel="1">
      <c r="A355" s="1665" t="s">
        <v>1948</v>
      </c>
      <c r="B355" s="1665" t="s">
        <v>1250</v>
      </c>
      <c r="C355" s="1858"/>
      <c r="D355" s="160"/>
      <c r="E355" s="161" t="s">
        <v>578</v>
      </c>
      <c r="F355" s="364">
        <f>SUMIFS(INPUT!H:H,INPUT!E:E,BAZE_2024!A355,INPUT!B:B,BAZE_2024!B355)</f>
        <v>4000</v>
      </c>
      <c r="G355" s="389">
        <f>SUMIFS(INPUT!L:L,INPUT!E:E,BAZE_2024!A355,INPUT!B:B,BAZE_2024!B355)</f>
        <v>0</v>
      </c>
      <c r="H355" s="146">
        <f t="shared" si="21"/>
        <v>-4000</v>
      </c>
      <c r="I355" s="1836">
        <f t="shared" si="22"/>
        <v>-1</v>
      </c>
      <c r="J355" s="220"/>
      <c r="K355" s="227"/>
      <c r="L355" s="77"/>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row>
    <row r="356" spans="1:195" s="1299" customFormat="1" ht="15" hidden="1" outlineLevel="1">
      <c r="A356" s="2127" t="s">
        <v>1949</v>
      </c>
      <c r="B356" s="2127" t="s">
        <v>512</v>
      </c>
      <c r="C356" s="2128"/>
      <c r="D356" s="1297"/>
      <c r="E356" s="1294" t="s">
        <v>431</v>
      </c>
      <c r="F356" s="1280">
        <f>SUMIFS(INPUT!H:H,INPUT!E:E,BAZE_2024!A356,INPUT!B:B,BAZE_2024!B356)</f>
        <v>299307.76862000005</v>
      </c>
      <c r="G356" s="380">
        <f>SUMIFS(INPUT!L:L,INPUT!E:E,BAZE_2024!A356,INPUT!B:B,BAZE_2024!B356)</f>
        <v>314622.89508943999</v>
      </c>
      <c r="H356" s="1285">
        <f t="shared" si="21"/>
        <v>15315.126469439943</v>
      </c>
      <c r="I356" s="1834">
        <f t="shared" si="22"/>
        <v>5.1168489678876217E-2</v>
      </c>
      <c r="J356" s="2168"/>
      <c r="K356" s="2129"/>
      <c r="L356" s="2014"/>
      <c r="M356" s="1289"/>
      <c r="N356" s="1289"/>
      <c r="O356" s="1289"/>
      <c r="P356" s="1289"/>
      <c r="Q356" s="1289"/>
      <c r="R356" s="1289"/>
      <c r="S356" s="1289"/>
      <c r="T356" s="1289"/>
      <c r="U356" s="1289"/>
      <c r="V356" s="1289"/>
      <c r="W356" s="1289"/>
      <c r="X356" s="1289"/>
      <c r="Y356" s="1289"/>
      <c r="Z356" s="1289"/>
      <c r="AA356" s="1289"/>
      <c r="AB356" s="1289"/>
      <c r="AC356" s="1289"/>
      <c r="AD356" s="1289"/>
      <c r="AE356" s="1289"/>
      <c r="AF356" s="1289"/>
      <c r="AG356" s="1289"/>
      <c r="AH356" s="1289"/>
      <c r="AI356" s="1289"/>
      <c r="AJ356" s="1289"/>
      <c r="AK356" s="1289"/>
      <c r="AL356" s="1289"/>
      <c r="AM356" s="1289"/>
      <c r="AN356" s="1289"/>
      <c r="AO356" s="1289"/>
      <c r="AP356" s="1289"/>
      <c r="AQ356" s="1289"/>
      <c r="AR356" s="1289"/>
      <c r="AS356" s="1289"/>
      <c r="AT356" s="1289"/>
      <c r="AU356" s="1289"/>
      <c r="AV356" s="1289"/>
      <c r="AW356" s="1289"/>
      <c r="AX356" s="1289"/>
      <c r="AY356" s="1289"/>
      <c r="AZ356" s="1289"/>
      <c r="BA356" s="1289"/>
      <c r="BB356" s="1289"/>
      <c r="BC356" s="1289"/>
      <c r="BD356" s="1289"/>
      <c r="BE356" s="1289"/>
      <c r="BF356" s="1289"/>
      <c r="BG356" s="1289"/>
      <c r="BH356" s="1289"/>
      <c r="BI356" s="1289"/>
      <c r="BJ356" s="1289"/>
      <c r="BK356" s="1289"/>
      <c r="BL356" s="1289"/>
      <c r="BM356" s="1289"/>
      <c r="BN356" s="1289"/>
      <c r="BO356" s="1289"/>
      <c r="BP356" s="1289"/>
      <c r="BQ356" s="1289"/>
      <c r="BR356" s="1289"/>
      <c r="BS356" s="1289"/>
      <c r="BT356" s="1289"/>
      <c r="BU356" s="1289"/>
      <c r="BV356" s="1289"/>
      <c r="BW356" s="1289"/>
      <c r="BX356" s="1289"/>
      <c r="BY356" s="1289"/>
      <c r="BZ356" s="1289"/>
      <c r="CA356" s="1289"/>
      <c r="CB356" s="1289"/>
      <c r="CC356" s="1289"/>
      <c r="CD356" s="1289"/>
      <c r="CE356" s="1289"/>
      <c r="CF356" s="1289"/>
      <c r="CG356" s="1289"/>
      <c r="CH356" s="1289"/>
      <c r="CI356" s="1289"/>
      <c r="CJ356" s="1289"/>
      <c r="CK356" s="1289"/>
      <c r="CL356" s="1289"/>
      <c r="CM356" s="1289"/>
      <c r="CN356" s="1289"/>
      <c r="CO356" s="1289"/>
      <c r="CP356" s="1289"/>
      <c r="CQ356" s="1289"/>
      <c r="CR356" s="1289"/>
      <c r="CS356" s="1289"/>
      <c r="CT356" s="1289"/>
      <c r="CU356" s="1289"/>
      <c r="CV356" s="1289"/>
      <c r="CW356" s="1289"/>
      <c r="CX356" s="1289"/>
      <c r="CY356" s="1289"/>
      <c r="CZ356" s="1289"/>
      <c r="DA356" s="1289"/>
      <c r="DB356" s="1289"/>
      <c r="DC356" s="1289"/>
      <c r="DD356" s="1289"/>
      <c r="DE356" s="1289"/>
      <c r="DF356" s="1289"/>
      <c r="DG356" s="1289"/>
      <c r="DH356" s="1289"/>
      <c r="DI356" s="1289"/>
      <c r="DJ356" s="1289"/>
      <c r="DK356" s="1289"/>
      <c r="DL356" s="1289"/>
      <c r="DM356" s="1289"/>
      <c r="DN356" s="1289"/>
      <c r="DO356" s="1289"/>
      <c r="DP356" s="1289"/>
      <c r="DQ356" s="1289"/>
      <c r="DR356" s="1289"/>
      <c r="DS356" s="1289"/>
      <c r="DT356" s="1289"/>
      <c r="DU356" s="1289"/>
      <c r="DV356" s="1289"/>
      <c r="DW356" s="1289"/>
      <c r="DX356" s="1289"/>
      <c r="DY356" s="1289"/>
      <c r="DZ356" s="1289"/>
      <c r="EA356" s="1289"/>
      <c r="EB356" s="1289"/>
      <c r="EC356" s="1289"/>
      <c r="ED356" s="1289"/>
      <c r="EE356" s="1289"/>
      <c r="EF356" s="1289"/>
      <c r="EG356" s="1289"/>
      <c r="EH356" s="1289"/>
      <c r="EI356" s="1289"/>
      <c r="EJ356" s="1289"/>
      <c r="EK356" s="1289"/>
      <c r="EL356" s="1289"/>
      <c r="EM356" s="1289"/>
      <c r="EN356" s="1289"/>
      <c r="EO356" s="1289"/>
      <c r="EP356" s="1289"/>
      <c r="EQ356" s="1289"/>
      <c r="ER356" s="1289"/>
      <c r="ES356" s="1289"/>
      <c r="ET356" s="1289"/>
      <c r="EU356" s="1289"/>
      <c r="EV356" s="1289"/>
      <c r="EW356" s="1289"/>
      <c r="EX356" s="1289"/>
      <c r="EY356" s="1289"/>
      <c r="EZ356" s="1289"/>
      <c r="FA356" s="1289"/>
      <c r="FB356" s="1289"/>
      <c r="FC356" s="1289"/>
      <c r="FD356" s="1289"/>
      <c r="FE356" s="1289"/>
      <c r="FF356" s="1289"/>
      <c r="FG356" s="1289"/>
      <c r="FH356" s="1289"/>
      <c r="FI356" s="1289"/>
      <c r="FJ356" s="1289"/>
      <c r="FK356" s="1289"/>
      <c r="FL356" s="1289"/>
      <c r="FM356" s="1289"/>
      <c r="FN356" s="1289"/>
      <c r="FO356" s="1289"/>
      <c r="FP356" s="1289"/>
      <c r="FQ356" s="1289"/>
      <c r="FR356" s="1289"/>
      <c r="FS356" s="1289"/>
      <c r="FT356" s="1289"/>
      <c r="FU356" s="1289"/>
      <c r="FV356" s="1289"/>
      <c r="FW356" s="1289"/>
      <c r="FX356" s="1289"/>
      <c r="FY356" s="1289"/>
      <c r="FZ356" s="1289"/>
      <c r="GA356" s="1289"/>
      <c r="GB356" s="1289"/>
      <c r="GC356" s="1289"/>
      <c r="GD356" s="1289"/>
      <c r="GE356" s="1289"/>
      <c r="GF356" s="1289"/>
      <c r="GG356" s="1289"/>
      <c r="GH356" s="1289"/>
      <c r="GI356" s="1289"/>
      <c r="GJ356" s="1289"/>
      <c r="GK356" s="1289"/>
      <c r="GL356" s="1289"/>
      <c r="GM356" s="1289"/>
    </row>
    <row r="357" spans="1:195" s="1299" customFormat="1" ht="15" hidden="1" outlineLevel="1">
      <c r="A357" s="2127" t="s">
        <v>1948</v>
      </c>
      <c r="B357" s="2127" t="s">
        <v>1249</v>
      </c>
      <c r="C357" s="2128"/>
      <c r="D357" s="1297"/>
      <c r="E357" s="1294" t="s">
        <v>1249</v>
      </c>
      <c r="F357" s="1280">
        <f>SUMIFS(INPUT!H:H,INPUT!E:E,BAZE_2024!A357,INPUT!B:B,BAZE_2024!B357)</f>
        <v>0</v>
      </c>
      <c r="G357" s="380">
        <f>SUMIFS(INPUT!L:L,INPUT!E:E,BAZE_2024!A357,INPUT!B:B,BAZE_2024!B357)</f>
        <v>0</v>
      </c>
      <c r="H357" s="1285">
        <f t="shared" si="21"/>
        <v>0</v>
      </c>
      <c r="I357" s="1834" t="str">
        <f t="shared" si="22"/>
        <v>-</v>
      </c>
      <c r="J357" s="2168"/>
      <c r="K357" s="2129"/>
      <c r="L357" s="2014"/>
      <c r="M357" s="1289"/>
      <c r="N357" s="1289"/>
      <c r="O357" s="1289"/>
      <c r="P357" s="1289"/>
      <c r="Q357" s="1289"/>
      <c r="R357" s="1289"/>
      <c r="S357" s="1289"/>
      <c r="T357" s="1289"/>
      <c r="U357" s="1289"/>
      <c r="V357" s="1289"/>
      <c r="W357" s="1289"/>
      <c r="X357" s="1289"/>
      <c r="Y357" s="1289"/>
      <c r="Z357" s="1289"/>
      <c r="AA357" s="1289"/>
      <c r="AB357" s="1289"/>
      <c r="AC357" s="1289"/>
      <c r="AD357" s="1289"/>
      <c r="AE357" s="1289"/>
      <c r="AF357" s="1289"/>
      <c r="AG357" s="1289"/>
      <c r="AH357" s="1289"/>
      <c r="AI357" s="1289"/>
      <c r="AJ357" s="1289"/>
      <c r="AK357" s="1289"/>
      <c r="AL357" s="1289"/>
      <c r="AM357" s="1289"/>
      <c r="AN357" s="1289"/>
      <c r="AO357" s="1289"/>
      <c r="AP357" s="1289"/>
      <c r="AQ357" s="1289"/>
      <c r="AR357" s="1289"/>
      <c r="AS357" s="1289"/>
      <c r="AT357" s="1289"/>
      <c r="AU357" s="1289"/>
      <c r="AV357" s="1289"/>
      <c r="AW357" s="1289"/>
      <c r="AX357" s="1289"/>
      <c r="AY357" s="1289"/>
      <c r="AZ357" s="1289"/>
      <c r="BA357" s="1289"/>
      <c r="BB357" s="1289"/>
      <c r="BC357" s="1289"/>
      <c r="BD357" s="1289"/>
      <c r="BE357" s="1289"/>
      <c r="BF357" s="1289"/>
      <c r="BG357" s="1289"/>
      <c r="BH357" s="1289"/>
      <c r="BI357" s="1289"/>
      <c r="BJ357" s="1289"/>
      <c r="BK357" s="1289"/>
      <c r="BL357" s="1289"/>
      <c r="BM357" s="1289"/>
      <c r="BN357" s="1289"/>
      <c r="BO357" s="1289"/>
      <c r="BP357" s="1289"/>
      <c r="BQ357" s="1289"/>
      <c r="BR357" s="1289"/>
      <c r="BS357" s="1289"/>
      <c r="BT357" s="1289"/>
      <c r="BU357" s="1289"/>
      <c r="BV357" s="1289"/>
      <c r="BW357" s="1289"/>
      <c r="BX357" s="1289"/>
      <c r="BY357" s="1289"/>
      <c r="BZ357" s="1289"/>
      <c r="CA357" s="1289"/>
      <c r="CB357" s="1289"/>
      <c r="CC357" s="1289"/>
      <c r="CD357" s="1289"/>
      <c r="CE357" s="1289"/>
      <c r="CF357" s="1289"/>
      <c r="CG357" s="1289"/>
      <c r="CH357" s="1289"/>
      <c r="CI357" s="1289"/>
      <c r="CJ357" s="1289"/>
      <c r="CK357" s="1289"/>
      <c r="CL357" s="1289"/>
      <c r="CM357" s="1289"/>
      <c r="CN357" s="1289"/>
      <c r="CO357" s="1289"/>
      <c r="CP357" s="1289"/>
      <c r="CQ357" s="1289"/>
      <c r="CR357" s="1289"/>
      <c r="CS357" s="1289"/>
      <c r="CT357" s="1289"/>
      <c r="CU357" s="1289"/>
      <c r="CV357" s="1289"/>
      <c r="CW357" s="1289"/>
      <c r="CX357" s="1289"/>
      <c r="CY357" s="1289"/>
      <c r="CZ357" s="1289"/>
      <c r="DA357" s="1289"/>
      <c r="DB357" s="1289"/>
      <c r="DC357" s="1289"/>
      <c r="DD357" s="1289"/>
      <c r="DE357" s="1289"/>
      <c r="DF357" s="1289"/>
      <c r="DG357" s="1289"/>
      <c r="DH357" s="1289"/>
      <c r="DI357" s="1289"/>
      <c r="DJ357" s="1289"/>
      <c r="DK357" s="1289"/>
      <c r="DL357" s="1289"/>
      <c r="DM357" s="1289"/>
      <c r="DN357" s="1289"/>
      <c r="DO357" s="1289"/>
      <c r="DP357" s="1289"/>
      <c r="DQ357" s="1289"/>
      <c r="DR357" s="1289"/>
      <c r="DS357" s="1289"/>
      <c r="DT357" s="1289"/>
      <c r="DU357" s="1289"/>
      <c r="DV357" s="1289"/>
      <c r="DW357" s="1289"/>
      <c r="DX357" s="1289"/>
      <c r="DY357" s="1289"/>
      <c r="DZ357" s="1289"/>
      <c r="EA357" s="1289"/>
      <c r="EB357" s="1289"/>
      <c r="EC357" s="1289"/>
      <c r="ED357" s="1289"/>
      <c r="EE357" s="1289"/>
      <c r="EF357" s="1289"/>
      <c r="EG357" s="1289"/>
      <c r="EH357" s="1289"/>
      <c r="EI357" s="1289"/>
      <c r="EJ357" s="1289"/>
      <c r="EK357" s="1289"/>
      <c r="EL357" s="1289"/>
      <c r="EM357" s="1289"/>
      <c r="EN357" s="1289"/>
      <c r="EO357" s="1289"/>
      <c r="EP357" s="1289"/>
      <c r="EQ357" s="1289"/>
      <c r="ER357" s="1289"/>
      <c r="ES357" s="1289"/>
      <c r="ET357" s="1289"/>
      <c r="EU357" s="1289"/>
      <c r="EV357" s="1289"/>
      <c r="EW357" s="1289"/>
      <c r="EX357" s="1289"/>
      <c r="EY357" s="1289"/>
      <c r="EZ357" s="1289"/>
      <c r="FA357" s="1289"/>
      <c r="FB357" s="1289"/>
      <c r="FC357" s="1289"/>
      <c r="FD357" s="1289"/>
      <c r="FE357" s="1289"/>
      <c r="FF357" s="1289"/>
      <c r="FG357" s="1289"/>
      <c r="FH357" s="1289"/>
      <c r="FI357" s="1289"/>
      <c r="FJ357" s="1289"/>
      <c r="FK357" s="1289"/>
      <c r="FL357" s="1289"/>
      <c r="FM357" s="1289"/>
      <c r="FN357" s="1289"/>
      <c r="FO357" s="1289"/>
      <c r="FP357" s="1289"/>
      <c r="FQ357" s="1289"/>
      <c r="FR357" s="1289"/>
      <c r="FS357" s="1289"/>
      <c r="FT357" s="1289"/>
      <c r="FU357" s="1289"/>
      <c r="FV357" s="1289"/>
      <c r="FW357" s="1289"/>
      <c r="FX357" s="1289"/>
      <c r="FY357" s="1289"/>
      <c r="FZ357" s="1289"/>
      <c r="GA357" s="1289"/>
      <c r="GB357" s="1289"/>
      <c r="GC357" s="1289"/>
      <c r="GD357" s="1289"/>
      <c r="GE357" s="1289"/>
      <c r="GF357" s="1289"/>
      <c r="GG357" s="1289"/>
      <c r="GH357" s="1289"/>
      <c r="GI357" s="1289"/>
      <c r="GJ357" s="1289"/>
      <c r="GK357" s="1289"/>
      <c r="GL357" s="1289"/>
      <c r="GM357" s="1289"/>
    </row>
    <row r="358" spans="1:195" ht="29.25" collapsed="1">
      <c r="D358" s="138" t="s">
        <v>2505</v>
      </c>
      <c r="E358" s="130" t="s">
        <v>3445</v>
      </c>
      <c r="F358" s="2">
        <f>F359+F360+F361</f>
        <v>225886.660091225</v>
      </c>
      <c r="G358" s="383">
        <f>G359+G360+G361</f>
        <v>323579.07160460006</v>
      </c>
      <c r="H358" s="116">
        <f t="shared" si="21"/>
        <v>97692.41151337506</v>
      </c>
      <c r="I358" s="1826">
        <f t="shared" si="22"/>
        <v>0.43248420014675365</v>
      </c>
      <c r="J358" s="222"/>
      <c r="K358" s="227"/>
    </row>
    <row r="359" spans="1:195" s="50" customFormat="1" ht="15" hidden="1" outlineLevel="1">
      <c r="A359" s="1665" t="s">
        <v>1900</v>
      </c>
      <c r="B359" s="1665" t="s">
        <v>663</v>
      </c>
      <c r="C359" s="1858"/>
      <c r="D359" s="160"/>
      <c r="E359" s="217" t="s">
        <v>663</v>
      </c>
      <c r="F359" s="364">
        <f>SUMIFS(INPUT!H:H,INPUT!E:E,BAZE_2024!A359,INPUT!B:B,BAZE_2024!B359)</f>
        <v>194561.660091225</v>
      </c>
      <c r="G359" s="389">
        <f>SUMIFS(INPUT!L:L,INPUT!E:E,BAZE_2024!A359,INPUT!B:B,BAZE_2024!B359)</f>
        <v>281239.24610460002</v>
      </c>
      <c r="H359" s="146">
        <f>G359-F359</f>
        <v>86677.586013375025</v>
      </c>
      <c r="I359" s="1836">
        <f t="shared" si="22"/>
        <v>0.4455018834272596</v>
      </c>
      <c r="J359" s="1181" t="s">
        <v>5790</v>
      </c>
      <c r="K359" s="227"/>
      <c r="L359" s="77"/>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row>
    <row r="360" spans="1:195" s="50" customFormat="1" ht="60" hidden="1" outlineLevel="1">
      <c r="A360" s="1665" t="s">
        <v>1900</v>
      </c>
      <c r="B360" s="1665" t="s">
        <v>1248</v>
      </c>
      <c r="C360" s="1858"/>
      <c r="D360" s="216"/>
      <c r="E360" s="161" t="s">
        <v>579</v>
      </c>
      <c r="F360" s="364">
        <f>SUMIFS(INPUT!H:H,INPUT!E:E,BAZE_2024!A360,INPUT!B:B,BAZE_2024!B360)</f>
        <v>27451</v>
      </c>
      <c r="G360" s="389">
        <f>SUMIFS(INPUT!L:L,INPUT!E:E,BAZE_2024!A360,INPUT!B:B,BAZE_2024!B360)</f>
        <v>42339.825500000006</v>
      </c>
      <c r="H360" s="146">
        <f t="shared" si="21"/>
        <v>14888.825500000006</v>
      </c>
      <c r="I360" s="1836">
        <f t="shared" si="22"/>
        <v>0.5423782558012461</v>
      </c>
      <c r="J360" s="1181" t="s">
        <v>6224</v>
      </c>
      <c r="K360" s="156">
        <v>-0.02</v>
      </c>
      <c r="L360" s="1222">
        <f>G360*K360</f>
        <v>-846.79651000000013</v>
      </c>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row>
    <row r="361" spans="1:195" s="50" customFormat="1" ht="15" hidden="1" outlineLevel="1">
      <c r="A361" s="1665" t="s">
        <v>1900</v>
      </c>
      <c r="B361" s="1665" t="s">
        <v>1250</v>
      </c>
      <c r="C361" s="1858"/>
      <c r="D361" s="160"/>
      <c r="E361" s="161" t="s">
        <v>578</v>
      </c>
      <c r="F361" s="364">
        <f>SUMIFS(INPUT!H:H,INPUT!E:E,BAZE_2024!A361,INPUT!B:B,BAZE_2024!B361)</f>
        <v>3874</v>
      </c>
      <c r="G361" s="389">
        <f>SUMIFS(INPUT!L:L,INPUT!E:E,BAZE_2024!A361,INPUT!B:B,BAZE_2024!B361)</f>
        <v>0</v>
      </c>
      <c r="H361" s="146">
        <f t="shared" si="21"/>
        <v>-3874</v>
      </c>
      <c r="I361" s="1836">
        <f t="shared" si="22"/>
        <v>-1</v>
      </c>
      <c r="J361" s="220"/>
      <c r="K361" s="227"/>
      <c r="L361" s="77"/>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row>
    <row r="362" spans="1:195" s="50" customFormat="1" ht="15" hidden="1" outlineLevel="1">
      <c r="A362" s="1665" t="s">
        <v>1900</v>
      </c>
      <c r="B362" s="2002" t="s">
        <v>566</v>
      </c>
      <c r="C362" s="1858"/>
      <c r="D362" s="2718"/>
      <c r="E362" s="2004" t="s">
        <v>112</v>
      </c>
      <c r="F362" s="364">
        <f>SUMIFS(INPUT!H:H,INPUT!E:E,BAZE_2024!A362,INPUT!B:B,BAZE_2024!B362)</f>
        <v>1215</v>
      </c>
      <c r="G362" s="389">
        <f>SUMIFS(INPUT!L:L,INPUT!E:E,BAZE_2024!A362,INPUT!B:B,BAZE_2024!B362)</f>
        <v>1863.05</v>
      </c>
      <c r="H362" s="146">
        <f>G362-F362</f>
        <v>648.04999999999995</v>
      </c>
      <c r="I362" s="1836">
        <f>IFERROR(H362/F362,"-")</f>
        <v>0.53337448559670775</v>
      </c>
      <c r="J362" s="3391"/>
      <c r="K362" s="227"/>
      <c r="L362" s="77"/>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row>
    <row r="363" spans="1:195" s="1299" customFormat="1" ht="15" hidden="1" outlineLevel="1">
      <c r="A363" s="2127" t="s">
        <v>1900</v>
      </c>
      <c r="B363" s="2127" t="s">
        <v>1249</v>
      </c>
      <c r="C363" s="2128"/>
      <c r="D363" s="1297"/>
      <c r="E363" s="1294" t="s">
        <v>1249</v>
      </c>
      <c r="F363" s="1280">
        <f>SUMIFS(INPUT!H:H,INPUT!E:E,BAZE_2024!A363,INPUT!B:B,BAZE_2024!B363)</f>
        <v>59003</v>
      </c>
      <c r="G363" s="380">
        <f>SUMIFS(INPUT!L:L,INPUT!E:E,BAZE_2024!A363,INPUT!B:B,BAZE_2024!B363)</f>
        <v>88721</v>
      </c>
      <c r="H363" s="1285">
        <f t="shared" si="21"/>
        <v>29718</v>
      </c>
      <c r="I363" s="1834">
        <f t="shared" si="22"/>
        <v>0.5036693049505957</v>
      </c>
      <c r="J363" s="2168"/>
      <c r="K363" s="2129"/>
      <c r="L363" s="2014"/>
      <c r="M363" s="1289"/>
      <c r="N363" s="1289"/>
      <c r="O363" s="1289"/>
      <c r="P363" s="1289"/>
      <c r="Q363" s="1289"/>
      <c r="R363" s="1289"/>
      <c r="S363" s="1289"/>
      <c r="T363" s="1289"/>
      <c r="U363" s="1289"/>
      <c r="V363" s="1289"/>
      <c r="W363" s="1289"/>
      <c r="X363" s="1289"/>
      <c r="Y363" s="1289"/>
      <c r="Z363" s="1289"/>
      <c r="AA363" s="1289"/>
      <c r="AB363" s="1289"/>
      <c r="AC363" s="1289"/>
      <c r="AD363" s="1289"/>
      <c r="AE363" s="1289"/>
      <c r="AF363" s="1289"/>
      <c r="AG363" s="1289"/>
      <c r="AH363" s="1289"/>
      <c r="AI363" s="1289"/>
      <c r="AJ363" s="1289"/>
      <c r="AK363" s="1289"/>
      <c r="AL363" s="1289"/>
      <c r="AM363" s="1289"/>
      <c r="AN363" s="1289"/>
      <c r="AO363" s="1289"/>
      <c r="AP363" s="1289"/>
      <c r="AQ363" s="1289"/>
      <c r="AR363" s="1289"/>
      <c r="AS363" s="1289"/>
      <c r="AT363" s="1289"/>
      <c r="AU363" s="1289"/>
      <c r="AV363" s="1289"/>
      <c r="AW363" s="1289"/>
      <c r="AX363" s="1289"/>
      <c r="AY363" s="1289"/>
      <c r="AZ363" s="1289"/>
      <c r="BA363" s="1289"/>
      <c r="BB363" s="1289"/>
      <c r="BC363" s="1289"/>
      <c r="BD363" s="1289"/>
      <c r="BE363" s="1289"/>
      <c r="BF363" s="1289"/>
      <c r="BG363" s="1289"/>
      <c r="BH363" s="1289"/>
      <c r="BI363" s="1289"/>
      <c r="BJ363" s="1289"/>
      <c r="BK363" s="1289"/>
      <c r="BL363" s="1289"/>
      <c r="BM363" s="1289"/>
      <c r="BN363" s="1289"/>
      <c r="BO363" s="1289"/>
      <c r="BP363" s="1289"/>
      <c r="BQ363" s="1289"/>
      <c r="BR363" s="1289"/>
      <c r="BS363" s="1289"/>
      <c r="BT363" s="1289"/>
      <c r="BU363" s="1289"/>
      <c r="BV363" s="1289"/>
      <c r="BW363" s="1289"/>
      <c r="BX363" s="1289"/>
      <c r="BY363" s="1289"/>
      <c r="BZ363" s="1289"/>
      <c r="CA363" s="1289"/>
      <c r="CB363" s="1289"/>
      <c r="CC363" s="1289"/>
      <c r="CD363" s="1289"/>
      <c r="CE363" s="1289"/>
      <c r="CF363" s="1289"/>
      <c r="CG363" s="1289"/>
      <c r="CH363" s="1289"/>
      <c r="CI363" s="1289"/>
      <c r="CJ363" s="1289"/>
      <c r="CK363" s="1289"/>
      <c r="CL363" s="1289"/>
      <c r="CM363" s="1289"/>
      <c r="CN363" s="1289"/>
      <c r="CO363" s="1289"/>
      <c r="CP363" s="1289"/>
      <c r="CQ363" s="1289"/>
      <c r="CR363" s="1289"/>
      <c r="CS363" s="1289"/>
      <c r="CT363" s="1289"/>
      <c r="CU363" s="1289"/>
      <c r="CV363" s="1289"/>
      <c r="CW363" s="1289"/>
      <c r="CX363" s="1289"/>
      <c r="CY363" s="1289"/>
      <c r="CZ363" s="1289"/>
      <c r="DA363" s="1289"/>
      <c r="DB363" s="1289"/>
      <c r="DC363" s="1289"/>
      <c r="DD363" s="1289"/>
      <c r="DE363" s="1289"/>
      <c r="DF363" s="1289"/>
      <c r="DG363" s="1289"/>
      <c r="DH363" s="1289"/>
      <c r="DI363" s="1289"/>
      <c r="DJ363" s="1289"/>
      <c r="DK363" s="1289"/>
      <c r="DL363" s="1289"/>
      <c r="DM363" s="1289"/>
      <c r="DN363" s="1289"/>
      <c r="DO363" s="1289"/>
      <c r="DP363" s="1289"/>
      <c r="DQ363" s="1289"/>
      <c r="DR363" s="1289"/>
      <c r="DS363" s="1289"/>
      <c r="DT363" s="1289"/>
      <c r="DU363" s="1289"/>
      <c r="DV363" s="1289"/>
      <c r="DW363" s="1289"/>
      <c r="DX363" s="1289"/>
      <c r="DY363" s="1289"/>
      <c r="DZ363" s="1289"/>
      <c r="EA363" s="1289"/>
      <c r="EB363" s="1289"/>
      <c r="EC363" s="1289"/>
      <c r="ED363" s="1289"/>
      <c r="EE363" s="1289"/>
      <c r="EF363" s="1289"/>
      <c r="EG363" s="1289"/>
      <c r="EH363" s="1289"/>
      <c r="EI363" s="1289"/>
      <c r="EJ363" s="1289"/>
      <c r="EK363" s="1289"/>
      <c r="EL363" s="1289"/>
      <c r="EM363" s="1289"/>
      <c r="EN363" s="1289"/>
      <c r="EO363" s="1289"/>
      <c r="EP363" s="1289"/>
      <c r="EQ363" s="1289"/>
      <c r="ER363" s="1289"/>
      <c r="ES363" s="1289"/>
      <c r="ET363" s="1289"/>
      <c r="EU363" s="1289"/>
      <c r="EV363" s="1289"/>
      <c r="EW363" s="1289"/>
      <c r="EX363" s="1289"/>
      <c r="EY363" s="1289"/>
      <c r="EZ363" s="1289"/>
      <c r="FA363" s="1289"/>
      <c r="FB363" s="1289"/>
      <c r="FC363" s="1289"/>
      <c r="FD363" s="1289"/>
      <c r="FE363" s="1289"/>
      <c r="FF363" s="1289"/>
      <c r="FG363" s="1289"/>
      <c r="FH363" s="1289"/>
      <c r="FI363" s="1289"/>
      <c r="FJ363" s="1289"/>
      <c r="FK363" s="1289"/>
      <c r="FL363" s="1289"/>
      <c r="FM363" s="1289"/>
      <c r="FN363" s="1289"/>
      <c r="FO363" s="1289"/>
      <c r="FP363" s="1289"/>
      <c r="FQ363" s="1289"/>
      <c r="FR363" s="1289"/>
      <c r="FS363" s="1289"/>
      <c r="FT363" s="1289"/>
      <c r="FU363" s="1289"/>
      <c r="FV363" s="1289"/>
      <c r="FW363" s="1289"/>
      <c r="FX363" s="1289"/>
      <c r="FY363" s="1289"/>
      <c r="FZ363" s="1289"/>
      <c r="GA363" s="1289"/>
      <c r="GB363" s="1289"/>
      <c r="GC363" s="1289"/>
      <c r="GD363" s="1289"/>
      <c r="GE363" s="1289"/>
      <c r="GF363" s="1289"/>
      <c r="GG363" s="1289"/>
      <c r="GH363" s="1289"/>
      <c r="GI363" s="1289"/>
      <c r="GJ363" s="1289"/>
      <c r="GK363" s="1289"/>
      <c r="GL363" s="1289"/>
      <c r="GM363" s="1289"/>
    </row>
    <row r="364" spans="1:195" ht="15" collapsed="1">
      <c r="D364" s="138" t="s">
        <v>3446</v>
      </c>
      <c r="E364" s="130" t="s">
        <v>3444</v>
      </c>
      <c r="F364" s="2">
        <f>F365+F366+F367</f>
        <v>10427</v>
      </c>
      <c r="G364" s="383">
        <f>G365+G366+G367</f>
        <v>11050.17</v>
      </c>
      <c r="H364" s="116">
        <f t="shared" ref="H364:H370" si="23">G364-F364</f>
        <v>623.17000000000007</v>
      </c>
      <c r="I364" s="1826">
        <f>IFERROR(H364/F364,"-")</f>
        <v>5.9765033087177524E-2</v>
      </c>
      <c r="J364" s="222"/>
      <c r="K364" s="227"/>
    </row>
    <row r="365" spans="1:195" s="50" customFormat="1" ht="15" hidden="1" outlineLevel="1">
      <c r="A365" s="1665" t="s">
        <v>3207</v>
      </c>
      <c r="B365" s="1665" t="s">
        <v>663</v>
      </c>
      <c r="C365" s="1858"/>
      <c r="D365" s="160"/>
      <c r="E365" s="217" t="s">
        <v>663</v>
      </c>
      <c r="F365" s="364">
        <f>SUMIFS(INPUT!H:H,INPUT!E:E,BAZE_2024!A365,INPUT!B:B,BAZE_2024!B365)</f>
        <v>0</v>
      </c>
      <c r="G365" s="389">
        <f>SUMIFS(INPUT!L:L,INPUT!E:E,BAZE_2024!A365,INPUT!B:B,BAZE_2024!B365)</f>
        <v>0</v>
      </c>
      <c r="H365" s="146">
        <f t="shared" si="23"/>
        <v>0</v>
      </c>
      <c r="I365" s="1836" t="str">
        <f>IFERROR(H365/F365,"-")</f>
        <v>-</v>
      </c>
      <c r="J365" s="1149"/>
      <c r="K365" s="227"/>
      <c r="L365" s="77"/>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row>
    <row r="366" spans="1:195" s="50" customFormat="1" ht="15" hidden="1" outlineLevel="1">
      <c r="A366" s="1665" t="s">
        <v>3207</v>
      </c>
      <c r="B366" s="1665" t="s">
        <v>1248</v>
      </c>
      <c r="C366" s="1858"/>
      <c r="D366" s="216"/>
      <c r="E366" s="161" t="s">
        <v>579</v>
      </c>
      <c r="F366" s="364">
        <f>SUMIFS(INPUT!H:H,INPUT!E:E,BAZE_2024!A366,INPUT!B:B,BAZE_2024!B366)</f>
        <v>10427</v>
      </c>
      <c r="G366" s="389">
        <f>SUMIFS(INPUT!L:L,INPUT!E:E,BAZE_2024!A366,INPUT!B:B,BAZE_2024!B366)</f>
        <v>11050.17</v>
      </c>
      <c r="H366" s="146">
        <f t="shared" si="23"/>
        <v>623.17000000000007</v>
      </c>
      <c r="I366" s="1836">
        <f>IFERROR(H366/F366,"-")</f>
        <v>5.9765033087177524E-2</v>
      </c>
      <c r="J366" s="1149"/>
      <c r="K366" s="156">
        <v>-0.02</v>
      </c>
      <c r="L366" s="1222">
        <f>G366*K366</f>
        <v>-221.0034</v>
      </c>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row>
    <row r="367" spans="1:195" s="50" customFormat="1" ht="15" hidden="1" outlineLevel="1">
      <c r="A367" s="1665" t="s">
        <v>3207</v>
      </c>
      <c r="B367" s="1665" t="s">
        <v>1250</v>
      </c>
      <c r="C367" s="1858"/>
      <c r="D367" s="160"/>
      <c r="E367" s="161" t="s">
        <v>578</v>
      </c>
      <c r="F367" s="364">
        <f>SUMIFS(INPUT!H:H,INPUT!E:E,BAZE_2024!A367,INPUT!B:B,BAZE_2024!B367)</f>
        <v>0</v>
      </c>
      <c r="G367" s="389">
        <f>SUMIFS(INPUT!L:L,INPUT!E:E,BAZE_2024!A367,INPUT!B:B,BAZE_2024!B367)</f>
        <v>0</v>
      </c>
      <c r="H367" s="146">
        <f t="shared" si="23"/>
        <v>0</v>
      </c>
      <c r="I367" s="1836" t="str">
        <f>IFERROR(H367/F367,"-")</f>
        <v>-</v>
      </c>
      <c r="J367" s="220"/>
      <c r="K367" s="227"/>
      <c r="L367" s="7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row>
    <row r="368" spans="1:195" s="1299" customFormat="1" ht="15" hidden="1" outlineLevel="1">
      <c r="A368" s="2127" t="s">
        <v>3207</v>
      </c>
      <c r="B368" s="2127" t="s">
        <v>1249</v>
      </c>
      <c r="C368" s="2128"/>
      <c r="D368" s="1297"/>
      <c r="E368" s="1294" t="s">
        <v>1249</v>
      </c>
      <c r="F368" s="1280">
        <f>SUMIFS(INPUT!H:H,INPUT!E:E,BAZE_2024!A368,INPUT!B:B,BAZE_2024!B368)</f>
        <v>32314.799999999996</v>
      </c>
      <c r="G368" s="380">
        <f>SUMIFS(INPUT!L:L,INPUT!E:E,BAZE_2024!A368,INPUT!B:B,BAZE_2024!B368)</f>
        <v>47901.479999999996</v>
      </c>
      <c r="H368" s="1285">
        <f t="shared" si="23"/>
        <v>15586.68</v>
      </c>
      <c r="I368" s="1834">
        <f>IFERROR(H368/F368,"-")</f>
        <v>0.48233874261948095</v>
      </c>
      <c r="J368" s="2168"/>
      <c r="K368" s="2129"/>
      <c r="L368" s="2014"/>
      <c r="M368" s="1289"/>
      <c r="N368" s="1289"/>
      <c r="O368" s="1289"/>
      <c r="P368" s="1289"/>
      <c r="Q368" s="1289"/>
      <c r="R368" s="1289"/>
      <c r="S368" s="1289"/>
      <c r="T368" s="1289"/>
      <c r="U368" s="1289"/>
      <c r="V368" s="1289"/>
      <c r="W368" s="1289"/>
      <c r="X368" s="1289"/>
      <c r="Y368" s="1289"/>
      <c r="Z368" s="1289"/>
      <c r="AA368" s="1289"/>
      <c r="AB368" s="1289"/>
      <c r="AC368" s="1289"/>
      <c r="AD368" s="1289"/>
      <c r="AE368" s="1289"/>
      <c r="AF368" s="1289"/>
      <c r="AG368" s="1289"/>
      <c r="AH368" s="1289"/>
      <c r="AI368" s="1289"/>
      <c r="AJ368" s="1289"/>
      <c r="AK368" s="1289"/>
      <c r="AL368" s="1289"/>
      <c r="AM368" s="1289"/>
      <c r="AN368" s="1289"/>
      <c r="AO368" s="1289"/>
      <c r="AP368" s="1289"/>
      <c r="AQ368" s="1289"/>
      <c r="AR368" s="1289"/>
      <c r="AS368" s="1289"/>
      <c r="AT368" s="1289"/>
      <c r="AU368" s="1289"/>
      <c r="AV368" s="1289"/>
      <c r="AW368" s="1289"/>
      <c r="AX368" s="1289"/>
      <c r="AY368" s="1289"/>
      <c r="AZ368" s="1289"/>
      <c r="BA368" s="1289"/>
      <c r="BB368" s="1289"/>
      <c r="BC368" s="1289"/>
      <c r="BD368" s="1289"/>
      <c r="BE368" s="1289"/>
      <c r="BF368" s="1289"/>
      <c r="BG368" s="1289"/>
      <c r="BH368" s="1289"/>
      <c r="BI368" s="1289"/>
      <c r="BJ368" s="1289"/>
      <c r="BK368" s="1289"/>
      <c r="BL368" s="1289"/>
      <c r="BM368" s="1289"/>
      <c r="BN368" s="1289"/>
      <c r="BO368" s="1289"/>
      <c r="BP368" s="1289"/>
      <c r="BQ368" s="1289"/>
      <c r="BR368" s="1289"/>
      <c r="BS368" s="1289"/>
      <c r="BT368" s="1289"/>
      <c r="BU368" s="1289"/>
      <c r="BV368" s="1289"/>
      <c r="BW368" s="1289"/>
      <c r="BX368" s="1289"/>
      <c r="BY368" s="1289"/>
      <c r="BZ368" s="1289"/>
      <c r="CA368" s="1289"/>
      <c r="CB368" s="1289"/>
      <c r="CC368" s="1289"/>
      <c r="CD368" s="1289"/>
      <c r="CE368" s="1289"/>
      <c r="CF368" s="1289"/>
      <c r="CG368" s="1289"/>
      <c r="CH368" s="1289"/>
      <c r="CI368" s="1289"/>
      <c r="CJ368" s="1289"/>
      <c r="CK368" s="1289"/>
      <c r="CL368" s="1289"/>
      <c r="CM368" s="1289"/>
      <c r="CN368" s="1289"/>
      <c r="CO368" s="1289"/>
      <c r="CP368" s="1289"/>
      <c r="CQ368" s="1289"/>
      <c r="CR368" s="1289"/>
      <c r="CS368" s="1289"/>
      <c r="CT368" s="1289"/>
      <c r="CU368" s="1289"/>
      <c r="CV368" s="1289"/>
      <c r="CW368" s="1289"/>
      <c r="CX368" s="1289"/>
      <c r="CY368" s="1289"/>
      <c r="CZ368" s="1289"/>
      <c r="DA368" s="1289"/>
      <c r="DB368" s="1289"/>
      <c r="DC368" s="1289"/>
      <c r="DD368" s="1289"/>
      <c r="DE368" s="1289"/>
      <c r="DF368" s="1289"/>
      <c r="DG368" s="1289"/>
      <c r="DH368" s="1289"/>
      <c r="DI368" s="1289"/>
      <c r="DJ368" s="1289"/>
      <c r="DK368" s="1289"/>
      <c r="DL368" s="1289"/>
      <c r="DM368" s="1289"/>
      <c r="DN368" s="1289"/>
      <c r="DO368" s="1289"/>
      <c r="DP368" s="1289"/>
      <c r="DQ368" s="1289"/>
      <c r="DR368" s="1289"/>
      <c r="DS368" s="1289"/>
      <c r="DT368" s="1289"/>
      <c r="DU368" s="1289"/>
      <c r="DV368" s="1289"/>
      <c r="DW368" s="1289"/>
      <c r="DX368" s="1289"/>
      <c r="DY368" s="1289"/>
      <c r="DZ368" s="1289"/>
      <c r="EA368" s="1289"/>
      <c r="EB368" s="1289"/>
      <c r="EC368" s="1289"/>
      <c r="ED368" s="1289"/>
      <c r="EE368" s="1289"/>
      <c r="EF368" s="1289"/>
      <c r="EG368" s="1289"/>
      <c r="EH368" s="1289"/>
      <c r="EI368" s="1289"/>
      <c r="EJ368" s="1289"/>
      <c r="EK368" s="1289"/>
      <c r="EL368" s="1289"/>
      <c r="EM368" s="1289"/>
      <c r="EN368" s="1289"/>
      <c r="EO368" s="1289"/>
      <c r="EP368" s="1289"/>
      <c r="EQ368" s="1289"/>
      <c r="ER368" s="1289"/>
      <c r="ES368" s="1289"/>
      <c r="ET368" s="1289"/>
      <c r="EU368" s="1289"/>
      <c r="EV368" s="1289"/>
      <c r="EW368" s="1289"/>
      <c r="EX368" s="1289"/>
      <c r="EY368" s="1289"/>
      <c r="EZ368" s="1289"/>
      <c r="FA368" s="1289"/>
      <c r="FB368" s="1289"/>
      <c r="FC368" s="1289"/>
      <c r="FD368" s="1289"/>
      <c r="FE368" s="1289"/>
      <c r="FF368" s="1289"/>
      <c r="FG368" s="1289"/>
      <c r="FH368" s="1289"/>
      <c r="FI368" s="1289"/>
      <c r="FJ368" s="1289"/>
      <c r="FK368" s="1289"/>
      <c r="FL368" s="1289"/>
      <c r="FM368" s="1289"/>
      <c r="FN368" s="1289"/>
      <c r="FO368" s="1289"/>
      <c r="FP368" s="1289"/>
      <c r="FQ368" s="1289"/>
      <c r="FR368" s="1289"/>
      <c r="FS368" s="1289"/>
      <c r="FT368" s="1289"/>
      <c r="FU368" s="1289"/>
      <c r="FV368" s="1289"/>
      <c r="FW368" s="1289"/>
      <c r="FX368" s="1289"/>
      <c r="FY368" s="1289"/>
      <c r="FZ368" s="1289"/>
      <c r="GA368" s="1289"/>
      <c r="GB368" s="1289"/>
      <c r="GC368" s="1289"/>
      <c r="GD368" s="1289"/>
      <c r="GE368" s="1289"/>
      <c r="GF368" s="1289"/>
      <c r="GG368" s="1289"/>
      <c r="GH368" s="1289"/>
      <c r="GI368" s="1289"/>
      <c r="GJ368" s="1289"/>
      <c r="GK368" s="1289"/>
      <c r="GL368" s="1289"/>
      <c r="GM368" s="1289"/>
    </row>
    <row r="369" spans="4:12" ht="15" collapsed="1">
      <c r="D369" s="138" t="s">
        <v>2506</v>
      </c>
      <c r="E369" s="130"/>
      <c r="F369" s="2"/>
      <c r="G369" s="1868"/>
      <c r="H369" s="116">
        <f t="shared" si="23"/>
        <v>0</v>
      </c>
      <c r="I369" s="1826" t="str">
        <f t="shared" si="22"/>
        <v>-</v>
      </c>
      <c r="J369" s="219"/>
      <c r="K369" s="227"/>
    </row>
    <row r="370" spans="4:12" ht="30" customHeight="1">
      <c r="D370" s="1162"/>
      <c r="E370" s="1163" t="s">
        <v>1624</v>
      </c>
      <c r="F370" s="1165">
        <f>F58+F88+F94+F100+F164+F220+F261</f>
        <v>34168712.631339982</v>
      </c>
      <c r="G370" s="2573">
        <f>G58+G88+G94+G100+G164+G220+G261</f>
        <v>39137865.029414542</v>
      </c>
      <c r="H370" s="144">
        <f t="shared" si="23"/>
        <v>4969152.3980745599</v>
      </c>
      <c r="I370" s="1852">
        <f>H370/F370</f>
        <v>0.14542989815533142</v>
      </c>
      <c r="J370" s="1166"/>
      <c r="K370" s="227"/>
    </row>
    <row r="371" spans="4:12" ht="27" customHeight="1">
      <c r="D371" s="1162"/>
      <c r="E371" s="1163" t="s">
        <v>1630</v>
      </c>
      <c r="F371" s="1165">
        <f>F43-F370</f>
        <v>2370518.3686600178</v>
      </c>
      <c r="G371" s="2573">
        <f>G43-G370</f>
        <v>1542204.5805854574</v>
      </c>
      <c r="H371" s="4173">
        <v>708838.85405367613</v>
      </c>
      <c r="I371" s="4173">
        <v>419907.57215055823</v>
      </c>
      <c r="J371" s="4309">
        <v>224598.87649838626</v>
      </c>
      <c r="K371" s="4309">
        <v>147038.15164838731</v>
      </c>
      <c r="L371" s="2042">
        <f>SUM(L46:L369)</f>
        <v>-185958.55497728981</v>
      </c>
    </row>
    <row r="372" spans="4:12" ht="15">
      <c r="D372" s="1162"/>
      <c r="E372" s="1163" t="s">
        <v>1631</v>
      </c>
      <c r="F372" s="1164">
        <v>3601890.1379218102</v>
      </c>
      <c r="G372" s="2574">
        <v>3486155</v>
      </c>
      <c r="H372" s="4173">
        <v>3539751</v>
      </c>
      <c r="I372" s="4173">
        <v>3539751</v>
      </c>
      <c r="J372" s="4309">
        <v>3539751</v>
      </c>
      <c r="K372" s="4309">
        <v>3539751</v>
      </c>
    </row>
    <row r="373" spans="4:12" ht="15">
      <c r="D373" s="1162"/>
      <c r="E373" s="1163" t="s">
        <v>1632</v>
      </c>
      <c r="F373" s="1165">
        <f>F371-F372</f>
        <v>-1231371.7692617923</v>
      </c>
      <c r="G373" s="2573">
        <f>G371-G372</f>
        <v>-1943950.4194145426</v>
      </c>
      <c r="H373" s="4173">
        <v>-2830912.1459463239</v>
      </c>
      <c r="I373" s="4173">
        <v>-3119843.4278494418</v>
      </c>
      <c r="J373" s="4309">
        <v>-3315152.1235016137</v>
      </c>
      <c r="K373" s="4309">
        <v>-3392712.8483516127</v>
      </c>
    </row>
    <row r="374" spans="4:12" ht="15">
      <c r="D374" s="1162"/>
      <c r="E374" s="1163"/>
      <c r="F374" s="4172" t="s">
        <v>5498</v>
      </c>
      <c r="G374" s="2573">
        <f>Investīcijas_2024!K30</f>
        <v>1567975.8785999999</v>
      </c>
      <c r="H374" s="4173">
        <v>987556</v>
      </c>
      <c r="I374" s="4173">
        <v>969736</v>
      </c>
      <c r="J374" s="4309">
        <v>969736</v>
      </c>
      <c r="K374" s="4309">
        <v>1030986</v>
      </c>
    </row>
    <row r="375" spans="4:12" ht="14.25">
      <c r="E375" s="81"/>
      <c r="F375" s="1256" t="s">
        <v>5796</v>
      </c>
      <c r="G375" s="2573">
        <f>G373-G374</f>
        <v>-3511926.2980145426</v>
      </c>
      <c r="H375" s="78">
        <v>-3818468.1459463239</v>
      </c>
    </row>
    <row r="376" spans="4:12">
      <c r="F376" s="66"/>
    </row>
    <row r="377" spans="4:12">
      <c r="F377" s="78">
        <f>G261+G220+G164+G100+G94+G88+G58-G82-G81</f>
        <v>30492459.029414549</v>
      </c>
      <c r="I377" s="4406">
        <f>(G370-H381)*0.01</f>
        <v>340389.9760409614</v>
      </c>
    </row>
    <row r="378" spans="4:12">
      <c r="F378" s="4224">
        <f>F377*0.1</f>
        <v>3049245.9029414551</v>
      </c>
      <c r="G378" s="4160" t="s">
        <v>3</v>
      </c>
      <c r="H378" s="227">
        <f>H81</f>
        <v>1004838.6619715199</v>
      </c>
    </row>
    <row r="379" spans="4:12">
      <c r="F379" s="66"/>
      <c r="G379" s="4161" t="s">
        <v>1974</v>
      </c>
      <c r="H379" s="227">
        <f>H82</f>
        <v>1987618</v>
      </c>
    </row>
    <row r="380" spans="4:12">
      <c r="F380" s="66"/>
      <c r="G380" s="4162" t="s">
        <v>663</v>
      </c>
      <c r="H380" s="1980">
        <f>H47</f>
        <v>2106410.7633468844</v>
      </c>
    </row>
    <row r="381" spans="4:12">
      <c r="F381" s="66"/>
      <c r="H381" s="4159">
        <f>SUM(H378:H380)</f>
        <v>5098867.4253184041</v>
      </c>
    </row>
    <row r="382" spans="4:12">
      <c r="F382" s="66"/>
      <c r="G382" s="79"/>
      <c r="H382" s="227">
        <f>H370-H381</f>
        <v>-129715.02724384423</v>
      </c>
    </row>
    <row r="383" spans="4:12">
      <c r="F383" s="66"/>
      <c r="G383" s="79"/>
    </row>
    <row r="384" spans="4:12">
      <c r="F384" s="66"/>
      <c r="G384" s="79"/>
    </row>
    <row r="385" spans="6:7">
      <c r="F385" s="66"/>
      <c r="G385" s="79"/>
    </row>
    <row r="386" spans="6:7">
      <c r="F386" s="66"/>
      <c r="G386" s="79"/>
    </row>
    <row r="387" spans="6:7">
      <c r="F387" s="66"/>
      <c r="G387" s="79"/>
    </row>
    <row r="388" spans="6:7">
      <c r="F388" s="66"/>
      <c r="G388" s="79"/>
    </row>
    <row r="389" spans="6:7">
      <c r="F389" s="66"/>
      <c r="G389" s="79"/>
    </row>
    <row r="390" spans="6:7">
      <c r="F390" s="66"/>
      <c r="G390" s="79"/>
    </row>
    <row r="391" spans="6:7">
      <c r="F391" s="66"/>
      <c r="G391" s="79"/>
    </row>
    <row r="392" spans="6:7">
      <c r="F392" s="66"/>
      <c r="G392" s="79"/>
    </row>
    <row r="393" spans="6:7">
      <c r="F393" s="66"/>
      <c r="G393" s="79"/>
    </row>
    <row r="394" spans="6:7">
      <c r="F394" s="66"/>
      <c r="G394" s="79"/>
    </row>
    <row r="395" spans="6:7">
      <c r="F395" s="66"/>
      <c r="G395" s="79"/>
    </row>
    <row r="396" spans="6:7">
      <c r="F396" s="66"/>
      <c r="G396" s="79"/>
    </row>
    <row r="397" spans="6:7">
      <c r="F397" s="66"/>
      <c r="G397" s="79"/>
    </row>
    <row r="398" spans="6:7">
      <c r="F398" s="66"/>
      <c r="G398" s="79"/>
    </row>
    <row r="399" spans="6:7">
      <c r="F399" s="66"/>
      <c r="G399" s="79"/>
    </row>
    <row r="400" spans="6:7">
      <c r="F400" s="66"/>
      <c r="G400" s="79"/>
    </row>
    <row r="401" spans="6:7">
      <c r="F401" s="66"/>
      <c r="G401" s="79"/>
    </row>
    <row r="402" spans="6:7">
      <c r="F402" s="66"/>
      <c r="G402" s="79"/>
    </row>
    <row r="403" spans="6:7">
      <c r="F403" s="66"/>
      <c r="G403" s="79"/>
    </row>
    <row r="404" spans="6:7">
      <c r="F404" s="66"/>
      <c r="G404" s="79"/>
    </row>
    <row r="405" spans="6:7">
      <c r="F405" s="66"/>
      <c r="G405" s="79"/>
    </row>
    <row r="406" spans="6:7">
      <c r="F406" s="66"/>
      <c r="G406" s="79"/>
    </row>
    <row r="407" spans="6:7">
      <c r="F407" s="66"/>
      <c r="G407" s="79"/>
    </row>
    <row r="408" spans="6:7">
      <c r="F408" s="66"/>
      <c r="G408" s="79"/>
    </row>
    <row r="409" spans="6:7">
      <c r="F409" s="66"/>
      <c r="G409" s="79"/>
    </row>
    <row r="410" spans="6:7">
      <c r="F410" s="66"/>
      <c r="G410" s="79"/>
    </row>
    <row r="411" spans="6:7">
      <c r="F411" s="66"/>
      <c r="G411" s="79"/>
    </row>
    <row r="412" spans="6:7">
      <c r="F412" s="66"/>
      <c r="G412" s="79"/>
    </row>
    <row r="413" spans="6:7">
      <c r="F413" s="66"/>
      <c r="G413" s="79"/>
    </row>
    <row r="414" spans="6:7">
      <c r="F414" s="66"/>
      <c r="G414" s="79"/>
    </row>
    <row r="415" spans="6:7">
      <c r="F415" s="66"/>
      <c r="G415" s="79"/>
    </row>
    <row r="416" spans="6:7">
      <c r="F416" s="66"/>
      <c r="G416" s="79"/>
    </row>
    <row r="417" spans="6:7">
      <c r="F417" s="66"/>
      <c r="G417" s="79"/>
    </row>
    <row r="418" spans="6:7">
      <c r="F418" s="66"/>
      <c r="G418" s="79"/>
    </row>
    <row r="419" spans="6:7">
      <c r="F419" s="66"/>
      <c r="G419" s="79"/>
    </row>
    <row r="420" spans="6:7">
      <c r="F420" s="66"/>
      <c r="G420" s="79"/>
    </row>
    <row r="421" spans="6:7">
      <c r="F421" s="66"/>
      <c r="G421" s="79"/>
    </row>
    <row r="422" spans="6:7">
      <c r="F422" s="66"/>
      <c r="G422" s="79"/>
    </row>
    <row r="423" spans="6:7">
      <c r="F423" s="66"/>
      <c r="G423" s="79"/>
    </row>
    <row r="424" spans="6:7">
      <c r="F424" s="66"/>
      <c r="G424" s="79"/>
    </row>
    <row r="425" spans="6:7">
      <c r="F425" s="66"/>
      <c r="G425" s="79"/>
    </row>
    <row r="426" spans="6:7">
      <c r="F426" s="66"/>
      <c r="G426" s="79"/>
    </row>
    <row r="427" spans="6:7">
      <c r="F427" s="66"/>
      <c r="G427" s="79"/>
    </row>
    <row r="428" spans="6:7">
      <c r="F428" s="66"/>
      <c r="G428" s="79"/>
    </row>
    <row r="429" spans="6:7">
      <c r="F429" s="66"/>
      <c r="G429" s="79"/>
    </row>
    <row r="430" spans="6:7">
      <c r="F430" s="66"/>
      <c r="G430" s="79"/>
    </row>
    <row r="431" spans="6:7">
      <c r="F431" s="66"/>
      <c r="G431" s="79"/>
    </row>
    <row r="432" spans="6:7">
      <c r="F432" s="66"/>
      <c r="G432" s="79"/>
    </row>
    <row r="433" spans="6:7">
      <c r="F433" s="66"/>
      <c r="G433" s="79"/>
    </row>
    <row r="434" spans="6:7">
      <c r="F434" s="66"/>
      <c r="G434" s="79"/>
    </row>
    <row r="435" spans="6:7">
      <c r="F435" s="66"/>
      <c r="G435" s="79"/>
    </row>
    <row r="436" spans="6:7">
      <c r="F436" s="66"/>
      <c r="G436" s="79"/>
    </row>
    <row r="437" spans="6:7">
      <c r="F437" s="66"/>
      <c r="G437" s="79"/>
    </row>
    <row r="438" spans="6:7">
      <c r="F438" s="66"/>
      <c r="G438" s="79"/>
    </row>
    <row r="439" spans="6:7">
      <c r="F439" s="66"/>
      <c r="G439" s="79"/>
    </row>
    <row r="440" spans="6:7">
      <c r="F440" s="66"/>
      <c r="G440" s="79"/>
    </row>
    <row r="441" spans="6:7">
      <c r="F441" s="66"/>
      <c r="G441" s="79"/>
    </row>
    <row r="442" spans="6:7">
      <c r="F442" s="66"/>
      <c r="G442" s="79"/>
    </row>
    <row r="443" spans="6:7">
      <c r="F443" s="66"/>
      <c r="G443" s="79"/>
    </row>
    <row r="444" spans="6:7">
      <c r="F444" s="66"/>
      <c r="G444" s="79"/>
    </row>
    <row r="445" spans="6:7">
      <c r="F445" s="66"/>
      <c r="G445" s="79"/>
    </row>
    <row r="446" spans="6:7">
      <c r="F446" s="66"/>
      <c r="G446" s="79"/>
    </row>
    <row r="447" spans="6:7">
      <c r="F447" s="66"/>
      <c r="G447" s="79"/>
    </row>
    <row r="448" spans="6:7">
      <c r="F448" s="66"/>
      <c r="G448" s="79"/>
    </row>
    <row r="449" spans="6:7">
      <c r="F449" s="66"/>
      <c r="G449" s="79"/>
    </row>
    <row r="450" spans="6:7">
      <c r="F450" s="66"/>
      <c r="G450" s="79"/>
    </row>
    <row r="451" spans="6:7">
      <c r="F451" s="66"/>
      <c r="G451" s="79"/>
    </row>
    <row r="452" spans="6:7">
      <c r="F452" s="66"/>
      <c r="G452" s="79"/>
    </row>
    <row r="453" spans="6:7">
      <c r="F453" s="66"/>
      <c r="G453" s="79"/>
    </row>
    <row r="454" spans="6:7">
      <c r="F454" s="66"/>
      <c r="G454" s="79"/>
    </row>
    <row r="455" spans="6:7">
      <c r="F455" s="66"/>
      <c r="G455" s="79"/>
    </row>
    <row r="456" spans="6:7">
      <c r="F456" s="66"/>
      <c r="G456" s="79"/>
    </row>
    <row r="457" spans="6:7">
      <c r="F457" s="66"/>
      <c r="G457" s="79"/>
    </row>
    <row r="458" spans="6:7">
      <c r="F458" s="66"/>
      <c r="G458" s="79"/>
    </row>
    <row r="459" spans="6:7">
      <c r="F459" s="66"/>
      <c r="G459" s="79"/>
    </row>
    <row r="460" spans="6:7">
      <c r="F460" s="66"/>
      <c r="G460" s="79"/>
    </row>
    <row r="461" spans="6:7">
      <c r="F461" s="66"/>
      <c r="G461" s="79"/>
    </row>
    <row r="462" spans="6:7">
      <c r="F462" s="66"/>
      <c r="G462" s="79"/>
    </row>
    <row r="463" spans="6:7">
      <c r="F463" s="66"/>
      <c r="G463" s="79"/>
    </row>
    <row r="464" spans="6:7">
      <c r="F464" s="66"/>
      <c r="G464" s="79"/>
    </row>
    <row r="465" spans="6:7">
      <c r="F465" s="66"/>
      <c r="G465" s="79"/>
    </row>
    <row r="466" spans="6:7">
      <c r="F466" s="66"/>
      <c r="G466" s="79"/>
    </row>
    <row r="467" spans="6:7">
      <c r="F467" s="66"/>
      <c r="G467" s="79"/>
    </row>
    <row r="468" spans="6:7">
      <c r="F468" s="66"/>
      <c r="G468" s="79"/>
    </row>
    <row r="469" spans="6:7">
      <c r="F469" s="66"/>
      <c r="G469" s="79"/>
    </row>
    <row r="470" spans="6:7">
      <c r="F470" s="66"/>
      <c r="G470" s="79"/>
    </row>
    <row r="471" spans="6:7">
      <c r="F471" s="66"/>
      <c r="G471" s="79"/>
    </row>
    <row r="472" spans="6:7">
      <c r="F472" s="66"/>
      <c r="G472" s="79"/>
    </row>
    <row r="473" spans="6:7">
      <c r="F473" s="66"/>
      <c r="G473" s="79"/>
    </row>
    <row r="474" spans="6:7">
      <c r="F474" s="66"/>
      <c r="G474" s="79"/>
    </row>
    <row r="475" spans="6:7">
      <c r="F475" s="66"/>
      <c r="G475" s="79"/>
    </row>
    <row r="476" spans="6:7">
      <c r="F476" s="66"/>
      <c r="G476" s="79"/>
    </row>
    <row r="477" spans="6:7">
      <c r="F477" s="66"/>
      <c r="G477" s="79"/>
    </row>
    <row r="478" spans="6:7">
      <c r="F478" s="66"/>
      <c r="G478" s="79"/>
    </row>
    <row r="479" spans="6:7">
      <c r="F479" s="66"/>
      <c r="G479" s="79"/>
    </row>
    <row r="480" spans="6:7">
      <c r="F480" s="66"/>
      <c r="G480" s="79"/>
    </row>
    <row r="481" spans="6:7">
      <c r="F481" s="66"/>
      <c r="G481" s="79"/>
    </row>
    <row r="482" spans="6:7">
      <c r="F482" s="66"/>
      <c r="G482" s="79"/>
    </row>
    <row r="483" spans="6:7">
      <c r="F483" s="66"/>
      <c r="G483" s="79"/>
    </row>
    <row r="484" spans="6:7">
      <c r="F484" s="66"/>
      <c r="G484" s="79"/>
    </row>
    <row r="485" spans="6:7">
      <c r="F485" s="66"/>
      <c r="G485" s="79"/>
    </row>
    <row r="486" spans="6:7">
      <c r="F486" s="66"/>
      <c r="G486" s="79"/>
    </row>
    <row r="487" spans="6:7">
      <c r="F487" s="66"/>
      <c r="G487" s="79"/>
    </row>
    <row r="488" spans="6:7">
      <c r="F488" s="66"/>
      <c r="G488" s="79"/>
    </row>
    <row r="489" spans="6:7">
      <c r="F489" s="66"/>
      <c r="G489" s="79"/>
    </row>
    <row r="490" spans="6:7">
      <c r="F490" s="66"/>
      <c r="G490" s="79"/>
    </row>
    <row r="491" spans="6:7">
      <c r="F491" s="66"/>
      <c r="G491" s="79"/>
    </row>
    <row r="492" spans="6:7">
      <c r="F492" s="66"/>
      <c r="G492" s="79"/>
    </row>
    <row r="493" spans="6:7">
      <c r="F493" s="66"/>
      <c r="G493" s="79"/>
    </row>
    <row r="494" spans="6:7">
      <c r="F494" s="66"/>
      <c r="G494" s="79"/>
    </row>
    <row r="495" spans="6:7">
      <c r="F495" s="66"/>
      <c r="G495" s="79"/>
    </row>
    <row r="496" spans="6:7">
      <c r="F496" s="66"/>
      <c r="G496" s="79"/>
    </row>
    <row r="497" spans="6:7">
      <c r="F497" s="66"/>
      <c r="G497" s="79"/>
    </row>
    <row r="498" spans="6:7">
      <c r="F498" s="66"/>
      <c r="G498" s="79"/>
    </row>
    <row r="499" spans="6:7">
      <c r="F499" s="66"/>
      <c r="G499" s="79"/>
    </row>
    <row r="500" spans="6:7">
      <c r="F500" s="66"/>
      <c r="G500" s="79"/>
    </row>
    <row r="501" spans="6:7">
      <c r="F501" s="66"/>
      <c r="G501" s="79"/>
    </row>
    <row r="502" spans="6:7">
      <c r="F502" s="66"/>
      <c r="G502" s="79"/>
    </row>
    <row r="503" spans="6:7">
      <c r="F503" s="66"/>
      <c r="G503" s="79"/>
    </row>
    <row r="504" spans="6:7">
      <c r="F504" s="66"/>
      <c r="G504" s="79"/>
    </row>
    <row r="505" spans="6:7">
      <c r="F505" s="66"/>
      <c r="G505" s="79"/>
    </row>
    <row r="506" spans="6:7">
      <c r="F506" s="66"/>
      <c r="G506" s="79"/>
    </row>
    <row r="507" spans="6:7">
      <c r="F507" s="66"/>
      <c r="G507" s="79"/>
    </row>
    <row r="508" spans="6:7">
      <c r="F508" s="66"/>
      <c r="G508" s="79"/>
    </row>
    <row r="509" spans="6:7">
      <c r="F509" s="66"/>
      <c r="G509" s="79"/>
    </row>
    <row r="510" spans="6:7">
      <c r="F510" s="66"/>
      <c r="G510" s="79"/>
    </row>
    <row r="511" spans="6:7">
      <c r="F511" s="66"/>
      <c r="G511" s="79"/>
    </row>
    <row r="512" spans="6:7">
      <c r="F512" s="66"/>
      <c r="G512" s="79"/>
    </row>
    <row r="513" spans="6:7">
      <c r="F513" s="66"/>
      <c r="G513" s="79"/>
    </row>
    <row r="514" spans="6:7">
      <c r="F514" s="66"/>
      <c r="G514" s="79"/>
    </row>
    <row r="515" spans="6:7">
      <c r="F515" s="66"/>
      <c r="G515" s="79"/>
    </row>
    <row r="516" spans="6:7">
      <c r="F516" s="66"/>
      <c r="G516" s="79"/>
    </row>
    <row r="517" spans="6:7">
      <c r="F517" s="66"/>
      <c r="G517" s="79"/>
    </row>
    <row r="518" spans="6:7">
      <c r="F518" s="66"/>
      <c r="G518" s="79"/>
    </row>
    <row r="519" spans="6:7">
      <c r="F519" s="66"/>
      <c r="G519" s="79"/>
    </row>
    <row r="520" spans="6:7">
      <c r="F520" s="66"/>
      <c r="G520" s="79"/>
    </row>
    <row r="521" spans="6:7">
      <c r="F521" s="66"/>
      <c r="G521" s="79"/>
    </row>
    <row r="522" spans="6:7">
      <c r="F522" s="66"/>
      <c r="G522" s="79"/>
    </row>
    <row r="523" spans="6:7">
      <c r="F523" s="66"/>
      <c r="G523" s="79"/>
    </row>
    <row r="524" spans="6:7">
      <c r="F524" s="66"/>
      <c r="G524" s="79"/>
    </row>
    <row r="525" spans="6:7">
      <c r="F525" s="66"/>
      <c r="G525" s="79"/>
    </row>
    <row r="526" spans="6:7">
      <c r="F526" s="66"/>
      <c r="G526" s="79"/>
    </row>
    <row r="527" spans="6:7">
      <c r="F527" s="66"/>
      <c r="G527" s="79"/>
    </row>
    <row r="528" spans="6:7">
      <c r="F528" s="66"/>
      <c r="G528" s="79"/>
    </row>
    <row r="529" spans="6:7">
      <c r="F529" s="66"/>
      <c r="G529" s="79"/>
    </row>
    <row r="530" spans="6:7">
      <c r="F530" s="66"/>
      <c r="G530" s="79"/>
    </row>
    <row r="531" spans="6:7">
      <c r="F531" s="66"/>
      <c r="G531" s="79"/>
    </row>
    <row r="532" spans="6:7">
      <c r="F532" s="66"/>
      <c r="G532" s="79"/>
    </row>
    <row r="533" spans="6:7">
      <c r="F533" s="66"/>
      <c r="G533" s="79"/>
    </row>
    <row r="534" spans="6:7">
      <c r="F534" s="66"/>
      <c r="G534" s="79"/>
    </row>
    <row r="535" spans="6:7">
      <c r="F535" s="66"/>
      <c r="G535" s="79"/>
    </row>
    <row r="536" spans="6:7">
      <c r="F536" s="66"/>
      <c r="G536" s="79"/>
    </row>
    <row r="537" spans="6:7">
      <c r="F537" s="66"/>
      <c r="G537" s="79"/>
    </row>
    <row r="538" spans="6:7">
      <c r="F538" s="66"/>
      <c r="G538" s="79"/>
    </row>
    <row r="539" spans="6:7">
      <c r="F539" s="66"/>
      <c r="G539" s="79"/>
    </row>
    <row r="540" spans="6:7">
      <c r="F540" s="66"/>
      <c r="G540" s="79"/>
    </row>
    <row r="541" spans="6:7">
      <c r="F541" s="66"/>
      <c r="G541" s="79"/>
    </row>
    <row r="542" spans="6:7">
      <c r="F542" s="66"/>
      <c r="G542" s="79"/>
    </row>
    <row r="543" spans="6:7">
      <c r="F543" s="66"/>
      <c r="G543" s="79"/>
    </row>
    <row r="544" spans="6:7">
      <c r="F544" s="66"/>
      <c r="G544" s="79"/>
    </row>
    <row r="545" spans="6:7">
      <c r="F545" s="66"/>
      <c r="G545" s="79"/>
    </row>
    <row r="546" spans="6:7">
      <c r="F546" s="66"/>
      <c r="G546" s="79"/>
    </row>
    <row r="547" spans="6:7">
      <c r="F547" s="66"/>
      <c r="G547" s="79"/>
    </row>
    <row r="548" spans="6:7">
      <c r="F548" s="66"/>
      <c r="G548" s="79"/>
    </row>
    <row r="549" spans="6:7">
      <c r="F549" s="66"/>
      <c r="G549" s="79"/>
    </row>
    <row r="550" spans="6:7">
      <c r="F550" s="66"/>
      <c r="G550" s="79"/>
    </row>
    <row r="551" spans="6:7">
      <c r="F551" s="66"/>
      <c r="G551" s="79"/>
    </row>
    <row r="552" spans="6:7">
      <c r="F552" s="66"/>
      <c r="G552" s="79"/>
    </row>
    <row r="553" spans="6:7">
      <c r="F553" s="66"/>
      <c r="G553" s="79"/>
    </row>
    <row r="554" spans="6:7">
      <c r="F554" s="66"/>
      <c r="G554" s="79"/>
    </row>
    <row r="555" spans="6:7">
      <c r="F555" s="66"/>
      <c r="G555" s="79"/>
    </row>
    <row r="556" spans="6:7">
      <c r="F556" s="66"/>
      <c r="G556" s="79"/>
    </row>
    <row r="557" spans="6:7">
      <c r="F557" s="66"/>
      <c r="G557" s="79"/>
    </row>
    <row r="558" spans="6:7">
      <c r="F558" s="66"/>
      <c r="G558" s="79"/>
    </row>
    <row r="559" spans="6:7">
      <c r="F559" s="66"/>
      <c r="G559" s="79"/>
    </row>
    <row r="560" spans="6:7">
      <c r="F560" s="66"/>
      <c r="G560" s="79"/>
    </row>
    <row r="561" spans="6:7">
      <c r="F561" s="66"/>
      <c r="G561" s="79"/>
    </row>
    <row r="562" spans="6:7">
      <c r="F562" s="66"/>
      <c r="G562" s="79"/>
    </row>
    <row r="563" spans="6:7">
      <c r="F563" s="66"/>
      <c r="G563" s="79"/>
    </row>
    <row r="564" spans="6:7">
      <c r="F564" s="66"/>
      <c r="G564" s="79"/>
    </row>
    <row r="565" spans="6:7">
      <c r="F565" s="66"/>
      <c r="G565" s="79"/>
    </row>
    <row r="566" spans="6:7">
      <c r="F566" s="66"/>
      <c r="G566" s="79"/>
    </row>
    <row r="567" spans="6:7">
      <c r="F567" s="66"/>
      <c r="G567" s="79"/>
    </row>
    <row r="568" spans="6:7">
      <c r="F568" s="66"/>
      <c r="G568" s="79"/>
    </row>
    <row r="569" spans="6:7">
      <c r="F569" s="66"/>
      <c r="G569" s="79"/>
    </row>
    <row r="570" spans="6:7">
      <c r="F570" s="66"/>
      <c r="G570" s="79"/>
    </row>
    <row r="571" spans="6:7">
      <c r="F571" s="66"/>
      <c r="G571" s="79"/>
    </row>
    <row r="572" spans="6:7">
      <c r="F572" s="66"/>
      <c r="G572" s="79"/>
    </row>
    <row r="573" spans="6:7">
      <c r="F573" s="66"/>
      <c r="G573" s="79"/>
    </row>
    <row r="574" spans="6:7">
      <c r="F574" s="66"/>
      <c r="G574" s="79"/>
    </row>
    <row r="575" spans="6:7">
      <c r="F575" s="66"/>
      <c r="G575" s="79"/>
    </row>
  </sheetData>
  <mergeCells count="1">
    <mergeCell ref="D45:E45"/>
  </mergeCells>
  <phoneticPr fontId="72" type="noConversion"/>
  <hyperlinks>
    <hyperlink ref="J2" r:id="rId1" xr:uid="{22A342C6-9BFB-41B7-B4A7-ACB54B775494}"/>
  </hyperlinks>
  <pageMargins left="0.7" right="0.7" top="0.75" bottom="0.75" header="0.3" footer="0.3"/>
  <pageSetup scale="3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filterMode="1">
    <tabColor rgb="FF8E267F"/>
    <pageSetUpPr fitToPage="1"/>
  </sheetPr>
  <dimension ref="A1:W460"/>
  <sheetViews>
    <sheetView topLeftCell="F1" zoomScale="140" zoomScaleNormal="140" zoomScaleSheetLayoutView="130" workbookViewId="0">
      <selection activeCell="K3" sqref="K3:L4"/>
    </sheetView>
  </sheetViews>
  <sheetFormatPr defaultRowHeight="12" outlineLevelRow="1" outlineLevelCol="1"/>
  <cols>
    <col min="1" max="1" width="3.5703125" customWidth="1"/>
    <col min="2" max="2" width="3.42578125" style="4627" hidden="1" customWidth="1" outlineLevel="1"/>
    <col min="3" max="3" width="3.7109375" customWidth="1" collapsed="1"/>
    <col min="4" max="5" width="1.7109375" customWidth="1"/>
    <col min="6" max="6" width="7.7109375" customWidth="1" outlineLevel="1"/>
    <col min="7" max="7" width="6.7109375" customWidth="1" outlineLevel="1"/>
    <col min="8" max="8" width="75.140625" customWidth="1"/>
    <col min="9" max="9" width="16.5703125" customWidth="1"/>
    <col min="10" max="10" width="0.85546875" customWidth="1"/>
    <col min="11" max="12" width="16.5703125" customWidth="1"/>
    <col min="13" max="13" width="16.5703125" style="78" customWidth="1"/>
    <col min="14" max="14" width="37" style="152" customWidth="1"/>
    <col min="15" max="15" width="13.42578125" customWidth="1"/>
    <col min="16" max="16" width="15.42578125" customWidth="1"/>
    <col min="17" max="17" width="21.42578125" customWidth="1"/>
    <col min="18" max="18" width="13.42578125" customWidth="1"/>
    <col min="19" max="19" width="11" customWidth="1"/>
  </cols>
  <sheetData>
    <row r="1" spans="7:19">
      <c r="M1" s="2184"/>
      <c r="O1" s="2009"/>
      <c r="P1" s="2076"/>
      <c r="Q1" s="226"/>
    </row>
    <row r="2" spans="7:19">
      <c r="G2" s="3942"/>
      <c r="H2" s="2189"/>
      <c r="K2" s="2186">
        <v>2023</v>
      </c>
      <c r="L2" s="2186">
        <v>2024</v>
      </c>
      <c r="M2" s="4277" t="s">
        <v>5979</v>
      </c>
      <c r="N2" s="4265" t="s">
        <v>5980</v>
      </c>
      <c r="O2" s="2009"/>
      <c r="P2" s="4444" t="s">
        <v>5449</v>
      </c>
      <c r="Q2" s="3948">
        <f>6321274.62+1109</f>
        <v>6322383.6200000001</v>
      </c>
      <c r="R2" s="227"/>
      <c r="S2" s="84"/>
    </row>
    <row r="3" spans="7:19">
      <c r="G3" s="2052"/>
      <c r="H3" s="81"/>
      <c r="I3" s="2186" t="s">
        <v>1667</v>
      </c>
      <c r="K3" s="4016">
        <v>36539231</v>
      </c>
      <c r="L3" s="4017">
        <v>40680069.609999999</v>
      </c>
      <c r="M3" s="2074">
        <f>L3-K3</f>
        <v>4140838.6099999994</v>
      </c>
      <c r="N3" s="4266">
        <f>L3/K3-1</f>
        <v>0.11332582806682501</v>
      </c>
      <c r="O3" s="2120"/>
      <c r="P3" s="4447" t="s">
        <v>5450</v>
      </c>
      <c r="Q3" s="3951">
        <v>1254148.94</v>
      </c>
      <c r="R3" s="227"/>
      <c r="S3" s="84"/>
    </row>
    <row r="4" spans="7:19">
      <c r="G4" s="2052"/>
      <c r="H4" s="81"/>
      <c r="I4" s="2186" t="s">
        <v>1668</v>
      </c>
      <c r="K4" s="4018">
        <v>34168712.631339982</v>
      </c>
      <c r="L4" s="4017">
        <v>39137865.029414542</v>
      </c>
      <c r="M4" s="2074">
        <f>L4-K4</f>
        <v>4969152.3980745599</v>
      </c>
      <c r="N4" s="4266">
        <f>L4/K4-1</f>
        <v>0.14542989815533147</v>
      </c>
      <c r="O4" s="2120"/>
      <c r="P4" s="4444" t="s">
        <v>5451</v>
      </c>
      <c r="Q4" s="2049">
        <f>Q2-Q3</f>
        <v>5068234.68</v>
      </c>
      <c r="R4" s="227"/>
      <c r="S4" s="84"/>
    </row>
    <row r="5" spans="7:19">
      <c r="G5" s="3945"/>
      <c r="H5" s="3946"/>
      <c r="I5" s="3946"/>
      <c r="K5" s="4019">
        <f>K3-K4</f>
        <v>2370518.3686600178</v>
      </c>
      <c r="L5" s="4019">
        <f>L3-L4</f>
        <v>1542204.5805854574</v>
      </c>
      <c r="M5" s="4276">
        <f>M3-M4</f>
        <v>-828313.78807456046</v>
      </c>
      <c r="N5" s="4266">
        <f>L5/K5-1</f>
        <v>-0.34942306249361865</v>
      </c>
      <c r="O5" s="2078"/>
      <c r="P5" s="4445" t="s">
        <v>5452</v>
      </c>
      <c r="Q5" s="3952">
        <v>223431.10000000027</v>
      </c>
      <c r="R5" s="227" t="s">
        <v>6211</v>
      </c>
      <c r="S5" s="84"/>
    </row>
    <row r="6" spans="7:19">
      <c r="G6" s="2052"/>
      <c r="H6" s="1986"/>
      <c r="I6" s="72"/>
      <c r="L6" s="3943"/>
      <c r="N6" s="3944"/>
      <c r="O6" s="2078"/>
      <c r="P6" s="4446" t="s">
        <v>5454</v>
      </c>
      <c r="Q6" s="4025">
        <f>SUM(Q4:Q5)</f>
        <v>5291665.78</v>
      </c>
      <c r="R6" s="227">
        <v>1037000</v>
      </c>
      <c r="S6" s="84"/>
    </row>
    <row r="7" spans="7:19">
      <c r="G7" s="3953"/>
      <c r="H7" s="72"/>
      <c r="I7" s="2186" t="s">
        <v>5453</v>
      </c>
      <c r="K7" s="157"/>
      <c r="L7" s="4026">
        <f>Q6+R6</f>
        <v>6328665.7800000003</v>
      </c>
      <c r="Q7" s="2114"/>
      <c r="S7" s="84"/>
    </row>
    <row r="8" spans="7:19">
      <c r="G8" s="3954"/>
      <c r="H8" s="4456"/>
      <c r="I8" s="4456" t="s">
        <v>2936</v>
      </c>
      <c r="K8" s="1981"/>
      <c r="L8" s="4455">
        <f>L5+L7</f>
        <v>7870870.3605854576</v>
      </c>
      <c r="R8" s="227"/>
      <c r="S8" s="84"/>
    </row>
    <row r="9" spans="7:19">
      <c r="I9" s="72"/>
      <c r="L9" s="3943"/>
      <c r="P9" s="2113"/>
      <c r="Q9" s="2114"/>
      <c r="R9" s="227"/>
      <c r="S9" s="84"/>
    </row>
    <row r="10" spans="7:19">
      <c r="I10" s="2186" t="s">
        <v>6114</v>
      </c>
      <c r="K10" s="3947"/>
      <c r="L10" s="4017">
        <f>BAZE_2024!G372</f>
        <v>3486155</v>
      </c>
      <c r="Q10" s="2114"/>
      <c r="R10" s="227"/>
      <c r="S10" s="84"/>
    </row>
    <row r="11" spans="7:19">
      <c r="H11" s="3949"/>
      <c r="I11" s="3949"/>
      <c r="J11" s="227"/>
      <c r="K11" s="3950"/>
      <c r="L11" s="4020">
        <f>L8-L10</f>
        <v>4384715.3605854576</v>
      </c>
      <c r="Q11" s="2114"/>
      <c r="R11" s="227"/>
      <c r="S11" s="84"/>
    </row>
    <row r="12" spans="7:19">
      <c r="I12" s="72"/>
      <c r="K12" s="4793"/>
      <c r="L12" s="3943"/>
      <c r="Q12" s="2114"/>
      <c r="S12" s="84"/>
    </row>
    <row r="13" spans="7:19">
      <c r="G13" s="3954"/>
      <c r="H13" s="77"/>
      <c r="I13" s="157" t="s">
        <v>6182</v>
      </c>
      <c r="L13" s="4017">
        <f>K29</f>
        <v>1571151.29</v>
      </c>
      <c r="Q13" s="2019"/>
      <c r="R13" s="227"/>
      <c r="S13" s="84"/>
    </row>
    <row r="14" spans="7:19">
      <c r="G14" s="3954"/>
      <c r="I14" s="157" t="s">
        <v>5498</v>
      </c>
      <c r="L14" s="4017">
        <f>K30</f>
        <v>1567975.8785999999</v>
      </c>
      <c r="M14" s="1991"/>
      <c r="Q14" s="2077"/>
      <c r="S14" s="84"/>
    </row>
    <row r="15" spans="7:19">
      <c r="G15" s="3953"/>
      <c r="H15" s="3955"/>
      <c r="I15" s="3955" t="s">
        <v>2890</v>
      </c>
      <c r="K15" s="1982"/>
      <c r="L15" s="4021">
        <f>L11-L13-L14</f>
        <v>1245588.1919854577</v>
      </c>
      <c r="Q15" s="2019"/>
      <c r="R15" s="227"/>
      <c r="S15" s="84"/>
    </row>
    <row r="16" spans="7:19">
      <c r="L16" s="4017"/>
      <c r="N16" s="83"/>
      <c r="Q16" s="2019"/>
      <c r="S16" s="84"/>
    </row>
    <row r="17" spans="1:19">
      <c r="I17" s="157" t="s">
        <v>5500</v>
      </c>
      <c r="L17" s="4017"/>
      <c r="N17" s="83"/>
      <c r="Q17" s="2019"/>
      <c r="S17" s="84"/>
    </row>
    <row r="18" spans="1:19">
      <c r="G18" s="84"/>
      <c r="I18" s="4443" t="s">
        <v>6116</v>
      </c>
      <c r="J18" s="447"/>
      <c r="K18" s="447"/>
      <c r="L18" s="4442">
        <f>K32</f>
        <v>1245588.19</v>
      </c>
      <c r="M18" s="4460"/>
      <c r="N18" s="83"/>
      <c r="Q18" s="78"/>
      <c r="S18" s="84"/>
    </row>
    <row r="19" spans="1:19">
      <c r="G19" s="84"/>
      <c r="H19" s="2078"/>
      <c r="I19" s="4161" t="s">
        <v>6142</v>
      </c>
      <c r="J19" s="447"/>
      <c r="K19" s="447"/>
      <c r="L19" s="4448">
        <f>L15-L18</f>
        <v>1.9854577258229256E-3</v>
      </c>
      <c r="M19" s="1991"/>
      <c r="N19" s="83"/>
      <c r="Q19" s="78"/>
      <c r="S19" s="84"/>
    </row>
    <row r="20" spans="1:19">
      <c r="G20" s="84"/>
      <c r="H20" s="2078"/>
      <c r="I20" s="4443" t="s">
        <v>6117</v>
      </c>
      <c r="J20" s="447"/>
      <c r="K20" s="447"/>
      <c r="L20" s="4442"/>
      <c r="M20" s="1991"/>
      <c r="N20" s="83"/>
      <c r="Q20" s="78"/>
      <c r="S20" s="84"/>
    </row>
    <row r="21" spans="1:19">
      <c r="G21" s="84"/>
      <c r="H21" s="2078"/>
      <c r="I21" s="4443" t="s">
        <v>6118</v>
      </c>
      <c r="J21" s="447"/>
      <c r="K21" s="447"/>
      <c r="L21" s="4442"/>
      <c r="M21" s="1991"/>
      <c r="N21" s="83"/>
      <c r="Q21" s="78"/>
      <c r="S21" s="84"/>
    </row>
    <row r="22" spans="1:19">
      <c r="G22" s="84"/>
      <c r="I22" s="157"/>
      <c r="L22" s="4017"/>
      <c r="M22" s="1991"/>
      <c r="N22" s="83"/>
      <c r="Q22" s="78"/>
      <c r="S22" s="84"/>
    </row>
    <row r="23" spans="1:19" hidden="1">
      <c r="F23" s="84"/>
      <c r="I23" s="157" t="s">
        <v>2983</v>
      </c>
      <c r="L23" s="4017">
        <f>K31-K32</f>
        <v>3625851.32</v>
      </c>
      <c r="M23" s="83"/>
      <c r="N23"/>
      <c r="P23" s="78"/>
      <c r="R23" s="84"/>
    </row>
    <row r="24" spans="1:19" hidden="1">
      <c r="G24" s="84"/>
      <c r="I24" s="157"/>
      <c r="L24" s="4017"/>
      <c r="M24" s="1991"/>
      <c r="N24" s="83"/>
      <c r="Q24" s="78"/>
      <c r="S24" s="84"/>
    </row>
    <row r="25" spans="1:19" hidden="1">
      <c r="H25" s="3956"/>
      <c r="I25" s="3956" t="s">
        <v>5455</v>
      </c>
      <c r="K25" s="2061"/>
      <c r="L25" s="4461">
        <f>L15-L18-L23</f>
        <v>-3625851.3180145421</v>
      </c>
      <c r="Q25" s="78"/>
      <c r="R25" s="227"/>
      <c r="S25" s="84"/>
    </row>
    <row r="26" spans="1:19" hidden="1">
      <c r="L26" s="78"/>
    </row>
    <row r="27" spans="1:19" hidden="1">
      <c r="L27" s="78"/>
    </row>
    <row r="28" spans="1:19" ht="24" collapsed="1">
      <c r="A28" s="4030"/>
      <c r="C28" s="4430"/>
      <c r="D28" s="4431"/>
      <c r="E28" s="4431"/>
      <c r="F28" s="4431"/>
      <c r="G28" s="4431"/>
      <c r="H28" s="4031"/>
      <c r="I28" s="4027" t="s">
        <v>1623</v>
      </c>
      <c r="J28" s="3940"/>
      <c r="K28" s="1998" t="s">
        <v>517</v>
      </c>
      <c r="L28" s="2059" t="s">
        <v>1617</v>
      </c>
      <c r="M28" s="2185" t="s">
        <v>1145</v>
      </c>
    </row>
    <row r="29" spans="1:19">
      <c r="A29" s="4030"/>
      <c r="C29" s="4432"/>
      <c r="D29" s="50"/>
      <c r="E29" s="50"/>
      <c r="F29" s="50"/>
      <c r="G29" s="50"/>
      <c r="H29" s="4035" t="s">
        <v>5499</v>
      </c>
      <c r="I29" s="4028">
        <f>SUM(K29:M29)</f>
        <v>4636410.87</v>
      </c>
      <c r="K29" s="2177">
        <f>K80</f>
        <v>1571151.29</v>
      </c>
      <c r="L29" s="2177">
        <f>L80</f>
        <v>1545504.03</v>
      </c>
      <c r="M29" s="2177">
        <f>M80</f>
        <v>1519755.5499999998</v>
      </c>
    </row>
    <row r="30" spans="1:19">
      <c r="A30" s="4030"/>
      <c r="C30" s="4432"/>
      <c r="D30" s="50"/>
      <c r="E30" s="50"/>
      <c r="F30" s="50"/>
      <c r="G30" s="50"/>
      <c r="H30" s="4035" t="s">
        <v>5498</v>
      </c>
      <c r="I30" s="4028">
        <f>SUM(K30:M30)</f>
        <v>1601615.8785999999</v>
      </c>
      <c r="K30" s="2177">
        <f>K162</f>
        <v>1567975.8785999999</v>
      </c>
      <c r="L30" s="2177">
        <f>L162</f>
        <v>33640</v>
      </c>
      <c r="M30" s="2177">
        <f>M162</f>
        <v>0</v>
      </c>
    </row>
    <row r="31" spans="1:19">
      <c r="A31" s="4030"/>
      <c r="C31" s="4432"/>
      <c r="D31" s="50"/>
      <c r="E31" s="50"/>
      <c r="F31" s="50"/>
      <c r="G31" s="50"/>
      <c r="H31" s="4035" t="s">
        <v>5500</v>
      </c>
      <c r="I31" s="4028">
        <f>SUM(K31:M31)</f>
        <v>6746604.3399999999</v>
      </c>
      <c r="K31" s="2177">
        <f>K339</f>
        <v>4871439.51</v>
      </c>
      <c r="L31" s="2177">
        <f>L339</f>
        <v>1875164.83</v>
      </c>
      <c r="M31" s="2177">
        <f>M339</f>
        <v>0</v>
      </c>
    </row>
    <row r="32" spans="1:19">
      <c r="A32" s="4030"/>
      <c r="C32" s="4432"/>
      <c r="D32" s="50"/>
      <c r="E32" s="50"/>
      <c r="F32" s="50"/>
      <c r="G32" s="50"/>
      <c r="H32" s="4433" t="s">
        <v>6116</v>
      </c>
      <c r="I32" s="4434">
        <f>I346</f>
        <v>3120753.02</v>
      </c>
      <c r="J32" s="4435"/>
      <c r="K32" s="4436">
        <f t="shared" ref="K32:M34" si="0">K346</f>
        <v>1245588.19</v>
      </c>
      <c r="L32" s="4434">
        <f t="shared" si="0"/>
        <v>1875164.83</v>
      </c>
      <c r="M32" s="4434">
        <f t="shared" si="0"/>
        <v>0</v>
      </c>
    </row>
    <row r="33" spans="1:21">
      <c r="A33" s="4030"/>
      <c r="C33" s="4432"/>
      <c r="D33" s="50"/>
      <c r="E33" s="50"/>
      <c r="F33" s="50"/>
      <c r="G33" s="50"/>
      <c r="H33" s="4433" t="s">
        <v>6117</v>
      </c>
      <c r="I33" s="4434">
        <f>I347</f>
        <v>2771742.3200000003</v>
      </c>
      <c r="J33" s="4435"/>
      <c r="K33" s="4436">
        <f t="shared" si="0"/>
        <v>2771742.3200000003</v>
      </c>
      <c r="L33" s="4434">
        <f t="shared" si="0"/>
        <v>0</v>
      </c>
      <c r="M33" s="4434">
        <f t="shared" si="0"/>
        <v>0</v>
      </c>
    </row>
    <row r="34" spans="1:21">
      <c r="A34" s="4030"/>
      <c r="C34" s="4432"/>
      <c r="D34" s="50"/>
      <c r="E34" s="50"/>
      <c r="F34" s="50"/>
      <c r="G34" s="50"/>
      <c r="H34" s="4433" t="s">
        <v>6118</v>
      </c>
      <c r="I34" s="4434">
        <f>I348</f>
        <v>854109</v>
      </c>
      <c r="J34" s="4435"/>
      <c r="K34" s="4436">
        <f t="shared" si="0"/>
        <v>854109</v>
      </c>
      <c r="L34" s="4434">
        <f t="shared" si="0"/>
        <v>0</v>
      </c>
      <c r="M34" s="4434">
        <f t="shared" si="0"/>
        <v>0</v>
      </c>
    </row>
    <row r="35" spans="1:21">
      <c r="A35" s="4030"/>
      <c r="C35" s="4432"/>
      <c r="D35" s="50"/>
      <c r="E35" s="50"/>
      <c r="F35" s="50"/>
      <c r="G35" s="50"/>
      <c r="H35" s="4035" t="s">
        <v>6119</v>
      </c>
      <c r="I35" s="4036">
        <f>SUM(I29:I31)</f>
        <v>12984631.0886</v>
      </c>
      <c r="J35" s="72"/>
      <c r="K35" s="4037">
        <f>SUM(K29:K31)</f>
        <v>8010566.6786000002</v>
      </c>
      <c r="L35" s="4037">
        <f>SUM(L29:L31)</f>
        <v>3454308.8600000003</v>
      </c>
      <c r="M35" s="4037">
        <f>SUM(M29:M31)</f>
        <v>1519755.5499999998</v>
      </c>
    </row>
    <row r="36" spans="1:21">
      <c r="A36" s="4030"/>
      <c r="C36" s="4032"/>
      <c r="D36" s="4033"/>
      <c r="E36" s="4033"/>
      <c r="F36" s="4033"/>
      <c r="G36" s="4033"/>
      <c r="H36" s="4034" t="s">
        <v>5501</v>
      </c>
      <c r="I36" s="4029">
        <f>SUM(K36:M36)</f>
        <v>1060929.67</v>
      </c>
      <c r="J36" s="1861"/>
      <c r="K36" s="4024">
        <f>K376</f>
        <v>1060929.67</v>
      </c>
      <c r="L36" s="4024">
        <f>L376</f>
        <v>0</v>
      </c>
      <c r="M36" s="4024">
        <f>M376</f>
        <v>0</v>
      </c>
    </row>
    <row r="37" spans="1:21">
      <c r="H37" s="4437"/>
      <c r="I37" s="4438"/>
      <c r="J37" s="1861"/>
      <c r="K37" s="4439"/>
      <c r="L37" s="4439"/>
      <c r="M37" s="4439"/>
    </row>
    <row r="38" spans="1:21" ht="12.75">
      <c r="D38" s="4023"/>
      <c r="E38" s="4023"/>
      <c r="F38" s="4022" t="s">
        <v>5496</v>
      </c>
      <c r="G38" s="4023"/>
    </row>
    <row r="39" spans="1:21">
      <c r="B39" s="4815"/>
      <c r="C39" s="4822" t="s">
        <v>1141</v>
      </c>
      <c r="D39" s="4822" t="s">
        <v>779</v>
      </c>
      <c r="E39" s="4822" t="s">
        <v>780</v>
      </c>
      <c r="F39" s="4822" t="s">
        <v>2931</v>
      </c>
      <c r="G39" s="4822" t="s">
        <v>2891</v>
      </c>
      <c r="H39" s="4822" t="s">
        <v>3013</v>
      </c>
      <c r="I39" s="4822" t="s">
        <v>1623</v>
      </c>
      <c r="J39" s="1999"/>
      <c r="K39" s="4826" t="s">
        <v>2909</v>
      </c>
      <c r="L39" s="4826"/>
      <c r="M39" s="4826"/>
    </row>
    <row r="40" spans="1:21" s="77" customFormat="1" ht="24">
      <c r="B40" s="4815"/>
      <c r="C40" s="4822"/>
      <c r="D40" s="4822"/>
      <c r="E40" s="4822"/>
      <c r="F40" s="4822"/>
      <c r="G40" s="4822"/>
      <c r="H40" s="4822"/>
      <c r="I40" s="4822"/>
      <c r="J40" s="1999"/>
      <c r="K40" s="1998" t="s">
        <v>517</v>
      </c>
      <c r="L40" s="2059" t="s">
        <v>1617</v>
      </c>
      <c r="M40" s="2185" t="s">
        <v>1145</v>
      </c>
      <c r="N40" s="152"/>
      <c r="O40"/>
      <c r="P40"/>
      <c r="Q40"/>
      <c r="R40"/>
      <c r="S40"/>
      <c r="T40"/>
      <c r="U40"/>
    </row>
    <row r="41" spans="1:21" s="77" customFormat="1" ht="24">
      <c r="B41" s="4628" t="s">
        <v>1251</v>
      </c>
      <c r="C41" s="1984">
        <v>1</v>
      </c>
      <c r="D41" s="2005"/>
      <c r="E41" s="2005"/>
      <c r="F41" s="2214" t="s">
        <v>494</v>
      </c>
      <c r="G41" s="1984" t="s">
        <v>5456</v>
      </c>
      <c r="H41" s="4699" t="s">
        <v>2916</v>
      </c>
      <c r="I41" s="4233">
        <v>10621</v>
      </c>
      <c r="J41" s="4690"/>
      <c r="K41" s="4691">
        <f>I41-L41-M41</f>
        <v>0</v>
      </c>
      <c r="L41" s="4233">
        <v>10621</v>
      </c>
      <c r="M41" s="4581"/>
      <c r="N41" s="43" t="s">
        <v>5457</v>
      </c>
      <c r="Q41" s="2011" t="s">
        <v>947</v>
      </c>
      <c r="R41" s="2011"/>
      <c r="S41" s="84"/>
    </row>
    <row r="42" spans="1:21" ht="12.75">
      <c r="B42" s="4627" t="s">
        <v>5975</v>
      </c>
      <c r="C42" s="1984">
        <v>2</v>
      </c>
      <c r="D42" s="2000"/>
      <c r="E42" s="1988"/>
      <c r="F42" s="2214" t="s">
        <v>494</v>
      </c>
      <c r="G42" s="2033" t="s">
        <v>5456</v>
      </c>
      <c r="H42" s="4700" t="s">
        <v>5458</v>
      </c>
      <c r="I42" s="4233">
        <f>K42+L42+M42</f>
        <v>207440</v>
      </c>
      <c r="J42" s="4234"/>
      <c r="K42" s="4695">
        <f>207440-L42</f>
        <v>127440</v>
      </c>
      <c r="L42" s="4233">
        <v>80000</v>
      </c>
      <c r="M42" s="2020"/>
      <c r="N42" s="43"/>
      <c r="O42" s="77"/>
      <c r="P42" s="77"/>
      <c r="Q42" s="77"/>
      <c r="R42" s="77"/>
      <c r="S42" s="77"/>
      <c r="T42" s="77"/>
      <c r="U42" s="77"/>
    </row>
    <row r="43" spans="1:21" ht="12.75">
      <c r="B43" s="4627" t="s">
        <v>1251</v>
      </c>
      <c r="C43" s="1984">
        <v>3</v>
      </c>
      <c r="D43" s="2000"/>
      <c r="E43" s="1988"/>
      <c r="F43" s="2214" t="s">
        <v>494</v>
      </c>
      <c r="G43" s="2033" t="s">
        <v>5456</v>
      </c>
      <c r="H43" s="4700" t="s">
        <v>5964</v>
      </c>
      <c r="I43" s="4233">
        <v>14066.82</v>
      </c>
      <c r="J43" s="4234"/>
      <c r="K43" s="4691">
        <f t="shared" ref="K43:K79" si="1">I43-L43-M43</f>
        <v>11534.789999999999</v>
      </c>
      <c r="L43" s="4233">
        <v>2532.0300000000002</v>
      </c>
      <c r="M43" s="2006"/>
      <c r="N43" s="43" t="s">
        <v>5459</v>
      </c>
      <c r="O43" s="77"/>
      <c r="P43" s="77"/>
      <c r="Q43" s="77"/>
      <c r="R43" s="77"/>
      <c r="S43" s="77"/>
      <c r="T43" s="77"/>
      <c r="U43" s="77"/>
    </row>
    <row r="44" spans="1:21" ht="12.75">
      <c r="B44" s="4627" t="s">
        <v>5976</v>
      </c>
      <c r="C44" s="1984">
        <v>4</v>
      </c>
      <c r="D44" s="2000"/>
      <c r="E44" s="1988"/>
      <c r="F44" s="2214" t="s">
        <v>5460</v>
      </c>
      <c r="G44" s="2033" t="s">
        <v>5456</v>
      </c>
      <c r="H44" s="4700" t="s">
        <v>5461</v>
      </c>
      <c r="I44" s="4233">
        <v>168527</v>
      </c>
      <c r="J44" s="4234"/>
      <c r="K44" s="4691">
        <f t="shared" si="1"/>
        <v>0</v>
      </c>
      <c r="L44" s="4233">
        <v>168527</v>
      </c>
      <c r="M44" s="2006"/>
      <c r="N44" s="43"/>
      <c r="O44" s="77"/>
      <c r="P44" s="77"/>
      <c r="Q44" s="77"/>
      <c r="R44" s="77"/>
      <c r="S44" s="77"/>
      <c r="T44" s="77"/>
      <c r="U44" s="77"/>
    </row>
    <row r="45" spans="1:21" ht="24">
      <c r="B45" s="4627" t="s">
        <v>5976</v>
      </c>
      <c r="C45" s="1984">
        <v>5</v>
      </c>
      <c r="D45" s="2000"/>
      <c r="E45" s="1988"/>
      <c r="F45" s="2214" t="s">
        <v>494</v>
      </c>
      <c r="G45" s="2033" t="s">
        <v>5456</v>
      </c>
      <c r="H45" s="4700" t="s">
        <v>5968</v>
      </c>
      <c r="I45" s="4233">
        <v>637343</v>
      </c>
      <c r="J45" s="4234"/>
      <c r="K45" s="4691">
        <f>637343*0.15</f>
        <v>95601.45</v>
      </c>
      <c r="L45" s="4233"/>
      <c r="M45" s="4691">
        <f>637343*0.85</f>
        <v>541741.54999999993</v>
      </c>
      <c r="N45" s="43" t="s">
        <v>5462</v>
      </c>
      <c r="O45" s="77"/>
      <c r="P45" s="77"/>
      <c r="Q45" s="77"/>
      <c r="R45" s="77"/>
      <c r="S45" s="77"/>
      <c r="T45" s="77"/>
      <c r="U45" s="77"/>
    </row>
    <row r="46" spans="1:21" ht="24">
      <c r="B46" s="4627" t="s">
        <v>5975</v>
      </c>
      <c r="C46" s="1984">
        <v>6</v>
      </c>
      <c r="D46" s="2000"/>
      <c r="E46" s="1988"/>
      <c r="F46" s="2214" t="s">
        <v>494</v>
      </c>
      <c r="G46" s="2033" t="s">
        <v>5456</v>
      </c>
      <c r="H46" s="4700" t="s">
        <v>4825</v>
      </c>
      <c r="I46" s="4233">
        <f>36598*1.21</f>
        <v>44283.58</v>
      </c>
      <c r="J46" s="4234"/>
      <c r="K46" s="4691">
        <v>44284</v>
      </c>
      <c r="L46" s="4233"/>
      <c r="M46" s="2006"/>
      <c r="N46" s="43" t="s">
        <v>5965</v>
      </c>
      <c r="O46" s="77"/>
      <c r="P46" s="77"/>
      <c r="Q46" s="77"/>
      <c r="R46" s="77"/>
      <c r="S46" s="77"/>
      <c r="T46" s="77"/>
      <c r="U46" s="77"/>
    </row>
    <row r="47" spans="1:21" ht="12.75">
      <c r="B47" s="4627" t="s">
        <v>5976</v>
      </c>
      <c r="C47" s="1984">
        <v>7</v>
      </c>
      <c r="D47" s="2000"/>
      <c r="E47" s="1988"/>
      <c r="F47" s="2214" t="s">
        <v>494</v>
      </c>
      <c r="G47" s="2033" t="s">
        <v>5456</v>
      </c>
      <c r="H47" s="4700" t="s">
        <v>5463</v>
      </c>
      <c r="I47" s="4233">
        <f>105000-5500-14500</f>
        <v>85000</v>
      </c>
      <c r="J47" s="4234"/>
      <c r="K47" s="4691">
        <f t="shared" si="1"/>
        <v>85000</v>
      </c>
      <c r="L47" s="4233"/>
      <c r="M47" s="2020"/>
      <c r="N47" s="43" t="s">
        <v>5464</v>
      </c>
      <c r="O47" s="77"/>
      <c r="P47" s="77"/>
      <c r="Q47" s="77"/>
      <c r="R47" s="77"/>
      <c r="S47" s="77"/>
      <c r="T47" s="77"/>
      <c r="U47" s="77"/>
    </row>
    <row r="48" spans="1:21">
      <c r="B48" s="4627" t="s">
        <v>5975</v>
      </c>
      <c r="C48" s="1984">
        <v>8</v>
      </c>
      <c r="D48" s="1988"/>
      <c r="E48" s="1988"/>
      <c r="F48" s="2213" t="s">
        <v>2987</v>
      </c>
      <c r="G48" s="2033" t="s">
        <v>5456</v>
      </c>
      <c r="H48" s="4700" t="s">
        <v>2981</v>
      </c>
      <c r="I48" s="4235">
        <v>50458</v>
      </c>
      <c r="J48" s="4234"/>
      <c r="K48" s="4691">
        <f t="shared" si="1"/>
        <v>0</v>
      </c>
      <c r="L48" s="4233">
        <v>50458</v>
      </c>
      <c r="M48" s="2006"/>
      <c r="N48" s="4" t="s">
        <v>5972</v>
      </c>
    </row>
    <row r="49" spans="2:23">
      <c r="B49" s="4627" t="s">
        <v>5975</v>
      </c>
      <c r="C49" s="1984">
        <v>9</v>
      </c>
      <c r="D49" s="1988"/>
      <c r="E49" s="1988"/>
      <c r="F49" s="2213" t="s">
        <v>1888</v>
      </c>
      <c r="G49" s="2033" t="s">
        <v>5456</v>
      </c>
      <c r="H49" s="4613" t="s">
        <v>1167</v>
      </c>
      <c r="I49" s="2006">
        <f>389-389</f>
        <v>0</v>
      </c>
      <c r="J49" s="2035"/>
      <c r="K49" s="2177">
        <f t="shared" si="1"/>
        <v>0</v>
      </c>
      <c r="L49" s="2006"/>
      <c r="M49" s="2006"/>
      <c r="N49" s="43" t="s">
        <v>5966</v>
      </c>
      <c r="W49" t="s">
        <v>947</v>
      </c>
    </row>
    <row r="50" spans="2:23" s="81" customFormat="1">
      <c r="B50" s="4627" t="s">
        <v>1251</v>
      </c>
      <c r="C50" s="1984">
        <v>10</v>
      </c>
      <c r="D50" s="2034"/>
      <c r="E50" s="2034"/>
      <c r="F50" s="2008" t="s">
        <v>2898</v>
      </c>
      <c r="G50" s="2033" t="s">
        <v>5456</v>
      </c>
      <c r="H50" s="4700" t="s">
        <v>2899</v>
      </c>
      <c r="I50" s="4233">
        <v>145650</v>
      </c>
      <c r="J50" s="4234"/>
      <c r="K50" s="4691">
        <f>145650-L50-M50</f>
        <v>27000</v>
      </c>
      <c r="L50" s="4233">
        <v>118650</v>
      </c>
      <c r="M50" s="2006"/>
      <c r="N50" s="4"/>
      <c r="O50"/>
      <c r="P50"/>
      <c r="Q50"/>
      <c r="R50"/>
      <c r="S50"/>
      <c r="T50"/>
      <c r="U50"/>
    </row>
    <row r="51" spans="2:23">
      <c r="B51" s="4627" t="s">
        <v>1251</v>
      </c>
      <c r="C51" s="1984">
        <v>11</v>
      </c>
      <c r="D51" s="1988"/>
      <c r="E51" s="1988"/>
      <c r="F51" s="2008" t="s">
        <v>1772</v>
      </c>
      <c r="G51" s="2033" t="s">
        <v>5456</v>
      </c>
      <c r="H51" s="4700" t="s">
        <v>2904</v>
      </c>
      <c r="I51" s="4233">
        <v>397337</v>
      </c>
      <c r="J51" s="4234"/>
      <c r="K51" s="4691">
        <f>397337-L51-M51</f>
        <v>6875</v>
      </c>
      <c r="L51" s="4233">
        <v>390462</v>
      </c>
      <c r="M51" s="2006"/>
      <c r="N51" s="4"/>
      <c r="O51" s="81"/>
      <c r="P51" s="81"/>
      <c r="Q51" s="81"/>
      <c r="R51" s="81"/>
      <c r="S51" s="81"/>
      <c r="T51" s="81"/>
      <c r="U51" s="81"/>
    </row>
    <row r="52" spans="2:23">
      <c r="C52" s="1984">
        <v>12</v>
      </c>
      <c r="D52" s="1988"/>
      <c r="E52" s="1988"/>
      <c r="F52" s="2214" t="s">
        <v>494</v>
      </c>
      <c r="G52" s="2033" t="s">
        <v>5456</v>
      </c>
      <c r="H52" s="4700" t="s">
        <v>6196</v>
      </c>
      <c r="I52" s="4233">
        <v>7900</v>
      </c>
      <c r="J52" s="4234"/>
      <c r="K52" s="4691">
        <f>I52-L52</f>
        <v>2765</v>
      </c>
      <c r="L52" s="4233">
        <v>5135</v>
      </c>
      <c r="M52" s="2006"/>
      <c r="N52" s="4"/>
      <c r="O52" s="81"/>
      <c r="P52" s="81"/>
      <c r="Q52" s="81"/>
      <c r="R52" s="81"/>
      <c r="S52" s="81"/>
      <c r="T52" s="81"/>
      <c r="U52" s="81"/>
    </row>
    <row r="53" spans="2:23" ht="12.75">
      <c r="B53" s="4627" t="s">
        <v>5975</v>
      </c>
      <c r="C53" s="1984">
        <v>13</v>
      </c>
      <c r="D53" s="2000"/>
      <c r="E53" s="1988"/>
      <c r="F53" s="2214" t="s">
        <v>494</v>
      </c>
      <c r="G53" s="2033" t="s">
        <v>5456</v>
      </c>
      <c r="H53" s="4700" t="s">
        <v>2967</v>
      </c>
      <c r="I53" s="4233">
        <v>9000</v>
      </c>
      <c r="J53" s="4234"/>
      <c r="K53" s="4691">
        <f t="shared" si="1"/>
        <v>9000</v>
      </c>
      <c r="L53" s="4233"/>
      <c r="M53" s="2006"/>
      <c r="N53" s="43" t="s">
        <v>4755</v>
      </c>
      <c r="O53" s="77"/>
      <c r="P53" s="77"/>
      <c r="Q53" s="77"/>
      <c r="R53" s="77"/>
      <c r="S53" s="77"/>
      <c r="T53" s="77"/>
      <c r="U53" s="77"/>
    </row>
    <row r="54" spans="2:23" ht="24">
      <c r="B54" s="4627" t="s">
        <v>5975</v>
      </c>
      <c r="C54" s="1984">
        <v>14</v>
      </c>
      <c r="D54" s="1984"/>
      <c r="E54" s="1984"/>
      <c r="F54" s="2008" t="s">
        <v>494</v>
      </c>
      <c r="G54" s="1984" t="s">
        <v>5456</v>
      </c>
      <c r="H54" s="4704" t="s">
        <v>6248</v>
      </c>
      <c r="I54" s="4705">
        <v>12020</v>
      </c>
      <c r="J54" s="4234"/>
      <c r="K54" s="4691">
        <f t="shared" si="1"/>
        <v>6010</v>
      </c>
      <c r="L54" s="4233">
        <f>12020/2</f>
        <v>6010</v>
      </c>
      <c r="M54" s="2006"/>
      <c r="N54" s="3958" t="s">
        <v>4756</v>
      </c>
    </row>
    <row r="55" spans="2:23" ht="24">
      <c r="B55" s="4627" t="s">
        <v>5975</v>
      </c>
      <c r="C55" s="1984">
        <v>15</v>
      </c>
      <c r="D55" s="1984"/>
      <c r="E55" s="1984"/>
      <c r="F55" s="2008" t="s">
        <v>494</v>
      </c>
      <c r="G55" s="2033" t="s">
        <v>5456</v>
      </c>
      <c r="H55" s="4700" t="s">
        <v>6247</v>
      </c>
      <c r="I55" s="4705">
        <v>30655</v>
      </c>
      <c r="J55" s="4234"/>
      <c r="K55" s="4691">
        <f t="shared" si="1"/>
        <v>0</v>
      </c>
      <c r="L55" s="4233">
        <v>30655</v>
      </c>
      <c r="M55" s="2006"/>
      <c r="N55" s="4817" t="s">
        <v>4757</v>
      </c>
      <c r="O55" s="4818"/>
      <c r="P55" s="4818"/>
      <c r="Q55" s="4818"/>
      <c r="R55" s="4818"/>
    </row>
    <row r="56" spans="2:23" s="81" customFormat="1">
      <c r="B56" s="4627" t="s">
        <v>5976</v>
      </c>
      <c r="C56" s="1984">
        <v>16</v>
      </c>
      <c r="D56" s="2034"/>
      <c r="E56" s="2034"/>
      <c r="F56" s="2008" t="s">
        <v>1839</v>
      </c>
      <c r="G56" s="2033" t="s">
        <v>5456</v>
      </c>
      <c r="H56" s="3959" t="s">
        <v>2908</v>
      </c>
      <c r="I56" s="2006"/>
      <c r="J56" s="2035"/>
      <c r="K56" s="4614">
        <f t="shared" si="1"/>
        <v>0</v>
      </c>
      <c r="L56" s="2006"/>
      <c r="M56" s="2020"/>
      <c r="N56" s="3960" t="s">
        <v>5465</v>
      </c>
    </row>
    <row r="57" spans="2:23" s="81" customFormat="1">
      <c r="B57" s="4629"/>
      <c r="C57" s="2034">
        <v>17</v>
      </c>
      <c r="D57" s="2034"/>
      <c r="E57" s="2008"/>
      <c r="F57" s="2033" t="s">
        <v>1627</v>
      </c>
      <c r="G57" s="2033" t="s">
        <v>6209</v>
      </c>
      <c r="H57" s="4235" t="s">
        <v>6210</v>
      </c>
      <c r="I57" s="4234">
        <f>K57</f>
        <v>1037000</v>
      </c>
      <c r="J57" s="4691"/>
      <c r="K57" s="4706">
        <v>1037000</v>
      </c>
      <c r="L57" s="4235"/>
      <c r="M57" s="43"/>
    </row>
    <row r="58" spans="2:23" s="81" customFormat="1">
      <c r="B58" s="4627" t="s">
        <v>1251</v>
      </c>
      <c r="C58" s="1984">
        <v>18</v>
      </c>
      <c r="D58" s="2034"/>
      <c r="E58" s="2034"/>
      <c r="F58" s="2008" t="s">
        <v>1133</v>
      </c>
      <c r="G58" s="2033" t="s">
        <v>1133</v>
      </c>
      <c r="H58" s="4710" t="s">
        <v>5973</v>
      </c>
      <c r="I58" s="4235">
        <f>K58+L58+M58</f>
        <v>546771</v>
      </c>
      <c r="J58" s="4234"/>
      <c r="K58" s="4691"/>
      <c r="L58" s="4706">
        <v>382739</v>
      </c>
      <c r="M58" s="4235">
        <v>164032</v>
      </c>
      <c r="N58" s="43"/>
    </row>
    <row r="59" spans="2:23" ht="24">
      <c r="B59" s="4627" t="s">
        <v>5976</v>
      </c>
      <c r="C59" s="1984">
        <v>19</v>
      </c>
      <c r="D59" s="1988" t="s">
        <v>1669</v>
      </c>
      <c r="E59" s="1988">
        <v>288</v>
      </c>
      <c r="F59" s="2213" t="s">
        <v>1783</v>
      </c>
      <c r="G59" s="2033" t="s">
        <v>5456</v>
      </c>
      <c r="H59" s="4700" t="s">
        <v>2910</v>
      </c>
      <c r="I59" s="4233"/>
      <c r="J59" s="4234"/>
      <c r="K59" s="4691">
        <f t="shared" si="1"/>
        <v>0</v>
      </c>
      <c r="L59" s="4233"/>
      <c r="M59" s="4233"/>
      <c r="N59" s="43" t="s">
        <v>5466</v>
      </c>
    </row>
    <row r="60" spans="2:23" ht="24">
      <c r="B60" s="4627" t="s">
        <v>1251</v>
      </c>
      <c r="C60" s="1984">
        <v>20</v>
      </c>
      <c r="D60" s="1988" t="s">
        <v>1670</v>
      </c>
      <c r="E60" s="1988">
        <v>288</v>
      </c>
      <c r="F60" s="2213" t="s">
        <v>2911</v>
      </c>
      <c r="G60" s="2033" t="s">
        <v>5456</v>
      </c>
      <c r="H60" s="4700" t="s">
        <v>2912</v>
      </c>
      <c r="I60" s="4233"/>
      <c r="J60" s="4234"/>
      <c r="K60" s="4691">
        <f t="shared" si="1"/>
        <v>0</v>
      </c>
      <c r="L60" s="4233"/>
      <c r="M60" s="4233"/>
      <c r="N60" s="43" t="s">
        <v>5466</v>
      </c>
    </row>
    <row r="61" spans="2:23" ht="24">
      <c r="B61" s="4627" t="s">
        <v>1251</v>
      </c>
      <c r="C61" s="1984">
        <v>21</v>
      </c>
      <c r="D61" s="1988"/>
      <c r="E61" s="1988"/>
      <c r="F61" s="2213" t="s">
        <v>3072</v>
      </c>
      <c r="G61" s="2033" t="s">
        <v>5456</v>
      </c>
      <c r="H61" s="4700" t="s">
        <v>5467</v>
      </c>
      <c r="I61" s="4233">
        <v>10250</v>
      </c>
      <c r="J61" s="4234"/>
      <c r="K61" s="4691">
        <v>10250</v>
      </c>
      <c r="L61" s="4233"/>
      <c r="M61" s="4233"/>
      <c r="N61" s="83"/>
    </row>
    <row r="62" spans="2:23" ht="24">
      <c r="B62" s="4627" t="s">
        <v>5975</v>
      </c>
      <c r="C62" s="1984">
        <v>22</v>
      </c>
      <c r="D62" s="1988"/>
      <c r="E62" s="1988"/>
      <c r="F62" s="2213" t="s">
        <v>1764</v>
      </c>
      <c r="G62" s="1984" t="s">
        <v>3114</v>
      </c>
      <c r="H62" s="4700" t="s">
        <v>5468</v>
      </c>
      <c r="I62" s="4233"/>
      <c r="J62" s="4234"/>
      <c r="K62" s="4691">
        <f t="shared" si="1"/>
        <v>0</v>
      </c>
      <c r="L62" s="2006"/>
      <c r="M62" s="2006"/>
      <c r="N62" s="83"/>
    </row>
    <row r="63" spans="2:23">
      <c r="B63" s="4627" t="s">
        <v>1251</v>
      </c>
      <c r="C63" s="1984">
        <v>23</v>
      </c>
      <c r="D63" s="1988"/>
      <c r="E63" s="1988"/>
      <c r="F63" s="2213" t="s">
        <v>2022</v>
      </c>
      <c r="G63" s="2033" t="s">
        <v>5456</v>
      </c>
      <c r="H63" s="3961" t="s">
        <v>1966</v>
      </c>
      <c r="I63" s="2006"/>
      <c r="J63" s="2035"/>
      <c r="K63" s="4614">
        <f t="shared" si="1"/>
        <v>0</v>
      </c>
      <c r="L63" s="2006"/>
      <c r="M63" s="2020"/>
      <c r="N63" s="3960" t="s">
        <v>5465</v>
      </c>
    </row>
    <row r="64" spans="2:23">
      <c r="B64" s="4627" t="s">
        <v>5976</v>
      </c>
      <c r="C64" s="1984">
        <v>24</v>
      </c>
      <c r="D64" s="1988"/>
      <c r="E64" s="1988"/>
      <c r="F64" s="2008" t="s">
        <v>500</v>
      </c>
      <c r="G64" s="1984" t="s">
        <v>429</v>
      </c>
      <c r="H64" s="4700" t="s">
        <v>5971</v>
      </c>
      <c r="I64" s="4233">
        <f>K64+L64+M64</f>
        <v>34497</v>
      </c>
      <c r="J64" s="4234"/>
      <c r="K64" s="4691">
        <v>3515</v>
      </c>
      <c r="L64" s="4233"/>
      <c r="M64" s="4235">
        <v>30982</v>
      </c>
      <c r="N64" s="43"/>
    </row>
    <row r="65" spans="2:14" ht="24">
      <c r="B65" s="4627" t="s">
        <v>5976</v>
      </c>
      <c r="C65" s="1984">
        <v>25</v>
      </c>
      <c r="D65" s="1984"/>
      <c r="E65" s="1984"/>
      <c r="F65" s="2008" t="s">
        <v>500</v>
      </c>
      <c r="G65" s="1984" t="s">
        <v>429</v>
      </c>
      <c r="H65" s="4700" t="s">
        <v>5115</v>
      </c>
      <c r="I65" s="4233">
        <v>870000</v>
      </c>
      <c r="J65" s="4234"/>
      <c r="K65" s="4691">
        <f>I65*0.1</f>
        <v>87000</v>
      </c>
      <c r="L65" s="4233"/>
      <c r="M65" s="4235">
        <f>870000*0.9</f>
        <v>783000</v>
      </c>
      <c r="N65" s="83"/>
    </row>
    <row r="66" spans="2:14">
      <c r="B66" s="4627" t="s">
        <v>1251</v>
      </c>
      <c r="C66" s="1984">
        <v>26</v>
      </c>
      <c r="D66" s="1984"/>
      <c r="E66" s="1984"/>
      <c r="F66" s="2008" t="s">
        <v>1761</v>
      </c>
      <c r="G66" s="1984" t="s">
        <v>2923</v>
      </c>
      <c r="H66" s="4700" t="s">
        <v>4011</v>
      </c>
      <c r="I66" s="4235">
        <v>3000</v>
      </c>
      <c r="J66" s="4234"/>
      <c r="K66" s="4691">
        <f t="shared" si="1"/>
        <v>3000</v>
      </c>
      <c r="L66" s="4233"/>
      <c r="M66" s="4233"/>
    </row>
    <row r="67" spans="2:14" ht="24">
      <c r="B67" s="4627" t="s">
        <v>5975</v>
      </c>
      <c r="C67" s="1984">
        <v>27</v>
      </c>
      <c r="D67" s="1984"/>
      <c r="E67" s="1984"/>
      <c r="F67" s="2008" t="s">
        <v>2274</v>
      </c>
      <c r="G67" s="1984" t="s">
        <v>4088</v>
      </c>
      <c r="H67" s="4700" t="s">
        <v>4070</v>
      </c>
      <c r="I67" s="4235">
        <v>500</v>
      </c>
      <c r="J67" s="4234"/>
      <c r="K67" s="4691">
        <f t="shared" si="1"/>
        <v>500</v>
      </c>
      <c r="L67" s="4233"/>
      <c r="M67" s="4233"/>
      <c r="N67" s="83" t="s">
        <v>5957</v>
      </c>
    </row>
    <row r="68" spans="2:14" ht="24">
      <c r="B68" s="4627" t="s">
        <v>5975</v>
      </c>
      <c r="C68" s="1984">
        <v>28</v>
      </c>
      <c r="D68" s="1984"/>
      <c r="E68" s="1984"/>
      <c r="F68" s="2008" t="s">
        <v>2274</v>
      </c>
      <c r="G68" s="1984" t="s">
        <v>4088</v>
      </c>
      <c r="H68" s="4700" t="s">
        <v>2881</v>
      </c>
      <c r="I68" s="4235">
        <v>2500</v>
      </c>
      <c r="J68" s="4234"/>
      <c r="K68" s="4691">
        <f>I68-L68-M68</f>
        <v>2500</v>
      </c>
      <c r="L68" s="4233"/>
      <c r="M68" s="4233"/>
      <c r="N68" s="83" t="s">
        <v>5957</v>
      </c>
    </row>
    <row r="69" spans="2:14">
      <c r="B69" s="4627" t="s">
        <v>1251</v>
      </c>
      <c r="C69" s="1984">
        <v>29</v>
      </c>
      <c r="D69" s="1984"/>
      <c r="E69" s="1984"/>
      <c r="F69" s="2008" t="s">
        <v>1840</v>
      </c>
      <c r="G69" s="1984" t="s">
        <v>5456</v>
      </c>
      <c r="H69" s="4700" t="s">
        <v>5967</v>
      </c>
      <c r="I69" s="2020">
        <v>10013</v>
      </c>
      <c r="J69" s="2035"/>
      <c r="K69" s="2177">
        <f t="shared" si="1"/>
        <v>10013</v>
      </c>
      <c r="L69" s="2006"/>
      <c r="M69" s="2006"/>
      <c r="N69" s="83"/>
    </row>
    <row r="70" spans="2:14">
      <c r="B70" s="4627" t="s">
        <v>5975</v>
      </c>
      <c r="C70" s="1984">
        <v>30</v>
      </c>
      <c r="D70" s="1988"/>
      <c r="E70" s="1988"/>
      <c r="F70" s="2213" t="s">
        <v>1289</v>
      </c>
      <c r="G70" s="1984" t="s">
        <v>563</v>
      </c>
      <c r="H70" s="4718" t="s">
        <v>3002</v>
      </c>
      <c r="I70" s="2006">
        <v>749.05</v>
      </c>
      <c r="J70" s="2035"/>
      <c r="K70" s="2177">
        <f t="shared" si="1"/>
        <v>749.05</v>
      </c>
      <c r="L70" s="2006"/>
      <c r="M70" s="2006"/>
      <c r="N70" s="43" t="s">
        <v>5469</v>
      </c>
    </row>
    <row r="71" spans="2:14">
      <c r="B71" s="4627" t="s">
        <v>5975</v>
      </c>
      <c r="C71" s="1984">
        <v>31</v>
      </c>
      <c r="D71" s="1988"/>
      <c r="E71" s="1988"/>
      <c r="F71" s="2213" t="s">
        <v>1288</v>
      </c>
      <c r="G71" s="1984" t="s">
        <v>563</v>
      </c>
      <c r="H71" s="4718" t="s">
        <v>1151</v>
      </c>
      <c r="I71" s="4233">
        <v>1049</v>
      </c>
      <c r="J71" s="4234"/>
      <c r="K71" s="4691">
        <f t="shared" si="1"/>
        <v>1049</v>
      </c>
      <c r="L71" s="4233"/>
      <c r="M71" s="2006"/>
      <c r="N71" s="43" t="s">
        <v>5469</v>
      </c>
    </row>
    <row r="72" spans="2:14" ht="24">
      <c r="B72" s="4627" t="s">
        <v>5975</v>
      </c>
      <c r="C72" s="1984">
        <v>32</v>
      </c>
      <c r="D72" s="1988"/>
      <c r="E72" s="1988"/>
      <c r="F72" s="2213" t="s">
        <v>1846</v>
      </c>
      <c r="G72" s="1984" t="s">
        <v>563</v>
      </c>
      <c r="H72" s="4718" t="s">
        <v>2926</v>
      </c>
      <c r="I72" s="4233">
        <v>65</v>
      </c>
      <c r="J72" s="4234"/>
      <c r="K72" s="4691">
        <f t="shared" si="1"/>
        <v>65</v>
      </c>
      <c r="L72" s="4233"/>
      <c r="M72" s="2006"/>
      <c r="N72" s="43" t="s">
        <v>5469</v>
      </c>
    </row>
    <row r="73" spans="2:14">
      <c r="B73" s="4627" t="s">
        <v>5976</v>
      </c>
      <c r="C73" s="1984">
        <v>33</v>
      </c>
      <c r="D73" s="1988"/>
      <c r="E73" s="1988"/>
      <c r="F73" s="2213" t="s">
        <v>768</v>
      </c>
      <c r="G73" s="1984" t="s">
        <v>563</v>
      </c>
      <c r="H73" s="4710" t="s">
        <v>1615</v>
      </c>
      <c r="I73" s="4233"/>
      <c r="J73" s="4234"/>
      <c r="K73" s="4691">
        <f t="shared" si="1"/>
        <v>0</v>
      </c>
      <c r="L73" s="4233"/>
      <c r="M73" s="2006"/>
      <c r="N73" s="43" t="s">
        <v>5470</v>
      </c>
    </row>
    <row r="74" spans="2:14">
      <c r="B74" s="4627" t="s">
        <v>1251</v>
      </c>
      <c r="C74" s="1984">
        <v>34</v>
      </c>
      <c r="D74" s="1988"/>
      <c r="E74" s="1988"/>
      <c r="F74" s="2213" t="s">
        <v>1244</v>
      </c>
      <c r="G74" s="1984" t="s">
        <v>563</v>
      </c>
      <c r="H74" s="4710" t="s">
        <v>1245</v>
      </c>
      <c r="I74" s="4233"/>
      <c r="J74" s="4234"/>
      <c r="K74" s="4691">
        <f t="shared" si="1"/>
        <v>0</v>
      </c>
      <c r="L74" s="4233"/>
      <c r="M74" s="2006"/>
      <c r="N74" s="43" t="s">
        <v>5470</v>
      </c>
    </row>
    <row r="75" spans="2:14">
      <c r="B75" s="4627" t="s">
        <v>5976</v>
      </c>
      <c r="C75" s="1984">
        <v>35</v>
      </c>
      <c r="D75" s="1988"/>
      <c r="E75" s="1988"/>
      <c r="F75" s="2213" t="s">
        <v>1018</v>
      </c>
      <c r="G75" s="1984" t="s">
        <v>205</v>
      </c>
      <c r="H75" s="4710" t="s">
        <v>1150</v>
      </c>
      <c r="I75" s="4233">
        <v>14485</v>
      </c>
      <c r="J75" s="4234"/>
      <c r="K75" s="4691">
        <f t="shared" si="1"/>
        <v>0</v>
      </c>
      <c r="L75" s="4233">
        <v>14485</v>
      </c>
      <c r="M75" s="2006"/>
      <c r="N75" s="4"/>
    </row>
    <row r="76" spans="2:14">
      <c r="B76" s="4627" t="s">
        <v>5976</v>
      </c>
      <c r="C76" s="1984">
        <v>36</v>
      </c>
      <c r="D76" s="1988"/>
      <c r="E76" s="1988"/>
      <c r="F76" s="2213" t="s">
        <v>1219</v>
      </c>
      <c r="G76" s="1984" t="s">
        <v>205</v>
      </c>
      <c r="H76" s="4710" t="s">
        <v>2928</v>
      </c>
      <c r="I76" s="4233">
        <v>266093</v>
      </c>
      <c r="J76" s="4234"/>
      <c r="K76" s="4691">
        <f t="shared" si="1"/>
        <v>0</v>
      </c>
      <c r="L76" s="4233">
        <v>266093</v>
      </c>
      <c r="M76" s="2006"/>
      <c r="N76" s="83"/>
    </row>
    <row r="77" spans="2:14">
      <c r="B77" s="4627" t="s">
        <v>1251</v>
      </c>
      <c r="C77" s="1984">
        <v>37</v>
      </c>
      <c r="D77" s="1988"/>
      <c r="E77" s="1988"/>
      <c r="F77" s="2213" t="s">
        <v>1284</v>
      </c>
      <c r="G77" s="1984" t="s">
        <v>1138</v>
      </c>
      <c r="H77" s="4710" t="s">
        <v>1649</v>
      </c>
      <c r="I77" s="4233">
        <v>3668</v>
      </c>
      <c r="J77" s="4234"/>
      <c r="K77" s="4691">
        <f t="shared" si="1"/>
        <v>0</v>
      </c>
      <c r="L77" s="4233">
        <v>3668</v>
      </c>
      <c r="M77" s="2006"/>
      <c r="N77" s="83"/>
    </row>
    <row r="78" spans="2:14">
      <c r="B78" s="4627" t="s">
        <v>1251</v>
      </c>
      <c r="C78" s="1984">
        <v>38</v>
      </c>
      <c r="D78" s="1988"/>
      <c r="E78" s="1988"/>
      <c r="F78" s="2213" t="s">
        <v>1858</v>
      </c>
      <c r="G78" s="1984" t="s">
        <v>1138</v>
      </c>
      <c r="H78" s="4710" t="s">
        <v>2929</v>
      </c>
      <c r="I78" s="4233">
        <v>3165</v>
      </c>
      <c r="J78" s="4234"/>
      <c r="K78" s="4691">
        <f t="shared" si="1"/>
        <v>0</v>
      </c>
      <c r="L78" s="4233">
        <v>3165</v>
      </c>
      <c r="M78" s="2006"/>
      <c r="N78" s="83"/>
    </row>
    <row r="79" spans="2:14">
      <c r="B79" s="4627" t="s">
        <v>1251</v>
      </c>
      <c r="C79" s="1984">
        <v>39</v>
      </c>
      <c r="D79" s="1988"/>
      <c r="E79" s="1988"/>
      <c r="F79" s="2213" t="s">
        <v>4936</v>
      </c>
      <c r="G79" s="1984" t="s">
        <v>1138</v>
      </c>
      <c r="H79" s="4710" t="s">
        <v>5471</v>
      </c>
      <c r="I79" s="4233">
        <v>12304</v>
      </c>
      <c r="J79" s="4234"/>
      <c r="K79" s="4691">
        <f t="shared" si="1"/>
        <v>0</v>
      </c>
      <c r="L79" s="4233">
        <v>12304</v>
      </c>
      <c r="M79" s="2006"/>
      <c r="N79" s="83"/>
    </row>
    <row r="80" spans="2:14">
      <c r="D80" s="279"/>
      <c r="E80" s="279"/>
      <c r="F80" s="1990"/>
      <c r="G80" s="1990"/>
      <c r="H80" s="1997" t="s">
        <v>3015</v>
      </c>
      <c r="I80" s="2178">
        <f>SUM(I41:I79)</f>
        <v>4636410.45</v>
      </c>
      <c r="J80" s="2179"/>
      <c r="K80" s="2178">
        <f>SUM(K41:K79)</f>
        <v>1571151.29</v>
      </c>
      <c r="L80" s="2178">
        <f>SUM(L41:L79)</f>
        <v>1545504.03</v>
      </c>
      <c r="M80" s="2178">
        <f>SUM(M41:M79)</f>
        <v>1519755.5499999998</v>
      </c>
    </row>
    <row r="81" spans="2:18">
      <c r="D81" s="279"/>
      <c r="E81" s="279"/>
      <c r="F81" s="1990"/>
      <c r="G81" s="1990"/>
      <c r="H81" s="2186"/>
      <c r="I81" s="2179"/>
      <c r="J81" s="2179"/>
      <c r="K81" s="2179"/>
      <c r="L81" s="2179"/>
      <c r="M81" s="2179"/>
    </row>
    <row r="82" spans="2:18" hidden="1" outlineLevel="1">
      <c r="B82" s="2575" t="s">
        <v>5976</v>
      </c>
      <c r="D82" s="279"/>
      <c r="E82" s="279"/>
      <c r="F82" s="1990"/>
      <c r="G82" s="1990"/>
      <c r="H82" s="2186"/>
      <c r="I82" s="4262">
        <f>SUMIF($B$41:$B$79,$B82,I$41:I$79)</f>
        <v>2075945</v>
      </c>
      <c r="J82" s="2179"/>
      <c r="K82" s="4262">
        <f t="shared" ref="K82:M84" si="2">SUMIF($B$41:$B$79,$B82,K$41:K$79)</f>
        <v>271116.45</v>
      </c>
      <c r="L82" s="4262">
        <f t="shared" si="2"/>
        <v>449105</v>
      </c>
      <c r="M82" s="4262">
        <f t="shared" si="2"/>
        <v>1355723.5499999998</v>
      </c>
    </row>
    <row r="83" spans="2:18" hidden="1" outlineLevel="1">
      <c r="B83" s="2575" t="s">
        <v>1251</v>
      </c>
      <c r="D83" s="279"/>
      <c r="E83" s="279"/>
      <c r="F83" s="1990"/>
      <c r="G83" s="1990"/>
      <c r="H83" s="2186"/>
      <c r="I83" s="4262">
        <f>SUMIF($B$41:$B$79,$B83,I$41:I$79)</f>
        <v>1156845.82</v>
      </c>
      <c r="J83" s="2179"/>
      <c r="K83" s="4262">
        <f t="shared" si="2"/>
        <v>68672.790000000008</v>
      </c>
      <c r="L83" s="4262">
        <f t="shared" si="2"/>
        <v>924141.03</v>
      </c>
      <c r="M83" s="4262">
        <f t="shared" si="2"/>
        <v>164032</v>
      </c>
    </row>
    <row r="84" spans="2:18" hidden="1" outlineLevel="1">
      <c r="B84" s="2575" t="s">
        <v>5975</v>
      </c>
      <c r="D84" s="279"/>
      <c r="E84" s="279"/>
      <c r="F84" s="1990"/>
      <c r="G84" s="1990"/>
      <c r="H84" s="2186"/>
      <c r="I84" s="4262">
        <f>SUMIF($B$41:$B$79,$B84,I$41:I$79)</f>
        <v>358719.63</v>
      </c>
      <c r="J84" s="2179"/>
      <c r="K84" s="4262">
        <f t="shared" si="2"/>
        <v>191597.05</v>
      </c>
      <c r="L84" s="4262">
        <f t="shared" si="2"/>
        <v>167123</v>
      </c>
      <c r="M84" s="4262">
        <f t="shared" si="2"/>
        <v>0</v>
      </c>
    </row>
    <row r="85" spans="2:18" collapsed="1">
      <c r="D85" s="279"/>
      <c r="E85" s="279"/>
      <c r="F85" s="1990"/>
      <c r="G85" s="1990"/>
      <c r="H85" s="2186"/>
      <c r="I85" s="2179"/>
      <c r="J85" s="2179"/>
      <c r="K85" s="2179"/>
      <c r="L85" s="2179"/>
      <c r="M85" s="2179"/>
    </row>
    <row r="86" spans="2:18" ht="12.75">
      <c r="F86" s="4022" t="s">
        <v>5959</v>
      </c>
      <c r="I86" s="1222"/>
      <c r="J86" s="2035"/>
      <c r="K86" s="1222"/>
      <c r="L86" s="1222"/>
      <c r="M86" s="1222"/>
      <c r="O86" s="79"/>
    </row>
    <row r="87" spans="2:18">
      <c r="B87" s="4816"/>
      <c r="C87" s="4822" t="s">
        <v>1141</v>
      </c>
      <c r="D87" s="4822" t="s">
        <v>779</v>
      </c>
      <c r="E87" s="4822" t="s">
        <v>780</v>
      </c>
      <c r="F87" s="4822" t="s">
        <v>2931</v>
      </c>
      <c r="G87" s="4826" t="s">
        <v>2891</v>
      </c>
      <c r="H87" s="4822" t="s">
        <v>3014</v>
      </c>
      <c r="I87" s="4825" t="s">
        <v>1623</v>
      </c>
      <c r="J87" s="2180"/>
      <c r="K87" s="4821" t="s">
        <v>2909</v>
      </c>
      <c r="L87" s="4821"/>
      <c r="M87" s="4821"/>
    </row>
    <row r="88" spans="2:18" ht="24.75" thickBot="1">
      <c r="B88" s="4816"/>
      <c r="C88" s="4822"/>
      <c r="D88" s="4822"/>
      <c r="E88" s="4822"/>
      <c r="F88" s="4822"/>
      <c r="G88" s="4826"/>
      <c r="H88" s="4822"/>
      <c r="I88" s="4825"/>
      <c r="J88" s="2180"/>
      <c r="K88" s="2059" t="s">
        <v>517</v>
      </c>
      <c r="L88" s="2059" t="s">
        <v>1617</v>
      </c>
      <c r="M88" s="2181" t="s">
        <v>1145</v>
      </c>
    </row>
    <row r="89" spans="2:18" ht="25.5" thickTop="1" thickBot="1">
      <c r="B89" s="4627" t="s">
        <v>1251</v>
      </c>
      <c r="C89" s="3992"/>
      <c r="D89" s="3996"/>
      <c r="E89" s="3996"/>
      <c r="F89" s="4004" t="s">
        <v>1837</v>
      </c>
      <c r="G89" s="3996" t="s">
        <v>171</v>
      </c>
      <c r="H89" s="4719" t="s">
        <v>3202</v>
      </c>
      <c r="I89" s="4720">
        <f>K89</f>
        <v>15000</v>
      </c>
      <c r="J89" s="4721"/>
      <c r="K89" s="4720">
        <v>15000</v>
      </c>
      <c r="L89" s="4006"/>
      <c r="M89" s="4006"/>
      <c r="N89" s="3975"/>
    </row>
    <row r="90" spans="2:18" ht="12.75" thickTop="1">
      <c r="B90" s="4627" t="s">
        <v>5976</v>
      </c>
      <c r="C90" s="4000"/>
      <c r="D90" s="3969"/>
      <c r="E90" s="3969"/>
      <c r="F90" s="3970" t="s">
        <v>494</v>
      </c>
      <c r="G90" s="3969" t="s">
        <v>5456</v>
      </c>
      <c r="H90" s="4722" t="s">
        <v>5958</v>
      </c>
      <c r="I90" s="4723">
        <f>SUM(K90:M90)</f>
        <v>30000</v>
      </c>
      <c r="J90" s="4234"/>
      <c r="K90" s="4724">
        <v>30000</v>
      </c>
      <c r="L90" s="4725"/>
      <c r="M90" s="3973"/>
      <c r="N90" s="3975" t="s">
        <v>5960</v>
      </c>
      <c r="R90">
        <v>35000</v>
      </c>
    </row>
    <row r="91" spans="2:18">
      <c r="B91" s="4627" t="s">
        <v>5975</v>
      </c>
      <c r="C91" s="1984"/>
      <c r="D91" s="3969"/>
      <c r="E91" s="3969"/>
      <c r="F91" s="3970" t="s">
        <v>494</v>
      </c>
      <c r="G91" s="3969" t="s">
        <v>5456</v>
      </c>
      <c r="H91" s="4722" t="s">
        <v>482</v>
      </c>
      <c r="I91" s="4726">
        <f>SUM(K91:M91)</f>
        <v>900</v>
      </c>
      <c r="J91" s="4234"/>
      <c r="K91" s="4725">
        <v>900</v>
      </c>
      <c r="L91" s="4725"/>
      <c r="M91" s="3973"/>
    </row>
    <row r="92" spans="2:18" ht="24">
      <c r="B92" s="4627" t="s">
        <v>5975</v>
      </c>
      <c r="C92" s="1984"/>
      <c r="D92" s="1984"/>
      <c r="E92" s="1984"/>
      <c r="F92" s="2008" t="s">
        <v>494</v>
      </c>
      <c r="G92" s="1984" t="s">
        <v>5456</v>
      </c>
      <c r="H92" s="4700" t="s">
        <v>4812</v>
      </c>
      <c r="I92" s="4705">
        <f>SUM(K92:M92)</f>
        <v>900</v>
      </c>
      <c r="J92" s="4234"/>
      <c r="K92" s="4233">
        <v>900</v>
      </c>
      <c r="L92" s="4233"/>
      <c r="M92" s="1996"/>
      <c r="N92" s="3974"/>
    </row>
    <row r="93" spans="2:18" ht="24">
      <c r="B93" s="4627" t="s">
        <v>5975</v>
      </c>
      <c r="C93" s="1984"/>
      <c r="D93" s="1984"/>
      <c r="E93" s="1984"/>
      <c r="F93" s="2008" t="s">
        <v>494</v>
      </c>
      <c r="G93" s="1984" t="s">
        <v>5456</v>
      </c>
      <c r="H93" s="4700" t="s">
        <v>5919</v>
      </c>
      <c r="I93" s="4705">
        <f>K93+L93</f>
        <v>25000</v>
      </c>
      <c r="J93" s="4234"/>
      <c r="K93" s="4233">
        <v>9000</v>
      </c>
      <c r="L93" s="4235">
        <v>16000</v>
      </c>
      <c r="M93" s="1996"/>
      <c r="N93" s="3974"/>
    </row>
    <row r="94" spans="2:18">
      <c r="B94" s="4627" t="s">
        <v>5975</v>
      </c>
      <c r="C94" s="1984"/>
      <c r="D94" s="1984" t="s">
        <v>1676</v>
      </c>
      <c r="E94" s="1984"/>
      <c r="F94" s="2008" t="s">
        <v>1889</v>
      </c>
      <c r="G94" s="1984" t="s">
        <v>5456</v>
      </c>
      <c r="H94" s="4700" t="s">
        <v>2893</v>
      </c>
      <c r="I94" s="4727">
        <f t="shared" ref="I94:I104" si="3">SUM(K94:M94)</f>
        <v>40000</v>
      </c>
      <c r="J94" s="4234"/>
      <c r="K94" s="4233">
        <v>40000</v>
      </c>
      <c r="L94" s="4013"/>
      <c r="M94" s="4013"/>
      <c r="N94" s="3975"/>
    </row>
    <row r="95" spans="2:18" ht="36">
      <c r="C95" s="4012"/>
      <c r="D95" s="4012"/>
      <c r="E95" s="4012"/>
      <c r="F95" s="2008" t="s">
        <v>1889</v>
      </c>
      <c r="G95" s="1984" t="s">
        <v>5456</v>
      </c>
      <c r="H95" s="4729" t="s">
        <v>6246</v>
      </c>
      <c r="I95" s="4727">
        <f>SUM(K95:M95)</f>
        <v>5094</v>
      </c>
      <c r="J95" s="4234"/>
      <c r="K95" s="4730">
        <v>5094</v>
      </c>
      <c r="L95" s="4013"/>
      <c r="M95" s="4013"/>
      <c r="N95" s="3975"/>
    </row>
    <row r="96" spans="2:18" ht="24.75" thickBot="1">
      <c r="B96" s="4627" t="s">
        <v>5975</v>
      </c>
      <c r="C96" s="3966"/>
      <c r="D96" s="3966" t="s">
        <v>1677</v>
      </c>
      <c r="E96" s="3966"/>
      <c r="F96" s="3977" t="s">
        <v>1889</v>
      </c>
      <c r="G96" s="3966" t="s">
        <v>5456</v>
      </c>
      <c r="H96" s="4731" t="s">
        <v>2894</v>
      </c>
      <c r="I96" s="4732">
        <f t="shared" si="3"/>
        <v>10000</v>
      </c>
      <c r="J96" s="4236"/>
      <c r="K96" s="4732">
        <v>10000</v>
      </c>
      <c r="L96" s="3979"/>
      <c r="M96" s="3979"/>
      <c r="N96" s="3975"/>
    </row>
    <row r="97" spans="2:18" ht="12.75" thickTop="1">
      <c r="B97" s="4627" t="s">
        <v>5975</v>
      </c>
      <c r="C97" s="3969"/>
      <c r="D97" s="3969"/>
      <c r="E97" s="3969"/>
      <c r="F97" s="3970" t="s">
        <v>495</v>
      </c>
      <c r="G97" s="3969" t="s">
        <v>2917</v>
      </c>
      <c r="H97" s="4722" t="s">
        <v>2959</v>
      </c>
      <c r="I97" s="4725">
        <f t="shared" si="3"/>
        <v>44880</v>
      </c>
      <c r="J97" s="4234"/>
      <c r="K97" s="4725">
        <v>44880</v>
      </c>
      <c r="L97" s="3973"/>
      <c r="M97" s="3973"/>
      <c r="N97" s="3975" t="s">
        <v>5474</v>
      </c>
    </row>
    <row r="98" spans="2:18" ht="24">
      <c r="B98" s="4627" t="s">
        <v>5975</v>
      </c>
      <c r="C98" s="1984"/>
      <c r="D98" s="1984"/>
      <c r="E98" s="1984"/>
      <c r="F98" s="2008" t="s">
        <v>495</v>
      </c>
      <c r="G98" s="1984" t="s">
        <v>2917</v>
      </c>
      <c r="H98" s="4700" t="s">
        <v>2918</v>
      </c>
      <c r="I98" s="4233">
        <f t="shared" si="3"/>
        <v>4700</v>
      </c>
      <c r="J98" s="4234"/>
      <c r="K98" s="4233">
        <v>4700</v>
      </c>
      <c r="L98" s="1996"/>
      <c r="M98" s="1996"/>
      <c r="N98" s="3975" t="s">
        <v>3567</v>
      </c>
    </row>
    <row r="99" spans="2:18">
      <c r="B99" s="4627" t="s">
        <v>5975</v>
      </c>
      <c r="C99" s="1984"/>
      <c r="D99" s="1984"/>
      <c r="E99" s="1984"/>
      <c r="F99" s="2008" t="s">
        <v>495</v>
      </c>
      <c r="G99" s="1984" t="s">
        <v>2917</v>
      </c>
      <c r="H99" s="4700" t="s">
        <v>2919</v>
      </c>
      <c r="I99" s="4233">
        <f t="shared" si="3"/>
        <v>9050</v>
      </c>
      <c r="J99" s="4234"/>
      <c r="K99" s="4233">
        <v>9050</v>
      </c>
      <c r="L99" s="1996"/>
      <c r="M99" s="1996"/>
      <c r="N99" s="3975" t="s">
        <v>3567</v>
      </c>
    </row>
    <row r="100" spans="2:18">
      <c r="B100" s="4627" t="s">
        <v>5975</v>
      </c>
      <c r="C100" s="1984"/>
      <c r="D100" s="1984"/>
      <c r="E100" s="1984"/>
      <c r="F100" s="2008" t="s">
        <v>495</v>
      </c>
      <c r="G100" s="1984" t="s">
        <v>2917</v>
      </c>
      <c r="H100" s="4700" t="s">
        <v>5773</v>
      </c>
      <c r="I100" s="4727">
        <f t="shared" si="3"/>
        <v>10000</v>
      </c>
      <c r="J100" s="4234"/>
      <c r="K100" s="4233">
        <v>10000</v>
      </c>
      <c r="L100" s="4013"/>
      <c r="M100" s="4013"/>
      <c r="N100" s="3975"/>
    </row>
    <row r="101" spans="2:18">
      <c r="B101" s="4627" t="s">
        <v>5975</v>
      </c>
      <c r="C101" s="1984"/>
      <c r="D101" s="1984"/>
      <c r="E101" s="1984"/>
      <c r="F101" s="2008" t="s">
        <v>495</v>
      </c>
      <c r="G101" s="1984" t="s">
        <v>2917</v>
      </c>
      <c r="H101" s="4700" t="s">
        <v>314</v>
      </c>
      <c r="I101" s="4727">
        <f t="shared" si="3"/>
        <v>80075</v>
      </c>
      <c r="J101" s="4733"/>
      <c r="K101" s="4734">
        <v>80075</v>
      </c>
      <c r="L101" s="3976"/>
      <c r="M101" s="3976"/>
      <c r="N101" s="3975" t="s">
        <v>5475</v>
      </c>
    </row>
    <row r="102" spans="2:18" ht="24">
      <c r="C102" s="1984"/>
      <c r="D102" s="1984"/>
      <c r="E102" s="1984"/>
      <c r="F102" s="2008" t="s">
        <v>495</v>
      </c>
      <c r="G102" s="1984" t="s">
        <v>2917</v>
      </c>
      <c r="H102" s="4700" t="s">
        <v>6249</v>
      </c>
      <c r="I102" s="4727">
        <f t="shared" si="3"/>
        <v>26310</v>
      </c>
      <c r="J102" s="4733"/>
      <c r="K102" s="4734">
        <v>26310</v>
      </c>
      <c r="L102" s="3976"/>
      <c r="M102" s="3976"/>
      <c r="N102" s="3975" t="s">
        <v>3593</v>
      </c>
    </row>
    <row r="103" spans="2:18">
      <c r="B103" s="4627" t="s">
        <v>5976</v>
      </c>
      <c r="C103" s="1984"/>
      <c r="D103" s="1984"/>
      <c r="E103" s="1984"/>
      <c r="F103" s="2008" t="s">
        <v>495</v>
      </c>
      <c r="G103" s="1984" t="s">
        <v>2917</v>
      </c>
      <c r="H103" s="4700" t="s">
        <v>2166</v>
      </c>
      <c r="I103" s="4705">
        <f t="shared" si="3"/>
        <v>0</v>
      </c>
      <c r="J103" s="4234"/>
      <c r="K103" s="4235">
        <f>42500-42500</f>
        <v>0</v>
      </c>
      <c r="L103" s="1996"/>
      <c r="M103" s="1996"/>
      <c r="N103" s="3975" t="s">
        <v>3593</v>
      </c>
      <c r="R103">
        <v>29874.9</v>
      </c>
    </row>
    <row r="104" spans="2:18" ht="12.75" thickBot="1">
      <c r="B104" s="4627" t="s">
        <v>1251</v>
      </c>
      <c r="C104" s="3966"/>
      <c r="D104" s="3966"/>
      <c r="E104" s="3966"/>
      <c r="F104" s="3977" t="s">
        <v>495</v>
      </c>
      <c r="G104" s="3966" t="s">
        <v>2917</v>
      </c>
      <c r="H104" s="4731" t="s">
        <v>3592</v>
      </c>
      <c r="I104" s="4735">
        <f t="shared" si="3"/>
        <v>0</v>
      </c>
      <c r="J104" s="4236"/>
      <c r="K104" s="4736">
        <f>60000-60000</f>
        <v>0</v>
      </c>
      <c r="L104" s="3979"/>
      <c r="M104" s="3979"/>
      <c r="N104" s="3975" t="s">
        <v>3594</v>
      </c>
      <c r="R104">
        <v>7048.25</v>
      </c>
    </row>
    <row r="105" spans="2:18" ht="36.75" thickTop="1">
      <c r="B105" s="4627" t="s">
        <v>5975</v>
      </c>
      <c r="C105" s="3969"/>
      <c r="D105" s="3969"/>
      <c r="E105" s="3969"/>
      <c r="F105" s="3970" t="s">
        <v>562</v>
      </c>
      <c r="G105" s="3969" t="s">
        <v>563</v>
      </c>
      <c r="H105" s="4737" t="s">
        <v>6206</v>
      </c>
      <c r="I105" s="4726">
        <f>K105</f>
        <v>7841</v>
      </c>
      <c r="J105" s="4234"/>
      <c r="K105" s="4724">
        <v>7841</v>
      </c>
      <c r="L105" s="3973"/>
      <c r="M105" s="3973"/>
      <c r="N105" s="3975"/>
    </row>
    <row r="106" spans="2:18">
      <c r="B106" s="4627" t="s">
        <v>5975</v>
      </c>
      <c r="C106" s="1984"/>
      <c r="D106" s="1984"/>
      <c r="E106" s="1984"/>
      <c r="F106" s="2008" t="s">
        <v>562</v>
      </c>
      <c r="G106" s="1984" t="s">
        <v>563</v>
      </c>
      <c r="H106" s="4737" t="s">
        <v>2940</v>
      </c>
      <c r="I106" s="4233">
        <f>SUM(K106:M106)</f>
        <v>23000</v>
      </c>
      <c r="J106" s="4234"/>
      <c r="K106" s="4233">
        <v>23000</v>
      </c>
      <c r="L106" s="1996"/>
      <c r="M106" s="1996"/>
      <c r="N106" s="3974"/>
    </row>
    <row r="107" spans="2:18" ht="24">
      <c r="B107" s="4627" t="s">
        <v>5975</v>
      </c>
      <c r="C107" s="1984"/>
      <c r="D107" s="1984"/>
      <c r="E107" s="1984"/>
      <c r="F107" s="2008" t="s">
        <v>562</v>
      </c>
      <c r="G107" s="1984" t="s">
        <v>563</v>
      </c>
      <c r="H107" s="4737" t="s">
        <v>5476</v>
      </c>
      <c r="I107" s="4233">
        <f>SUM(K107:M107)</f>
        <v>2320</v>
      </c>
      <c r="J107" s="4234"/>
      <c r="K107" s="4233">
        <v>2320</v>
      </c>
      <c r="L107" s="1996"/>
      <c r="M107" s="1996"/>
      <c r="N107" s="3974"/>
    </row>
    <row r="108" spans="2:18">
      <c r="B108" s="4627" t="s">
        <v>5975</v>
      </c>
      <c r="C108" s="1984"/>
      <c r="D108" s="1984"/>
      <c r="E108" s="1984"/>
      <c r="F108" s="2008" t="s">
        <v>562</v>
      </c>
      <c r="G108" s="1984" t="s">
        <v>563</v>
      </c>
      <c r="H108" s="4699" t="s">
        <v>4687</v>
      </c>
      <c r="I108" s="4233">
        <f>SUM(K108:M108)</f>
        <v>39360</v>
      </c>
      <c r="J108" s="4234"/>
      <c r="K108" s="4233">
        <v>39360</v>
      </c>
      <c r="L108" s="1996"/>
      <c r="M108" s="1996"/>
      <c r="N108" s="3980" t="s">
        <v>4688</v>
      </c>
    </row>
    <row r="109" spans="2:18">
      <c r="B109" s="4627" t="s">
        <v>5975</v>
      </c>
      <c r="C109" s="1984"/>
      <c r="D109" s="1984"/>
      <c r="E109" s="1984"/>
      <c r="F109" s="2008" t="s">
        <v>562</v>
      </c>
      <c r="G109" s="1984" t="s">
        <v>563</v>
      </c>
      <c r="H109" s="4699" t="s">
        <v>4695</v>
      </c>
      <c r="I109" s="4233">
        <f>K109</f>
        <v>500</v>
      </c>
      <c r="J109" s="4234"/>
      <c r="K109" s="4235">
        <f>3650-3650+500</f>
        <v>500</v>
      </c>
      <c r="L109" s="1996"/>
      <c r="M109" s="1996"/>
      <c r="N109" s="3980" t="s">
        <v>4225</v>
      </c>
    </row>
    <row r="110" spans="2:18">
      <c r="B110" s="4627" t="s">
        <v>5975</v>
      </c>
      <c r="C110" s="1984"/>
      <c r="D110" s="1984"/>
      <c r="E110" s="1984"/>
      <c r="F110" s="2008" t="s">
        <v>562</v>
      </c>
      <c r="G110" s="1984" t="s">
        <v>563</v>
      </c>
      <c r="H110" s="4699" t="s">
        <v>4694</v>
      </c>
      <c r="I110" s="4233">
        <f>K110</f>
        <v>1000</v>
      </c>
      <c r="J110" s="4234"/>
      <c r="K110" s="4233">
        <v>1000</v>
      </c>
      <c r="L110" s="1996"/>
      <c r="M110" s="1996"/>
      <c r="N110" s="3981" t="s">
        <v>4697</v>
      </c>
    </row>
    <row r="111" spans="2:18" ht="12.75" thickBot="1">
      <c r="B111" s="4627" t="s">
        <v>5975</v>
      </c>
      <c r="C111" s="3966"/>
      <c r="D111" s="3966"/>
      <c r="E111" s="3966"/>
      <c r="F111" s="3977" t="s">
        <v>562</v>
      </c>
      <c r="G111" s="3966" t="s">
        <v>563</v>
      </c>
      <c r="H111" s="4738" t="s">
        <v>2679</v>
      </c>
      <c r="I111" s="4732">
        <f>SUM(K111:M111)</f>
        <v>3000</v>
      </c>
      <c r="J111" s="4236"/>
      <c r="K111" s="4732">
        <v>3000</v>
      </c>
      <c r="L111" s="3979"/>
      <c r="M111" s="3979"/>
      <c r="N111" s="3981" t="s">
        <v>4714</v>
      </c>
    </row>
    <row r="112" spans="2:18" ht="12.75" thickTop="1">
      <c r="B112" s="4627" t="s">
        <v>5975</v>
      </c>
      <c r="C112" s="1984"/>
      <c r="D112" s="1984"/>
      <c r="E112" s="1984"/>
      <c r="F112" s="2008" t="s">
        <v>5477</v>
      </c>
      <c r="G112" s="1984" t="s">
        <v>5478</v>
      </c>
      <c r="H112" s="4699" t="s">
        <v>3208</v>
      </c>
      <c r="I112" s="4233">
        <f>SUM(K112:M112)</f>
        <v>4000</v>
      </c>
      <c r="J112" s="4234"/>
      <c r="K112" s="4233">
        <v>4000</v>
      </c>
      <c r="L112" s="4233"/>
      <c r="M112" s="1996"/>
      <c r="N112" s="3974"/>
    </row>
    <row r="113" spans="2:23" ht="12.75" thickBot="1">
      <c r="B113" s="4627" t="s">
        <v>5975</v>
      </c>
      <c r="C113" s="3966"/>
      <c r="D113" s="3966"/>
      <c r="E113" s="3966"/>
      <c r="F113" s="3977" t="s">
        <v>5477</v>
      </c>
      <c r="G113" s="3966" t="s">
        <v>5478</v>
      </c>
      <c r="H113" s="4738" t="s">
        <v>5479</v>
      </c>
      <c r="I113" s="4732">
        <f>SUM(K113:M113)</f>
        <v>61541</v>
      </c>
      <c r="J113" s="4236"/>
      <c r="K113" s="4732">
        <f>32970+10931</f>
        <v>43901</v>
      </c>
      <c r="L113" s="4732">
        <v>17640</v>
      </c>
      <c r="M113" s="3979"/>
      <c r="N113" s="3974"/>
    </row>
    <row r="114" spans="2:23" ht="24.75" thickTop="1">
      <c r="B114" s="4627" t="s">
        <v>5975</v>
      </c>
      <c r="C114" s="3969"/>
      <c r="D114" s="3969"/>
      <c r="E114" s="3969"/>
      <c r="F114" s="3970" t="s">
        <v>1871</v>
      </c>
      <c r="G114" s="3969" t="s">
        <v>1654</v>
      </c>
      <c r="H114" s="4722" t="s">
        <v>3269</v>
      </c>
      <c r="I114" s="4725">
        <f>SUM(K114:M114)</f>
        <v>40600</v>
      </c>
      <c r="J114" s="4234"/>
      <c r="K114" s="4725">
        <v>40600</v>
      </c>
      <c r="L114" s="3973"/>
      <c r="M114" s="3973"/>
      <c r="N114" s="3974"/>
    </row>
    <row r="115" spans="2:23" ht="17.45" customHeight="1" thickBot="1">
      <c r="B115" s="4627" t="s">
        <v>5975</v>
      </c>
      <c r="C115" s="3966"/>
      <c r="D115" s="3966"/>
      <c r="E115" s="3966"/>
      <c r="F115" s="3977" t="s">
        <v>1871</v>
      </c>
      <c r="G115" s="3966" t="s">
        <v>1654</v>
      </c>
      <c r="H115" s="4731" t="s">
        <v>2478</v>
      </c>
      <c r="I115" s="4732">
        <f>SUM(K115:M115)</f>
        <v>38526</v>
      </c>
      <c r="J115" s="4236"/>
      <c r="K115" s="4732">
        <v>38526</v>
      </c>
      <c r="L115" s="3979"/>
      <c r="M115" s="3979"/>
      <c r="N115" s="3974"/>
    </row>
    <row r="116" spans="2:23" ht="12.75" thickTop="1">
      <c r="B116" s="4627" t="s">
        <v>5976</v>
      </c>
      <c r="C116" s="3969"/>
      <c r="D116" s="3969"/>
      <c r="E116" s="3983"/>
      <c r="F116" s="3970" t="s">
        <v>1777</v>
      </c>
      <c r="G116" s="3969" t="s">
        <v>178</v>
      </c>
      <c r="H116" s="4722" t="s">
        <v>2921</v>
      </c>
      <c r="I116" s="4725">
        <f t="shared" ref="I116:I122" si="4">SUM(K116:M116)</f>
        <v>9000</v>
      </c>
      <c r="J116" s="4234"/>
      <c r="K116" s="4725">
        <v>9000</v>
      </c>
      <c r="L116" s="3973"/>
      <c r="M116" s="3973"/>
    </row>
    <row r="117" spans="2:23">
      <c r="B117" s="4627" t="s">
        <v>5976</v>
      </c>
      <c r="C117" s="1984"/>
      <c r="D117" s="3984"/>
      <c r="E117" s="3984"/>
      <c r="F117" s="2008" t="s">
        <v>1777</v>
      </c>
      <c r="G117" s="1984" t="s">
        <v>178</v>
      </c>
      <c r="H117" s="4710" t="s">
        <v>3102</v>
      </c>
      <c r="I117" s="4235">
        <f t="shared" si="4"/>
        <v>100000</v>
      </c>
      <c r="J117" s="4234"/>
      <c r="K117" s="4739">
        <f>130000-30000</f>
        <v>100000</v>
      </c>
      <c r="L117" s="1996"/>
      <c r="M117" s="1996"/>
    </row>
    <row r="118" spans="2:23" s="152" customFormat="1">
      <c r="B118" s="4627" t="s">
        <v>5976</v>
      </c>
      <c r="C118" s="1992"/>
      <c r="D118" s="3985"/>
      <c r="E118" s="3985"/>
      <c r="F118" s="2040" t="s">
        <v>1777</v>
      </c>
      <c r="G118" s="1992" t="s">
        <v>178</v>
      </c>
      <c r="H118" s="4740" t="s">
        <v>2922</v>
      </c>
      <c r="I118" s="4741"/>
      <c r="J118" s="4742"/>
      <c r="K118" s="4743"/>
      <c r="L118" s="3987"/>
      <c r="M118" s="3987"/>
      <c r="O118"/>
      <c r="P118"/>
      <c r="Q118"/>
      <c r="R118"/>
      <c r="S118"/>
      <c r="T118"/>
      <c r="U118"/>
      <c r="V118"/>
      <c r="W118"/>
    </row>
    <row r="119" spans="2:23" s="152" customFormat="1">
      <c r="B119" s="4627" t="s">
        <v>5976</v>
      </c>
      <c r="C119" s="1984"/>
      <c r="D119" s="3984"/>
      <c r="E119" s="3984"/>
      <c r="F119" s="2008" t="s">
        <v>1777</v>
      </c>
      <c r="G119" s="1984" t="s">
        <v>178</v>
      </c>
      <c r="H119" s="4744" t="s">
        <v>3923</v>
      </c>
      <c r="I119" s="4235">
        <f t="shared" si="4"/>
        <v>3000</v>
      </c>
      <c r="J119" s="4234"/>
      <c r="K119" s="4233">
        <v>3000</v>
      </c>
      <c r="L119" s="1996"/>
      <c r="M119" s="1996"/>
      <c r="O119"/>
      <c r="P119"/>
      <c r="Q119"/>
      <c r="R119"/>
      <c r="S119"/>
      <c r="T119"/>
      <c r="U119"/>
      <c r="V119"/>
      <c r="W119"/>
    </row>
    <row r="120" spans="2:23" s="152" customFormat="1">
      <c r="B120" s="4627" t="s">
        <v>5976</v>
      </c>
      <c r="C120" s="1984"/>
      <c r="D120" s="3984"/>
      <c r="E120" s="3984"/>
      <c r="F120" s="2008" t="s">
        <v>1777</v>
      </c>
      <c r="G120" s="1984" t="s">
        <v>178</v>
      </c>
      <c r="H120" s="4745" t="s">
        <v>3924</v>
      </c>
      <c r="I120" s="4235">
        <f t="shared" si="4"/>
        <v>2500</v>
      </c>
      <c r="J120" s="4234"/>
      <c r="K120" s="4233">
        <v>2500</v>
      </c>
      <c r="L120" s="1996"/>
      <c r="M120" s="1996"/>
      <c r="O120"/>
      <c r="P120"/>
      <c r="Q120"/>
      <c r="R120"/>
      <c r="S120"/>
      <c r="T120"/>
      <c r="U120"/>
      <c r="V120"/>
      <c r="W120"/>
    </row>
    <row r="121" spans="2:23" s="152" customFormat="1">
      <c r="B121" s="4627" t="s">
        <v>5976</v>
      </c>
      <c r="C121" s="1984"/>
      <c r="D121" s="3984"/>
      <c r="E121" s="3984"/>
      <c r="F121" s="2008" t="s">
        <v>1777</v>
      </c>
      <c r="G121" s="1984" t="s">
        <v>178</v>
      </c>
      <c r="H121" s="4745" t="s">
        <v>3925</v>
      </c>
      <c r="I121" s="4235">
        <f t="shared" si="4"/>
        <v>13000</v>
      </c>
      <c r="J121" s="4234"/>
      <c r="K121" s="4233">
        <v>13000</v>
      </c>
      <c r="L121" s="1996"/>
      <c r="M121" s="1996"/>
      <c r="O121"/>
      <c r="P121"/>
      <c r="Q121"/>
      <c r="R121"/>
      <c r="S121"/>
      <c r="T121"/>
      <c r="U121"/>
      <c r="V121"/>
      <c r="W121"/>
    </row>
    <row r="122" spans="2:23" s="152" customFormat="1">
      <c r="B122" s="4627" t="s">
        <v>5976</v>
      </c>
      <c r="C122" s="1984"/>
      <c r="D122" s="3984"/>
      <c r="E122" s="3984"/>
      <c r="F122" s="2008" t="s">
        <v>1777</v>
      </c>
      <c r="G122" s="1984" t="s">
        <v>178</v>
      </c>
      <c r="H122" s="4745" t="s">
        <v>3926</v>
      </c>
      <c r="I122" s="4235">
        <f t="shared" si="4"/>
        <v>13000</v>
      </c>
      <c r="J122" s="4234"/>
      <c r="K122" s="4233">
        <v>13000</v>
      </c>
      <c r="L122" s="1996"/>
      <c r="M122" s="1996"/>
      <c r="O122"/>
      <c r="P122"/>
      <c r="Q122"/>
      <c r="R122"/>
      <c r="S122"/>
      <c r="T122"/>
      <c r="U122"/>
      <c r="V122"/>
      <c r="W122"/>
    </row>
    <row r="123" spans="2:23" s="152" customFormat="1" ht="24">
      <c r="B123" s="4627" t="s">
        <v>5976</v>
      </c>
      <c r="C123" s="1984"/>
      <c r="D123" s="3984"/>
      <c r="E123" s="3984"/>
      <c r="F123" s="2008" t="s">
        <v>1777</v>
      </c>
      <c r="G123" s="1984" t="s">
        <v>178</v>
      </c>
      <c r="H123" s="4745" t="s">
        <v>3927</v>
      </c>
      <c r="I123" s="4746">
        <f>SUM(K123:M123)</f>
        <v>13000</v>
      </c>
      <c r="J123" s="4234"/>
      <c r="K123" s="4233">
        <v>13000</v>
      </c>
      <c r="L123" s="1996"/>
      <c r="M123" s="1996"/>
      <c r="O123"/>
      <c r="P123"/>
      <c r="Q123"/>
      <c r="R123"/>
      <c r="S123"/>
      <c r="T123"/>
      <c r="U123"/>
      <c r="V123"/>
      <c r="W123"/>
    </row>
    <row r="124" spans="2:23" s="152" customFormat="1">
      <c r="B124" s="4627" t="s">
        <v>5976</v>
      </c>
      <c r="C124" s="1984"/>
      <c r="D124" s="3984"/>
      <c r="E124" s="3984"/>
      <c r="F124" s="2008" t="s">
        <v>1777</v>
      </c>
      <c r="G124" s="1984" t="s">
        <v>178</v>
      </c>
      <c r="H124" s="4745" t="s">
        <v>3928</v>
      </c>
      <c r="I124" s="4746">
        <f>SUM(K124:M124)</f>
        <v>5000</v>
      </c>
      <c r="J124" s="4234"/>
      <c r="K124" s="4233">
        <v>5000</v>
      </c>
      <c r="L124" s="1996"/>
      <c r="M124" s="1996"/>
      <c r="O124"/>
      <c r="P124"/>
      <c r="Q124"/>
      <c r="R124"/>
      <c r="S124"/>
      <c r="T124"/>
      <c r="U124"/>
      <c r="V124"/>
      <c r="W124"/>
    </row>
    <row r="125" spans="2:23" s="152" customFormat="1">
      <c r="B125" s="4627" t="s">
        <v>5976</v>
      </c>
      <c r="C125" s="1992"/>
      <c r="D125" s="3985"/>
      <c r="E125" s="3985"/>
      <c r="F125" s="2040" t="s">
        <v>1777</v>
      </c>
      <c r="G125" s="1992" t="s">
        <v>178</v>
      </c>
      <c r="H125" s="4740" t="s">
        <v>845</v>
      </c>
      <c r="I125" s="4741"/>
      <c r="J125" s="4742"/>
      <c r="K125" s="4743"/>
      <c r="L125" s="3987"/>
      <c r="M125" s="3987"/>
      <c r="O125"/>
      <c r="P125"/>
      <c r="Q125"/>
      <c r="R125"/>
      <c r="S125"/>
      <c r="T125"/>
      <c r="U125"/>
      <c r="V125"/>
      <c r="W125"/>
    </row>
    <row r="126" spans="2:23" s="152" customFormat="1">
      <c r="B126" s="4627" t="s">
        <v>5976</v>
      </c>
      <c r="C126" s="1984"/>
      <c r="D126" s="3984"/>
      <c r="E126" s="3984"/>
      <c r="F126" s="2008" t="s">
        <v>1777</v>
      </c>
      <c r="G126" s="1984" t="s">
        <v>178</v>
      </c>
      <c r="H126" s="4744" t="s">
        <v>3933</v>
      </c>
      <c r="I126" s="4705">
        <f t="shared" ref="I126:I157" si="5">SUM(K126:M126)</f>
        <v>200</v>
      </c>
      <c r="J126" s="4234"/>
      <c r="K126" s="4233">
        <v>200</v>
      </c>
      <c r="L126" s="1996"/>
      <c r="M126" s="1996"/>
      <c r="O126"/>
      <c r="P126"/>
      <c r="Q126"/>
      <c r="R126"/>
      <c r="S126"/>
      <c r="T126"/>
      <c r="U126"/>
      <c r="V126"/>
      <c r="W126"/>
    </row>
    <row r="127" spans="2:23" s="152" customFormat="1">
      <c r="B127" s="4627" t="s">
        <v>5976</v>
      </c>
      <c r="C127" s="1984"/>
      <c r="D127" s="3984"/>
      <c r="E127" s="3984"/>
      <c r="F127" s="2008" t="s">
        <v>1777</v>
      </c>
      <c r="G127" s="1984" t="s">
        <v>178</v>
      </c>
      <c r="H127" s="4744" t="s">
        <v>3930</v>
      </c>
      <c r="I127" s="4705">
        <f t="shared" si="5"/>
        <v>1900</v>
      </c>
      <c r="J127" s="4234"/>
      <c r="K127" s="4233">
        <v>1900</v>
      </c>
      <c r="L127" s="1996"/>
      <c r="M127" s="1996"/>
      <c r="O127"/>
      <c r="P127"/>
      <c r="Q127"/>
      <c r="R127"/>
      <c r="S127"/>
      <c r="T127"/>
      <c r="U127"/>
      <c r="V127"/>
      <c r="W127"/>
    </row>
    <row r="128" spans="2:23" s="152" customFormat="1">
      <c r="B128" s="4627" t="s">
        <v>5976</v>
      </c>
      <c r="C128" s="1984"/>
      <c r="D128" s="3984"/>
      <c r="E128" s="3984"/>
      <c r="F128" s="2008" t="s">
        <v>1777</v>
      </c>
      <c r="G128" s="1984" t="s">
        <v>178</v>
      </c>
      <c r="H128" s="4744" t="s">
        <v>3932</v>
      </c>
      <c r="I128" s="4705">
        <f t="shared" si="5"/>
        <v>1500</v>
      </c>
      <c r="J128" s="4234"/>
      <c r="K128" s="4233">
        <v>1500</v>
      </c>
      <c r="L128" s="1996"/>
      <c r="M128" s="1996"/>
      <c r="O128"/>
      <c r="P128"/>
      <c r="Q128"/>
      <c r="R128"/>
      <c r="S128"/>
      <c r="T128"/>
      <c r="U128"/>
      <c r="V128"/>
      <c r="W128"/>
    </row>
    <row r="129" spans="2:23" s="152" customFormat="1">
      <c r="B129" s="4627" t="s">
        <v>5976</v>
      </c>
      <c r="C129" s="1984"/>
      <c r="D129" s="3984"/>
      <c r="E129" s="3984"/>
      <c r="F129" s="2008" t="s">
        <v>1777</v>
      </c>
      <c r="G129" s="1984" t="s">
        <v>178</v>
      </c>
      <c r="H129" s="4744" t="s">
        <v>3934</v>
      </c>
      <c r="I129" s="4705">
        <f t="shared" si="5"/>
        <v>500</v>
      </c>
      <c r="J129" s="4234"/>
      <c r="K129" s="4233">
        <v>500</v>
      </c>
      <c r="L129" s="1996"/>
      <c r="M129" s="1996"/>
      <c r="O129"/>
      <c r="P129"/>
      <c r="Q129"/>
      <c r="R129"/>
      <c r="S129"/>
      <c r="T129"/>
      <c r="U129"/>
      <c r="V129"/>
      <c r="W129"/>
    </row>
    <row r="130" spans="2:23" s="152" customFormat="1">
      <c r="B130" s="4627" t="s">
        <v>5976</v>
      </c>
      <c r="C130" s="1984"/>
      <c r="D130" s="3984"/>
      <c r="E130" s="3984"/>
      <c r="F130" s="2008" t="s">
        <v>1777</v>
      </c>
      <c r="G130" s="1984" t="s">
        <v>178</v>
      </c>
      <c r="H130" s="4744" t="s">
        <v>3931</v>
      </c>
      <c r="I130" s="4705">
        <f t="shared" si="5"/>
        <v>700</v>
      </c>
      <c r="J130" s="4234"/>
      <c r="K130" s="4233">
        <v>700</v>
      </c>
      <c r="L130" s="1996"/>
      <c r="M130" s="1996"/>
      <c r="O130"/>
      <c r="P130"/>
      <c r="Q130"/>
      <c r="R130"/>
      <c r="S130"/>
      <c r="T130"/>
      <c r="U130"/>
      <c r="V130"/>
      <c r="W130"/>
    </row>
    <row r="131" spans="2:23" s="152" customFormat="1">
      <c r="B131" s="4627" t="s">
        <v>5976</v>
      </c>
      <c r="C131" s="1984"/>
      <c r="D131" s="3984"/>
      <c r="E131" s="3984"/>
      <c r="F131" s="2008" t="s">
        <v>1777</v>
      </c>
      <c r="G131" s="1984" t="s">
        <v>178</v>
      </c>
      <c r="H131" s="4744" t="s">
        <v>3935</v>
      </c>
      <c r="I131" s="4705">
        <f t="shared" si="5"/>
        <v>400</v>
      </c>
      <c r="J131" s="4234"/>
      <c r="K131" s="4233">
        <v>400</v>
      </c>
      <c r="L131" s="1996"/>
      <c r="M131" s="1996"/>
      <c r="O131"/>
      <c r="P131"/>
      <c r="Q131"/>
      <c r="R131"/>
      <c r="S131"/>
      <c r="T131"/>
      <c r="U131"/>
      <c r="V131"/>
      <c r="W131"/>
    </row>
    <row r="132" spans="2:23" s="152" customFormat="1">
      <c r="B132" s="4627" t="s">
        <v>5976</v>
      </c>
      <c r="C132" s="1984"/>
      <c r="D132" s="3984"/>
      <c r="E132" s="3984"/>
      <c r="F132" s="2008" t="s">
        <v>1777</v>
      </c>
      <c r="G132" s="1984" t="s">
        <v>178</v>
      </c>
      <c r="H132" s="4744" t="s">
        <v>5127</v>
      </c>
      <c r="I132" s="4705">
        <f t="shared" si="5"/>
        <v>200</v>
      </c>
      <c r="J132" s="4234"/>
      <c r="K132" s="4233">
        <v>200</v>
      </c>
      <c r="L132" s="1996"/>
      <c r="M132" s="1996"/>
      <c r="O132"/>
      <c r="P132"/>
      <c r="Q132"/>
      <c r="R132"/>
      <c r="S132"/>
      <c r="T132"/>
      <c r="U132"/>
      <c r="V132"/>
      <c r="W132"/>
    </row>
    <row r="133" spans="2:23" s="152" customFormat="1" ht="12.75" thickBot="1">
      <c r="B133" s="4627" t="s">
        <v>5976</v>
      </c>
      <c r="C133" s="3966"/>
      <c r="D133" s="3989"/>
      <c r="E133" s="3989"/>
      <c r="F133" s="3977" t="s">
        <v>1777</v>
      </c>
      <c r="G133" s="3966" t="s">
        <v>178</v>
      </c>
      <c r="H133" s="4747" t="s">
        <v>5128</v>
      </c>
      <c r="I133" s="4735">
        <f t="shared" si="5"/>
        <v>600</v>
      </c>
      <c r="J133" s="4236"/>
      <c r="K133" s="4732">
        <v>600</v>
      </c>
      <c r="L133" s="3979"/>
      <c r="M133" s="3979"/>
      <c r="O133"/>
      <c r="P133"/>
      <c r="Q133"/>
      <c r="R133"/>
      <c r="S133"/>
      <c r="T133"/>
      <c r="U133"/>
      <c r="V133"/>
      <c r="W133"/>
    </row>
    <row r="134" spans="2:23" s="152" customFormat="1" ht="12.75" thickTop="1">
      <c r="B134" s="4627" t="s">
        <v>1251</v>
      </c>
      <c r="C134" s="3969"/>
      <c r="D134" s="3969"/>
      <c r="E134" s="3969"/>
      <c r="F134" s="3970" t="s">
        <v>1762</v>
      </c>
      <c r="G134" s="3969" t="s">
        <v>5480</v>
      </c>
      <c r="H134" s="4722" t="s">
        <v>2921</v>
      </c>
      <c r="I134" s="4725">
        <f>SUM(K134:M134)</f>
        <v>10000</v>
      </c>
      <c r="J134" s="4234"/>
      <c r="K134" s="4725">
        <v>10000</v>
      </c>
      <c r="L134" s="3973"/>
      <c r="M134" s="3973"/>
      <c r="O134"/>
      <c r="P134"/>
      <c r="Q134"/>
      <c r="R134"/>
      <c r="S134"/>
      <c r="T134"/>
      <c r="U134"/>
      <c r="V134"/>
      <c r="W134"/>
    </row>
    <row r="135" spans="2:23" s="152" customFormat="1" ht="24">
      <c r="B135" s="4627" t="s">
        <v>1251</v>
      </c>
      <c r="C135" s="1984"/>
      <c r="D135" s="1984"/>
      <c r="E135" s="1984"/>
      <c r="F135" s="2008" t="s">
        <v>1762</v>
      </c>
      <c r="G135" s="3969" t="s">
        <v>5480</v>
      </c>
      <c r="H135" s="4700" t="s">
        <v>2114</v>
      </c>
      <c r="I135" s="4233">
        <f t="shared" si="5"/>
        <v>20000</v>
      </c>
      <c r="J135" s="4234"/>
      <c r="K135" s="4233">
        <v>20000</v>
      </c>
      <c r="L135" s="1996"/>
      <c r="M135" s="1996"/>
      <c r="O135"/>
      <c r="P135"/>
      <c r="Q135"/>
      <c r="R135"/>
      <c r="S135"/>
      <c r="T135"/>
      <c r="U135"/>
      <c r="V135"/>
      <c r="W135"/>
    </row>
    <row r="136" spans="2:23" s="152" customFormat="1" ht="24">
      <c r="B136" s="4627" t="s">
        <v>1251</v>
      </c>
      <c r="C136" s="1984"/>
      <c r="D136" s="1984"/>
      <c r="E136" s="1984"/>
      <c r="F136" s="2008" t="s">
        <v>1762</v>
      </c>
      <c r="G136" s="3969" t="s">
        <v>5480</v>
      </c>
      <c r="H136" s="4700" t="s">
        <v>5481</v>
      </c>
      <c r="I136" s="4233">
        <f t="shared" si="5"/>
        <v>5500</v>
      </c>
      <c r="J136" s="4234"/>
      <c r="K136" s="4233">
        <f>1500+4000</f>
        <v>5500</v>
      </c>
      <c r="L136" s="1996"/>
      <c r="M136" s="1996"/>
      <c r="O136"/>
      <c r="P136"/>
      <c r="Q136"/>
      <c r="R136"/>
      <c r="S136"/>
      <c r="T136"/>
      <c r="U136"/>
      <c r="V136"/>
      <c r="W136"/>
    </row>
    <row r="137" spans="2:23" s="152" customFormat="1">
      <c r="B137" s="4627" t="s">
        <v>1251</v>
      </c>
      <c r="C137" s="1984"/>
      <c r="D137" s="1984"/>
      <c r="E137" s="1984"/>
      <c r="F137" s="2008" t="s">
        <v>1762</v>
      </c>
      <c r="G137" s="3969" t="s">
        <v>5480</v>
      </c>
      <c r="H137" s="4700" t="s">
        <v>2118</v>
      </c>
      <c r="I137" s="4233">
        <f t="shared" si="5"/>
        <v>25000</v>
      </c>
      <c r="J137" s="4234"/>
      <c r="K137" s="4233">
        <v>25000</v>
      </c>
      <c r="L137" s="1996"/>
      <c r="M137" s="1996"/>
      <c r="O137"/>
      <c r="P137"/>
      <c r="Q137"/>
      <c r="R137"/>
      <c r="S137"/>
      <c r="T137"/>
      <c r="U137"/>
      <c r="V137"/>
      <c r="W137"/>
    </row>
    <row r="138" spans="2:23" s="152" customFormat="1">
      <c r="B138" s="4627" t="s">
        <v>1251</v>
      </c>
      <c r="C138" s="1984"/>
      <c r="D138" s="1984"/>
      <c r="E138" s="1984"/>
      <c r="F138" s="2008" t="s">
        <v>1762</v>
      </c>
      <c r="G138" s="3969" t="s">
        <v>5480</v>
      </c>
      <c r="H138" s="4700" t="s">
        <v>4093</v>
      </c>
      <c r="I138" s="4233">
        <f t="shared" si="5"/>
        <v>12000</v>
      </c>
      <c r="J138" s="4234"/>
      <c r="K138" s="4233">
        <v>12000</v>
      </c>
      <c r="L138" s="1996"/>
      <c r="M138" s="1996"/>
      <c r="O138"/>
      <c r="P138"/>
      <c r="Q138"/>
      <c r="R138"/>
      <c r="S138"/>
      <c r="T138"/>
      <c r="U138"/>
      <c r="V138"/>
      <c r="W138"/>
    </row>
    <row r="139" spans="2:23" s="152" customFormat="1">
      <c r="B139" s="4627" t="s">
        <v>1251</v>
      </c>
      <c r="C139" s="1984"/>
      <c r="D139" s="1984"/>
      <c r="E139" s="1984"/>
      <c r="F139" s="2008" t="s">
        <v>1762</v>
      </c>
      <c r="G139" s="3969" t="s">
        <v>5480</v>
      </c>
      <c r="H139" s="4700" t="s">
        <v>1679</v>
      </c>
      <c r="I139" s="4233">
        <f t="shared" si="5"/>
        <v>100000</v>
      </c>
      <c r="J139" s="4234"/>
      <c r="K139" s="4739">
        <f>130000-30000</f>
        <v>100000</v>
      </c>
      <c r="L139" s="1996"/>
      <c r="M139" s="1996"/>
      <c r="O139"/>
      <c r="P139"/>
      <c r="Q139"/>
      <c r="R139"/>
      <c r="S139"/>
      <c r="T139"/>
      <c r="U139"/>
      <c r="V139"/>
      <c r="W139"/>
    </row>
    <row r="140" spans="2:23" s="152" customFormat="1">
      <c r="B140" s="4627" t="s">
        <v>1251</v>
      </c>
      <c r="C140" s="1992"/>
      <c r="D140" s="1992"/>
      <c r="E140" s="1992"/>
      <c r="F140" s="2040" t="s">
        <v>1762</v>
      </c>
      <c r="G140" s="3990" t="s">
        <v>5480</v>
      </c>
      <c r="H140" s="4740" t="s">
        <v>845</v>
      </c>
      <c r="I140" s="4743"/>
      <c r="J140" s="4748"/>
      <c r="K140" s="4743"/>
      <c r="L140" s="3987"/>
      <c r="M140" s="3987"/>
      <c r="O140"/>
      <c r="P140"/>
      <c r="Q140"/>
      <c r="R140"/>
      <c r="S140"/>
      <c r="T140"/>
      <c r="U140"/>
      <c r="V140"/>
      <c r="W140"/>
    </row>
    <row r="141" spans="2:23" s="152" customFormat="1">
      <c r="B141" s="4627" t="s">
        <v>1251</v>
      </c>
      <c r="C141" s="1984"/>
      <c r="D141" s="1984"/>
      <c r="E141" s="1984"/>
      <c r="F141" s="2008" t="s">
        <v>1762</v>
      </c>
      <c r="G141" s="3969" t="s">
        <v>5480</v>
      </c>
      <c r="H141" s="4744" t="s">
        <v>4094</v>
      </c>
      <c r="I141" s="4233">
        <f t="shared" si="5"/>
        <v>600</v>
      </c>
      <c r="J141" s="4234"/>
      <c r="K141" s="4233">
        <v>600</v>
      </c>
      <c r="L141" s="1996"/>
      <c r="M141" s="1996"/>
      <c r="O141"/>
      <c r="P141"/>
      <c r="Q141"/>
      <c r="R141"/>
      <c r="S141"/>
      <c r="T141"/>
      <c r="U141"/>
      <c r="V141"/>
      <c r="W141"/>
    </row>
    <row r="142" spans="2:23" s="152" customFormat="1">
      <c r="B142" s="4627" t="s">
        <v>1251</v>
      </c>
      <c r="C142" s="1984"/>
      <c r="D142" s="1984"/>
      <c r="E142" s="1984"/>
      <c r="F142" s="2008" t="s">
        <v>1762</v>
      </c>
      <c r="G142" s="3969" t="s">
        <v>5480</v>
      </c>
      <c r="H142" s="4744" t="s">
        <v>4095</v>
      </c>
      <c r="I142" s="4233">
        <f t="shared" si="5"/>
        <v>800</v>
      </c>
      <c r="J142" s="4234"/>
      <c r="K142" s="4233">
        <v>800</v>
      </c>
      <c r="L142" s="1996"/>
      <c r="M142" s="1996"/>
      <c r="O142"/>
      <c r="P142"/>
      <c r="Q142"/>
      <c r="R142"/>
      <c r="S142"/>
      <c r="T142"/>
      <c r="U142"/>
      <c r="V142"/>
      <c r="W142"/>
    </row>
    <row r="143" spans="2:23" s="152" customFormat="1">
      <c r="B143" s="4627" t="s">
        <v>1251</v>
      </c>
      <c r="C143" s="1984"/>
      <c r="D143" s="1984"/>
      <c r="E143" s="1984"/>
      <c r="F143" s="2008" t="s">
        <v>1762</v>
      </c>
      <c r="G143" s="3969" t="s">
        <v>5480</v>
      </c>
      <c r="H143" s="4744" t="s">
        <v>4096</v>
      </c>
      <c r="I143" s="4233">
        <f t="shared" si="5"/>
        <v>200</v>
      </c>
      <c r="J143" s="4234"/>
      <c r="K143" s="4233">
        <v>200</v>
      </c>
      <c r="L143" s="1996"/>
      <c r="M143" s="1996"/>
      <c r="O143"/>
      <c r="P143"/>
      <c r="Q143"/>
      <c r="R143"/>
      <c r="S143"/>
      <c r="T143"/>
      <c r="U143"/>
      <c r="V143"/>
      <c r="W143"/>
    </row>
    <row r="144" spans="2:23" s="152" customFormat="1">
      <c r="B144" s="4627" t="s">
        <v>1251</v>
      </c>
      <c r="C144" s="1984"/>
      <c r="D144" s="1984"/>
      <c r="E144" s="1984"/>
      <c r="F144" s="2008" t="s">
        <v>1762</v>
      </c>
      <c r="G144" s="3969" t="s">
        <v>5480</v>
      </c>
      <c r="H144" s="4744" t="s">
        <v>4097</v>
      </c>
      <c r="I144" s="4233">
        <f t="shared" si="5"/>
        <v>500</v>
      </c>
      <c r="J144" s="4234"/>
      <c r="K144" s="4233">
        <v>500</v>
      </c>
      <c r="L144" s="1996"/>
      <c r="M144" s="1996"/>
      <c r="O144"/>
      <c r="P144"/>
      <c r="Q144"/>
      <c r="R144"/>
      <c r="S144"/>
      <c r="T144"/>
      <c r="U144"/>
      <c r="V144"/>
      <c r="W144"/>
    </row>
    <row r="145" spans="2:23" s="152" customFormat="1">
      <c r="B145" s="4627" t="s">
        <v>1251</v>
      </c>
      <c r="C145" s="1984"/>
      <c r="D145" s="1984"/>
      <c r="E145" s="1984"/>
      <c r="F145" s="2008" t="s">
        <v>1762</v>
      </c>
      <c r="G145" s="3969" t="s">
        <v>5480</v>
      </c>
      <c r="H145" s="4744" t="s">
        <v>4098</v>
      </c>
      <c r="I145" s="4233">
        <f t="shared" si="5"/>
        <v>800</v>
      </c>
      <c r="J145" s="4234"/>
      <c r="K145" s="4233">
        <v>800</v>
      </c>
      <c r="L145" s="1996"/>
      <c r="M145" s="1996"/>
      <c r="O145"/>
      <c r="P145"/>
      <c r="Q145"/>
      <c r="R145"/>
      <c r="S145"/>
      <c r="T145"/>
      <c r="U145"/>
      <c r="V145"/>
      <c r="W145"/>
    </row>
    <row r="146" spans="2:23" s="152" customFormat="1">
      <c r="B146" s="4627" t="s">
        <v>1251</v>
      </c>
      <c r="C146" s="1984"/>
      <c r="D146" s="1984"/>
      <c r="E146" s="1984"/>
      <c r="F146" s="2008" t="s">
        <v>1762</v>
      </c>
      <c r="G146" s="3969" t="s">
        <v>5480</v>
      </c>
      <c r="H146" s="4744" t="s">
        <v>4099</v>
      </c>
      <c r="I146" s="4233">
        <f t="shared" si="5"/>
        <v>500</v>
      </c>
      <c r="J146" s="4234"/>
      <c r="K146" s="4233">
        <v>500</v>
      </c>
      <c r="L146" s="1996"/>
      <c r="M146" s="1996"/>
      <c r="O146"/>
      <c r="P146"/>
      <c r="Q146"/>
      <c r="R146"/>
      <c r="S146"/>
      <c r="T146"/>
      <c r="U146"/>
      <c r="V146"/>
      <c r="W146"/>
    </row>
    <row r="147" spans="2:23">
      <c r="B147" s="4627" t="s">
        <v>1251</v>
      </c>
      <c r="C147" s="1984"/>
      <c r="D147" s="1984"/>
      <c r="E147" s="1984"/>
      <c r="F147" s="2008" t="s">
        <v>1762</v>
      </c>
      <c r="G147" s="3969" t="s">
        <v>5480</v>
      </c>
      <c r="H147" s="4744" t="s">
        <v>4104</v>
      </c>
      <c r="I147" s="4233">
        <f t="shared" si="5"/>
        <v>550</v>
      </c>
      <c r="J147" s="4234"/>
      <c r="K147" s="4233">
        <v>550</v>
      </c>
      <c r="L147" s="1996"/>
      <c r="M147" s="1996"/>
    </row>
    <row r="148" spans="2:23" ht="12.75" thickBot="1">
      <c r="B148" s="4627" t="s">
        <v>1251</v>
      </c>
      <c r="C148" s="3966"/>
      <c r="D148" s="3966"/>
      <c r="E148" s="3966"/>
      <c r="F148" s="3977" t="s">
        <v>1762</v>
      </c>
      <c r="G148" s="3991" t="s">
        <v>5480</v>
      </c>
      <c r="H148" s="4731" t="s">
        <v>1680</v>
      </c>
      <c r="I148" s="4732">
        <f t="shared" si="5"/>
        <v>200</v>
      </c>
      <c r="J148" s="4236"/>
      <c r="K148" s="4732">
        <v>200</v>
      </c>
      <c r="L148" s="3979"/>
      <c r="M148" s="3979"/>
    </row>
    <row r="149" spans="2:23" ht="37.5" thickTop="1" thickBot="1">
      <c r="B149" s="4627" t="s">
        <v>5975</v>
      </c>
      <c r="C149" s="3992"/>
      <c r="D149" s="3992"/>
      <c r="E149" s="3992"/>
      <c r="F149" s="3993" t="s">
        <v>500</v>
      </c>
      <c r="G149" s="3992" t="s">
        <v>429</v>
      </c>
      <c r="H149" s="4749" t="s">
        <v>2927</v>
      </c>
      <c r="I149" s="4750">
        <f>SUM(K149:M149)</f>
        <v>17820</v>
      </c>
      <c r="J149" s="4751"/>
      <c r="K149" s="4750">
        <v>17820</v>
      </c>
      <c r="L149" s="3995"/>
      <c r="M149" s="3995"/>
      <c r="N149" s="152" t="s">
        <v>6115</v>
      </c>
    </row>
    <row r="150" spans="2:23" s="152" customFormat="1" ht="24.75" thickTop="1">
      <c r="B150" s="4627" t="s">
        <v>5975</v>
      </c>
      <c r="C150" s="1984"/>
      <c r="D150" s="1984"/>
      <c r="E150" s="1984"/>
      <c r="F150" s="2008">
        <v>1010</v>
      </c>
      <c r="G150" s="3969" t="s">
        <v>185</v>
      </c>
      <c r="H150" s="4700" t="s">
        <v>5165</v>
      </c>
      <c r="I150" s="4233">
        <f t="shared" si="5"/>
        <v>15000</v>
      </c>
      <c r="J150" s="4234"/>
      <c r="K150" s="4233">
        <v>15000</v>
      </c>
      <c r="L150" s="1996"/>
      <c r="M150" s="1996"/>
      <c r="O150"/>
      <c r="P150"/>
      <c r="Q150"/>
      <c r="R150"/>
      <c r="S150"/>
      <c r="T150"/>
      <c r="U150"/>
      <c r="V150"/>
      <c r="W150"/>
    </row>
    <row r="151" spans="2:23" s="152" customFormat="1">
      <c r="B151" s="4627"/>
      <c r="C151" s="1984"/>
      <c r="D151" s="1984"/>
      <c r="E151" s="1984"/>
      <c r="F151" s="2008">
        <v>1010</v>
      </c>
      <c r="G151" s="3969" t="s">
        <v>185</v>
      </c>
      <c r="H151" s="4700" t="s">
        <v>3079</v>
      </c>
      <c r="I151" s="4233">
        <f t="shared" si="5"/>
        <v>160200</v>
      </c>
      <c r="J151" s="4234"/>
      <c r="K151" s="4233">
        <v>160200</v>
      </c>
      <c r="L151" s="1996"/>
      <c r="M151" s="1996"/>
      <c r="O151"/>
      <c r="P151"/>
      <c r="Q151"/>
      <c r="R151"/>
      <c r="S151"/>
      <c r="T151"/>
      <c r="U151"/>
      <c r="V151"/>
      <c r="W151"/>
    </row>
    <row r="152" spans="2:23" s="152" customFormat="1">
      <c r="B152" s="4627"/>
      <c r="C152" s="1984"/>
      <c r="D152" s="1984"/>
      <c r="E152" s="1984"/>
      <c r="F152" s="2008">
        <v>1010</v>
      </c>
      <c r="G152" s="3969" t="s">
        <v>185</v>
      </c>
      <c r="H152" s="4700" t="s">
        <v>5199</v>
      </c>
      <c r="I152" s="4233">
        <f t="shared" si="5"/>
        <v>50000</v>
      </c>
      <c r="J152" s="4234"/>
      <c r="K152" s="4233">
        <v>50000</v>
      </c>
      <c r="L152" s="1996"/>
      <c r="M152" s="1996"/>
      <c r="O152"/>
      <c r="P152"/>
      <c r="Q152"/>
      <c r="R152"/>
      <c r="S152"/>
      <c r="T152"/>
      <c r="U152"/>
      <c r="V152"/>
      <c r="W152"/>
    </row>
    <row r="153" spans="2:23" s="152" customFormat="1">
      <c r="B153" s="4627"/>
      <c r="C153" s="1984"/>
      <c r="D153" s="1984"/>
      <c r="E153" s="1984"/>
      <c r="F153" s="2008">
        <v>1010</v>
      </c>
      <c r="G153" s="3969" t="s">
        <v>185</v>
      </c>
      <c r="H153" s="4700" t="s">
        <v>6203</v>
      </c>
      <c r="I153" s="4233">
        <f t="shared" si="5"/>
        <v>205460</v>
      </c>
      <c r="J153" s="4234"/>
      <c r="K153" s="4233">
        <f>305460-100000</f>
        <v>205460</v>
      </c>
      <c r="L153" s="1996"/>
      <c r="M153" s="1996"/>
      <c r="O153"/>
      <c r="P153"/>
      <c r="Q153"/>
      <c r="R153"/>
      <c r="S153"/>
      <c r="T153"/>
      <c r="U153"/>
      <c r="V153"/>
      <c r="W153"/>
    </row>
    <row r="154" spans="2:23" s="152" customFormat="1">
      <c r="B154" s="4627"/>
      <c r="C154" s="1984"/>
      <c r="D154" s="1984"/>
      <c r="E154" s="1984"/>
      <c r="F154" s="2008">
        <v>1010</v>
      </c>
      <c r="G154" s="3969" t="s">
        <v>185</v>
      </c>
      <c r="H154" s="4700" t="s">
        <v>5194</v>
      </c>
      <c r="I154" s="4233">
        <f t="shared" si="5"/>
        <v>10000</v>
      </c>
      <c r="J154" s="4234"/>
      <c r="K154" s="4233">
        <v>10000</v>
      </c>
      <c r="L154" s="1996"/>
      <c r="M154" s="1996"/>
      <c r="O154"/>
      <c r="P154"/>
      <c r="Q154"/>
      <c r="R154"/>
      <c r="S154"/>
      <c r="T154"/>
      <c r="U154"/>
      <c r="V154"/>
      <c r="W154"/>
    </row>
    <row r="155" spans="2:23" s="152" customFormat="1">
      <c r="B155" s="4627"/>
      <c r="C155" s="1984"/>
      <c r="D155" s="1984"/>
      <c r="E155" s="1984"/>
      <c r="F155" s="2008">
        <v>1010</v>
      </c>
      <c r="G155" s="3969" t="s">
        <v>185</v>
      </c>
      <c r="H155" s="4700" t="s">
        <v>5195</v>
      </c>
      <c r="I155" s="4233">
        <f t="shared" si="5"/>
        <v>1200</v>
      </c>
      <c r="J155" s="4234"/>
      <c r="K155" s="4233">
        <v>1200</v>
      </c>
      <c r="L155" s="1996"/>
      <c r="M155" s="1996"/>
      <c r="O155"/>
      <c r="P155"/>
      <c r="Q155"/>
      <c r="R155"/>
      <c r="S155"/>
      <c r="T155"/>
      <c r="U155"/>
      <c r="V155"/>
      <c r="W155"/>
    </row>
    <row r="156" spans="2:23" s="152" customFormat="1" ht="12.75" thickBot="1">
      <c r="B156" s="4627"/>
      <c r="C156" s="3966"/>
      <c r="D156" s="3966"/>
      <c r="E156" s="3966"/>
      <c r="F156" s="3977">
        <v>1010</v>
      </c>
      <c r="G156" s="3991" t="s">
        <v>185</v>
      </c>
      <c r="H156" s="4731" t="s">
        <v>5174</v>
      </c>
      <c r="I156" s="4732">
        <f t="shared" si="5"/>
        <v>36162</v>
      </c>
      <c r="J156" s="4236"/>
      <c r="K156" s="4732">
        <v>36162</v>
      </c>
      <c r="L156" s="3979"/>
      <c r="M156" s="3979"/>
      <c r="O156"/>
      <c r="P156"/>
      <c r="Q156"/>
      <c r="R156"/>
      <c r="S156"/>
      <c r="T156"/>
      <c r="U156"/>
      <c r="V156"/>
      <c r="W156"/>
    </row>
    <row r="157" spans="2:23" s="152" customFormat="1" ht="13.5" thickTop="1" thickBot="1">
      <c r="B157" s="4627"/>
      <c r="C157" s="3969"/>
      <c r="D157" s="3969"/>
      <c r="E157" s="3969"/>
      <c r="F157" s="3970" t="s">
        <v>6204</v>
      </c>
      <c r="G157" s="3969" t="s">
        <v>6205</v>
      </c>
      <c r="H157" s="4722" t="s">
        <v>6212</v>
      </c>
      <c r="I157" s="4725">
        <f t="shared" si="5"/>
        <v>10000</v>
      </c>
      <c r="J157" s="4234"/>
      <c r="K157" s="4725">
        <v>10000</v>
      </c>
      <c r="L157" s="3973"/>
      <c r="M157" s="3973"/>
      <c r="O157"/>
      <c r="P157"/>
      <c r="Q157"/>
      <c r="R157"/>
      <c r="S157"/>
      <c r="T157"/>
      <c r="U157"/>
      <c r="V157"/>
      <c r="W157"/>
    </row>
    <row r="158" spans="2:23" ht="13.5" thickTop="1" thickBot="1">
      <c r="C158" s="3992"/>
      <c r="D158" s="3996"/>
      <c r="E158" s="3996"/>
      <c r="F158" s="4244" t="s">
        <v>1765</v>
      </c>
      <c r="G158" s="4243" t="s">
        <v>2924</v>
      </c>
      <c r="H158" s="3996"/>
      <c r="I158" s="3994"/>
      <c r="J158" s="3997"/>
      <c r="K158" s="3998"/>
      <c r="L158" s="3999"/>
      <c r="M158" s="3998"/>
    </row>
    <row r="159" spans="2:23" s="81" customFormat="1" ht="12.75" thickTop="1">
      <c r="B159" s="4627"/>
      <c r="C159" s="4242"/>
      <c r="D159" s="4242"/>
      <c r="E159" s="4242"/>
      <c r="F159" s="3970" t="s">
        <v>6204</v>
      </c>
      <c r="G159" s="4242" t="s">
        <v>1133</v>
      </c>
      <c r="H159" s="4700" t="s">
        <v>6266</v>
      </c>
      <c r="I159" s="4233">
        <f>SUM(K159:M159)</f>
        <v>77073.886200000008</v>
      </c>
      <c r="J159" s="4234"/>
      <c r="K159" s="4233">
        <v>77073.886200000008</v>
      </c>
      <c r="L159" s="3972"/>
      <c r="M159" s="3972"/>
      <c r="N159" s="152" t="s">
        <v>6115</v>
      </c>
    </row>
    <row r="160" spans="2:23" s="81" customFormat="1">
      <c r="B160" s="4627"/>
      <c r="C160" s="4563"/>
      <c r="D160" s="4563"/>
      <c r="E160" s="4563"/>
      <c r="F160" s="3970" t="s">
        <v>1133</v>
      </c>
      <c r="G160" s="4242" t="s">
        <v>1133</v>
      </c>
      <c r="H160" s="4700" t="s">
        <v>6186</v>
      </c>
      <c r="I160" s="4787">
        <f>SUM(K160:M160)</f>
        <v>47800.989499999996</v>
      </c>
      <c r="J160" s="4234"/>
      <c r="K160" s="4233">
        <v>47800.989499999996</v>
      </c>
      <c r="L160" s="4319"/>
      <c r="M160" s="4319"/>
      <c r="N160" s="152" t="s">
        <v>6187</v>
      </c>
    </row>
    <row r="161" spans="1:18" s="81" customFormat="1" ht="12.75" thickBot="1">
      <c r="B161" s="4627"/>
      <c r="C161" s="4011"/>
      <c r="D161" s="4011"/>
      <c r="E161" s="4011"/>
      <c r="F161" s="3977" t="s">
        <v>1133</v>
      </c>
      <c r="G161" s="4011" t="s">
        <v>1133</v>
      </c>
      <c r="H161" s="4731" t="s">
        <v>6225</v>
      </c>
      <c r="I161" s="4788">
        <f>SUM(K161:M161)</f>
        <v>106152.00290000001</v>
      </c>
      <c r="J161" s="4236"/>
      <c r="K161" s="4732">
        <v>106152.00290000001</v>
      </c>
      <c r="L161" s="3982"/>
      <c r="M161" s="3982"/>
      <c r="N161" s="152" t="s">
        <v>6187</v>
      </c>
    </row>
    <row r="162" spans="1:18" ht="12.75" thickTop="1">
      <c r="D162" s="279"/>
      <c r="E162" s="279"/>
      <c r="F162" s="1990"/>
      <c r="G162" s="1990"/>
      <c r="H162" s="4002" t="s">
        <v>3016</v>
      </c>
      <c r="I162" s="4003">
        <f>SUM(I89:I161)</f>
        <v>1601615.8785999999</v>
      </c>
      <c r="J162" s="2182"/>
      <c r="K162" s="4003">
        <f>SUM(K89:K161)</f>
        <v>1567975.8785999999</v>
      </c>
      <c r="L162" s="4003">
        <f>SUM(L89:L161)</f>
        <v>33640</v>
      </c>
      <c r="M162" s="4003">
        <f>SUM(M89:M161)</f>
        <v>0</v>
      </c>
      <c r="O162" s="84"/>
    </row>
    <row r="163" spans="1:18">
      <c r="D163" s="279"/>
      <c r="E163" s="279"/>
      <c r="F163" s="1990"/>
      <c r="G163" s="1990"/>
      <c r="H163" s="2186"/>
      <c r="I163" s="2186"/>
      <c r="J163" s="2186"/>
      <c r="K163" s="2186"/>
      <c r="L163" s="2186"/>
      <c r="M163" s="2186"/>
      <c r="O163" s="84"/>
    </row>
    <row r="164" spans="1:18" hidden="1" outlineLevel="1">
      <c r="B164" s="2575" t="s">
        <v>5976</v>
      </c>
      <c r="D164" s="279"/>
      <c r="E164" s="279"/>
      <c r="F164" s="1990"/>
      <c r="G164" s="1990"/>
      <c r="H164" s="4002"/>
      <c r="I164" s="4003">
        <f>SUMIF($B$90:$B$161,$B164,I$90:I$161)</f>
        <v>194500</v>
      </c>
      <c r="J164" s="2182"/>
      <c r="K164" s="4003">
        <f t="shared" ref="K164:M166" si="6">SUMIF($B$90:$B$161,$B164,K$90:K$161)</f>
        <v>194500</v>
      </c>
      <c r="L164" s="4003">
        <f t="shared" si="6"/>
        <v>0</v>
      </c>
      <c r="M164" s="4003">
        <f t="shared" si="6"/>
        <v>0</v>
      </c>
      <c r="O164" s="84"/>
    </row>
    <row r="165" spans="1:18" hidden="1" outlineLevel="1">
      <c r="B165" s="2575" t="s">
        <v>1251</v>
      </c>
      <c r="D165" s="279"/>
      <c r="E165" s="279"/>
      <c r="F165" s="1990"/>
      <c r="G165" s="1990"/>
      <c r="H165" s="4002"/>
      <c r="I165" s="4003">
        <f>SUMIF($B$90:$B$161,$B165,I$90:I$161)</f>
        <v>176650</v>
      </c>
      <c r="J165" s="2182"/>
      <c r="K165" s="4003">
        <f t="shared" si="6"/>
        <v>176650</v>
      </c>
      <c r="L165" s="4003">
        <f t="shared" si="6"/>
        <v>0</v>
      </c>
      <c r="M165" s="4003">
        <f t="shared" si="6"/>
        <v>0</v>
      </c>
      <c r="O165" s="84"/>
    </row>
    <row r="166" spans="1:18" hidden="1" outlineLevel="1">
      <c r="B166" s="2575" t="s">
        <v>5975</v>
      </c>
      <c r="D166" s="279"/>
      <c r="E166" s="279"/>
      <c r="F166" s="1990"/>
      <c r="G166" s="1990"/>
      <c r="H166" s="4002"/>
      <c r="I166" s="4003">
        <f>SUMIF($B$90:$B$161,$B166,I$90:I$161)</f>
        <v>480013</v>
      </c>
      <c r="J166" s="2182"/>
      <c r="K166" s="4003">
        <f t="shared" si="6"/>
        <v>446373</v>
      </c>
      <c r="L166" s="4003">
        <f t="shared" si="6"/>
        <v>33640</v>
      </c>
      <c r="M166" s="4003">
        <f t="shared" si="6"/>
        <v>0</v>
      </c>
      <c r="O166" s="84"/>
    </row>
    <row r="167" spans="1:18" collapsed="1">
      <c r="D167" s="279"/>
      <c r="E167" s="279"/>
      <c r="F167" s="1990"/>
      <c r="G167" s="1990"/>
      <c r="H167" s="2186"/>
      <c r="I167" s="2186"/>
      <c r="J167" s="2186"/>
      <c r="K167" s="2351"/>
      <c r="L167" s="2186"/>
      <c r="M167" s="2186"/>
      <c r="O167" s="84"/>
    </row>
    <row r="168" spans="1:18">
      <c r="F168" s="72" t="s">
        <v>5497</v>
      </c>
      <c r="H168" s="79"/>
      <c r="I168" s="1222"/>
      <c r="J168" s="2035"/>
      <c r="K168" s="1222"/>
      <c r="L168" s="1222"/>
      <c r="M168" s="1222"/>
      <c r="N168" s="3974"/>
    </row>
    <row r="169" spans="1:18">
      <c r="C169" s="4822" t="s">
        <v>1141</v>
      </c>
      <c r="D169" s="4822" t="s">
        <v>779</v>
      </c>
      <c r="E169" s="4822" t="s">
        <v>780</v>
      </c>
      <c r="F169" s="4822" t="s">
        <v>2931</v>
      </c>
      <c r="G169" s="4822" t="s">
        <v>2891</v>
      </c>
      <c r="H169" s="4823" t="s">
        <v>2892</v>
      </c>
      <c r="I169" s="4825" t="s">
        <v>1623</v>
      </c>
      <c r="J169" s="2180"/>
      <c r="K169" s="4821" t="s">
        <v>2909</v>
      </c>
      <c r="L169" s="4821"/>
      <c r="M169" s="4821"/>
    </row>
    <row r="170" spans="1:18" ht="24">
      <c r="C170" s="4822"/>
      <c r="D170" s="4822"/>
      <c r="E170" s="4822"/>
      <c r="F170" s="4822"/>
      <c r="G170" s="4822"/>
      <c r="H170" s="4824"/>
      <c r="I170" s="4825"/>
      <c r="J170" s="2180"/>
      <c r="K170" s="2059" t="s">
        <v>517</v>
      </c>
      <c r="L170" s="2059" t="s">
        <v>1617</v>
      </c>
      <c r="M170" s="2181" t="s">
        <v>1145</v>
      </c>
    </row>
    <row r="171" spans="1:18" ht="24.75" hidden="1" thickBot="1">
      <c r="A171">
        <v>3</v>
      </c>
      <c r="B171" s="4627" t="s">
        <v>5976</v>
      </c>
      <c r="C171" s="3966"/>
      <c r="D171" s="3964"/>
      <c r="E171" s="3964"/>
      <c r="F171" s="3965" t="s">
        <v>1626</v>
      </c>
      <c r="G171" s="3966" t="s">
        <v>1295</v>
      </c>
      <c r="H171" s="3967" t="s">
        <v>2417</v>
      </c>
      <c r="I171" s="4329">
        <f>SUM(K171:M171)</f>
        <v>8000</v>
      </c>
      <c r="J171" s="4331"/>
      <c r="K171" s="4329">
        <v>8000</v>
      </c>
      <c r="L171" s="3968"/>
      <c r="M171" s="3968"/>
      <c r="R171">
        <v>8000</v>
      </c>
    </row>
    <row r="172" spans="1:18" hidden="1">
      <c r="A172">
        <v>3</v>
      </c>
      <c r="B172" s="4627" t="s">
        <v>5975</v>
      </c>
      <c r="C172" s="1984"/>
      <c r="D172" s="1985"/>
      <c r="E172" s="1985"/>
      <c r="F172" s="2007" t="s">
        <v>492</v>
      </c>
      <c r="G172" s="1984" t="s">
        <v>267</v>
      </c>
      <c r="H172" s="2010" t="s">
        <v>751</v>
      </c>
      <c r="I172" s="4310">
        <v>2000</v>
      </c>
      <c r="J172" s="4311"/>
      <c r="K172" s="4310">
        <f>I172-L172-M172</f>
        <v>2000</v>
      </c>
      <c r="L172" s="3963"/>
      <c r="M172" s="3963"/>
      <c r="N172" s="43"/>
    </row>
    <row r="173" spans="1:18" ht="12.75" thickBot="1">
      <c r="A173">
        <v>1</v>
      </c>
      <c r="B173" s="4627" t="s">
        <v>5975</v>
      </c>
      <c r="C173" s="4240"/>
      <c r="D173" s="4250"/>
      <c r="E173" s="4250"/>
      <c r="F173" s="4251" t="s">
        <v>492</v>
      </c>
      <c r="G173" s="4240" t="s">
        <v>267</v>
      </c>
      <c r="H173" s="4759" t="s">
        <v>5472</v>
      </c>
      <c r="I173" s="4760">
        <v>7000</v>
      </c>
      <c r="J173" s="4761"/>
      <c r="K173" s="4760">
        <f>I173</f>
        <v>7000</v>
      </c>
      <c r="L173" s="4252"/>
      <c r="M173" s="4252"/>
      <c r="N173" s="4817" t="s">
        <v>5473</v>
      </c>
      <c r="O173" s="4818"/>
      <c r="P173" s="4818"/>
      <c r="Q173" s="4818"/>
      <c r="R173" s="4818"/>
    </row>
    <row r="174" spans="1:18" ht="12.75" hidden="1" thickBot="1">
      <c r="A174">
        <v>2</v>
      </c>
      <c r="B174" s="4627" t="s">
        <v>5975</v>
      </c>
      <c r="C174" s="4245"/>
      <c r="D174" s="4246"/>
      <c r="E174" s="4246"/>
      <c r="F174" s="4247" t="s">
        <v>492</v>
      </c>
      <c r="G174" s="4245" t="s">
        <v>267</v>
      </c>
      <c r="H174" s="4248" t="s">
        <v>3411</v>
      </c>
      <c r="I174" s="4313">
        <v>20000</v>
      </c>
      <c r="J174" s="4314"/>
      <c r="K174" s="4313">
        <f>I174</f>
        <v>20000</v>
      </c>
      <c r="L174" s="4249"/>
      <c r="M174" s="4249"/>
      <c r="N174" s="43" t="s">
        <v>3413</v>
      </c>
    </row>
    <row r="175" spans="1:18" ht="16.149999999999999" customHeight="1" thickTop="1" thickBot="1">
      <c r="A175">
        <v>1</v>
      </c>
      <c r="C175" s="4289"/>
      <c r="D175" s="4649"/>
      <c r="E175" s="4649"/>
      <c r="F175" s="4004" t="s">
        <v>491</v>
      </c>
      <c r="G175" s="3992" t="s">
        <v>6064</v>
      </c>
      <c r="H175" s="4762" t="s">
        <v>6251</v>
      </c>
      <c r="I175" s="4763">
        <v>2000</v>
      </c>
      <c r="J175" s="4764"/>
      <c r="K175" s="4763">
        <v>2000</v>
      </c>
      <c r="L175" s="4650"/>
      <c r="M175" s="4650"/>
      <c r="N175" s="43"/>
    </row>
    <row r="176" spans="1:18" ht="73.5" hidden="1" thickTop="1" thickBot="1">
      <c r="A176">
        <v>3</v>
      </c>
      <c r="B176" s="4627" t="s">
        <v>5975</v>
      </c>
      <c r="C176" s="3992"/>
      <c r="D176" s="3996"/>
      <c r="E176" s="3996"/>
      <c r="F176" s="4004" t="s">
        <v>491</v>
      </c>
      <c r="G176" s="3996" t="s">
        <v>6064</v>
      </c>
      <c r="H176" s="4005" t="s">
        <v>4735</v>
      </c>
      <c r="I176" s="4315">
        <f>K176</f>
        <v>16698</v>
      </c>
      <c r="J176" s="3997"/>
      <c r="K176" s="4315">
        <v>16698</v>
      </c>
      <c r="L176" s="4006"/>
      <c r="M176" s="4006"/>
      <c r="N176" s="3975"/>
    </row>
    <row r="177" spans="1:18" ht="13.5" hidden="1" thickTop="1" thickBot="1">
      <c r="A177">
        <v>2</v>
      </c>
      <c r="B177" s="4627" t="s">
        <v>5975</v>
      </c>
      <c r="C177" s="4000"/>
      <c r="D177" s="3969"/>
      <c r="E177" s="3969"/>
      <c r="F177" s="2008" t="s">
        <v>494</v>
      </c>
      <c r="G177" s="1984" t="s">
        <v>5456</v>
      </c>
      <c r="H177" s="3971" t="s">
        <v>4814</v>
      </c>
      <c r="I177" s="4327">
        <f>SUM(K177:M177)</f>
        <v>0</v>
      </c>
      <c r="J177" s="2035"/>
      <c r="K177" s="4651">
        <f>7520-7520</f>
        <v>0</v>
      </c>
      <c r="L177" s="3973"/>
      <c r="M177" s="3973"/>
      <c r="N177" s="3975"/>
    </row>
    <row r="178" spans="1:18" ht="13.5" hidden="1" thickTop="1" thickBot="1">
      <c r="A178">
        <v>3</v>
      </c>
      <c r="B178" s="4627" t="s">
        <v>5975</v>
      </c>
      <c r="C178" s="4000"/>
      <c r="D178" s="3969"/>
      <c r="E178" s="3969"/>
      <c r="F178" s="2008" t="s">
        <v>494</v>
      </c>
      <c r="G178" s="1984" t="s">
        <v>5456</v>
      </c>
      <c r="H178" s="3971" t="s">
        <v>4796</v>
      </c>
      <c r="I178" s="4327">
        <f>SUM(K178:M178)</f>
        <v>5600</v>
      </c>
      <c r="J178" s="2035"/>
      <c r="K178" s="4317">
        <v>5600</v>
      </c>
      <c r="L178" s="3973"/>
      <c r="M178" s="3973"/>
      <c r="N178" s="3975"/>
    </row>
    <row r="179" spans="1:18" ht="13.5" hidden="1" thickTop="1" thickBot="1">
      <c r="A179">
        <v>3</v>
      </c>
      <c r="B179" s="4627" t="s">
        <v>5976</v>
      </c>
      <c r="C179" s="2021"/>
      <c r="D179" s="1984"/>
      <c r="E179" s="1984"/>
      <c r="F179" s="2008" t="s">
        <v>494</v>
      </c>
      <c r="G179" s="1984" t="s">
        <v>5456</v>
      </c>
      <c r="H179" s="2010" t="s">
        <v>4819</v>
      </c>
      <c r="I179" s="4328">
        <f t="shared" ref="I179:I189" si="7">SUM(K179:M179)</f>
        <v>5000</v>
      </c>
      <c r="J179" s="2035"/>
      <c r="K179" s="2020">
        <v>5000</v>
      </c>
      <c r="L179" s="1996"/>
      <c r="M179" s="1996"/>
      <c r="N179" s="3975"/>
    </row>
    <row r="180" spans="1:18" ht="25.5" hidden="1" thickTop="1" thickBot="1">
      <c r="A180">
        <v>3</v>
      </c>
      <c r="B180" s="4627" t="s">
        <v>5976</v>
      </c>
      <c r="C180" s="2021"/>
      <c r="D180" s="1984"/>
      <c r="E180" s="1984"/>
      <c r="F180" s="2008" t="s">
        <v>494</v>
      </c>
      <c r="G180" s="1984" t="s">
        <v>5456</v>
      </c>
      <c r="H180" s="2010" t="s">
        <v>4820</v>
      </c>
      <c r="I180" s="4328">
        <f t="shared" si="7"/>
        <v>3000</v>
      </c>
      <c r="J180" s="2035"/>
      <c r="K180" s="2020">
        <v>3000</v>
      </c>
      <c r="L180" s="1996"/>
      <c r="M180" s="1996"/>
      <c r="N180" s="3975"/>
    </row>
    <row r="181" spans="1:18" ht="13.5" hidden="1" thickTop="1" thickBot="1">
      <c r="A181">
        <v>3</v>
      </c>
      <c r="B181" s="4627" t="s">
        <v>5976</v>
      </c>
      <c r="C181" s="2021"/>
      <c r="D181" s="1984"/>
      <c r="E181" s="1984"/>
      <c r="F181" s="2008" t="s">
        <v>494</v>
      </c>
      <c r="G181" s="1984" t="s">
        <v>5456</v>
      </c>
      <c r="H181" s="2010" t="s">
        <v>2545</v>
      </c>
      <c r="I181" s="4328">
        <f t="shared" si="7"/>
        <v>38000</v>
      </c>
      <c r="J181" s="2035"/>
      <c r="K181" s="2020">
        <v>38000</v>
      </c>
      <c r="L181" s="1996"/>
      <c r="M181" s="1996"/>
      <c r="N181" s="3975"/>
    </row>
    <row r="182" spans="1:18" ht="13.5" hidden="1" thickTop="1" thickBot="1">
      <c r="A182">
        <v>3</v>
      </c>
      <c r="B182" s="4627" t="s">
        <v>1251</v>
      </c>
      <c r="C182" s="2021"/>
      <c r="D182" s="1984"/>
      <c r="E182" s="1984"/>
      <c r="F182" s="2008" t="s">
        <v>494</v>
      </c>
      <c r="G182" s="1984" t="s">
        <v>5456</v>
      </c>
      <c r="H182" s="2010" t="s">
        <v>4821</v>
      </c>
      <c r="I182" s="4328">
        <f t="shared" si="7"/>
        <v>30000</v>
      </c>
      <c r="J182" s="2035"/>
      <c r="K182" s="2020">
        <v>30000</v>
      </c>
      <c r="L182" s="1996"/>
      <c r="M182" s="1996"/>
      <c r="N182" s="3975"/>
    </row>
    <row r="183" spans="1:18" ht="13.5" hidden="1" thickTop="1" thickBot="1">
      <c r="A183">
        <v>3</v>
      </c>
      <c r="B183" s="4627" t="s">
        <v>5976</v>
      </c>
      <c r="C183" s="4001"/>
      <c r="D183" s="3966"/>
      <c r="E183" s="3966"/>
      <c r="F183" s="3977" t="s">
        <v>494</v>
      </c>
      <c r="G183" s="3966" t="s">
        <v>5456</v>
      </c>
      <c r="H183" s="3967" t="s">
        <v>4822</v>
      </c>
      <c r="I183" s="4329">
        <f t="shared" si="7"/>
        <v>20000</v>
      </c>
      <c r="J183" s="3978"/>
      <c r="K183" s="4316">
        <v>20000</v>
      </c>
      <c r="L183" s="3979"/>
      <c r="M183" s="3979"/>
      <c r="N183" s="3975"/>
    </row>
    <row r="184" spans="1:18" ht="13.5" hidden="1" thickTop="1" thickBot="1">
      <c r="A184" s="81">
        <v>2</v>
      </c>
      <c r="C184" s="4567"/>
      <c r="D184" s="4567"/>
      <c r="E184" s="4567"/>
      <c r="F184" s="4568" t="s">
        <v>494</v>
      </c>
      <c r="G184" s="4568" t="s">
        <v>5456</v>
      </c>
      <c r="H184" s="4569" t="s">
        <v>6197</v>
      </c>
      <c r="I184" s="4570">
        <f>SUM(K184:M184)</f>
        <v>31500</v>
      </c>
      <c r="J184" s="4571"/>
      <c r="K184" s="4570">
        <v>31500</v>
      </c>
      <c r="L184" s="4572"/>
      <c r="M184" s="4573"/>
      <c r="N184" s="3975"/>
    </row>
    <row r="185" spans="1:18" ht="44.45" customHeight="1" thickTop="1" thickBot="1">
      <c r="A185" s="81">
        <v>1</v>
      </c>
      <c r="C185" s="4615"/>
      <c r="D185" s="4615"/>
      <c r="E185" s="4615"/>
      <c r="F185" s="4616" t="s">
        <v>494</v>
      </c>
      <c r="G185" s="4616" t="s">
        <v>5456</v>
      </c>
      <c r="H185" s="4765" t="s">
        <v>6228</v>
      </c>
      <c r="I185" s="4766">
        <f>SUM(K185:M185)</f>
        <v>120000</v>
      </c>
      <c r="J185" s="4767"/>
      <c r="K185" s="4766">
        <f>220000-100000</f>
        <v>120000</v>
      </c>
      <c r="L185" s="4617"/>
      <c r="M185" s="4618"/>
      <c r="N185" s="3975"/>
    </row>
    <row r="186" spans="1:18" ht="12.75" hidden="1" thickTop="1">
      <c r="A186">
        <v>2</v>
      </c>
      <c r="B186" s="4627" t="s">
        <v>5976</v>
      </c>
      <c r="C186" s="3973"/>
      <c r="D186" s="4000"/>
      <c r="E186" s="3969"/>
      <c r="F186" s="3970" t="s">
        <v>495</v>
      </c>
      <c r="G186" s="3969" t="s">
        <v>180</v>
      </c>
      <c r="H186" s="3971" t="s">
        <v>3579</v>
      </c>
      <c r="I186" s="3972">
        <f>SUM(K186:M186)</f>
        <v>6300</v>
      </c>
      <c r="J186" s="2035"/>
      <c r="K186" s="3972">
        <v>6300</v>
      </c>
      <c r="L186" s="3973"/>
      <c r="M186" s="3973"/>
      <c r="N186" s="3975"/>
    </row>
    <row r="187" spans="1:18" ht="12.75" hidden="1" thickTop="1">
      <c r="A187">
        <v>2</v>
      </c>
      <c r="C187" s="2021"/>
      <c r="D187" s="1984"/>
      <c r="E187" s="1984"/>
      <c r="F187" s="2008" t="s">
        <v>495</v>
      </c>
      <c r="G187" s="1984" t="s">
        <v>180</v>
      </c>
      <c r="H187" s="2010" t="s">
        <v>3589</v>
      </c>
      <c r="I187" s="4328">
        <f>SUM(K187:M187)</f>
        <v>3689</v>
      </c>
      <c r="J187" s="2035"/>
      <c r="K187" s="2020">
        <v>3689</v>
      </c>
      <c r="L187" s="1996"/>
      <c r="M187" s="1996"/>
      <c r="N187" s="3975"/>
    </row>
    <row r="188" spans="1:18" ht="13.5" hidden="1" thickTop="1" thickBot="1">
      <c r="A188">
        <v>2</v>
      </c>
      <c r="B188" s="4627" t="s">
        <v>5976</v>
      </c>
      <c r="C188" s="3966"/>
      <c r="D188" s="3966"/>
      <c r="E188" s="3966"/>
      <c r="F188" s="3977" t="s">
        <v>495</v>
      </c>
      <c r="G188" s="3966" t="s">
        <v>180</v>
      </c>
      <c r="H188" s="3967" t="s">
        <v>6143</v>
      </c>
      <c r="I188" s="3982">
        <f>SUM(K188:M188)</f>
        <v>15605</v>
      </c>
      <c r="J188" s="3978"/>
      <c r="K188" s="4316">
        <v>15605</v>
      </c>
      <c r="L188" s="3979"/>
      <c r="M188" s="3979"/>
      <c r="R188">
        <v>360</v>
      </c>
    </row>
    <row r="189" spans="1:18" ht="12.75" thickTop="1">
      <c r="A189">
        <v>1</v>
      </c>
      <c r="B189" s="4627" t="s">
        <v>5976</v>
      </c>
      <c r="C189" s="3973"/>
      <c r="D189" s="4000"/>
      <c r="E189" s="3969"/>
      <c r="F189" s="3970" t="s">
        <v>1777</v>
      </c>
      <c r="G189" s="3969" t="s">
        <v>178</v>
      </c>
      <c r="H189" s="4722" t="s">
        <v>3957</v>
      </c>
      <c r="I189" s="4724">
        <f t="shared" si="7"/>
        <v>20000</v>
      </c>
      <c r="J189" s="4234"/>
      <c r="K189" s="4724">
        <v>20000</v>
      </c>
      <c r="L189" s="3973"/>
      <c r="M189" s="3973"/>
      <c r="N189" s="3975" t="s">
        <v>5482</v>
      </c>
    </row>
    <row r="190" spans="1:18" ht="24" hidden="1">
      <c r="A190">
        <v>2</v>
      </c>
      <c r="B190" s="4627" t="s">
        <v>5975</v>
      </c>
      <c r="C190" s="1984"/>
      <c r="D190" s="1984"/>
      <c r="E190" s="1984"/>
      <c r="F190" s="2008" t="s">
        <v>1777</v>
      </c>
      <c r="G190" s="1984" t="s">
        <v>178</v>
      </c>
      <c r="H190" s="2010" t="s">
        <v>3030</v>
      </c>
      <c r="I190" s="4310">
        <f>SUM(K190:M190)</f>
        <v>10000</v>
      </c>
      <c r="J190" s="2035"/>
      <c r="K190" s="2020">
        <f>20000-5000-5000</f>
        <v>10000</v>
      </c>
      <c r="L190" s="1996"/>
      <c r="M190" s="1996"/>
      <c r="N190" s="3975" t="s">
        <v>3936</v>
      </c>
      <c r="R190">
        <v>20000</v>
      </c>
    </row>
    <row r="191" spans="1:18" hidden="1">
      <c r="A191">
        <v>2</v>
      </c>
      <c r="B191" s="4627" t="s">
        <v>5976</v>
      </c>
      <c r="C191" s="1992"/>
      <c r="D191" s="1992"/>
      <c r="E191" s="1992"/>
      <c r="F191" s="2008" t="s">
        <v>1777</v>
      </c>
      <c r="G191" s="1984" t="s">
        <v>178</v>
      </c>
      <c r="H191" s="1995" t="s">
        <v>422</v>
      </c>
      <c r="I191" s="3986"/>
      <c r="J191" s="4007"/>
      <c r="K191" s="3987"/>
      <c r="L191" s="3987"/>
      <c r="M191" s="3987"/>
      <c r="N191" s="3975"/>
    </row>
    <row r="192" spans="1:18" hidden="1">
      <c r="A192">
        <v>2</v>
      </c>
      <c r="B192" s="4627" t="s">
        <v>5976</v>
      </c>
      <c r="C192" s="1984"/>
      <c r="D192" s="1984"/>
      <c r="E192" s="1984"/>
      <c r="F192" s="2008" t="s">
        <v>1777</v>
      </c>
      <c r="G192" s="1984" t="s">
        <v>178</v>
      </c>
      <c r="H192" s="3988" t="s">
        <v>3947</v>
      </c>
      <c r="I192" s="2006">
        <f t="shared" ref="I192:I199" si="8">SUM(K192:M192)</f>
        <v>720</v>
      </c>
      <c r="J192" s="2035"/>
      <c r="K192" s="2020">
        <v>720</v>
      </c>
      <c r="L192" s="1996"/>
      <c r="M192" s="1996"/>
      <c r="N192" s="3975"/>
      <c r="R192">
        <v>864</v>
      </c>
    </row>
    <row r="193" spans="1:18" ht="24" hidden="1">
      <c r="A193">
        <v>2</v>
      </c>
      <c r="B193" s="4627" t="s">
        <v>5976</v>
      </c>
      <c r="C193" s="1984"/>
      <c r="D193" s="1984"/>
      <c r="E193" s="1984"/>
      <c r="F193" s="2008" t="s">
        <v>1777</v>
      </c>
      <c r="G193" s="1984" t="s">
        <v>178</v>
      </c>
      <c r="H193" s="3988" t="s">
        <v>3948</v>
      </c>
      <c r="I193" s="2006">
        <f t="shared" si="8"/>
        <v>1025</v>
      </c>
      <c r="J193" s="2035"/>
      <c r="K193" s="2020">
        <v>1025</v>
      </c>
      <c r="L193" s="1996"/>
      <c r="M193" s="1996"/>
      <c r="N193" s="3975"/>
      <c r="R193">
        <v>3708</v>
      </c>
    </row>
    <row r="194" spans="1:18" ht="24" hidden="1">
      <c r="A194">
        <v>2</v>
      </c>
      <c r="B194" s="4627" t="s">
        <v>5976</v>
      </c>
      <c r="C194" s="1984"/>
      <c r="D194" s="1984"/>
      <c r="E194" s="1984"/>
      <c r="F194" s="2008" t="s">
        <v>1777</v>
      </c>
      <c r="G194" s="1984" t="s">
        <v>178</v>
      </c>
      <c r="H194" s="3988" t="s">
        <v>6095</v>
      </c>
      <c r="I194" s="2006">
        <f t="shared" si="8"/>
        <v>3075</v>
      </c>
      <c r="J194" s="2035"/>
      <c r="K194" s="2020">
        <v>3075</v>
      </c>
      <c r="L194" s="1996"/>
      <c r="M194" s="1996"/>
      <c r="N194" s="3975" t="s">
        <v>3953</v>
      </c>
      <c r="R194">
        <v>460</v>
      </c>
    </row>
    <row r="195" spans="1:18" hidden="1">
      <c r="A195">
        <v>2</v>
      </c>
      <c r="B195" s="4627" t="s">
        <v>5976</v>
      </c>
      <c r="C195" s="1984"/>
      <c r="D195" s="1984"/>
      <c r="E195" s="1984"/>
      <c r="F195" s="2008" t="s">
        <v>1777</v>
      </c>
      <c r="G195" s="1984" t="s">
        <v>178</v>
      </c>
      <c r="H195" s="3988" t="s">
        <v>3950</v>
      </c>
      <c r="I195" s="2006">
        <f t="shared" si="8"/>
        <v>500</v>
      </c>
      <c r="J195" s="2035"/>
      <c r="K195" s="2020">
        <v>500</v>
      </c>
      <c r="L195" s="1996"/>
      <c r="M195" s="1996"/>
      <c r="R195">
        <v>430</v>
      </c>
    </row>
    <row r="196" spans="1:18" ht="24" hidden="1">
      <c r="A196">
        <v>2</v>
      </c>
      <c r="B196" s="4627" t="s">
        <v>5976</v>
      </c>
      <c r="C196" s="1984"/>
      <c r="D196" s="1984"/>
      <c r="E196" s="1984"/>
      <c r="F196" s="2008" t="s">
        <v>1777</v>
      </c>
      <c r="G196" s="1984" t="s">
        <v>178</v>
      </c>
      <c r="H196" s="3988" t="s">
        <v>3951</v>
      </c>
      <c r="I196" s="2006">
        <f t="shared" si="8"/>
        <v>1000</v>
      </c>
      <c r="J196" s="2035"/>
      <c r="K196" s="2020">
        <v>1000</v>
      </c>
      <c r="L196" s="1996"/>
      <c r="M196" s="1996"/>
    </row>
    <row r="197" spans="1:18" hidden="1">
      <c r="A197">
        <v>2</v>
      </c>
      <c r="B197" s="4627" t="s">
        <v>5976</v>
      </c>
      <c r="C197" s="4012"/>
      <c r="D197" s="4012"/>
      <c r="E197" s="4012"/>
      <c r="F197" s="4237" t="s">
        <v>1777</v>
      </c>
      <c r="G197" s="4012" t="s">
        <v>178</v>
      </c>
      <c r="H197" s="4664" t="s">
        <v>3952</v>
      </c>
      <c r="I197" s="4318">
        <f t="shared" ref="I197" si="9">SUM(K197:M197)</f>
        <v>744</v>
      </c>
      <c r="J197" s="2035"/>
      <c r="K197" s="4322">
        <v>744</v>
      </c>
      <c r="L197" s="4013"/>
      <c r="M197" s="4013"/>
    </row>
    <row r="198" spans="1:18" ht="12.75" thickBot="1">
      <c r="A198">
        <v>1</v>
      </c>
      <c r="B198" s="4627" t="s">
        <v>5976</v>
      </c>
      <c r="C198" s="3966"/>
      <c r="D198" s="3966"/>
      <c r="E198" s="3966"/>
      <c r="F198" s="3977" t="s">
        <v>1777</v>
      </c>
      <c r="G198" s="3966" t="s">
        <v>178</v>
      </c>
      <c r="H198" s="4768" t="s">
        <v>6254</v>
      </c>
      <c r="I198" s="4732">
        <f t="shared" si="8"/>
        <v>1200</v>
      </c>
      <c r="J198" s="4236"/>
      <c r="K198" s="4736">
        <v>1200</v>
      </c>
      <c r="L198" s="3979"/>
      <c r="M198" s="3979"/>
      <c r="R198">
        <v>360</v>
      </c>
    </row>
    <row r="199" spans="1:18" ht="12.75" hidden="1" thickTop="1">
      <c r="A199">
        <v>3</v>
      </c>
      <c r="B199" s="4627" t="s">
        <v>1251</v>
      </c>
      <c r="C199" s="3969"/>
      <c r="D199" s="3969"/>
      <c r="E199" s="3969"/>
      <c r="F199" s="3970" t="s">
        <v>1762</v>
      </c>
      <c r="G199" s="3969" t="s">
        <v>5480</v>
      </c>
      <c r="H199" s="3971" t="s">
        <v>4106</v>
      </c>
      <c r="I199" s="4317">
        <f t="shared" si="8"/>
        <v>0</v>
      </c>
      <c r="J199" s="2035"/>
      <c r="K199" s="4663">
        <f>8500-8500</f>
        <v>0</v>
      </c>
      <c r="L199" s="3973"/>
      <c r="M199" s="3973"/>
      <c r="N199" s="3975" t="s">
        <v>4107</v>
      </c>
      <c r="R199">
        <v>5000</v>
      </c>
    </row>
    <row r="200" spans="1:18" ht="12.75" thickTop="1">
      <c r="A200">
        <v>1</v>
      </c>
      <c r="C200" s="3969"/>
      <c r="D200" s="3969"/>
      <c r="E200" s="3969"/>
      <c r="F200" s="2008" t="s">
        <v>1762</v>
      </c>
      <c r="G200" s="1984" t="s">
        <v>5480</v>
      </c>
      <c r="H200" s="4722" t="s">
        <v>6254</v>
      </c>
      <c r="I200" s="4724">
        <f>K200</f>
        <v>1500</v>
      </c>
      <c r="J200" s="4234"/>
      <c r="K200" s="4724">
        <v>1500</v>
      </c>
      <c r="L200" s="3973"/>
      <c r="M200" s="3973"/>
      <c r="N200" s="3975"/>
    </row>
    <row r="201" spans="1:18" hidden="1">
      <c r="A201">
        <v>2</v>
      </c>
      <c r="B201" s="4627" t="s">
        <v>1251</v>
      </c>
      <c r="C201" s="1984"/>
      <c r="D201" s="1984"/>
      <c r="E201" s="1984"/>
      <c r="F201" s="2008" t="s">
        <v>1762</v>
      </c>
      <c r="G201" s="1984" t="s">
        <v>5480</v>
      </c>
      <c r="H201" s="1995" t="s">
        <v>422</v>
      </c>
      <c r="I201" s="3986"/>
      <c r="J201" s="4007"/>
      <c r="K201" s="3987"/>
      <c r="L201" s="3987"/>
      <c r="M201" s="3987"/>
      <c r="N201" s="3975"/>
    </row>
    <row r="202" spans="1:18" ht="24" hidden="1">
      <c r="A202">
        <v>2</v>
      </c>
      <c r="B202" s="4627" t="s">
        <v>1251</v>
      </c>
      <c r="C202" s="1984"/>
      <c r="D202" s="1984"/>
      <c r="E202" s="1984"/>
      <c r="F202" s="2008" t="s">
        <v>1762</v>
      </c>
      <c r="G202" s="1984" t="s">
        <v>5480</v>
      </c>
      <c r="H202" s="3988" t="s">
        <v>5483</v>
      </c>
      <c r="I202" s="2006">
        <f t="shared" ref="I202:I208" si="10">K202</f>
        <v>2940</v>
      </c>
      <c r="J202" s="2035"/>
      <c r="K202" s="2020">
        <v>2940</v>
      </c>
      <c r="L202" s="1996"/>
      <c r="M202" s="1996"/>
      <c r="N202" s="3975"/>
    </row>
    <row r="203" spans="1:18" ht="24" hidden="1">
      <c r="A203">
        <v>2</v>
      </c>
      <c r="B203" s="4627" t="s">
        <v>1251</v>
      </c>
      <c r="C203" s="1984"/>
      <c r="D203" s="1984"/>
      <c r="E203" s="1984"/>
      <c r="F203" s="2008" t="s">
        <v>1762</v>
      </c>
      <c r="G203" s="1984" t="s">
        <v>5480</v>
      </c>
      <c r="H203" s="3988" t="s">
        <v>5484</v>
      </c>
      <c r="I203" s="2006">
        <f t="shared" si="10"/>
        <v>900</v>
      </c>
      <c r="J203" s="2035"/>
      <c r="K203" s="2020">
        <v>900</v>
      </c>
      <c r="L203" s="1996"/>
      <c r="M203" s="1996"/>
      <c r="N203" s="3975"/>
    </row>
    <row r="204" spans="1:18" hidden="1">
      <c r="A204">
        <v>2</v>
      </c>
      <c r="B204" s="4627" t="s">
        <v>1251</v>
      </c>
      <c r="C204" s="1984"/>
      <c r="D204" s="1984"/>
      <c r="E204" s="1984"/>
      <c r="F204" s="2008" t="s">
        <v>1762</v>
      </c>
      <c r="G204" s="1984" t="s">
        <v>5480</v>
      </c>
      <c r="H204" s="3988" t="s">
        <v>4115</v>
      </c>
      <c r="I204" s="2006">
        <f t="shared" si="10"/>
        <v>400</v>
      </c>
      <c r="J204" s="2035"/>
      <c r="K204" s="2020">
        <v>400</v>
      </c>
      <c r="L204" s="1996"/>
      <c r="M204" s="1996"/>
      <c r="N204" s="3975"/>
    </row>
    <row r="205" spans="1:18" hidden="1">
      <c r="A205">
        <v>2</v>
      </c>
      <c r="B205" s="4627" t="s">
        <v>1251</v>
      </c>
      <c r="C205" s="1984"/>
      <c r="D205" s="1984"/>
      <c r="E205" s="1984"/>
      <c r="F205" s="2008" t="s">
        <v>1762</v>
      </c>
      <c r="G205" s="1984" t="s">
        <v>5480</v>
      </c>
      <c r="H205" s="3988" t="s">
        <v>5485</v>
      </c>
      <c r="I205" s="2006">
        <f t="shared" si="10"/>
        <v>1400</v>
      </c>
      <c r="J205" s="2035"/>
      <c r="K205" s="2020">
        <v>1400</v>
      </c>
      <c r="L205" s="1996"/>
      <c r="M205" s="1996"/>
      <c r="N205" s="3975"/>
    </row>
    <row r="206" spans="1:18" hidden="1">
      <c r="A206">
        <v>2</v>
      </c>
      <c r="B206" s="4627" t="s">
        <v>1251</v>
      </c>
      <c r="C206" s="1984"/>
      <c r="D206" s="1984"/>
      <c r="E206" s="1984"/>
      <c r="F206" s="2008" t="s">
        <v>1762</v>
      </c>
      <c r="G206" s="1984" t="s">
        <v>5480</v>
      </c>
      <c r="H206" s="3988" t="s">
        <v>5486</v>
      </c>
      <c r="I206" s="2006">
        <f t="shared" si="10"/>
        <v>1300</v>
      </c>
      <c r="J206" s="2035"/>
      <c r="K206" s="2020">
        <v>1300</v>
      </c>
      <c r="L206" s="1996"/>
      <c r="M206" s="1996"/>
      <c r="N206" s="3975"/>
    </row>
    <row r="207" spans="1:18" hidden="1">
      <c r="A207">
        <v>2</v>
      </c>
      <c r="B207" s="4627" t="s">
        <v>1251</v>
      </c>
      <c r="C207" s="1984"/>
      <c r="D207" s="1984"/>
      <c r="E207" s="1984"/>
      <c r="F207" s="2008" t="s">
        <v>1762</v>
      </c>
      <c r="G207" s="1984" t="s">
        <v>5480</v>
      </c>
      <c r="H207" s="3988" t="s">
        <v>5487</v>
      </c>
      <c r="I207" s="2006">
        <f t="shared" si="10"/>
        <v>800</v>
      </c>
      <c r="J207" s="2035"/>
      <c r="K207" s="2020">
        <v>800</v>
      </c>
      <c r="L207" s="1996"/>
      <c r="M207" s="1996"/>
      <c r="N207" s="3975"/>
    </row>
    <row r="208" spans="1:18" ht="12.75" thickBot="1">
      <c r="A208">
        <v>1</v>
      </c>
      <c r="B208" s="4627" t="s">
        <v>1251</v>
      </c>
      <c r="C208" s="3966"/>
      <c r="D208" s="3966"/>
      <c r="E208" s="3966"/>
      <c r="F208" s="3977" t="s">
        <v>1762</v>
      </c>
      <c r="G208" s="3966" t="s">
        <v>5480</v>
      </c>
      <c r="H208" s="4731" t="s">
        <v>4109</v>
      </c>
      <c r="I208" s="4736">
        <f t="shared" si="10"/>
        <v>20000</v>
      </c>
      <c r="J208" s="4236"/>
      <c r="K208" s="4736">
        <v>20000</v>
      </c>
      <c r="L208" s="3979"/>
      <c r="M208" s="3979"/>
      <c r="N208" s="43" t="s">
        <v>4110</v>
      </c>
    </row>
    <row r="209" spans="1:18" ht="12.75" hidden="1" thickTop="1">
      <c r="A209">
        <v>3</v>
      </c>
      <c r="B209" s="4627" t="s">
        <v>1251</v>
      </c>
      <c r="C209" s="1984"/>
      <c r="D209" s="1984"/>
      <c r="E209" s="1984"/>
      <c r="F209" s="2008" t="s">
        <v>1761</v>
      </c>
      <c r="G209" s="1984" t="s">
        <v>2923</v>
      </c>
      <c r="H209" s="2010" t="s">
        <v>4012</v>
      </c>
      <c r="I209" s="2006">
        <f t="shared" ref="I209:I221" si="11">K209</f>
        <v>1000</v>
      </c>
      <c r="J209" s="2035"/>
      <c r="K209" s="2020">
        <v>1000</v>
      </c>
      <c r="L209" s="1996"/>
      <c r="M209" s="1996"/>
      <c r="N209" s="3975"/>
    </row>
    <row r="210" spans="1:18" ht="24.75" hidden="1" thickTop="1">
      <c r="A210">
        <v>3</v>
      </c>
      <c r="B210" s="4627" t="s">
        <v>1251</v>
      </c>
      <c r="C210" s="4012"/>
      <c r="D210" s="4012"/>
      <c r="E210" s="4012"/>
      <c r="F210" s="4239" t="s">
        <v>1761</v>
      </c>
      <c r="G210" s="4240" t="s">
        <v>2923</v>
      </c>
      <c r="H210" s="4238" t="s">
        <v>4043</v>
      </c>
      <c r="I210" s="4318">
        <f t="shared" si="11"/>
        <v>4500</v>
      </c>
      <c r="J210" s="2035"/>
      <c r="K210" s="4322">
        <v>4500</v>
      </c>
      <c r="L210" s="4013"/>
      <c r="M210" s="4013"/>
      <c r="N210" s="3975"/>
    </row>
    <row r="211" spans="1:18" ht="12.75" hidden="1" thickTop="1">
      <c r="A211">
        <v>2</v>
      </c>
      <c r="B211" s="4627" t="s">
        <v>1251</v>
      </c>
      <c r="C211" s="4012"/>
      <c r="D211" s="4012"/>
      <c r="E211" s="4012"/>
      <c r="F211" s="4239" t="s">
        <v>1761</v>
      </c>
      <c r="G211" s="4240" t="s">
        <v>2923</v>
      </c>
      <c r="H211" s="4238" t="s">
        <v>4044</v>
      </c>
      <c r="I211" s="4318">
        <f t="shared" si="11"/>
        <v>4500</v>
      </c>
      <c r="J211" s="2035"/>
      <c r="K211" s="4322">
        <v>4500</v>
      </c>
      <c r="L211" s="4013"/>
      <c r="M211" s="4013"/>
      <c r="N211" s="3975"/>
    </row>
    <row r="212" spans="1:18" ht="24.75" hidden="1" thickTop="1">
      <c r="A212">
        <v>3</v>
      </c>
      <c r="B212" s="4627" t="s">
        <v>1251</v>
      </c>
      <c r="C212" s="4012"/>
      <c r="D212" s="4012"/>
      <c r="E212" s="4012"/>
      <c r="F212" s="4239" t="s">
        <v>1761</v>
      </c>
      <c r="G212" s="4240" t="s">
        <v>2923</v>
      </c>
      <c r="H212" s="4238" t="s">
        <v>4045</v>
      </c>
      <c r="I212" s="4318">
        <f t="shared" si="11"/>
        <v>4000</v>
      </c>
      <c r="J212" s="2035"/>
      <c r="K212" s="4322">
        <v>4000</v>
      </c>
      <c r="L212" s="4013"/>
      <c r="M212" s="4013"/>
      <c r="N212" s="3975"/>
    </row>
    <row r="213" spans="1:18" ht="12.75" hidden="1" thickTop="1">
      <c r="A213">
        <v>3</v>
      </c>
      <c r="B213" s="4627" t="s">
        <v>1251</v>
      </c>
      <c r="C213" s="4012"/>
      <c r="D213" s="4012"/>
      <c r="E213" s="4012"/>
      <c r="F213" s="4239" t="s">
        <v>1761</v>
      </c>
      <c r="G213" s="4012" t="s">
        <v>2923</v>
      </c>
      <c r="H213" s="4238" t="s">
        <v>4028</v>
      </c>
      <c r="I213" s="4318">
        <f t="shared" ref="I213:I218" si="12">K213</f>
        <v>0</v>
      </c>
      <c r="J213" s="2035"/>
      <c r="K213" s="4612">
        <f>3000-3000</f>
        <v>0</v>
      </c>
      <c r="L213" s="4013"/>
      <c r="M213" s="4013"/>
      <c r="N213" s="3975"/>
    </row>
    <row r="214" spans="1:18" ht="12.75" hidden="1" thickTop="1">
      <c r="A214">
        <v>3</v>
      </c>
      <c r="B214" s="4627" t="s">
        <v>1251</v>
      </c>
      <c r="C214" s="4012"/>
      <c r="D214" s="4012"/>
      <c r="E214" s="4012"/>
      <c r="F214" s="4239" t="s">
        <v>1761</v>
      </c>
      <c r="G214" s="1984" t="s">
        <v>2923</v>
      </c>
      <c r="H214" s="2010" t="s">
        <v>4029</v>
      </c>
      <c r="I214" s="2006">
        <f>K214</f>
        <v>2000</v>
      </c>
      <c r="J214" s="4323"/>
      <c r="K214" s="2020">
        <v>2000</v>
      </c>
      <c r="L214" s="1996"/>
      <c r="M214" s="1996"/>
      <c r="N214" s="3975"/>
    </row>
    <row r="215" spans="1:18" ht="12.75" hidden="1" thickTop="1">
      <c r="A215">
        <v>2</v>
      </c>
      <c r="B215" s="4627" t="s">
        <v>1251</v>
      </c>
      <c r="C215" s="4012"/>
      <c r="D215" s="4012"/>
      <c r="E215" s="4012"/>
      <c r="F215" s="4239" t="s">
        <v>1761</v>
      </c>
      <c r="G215" s="1984" t="s">
        <v>2923</v>
      </c>
      <c r="H215" s="2010" t="s">
        <v>4027</v>
      </c>
      <c r="I215" s="2006">
        <f>K215</f>
        <v>2500</v>
      </c>
      <c r="J215" s="4323"/>
      <c r="K215" s="2020">
        <v>2500</v>
      </c>
      <c r="L215" s="1996"/>
      <c r="M215" s="1996"/>
      <c r="N215" s="3975"/>
    </row>
    <row r="216" spans="1:18" ht="12.75" hidden="1" thickTop="1">
      <c r="A216">
        <v>2</v>
      </c>
      <c r="B216" s="4627" t="s">
        <v>1251</v>
      </c>
      <c r="C216" s="4012"/>
      <c r="D216" s="4012"/>
      <c r="E216" s="4012"/>
      <c r="F216" s="4239" t="s">
        <v>1761</v>
      </c>
      <c r="G216" s="1984" t="s">
        <v>2923</v>
      </c>
      <c r="H216" s="2010" t="s">
        <v>4020</v>
      </c>
      <c r="I216" s="2006">
        <f t="shared" si="12"/>
        <v>2500</v>
      </c>
      <c r="J216" s="4323"/>
      <c r="K216" s="2020">
        <v>2500</v>
      </c>
      <c r="L216" s="1996"/>
      <c r="M216" s="1996"/>
      <c r="N216" s="3975"/>
    </row>
    <row r="217" spans="1:18" ht="12.75" hidden="1" thickTop="1">
      <c r="A217">
        <v>3</v>
      </c>
      <c r="B217" s="4627" t="s">
        <v>1251</v>
      </c>
      <c r="C217" s="4012"/>
      <c r="D217" s="4012"/>
      <c r="E217" s="4012"/>
      <c r="F217" s="4239" t="s">
        <v>1761</v>
      </c>
      <c r="G217" s="1984" t="s">
        <v>2923</v>
      </c>
      <c r="H217" s="2010" t="s">
        <v>4021</v>
      </c>
      <c r="I217" s="2006">
        <f t="shared" si="12"/>
        <v>600</v>
      </c>
      <c r="J217" s="4323"/>
      <c r="K217" s="2020">
        <v>600</v>
      </c>
      <c r="L217" s="1996"/>
      <c r="M217" s="1996"/>
      <c r="N217" s="3975"/>
    </row>
    <row r="218" spans="1:18" ht="13.5" hidden="1" thickTop="1" thickBot="1">
      <c r="A218">
        <v>3</v>
      </c>
      <c r="B218" s="4627" t="s">
        <v>1251</v>
      </c>
      <c r="C218" s="3966"/>
      <c r="D218" s="3966"/>
      <c r="E218" s="3966"/>
      <c r="F218" s="4008" t="s">
        <v>1761</v>
      </c>
      <c r="G218" s="3991" t="s">
        <v>2923</v>
      </c>
      <c r="H218" s="4009" t="s">
        <v>4022</v>
      </c>
      <c r="I218" s="4320">
        <f t="shared" si="12"/>
        <v>600</v>
      </c>
      <c r="J218" s="3978"/>
      <c r="K218" s="4321">
        <v>600</v>
      </c>
      <c r="L218" s="4010"/>
      <c r="M218" s="4010"/>
      <c r="N218" s="3975"/>
    </row>
    <row r="219" spans="1:18" ht="12.75" hidden="1" thickTop="1">
      <c r="A219">
        <v>2</v>
      </c>
      <c r="B219" s="4627" t="s">
        <v>1251</v>
      </c>
      <c r="C219" s="1984"/>
      <c r="D219" s="1984"/>
      <c r="E219" s="1984"/>
      <c r="F219" s="2008" t="s">
        <v>2274</v>
      </c>
      <c r="G219" s="1984" t="s">
        <v>4088</v>
      </c>
      <c r="H219" s="2010" t="s">
        <v>4061</v>
      </c>
      <c r="I219" s="2006">
        <f t="shared" si="11"/>
        <v>3000</v>
      </c>
      <c r="J219" s="2035"/>
      <c r="K219" s="2020">
        <v>3000</v>
      </c>
      <c r="L219" s="1996"/>
      <c r="M219" s="1996"/>
      <c r="N219" s="3975" t="s">
        <v>4046</v>
      </c>
    </row>
    <row r="220" spans="1:18" ht="12.75" hidden="1" thickTop="1">
      <c r="A220">
        <v>2</v>
      </c>
      <c r="B220" s="4627" t="s">
        <v>1251</v>
      </c>
      <c r="C220" s="1984"/>
      <c r="D220" s="1984"/>
      <c r="E220" s="1984"/>
      <c r="F220" s="2008" t="s">
        <v>2274</v>
      </c>
      <c r="G220" s="1984" t="s">
        <v>4088</v>
      </c>
      <c r="H220" s="2010" t="s">
        <v>5794</v>
      </c>
      <c r="I220" s="2006">
        <f t="shared" si="11"/>
        <v>1400</v>
      </c>
      <c r="J220" s="2035"/>
      <c r="K220" s="2020">
        <v>1400</v>
      </c>
      <c r="L220" s="1996"/>
      <c r="M220" s="1996"/>
      <c r="N220" s="3975" t="s">
        <v>4063</v>
      </c>
    </row>
    <row r="221" spans="1:18" ht="12.75" hidden="1" thickTop="1">
      <c r="A221">
        <v>2</v>
      </c>
      <c r="B221" s="4627" t="s">
        <v>1251</v>
      </c>
      <c r="C221" s="4012"/>
      <c r="D221" s="4012"/>
      <c r="E221" s="4012"/>
      <c r="F221" s="2008" t="s">
        <v>2274</v>
      </c>
      <c r="G221" s="1984" t="s">
        <v>4088</v>
      </c>
      <c r="H221" s="4238" t="s">
        <v>5793</v>
      </c>
      <c r="I221" s="2006">
        <f t="shared" si="11"/>
        <v>3000</v>
      </c>
      <c r="J221" s="2035"/>
      <c r="K221" s="4322">
        <v>3000</v>
      </c>
      <c r="L221" s="4013"/>
      <c r="M221" s="4013"/>
      <c r="N221" s="3975"/>
    </row>
    <row r="222" spans="1:18" ht="13.5" hidden="1" thickTop="1" thickBot="1">
      <c r="A222">
        <v>3</v>
      </c>
      <c r="B222" s="4627" t="s">
        <v>1251</v>
      </c>
      <c r="C222" s="4253"/>
      <c r="D222" s="4253"/>
      <c r="E222" s="4253"/>
      <c r="F222" s="4254" t="s">
        <v>2274</v>
      </c>
      <c r="G222" s="4253" t="s">
        <v>4088</v>
      </c>
      <c r="H222" s="4255" t="s">
        <v>4074</v>
      </c>
      <c r="I222" s="4324">
        <f>K222</f>
        <v>1000</v>
      </c>
      <c r="J222" s="4325"/>
      <c r="K222" s="4326">
        <v>1000</v>
      </c>
      <c r="L222" s="4256"/>
      <c r="M222" s="4256"/>
      <c r="N222" s="3975"/>
    </row>
    <row r="223" spans="1:18" ht="13.5" thickTop="1" thickBot="1">
      <c r="A223">
        <v>1</v>
      </c>
      <c r="B223" s="4627" t="s">
        <v>5975</v>
      </c>
      <c r="C223" s="3991"/>
      <c r="D223" s="3991"/>
      <c r="E223" s="3991"/>
      <c r="F223" s="4008" t="s">
        <v>497</v>
      </c>
      <c r="G223" s="3991" t="s">
        <v>182</v>
      </c>
      <c r="H223" s="4770" t="s">
        <v>2925</v>
      </c>
      <c r="I223" s="4771">
        <f>SUM(K223:M223)</f>
        <v>4000</v>
      </c>
      <c r="J223" s="4236"/>
      <c r="K223" s="4772">
        <v>4000</v>
      </c>
      <c r="L223" s="4010"/>
      <c r="M223" s="4010"/>
      <c r="R223">
        <v>4000</v>
      </c>
    </row>
    <row r="224" spans="1:18" ht="12.75" hidden="1" thickTop="1">
      <c r="A224">
        <v>2</v>
      </c>
      <c r="B224" s="4627" t="s">
        <v>1251</v>
      </c>
      <c r="C224" s="3969"/>
      <c r="D224" s="3969"/>
      <c r="E224" s="3969"/>
      <c r="F224" s="3970" t="s">
        <v>1286</v>
      </c>
      <c r="G224" s="3969" t="s">
        <v>1148</v>
      </c>
      <c r="H224" s="3971" t="s">
        <v>3630</v>
      </c>
      <c r="I224" s="3972">
        <f>SUM(K224:M224)</f>
        <v>0</v>
      </c>
      <c r="J224" s="2035"/>
      <c r="K224" s="4651">
        <f>76000-76000</f>
        <v>0</v>
      </c>
      <c r="L224" s="3973"/>
      <c r="M224" s="3973"/>
      <c r="N224" s="3975" t="s">
        <v>3631</v>
      </c>
      <c r="R224">
        <v>10000</v>
      </c>
    </row>
    <row r="225" spans="1:21" ht="12.75" hidden="1" thickTop="1">
      <c r="A225">
        <v>2</v>
      </c>
      <c r="B225" s="4627" t="s">
        <v>1251</v>
      </c>
      <c r="C225" s="4289"/>
      <c r="D225" s="4289"/>
      <c r="E225" s="4289"/>
      <c r="F225" s="4665" t="s">
        <v>1286</v>
      </c>
      <c r="G225" s="4289" t="s">
        <v>1148</v>
      </c>
      <c r="H225" s="4290" t="s">
        <v>3632</v>
      </c>
      <c r="I225" s="4319">
        <f>K225</f>
        <v>80000</v>
      </c>
      <c r="J225" s="2035"/>
      <c r="K225" s="4319">
        <v>80000</v>
      </c>
      <c r="L225" s="3973"/>
      <c r="M225" s="3973"/>
      <c r="N225" s="3975" t="s">
        <v>3631</v>
      </c>
    </row>
    <row r="226" spans="1:21" ht="13.5" hidden="1" thickTop="1" thickBot="1">
      <c r="A226">
        <v>3</v>
      </c>
      <c r="B226" s="4627" t="s">
        <v>1251</v>
      </c>
      <c r="C226" s="4666"/>
      <c r="D226" s="4666"/>
      <c r="E226" s="4666"/>
      <c r="F226" s="4667" t="s">
        <v>1286</v>
      </c>
      <c r="G226" s="4666" t="s">
        <v>1148</v>
      </c>
      <c r="H226" s="4668" t="s">
        <v>3635</v>
      </c>
      <c r="I226" s="4669">
        <f t="shared" ref="I226:I241" si="13">SUM(K226:M226)</f>
        <v>600</v>
      </c>
      <c r="J226" s="4670"/>
      <c r="K226" s="4669">
        <v>600</v>
      </c>
      <c r="L226" s="4291"/>
      <c r="M226" s="4291"/>
      <c r="N226" s="3975"/>
    </row>
    <row r="227" spans="1:21" ht="12.75" thickTop="1">
      <c r="A227">
        <v>1</v>
      </c>
      <c r="B227" s="4627" t="s">
        <v>1251</v>
      </c>
      <c r="C227" s="3969"/>
      <c r="D227" s="3969"/>
      <c r="E227" s="3969"/>
      <c r="F227" s="3970" t="s">
        <v>1286</v>
      </c>
      <c r="G227" s="3969" t="s">
        <v>1148</v>
      </c>
      <c r="H227" s="4722" t="s">
        <v>6016</v>
      </c>
      <c r="I227" s="4725">
        <f t="shared" si="13"/>
        <v>5900</v>
      </c>
      <c r="J227" s="4234"/>
      <c r="K227" s="4725">
        <v>5900</v>
      </c>
      <c r="L227" s="3973"/>
      <c r="M227" s="3973"/>
      <c r="N227" s="3975"/>
    </row>
    <row r="228" spans="1:21" ht="24.75" thickBot="1">
      <c r="A228">
        <v>1</v>
      </c>
      <c r="B228" s="4627" t="s">
        <v>1251</v>
      </c>
      <c r="C228" s="4292"/>
      <c r="D228" s="3991"/>
      <c r="E228" s="3991"/>
      <c r="F228" s="4008" t="s">
        <v>1286</v>
      </c>
      <c r="G228" s="3991" t="s">
        <v>1148</v>
      </c>
      <c r="H228" s="4770" t="s">
        <v>6017</v>
      </c>
      <c r="I228" s="4772">
        <f t="shared" si="13"/>
        <v>5000</v>
      </c>
      <c r="J228" s="4236"/>
      <c r="K228" s="4772">
        <v>5000</v>
      </c>
      <c r="L228" s="4010"/>
      <c r="M228" s="4010"/>
      <c r="R228">
        <v>10128</v>
      </c>
    </row>
    <row r="229" spans="1:21" ht="13.5" hidden="1" thickTop="1" thickBot="1">
      <c r="A229">
        <v>2</v>
      </c>
      <c r="B229" s="4627" t="s">
        <v>1251</v>
      </c>
      <c r="C229" s="4292"/>
      <c r="D229" s="3991"/>
      <c r="E229" s="3991"/>
      <c r="F229" s="4008" t="s">
        <v>1648</v>
      </c>
      <c r="G229" s="3991" t="s">
        <v>3065</v>
      </c>
      <c r="H229" s="4009" t="s">
        <v>6015</v>
      </c>
      <c r="I229" s="4321">
        <f t="shared" si="13"/>
        <v>3600</v>
      </c>
      <c r="J229" s="3978"/>
      <c r="K229" s="4321">
        <v>3600</v>
      </c>
      <c r="L229" s="4010"/>
      <c r="M229" s="4010"/>
      <c r="R229">
        <v>10128</v>
      </c>
    </row>
    <row r="230" spans="1:21" ht="12.75" thickTop="1">
      <c r="A230">
        <v>1</v>
      </c>
      <c r="B230" s="4627" t="s">
        <v>5976</v>
      </c>
      <c r="C230" s="1984"/>
      <c r="D230" s="1984"/>
      <c r="E230" s="1984"/>
      <c r="F230" s="2008" t="s">
        <v>498</v>
      </c>
      <c r="G230" s="2033" t="s">
        <v>2932</v>
      </c>
      <c r="H230" s="4700" t="s">
        <v>5488</v>
      </c>
      <c r="I230" s="4233">
        <f t="shared" si="13"/>
        <v>20000</v>
      </c>
      <c r="J230" s="4234"/>
      <c r="K230" s="4233">
        <v>20000</v>
      </c>
      <c r="L230" s="1996"/>
      <c r="M230" s="1996"/>
      <c r="R230">
        <v>21500</v>
      </c>
    </row>
    <row r="231" spans="1:21">
      <c r="A231">
        <v>1</v>
      </c>
      <c r="B231" s="4627" t="s">
        <v>5976</v>
      </c>
      <c r="C231" s="1984"/>
      <c r="D231" s="1984"/>
      <c r="E231" s="1984"/>
      <c r="F231" s="2008" t="s">
        <v>498</v>
      </c>
      <c r="G231" s="2033" t="s">
        <v>2932</v>
      </c>
      <c r="H231" s="4700" t="s">
        <v>6123</v>
      </c>
      <c r="I231" s="4233">
        <f t="shared" si="13"/>
        <v>12000</v>
      </c>
      <c r="J231" s="4234"/>
      <c r="K231" s="4233">
        <v>12000</v>
      </c>
      <c r="L231" s="1996"/>
      <c r="M231" s="1996"/>
    </row>
    <row r="232" spans="1:21" hidden="1">
      <c r="A232">
        <v>3</v>
      </c>
      <c r="B232" s="4627" t="s">
        <v>5976</v>
      </c>
      <c r="C232" s="1984"/>
      <c r="D232" s="1984"/>
      <c r="E232" s="1984"/>
      <c r="F232" s="2008" t="s">
        <v>498</v>
      </c>
      <c r="G232" s="2033" t="s">
        <v>2932</v>
      </c>
      <c r="H232" s="2010" t="s">
        <v>5372</v>
      </c>
      <c r="I232" s="2006">
        <f t="shared" si="13"/>
        <v>5000</v>
      </c>
      <c r="J232" s="2035"/>
      <c r="K232" s="2006">
        <v>5000</v>
      </c>
      <c r="L232" s="1996"/>
      <c r="M232" s="1996"/>
    </row>
    <row r="233" spans="1:21" hidden="1">
      <c r="A233">
        <v>3</v>
      </c>
      <c r="B233" s="4627" t="s">
        <v>5976</v>
      </c>
      <c r="C233" s="1984"/>
      <c r="D233" s="1984"/>
      <c r="E233" s="1984"/>
      <c r="F233" s="2008" t="s">
        <v>498</v>
      </c>
      <c r="G233" s="2033" t="s">
        <v>2932</v>
      </c>
      <c r="H233" s="2010" t="s">
        <v>5381</v>
      </c>
      <c r="I233" s="2006">
        <f t="shared" si="13"/>
        <v>5000</v>
      </c>
      <c r="J233" s="2035"/>
      <c r="K233" s="2006">
        <v>5000</v>
      </c>
      <c r="L233" s="1996"/>
      <c r="M233" s="1996"/>
    </row>
    <row r="234" spans="1:21" hidden="1">
      <c r="A234">
        <v>3</v>
      </c>
      <c r="B234" s="4627" t="s">
        <v>5976</v>
      </c>
      <c r="C234" s="1984"/>
      <c r="D234" s="1984"/>
      <c r="E234" s="1984"/>
      <c r="F234" s="2008" t="s">
        <v>498</v>
      </c>
      <c r="G234" s="2033" t="s">
        <v>2932</v>
      </c>
      <c r="H234" s="2010" t="s">
        <v>5489</v>
      </c>
      <c r="I234" s="2006">
        <f t="shared" si="13"/>
        <v>7000</v>
      </c>
      <c r="J234" s="2035"/>
      <c r="K234" s="2006">
        <v>7000</v>
      </c>
      <c r="L234" s="1996"/>
      <c r="M234" s="1996"/>
      <c r="R234">
        <v>22000</v>
      </c>
    </row>
    <row r="235" spans="1:21">
      <c r="A235">
        <v>1</v>
      </c>
      <c r="B235" s="4627" t="s">
        <v>5976</v>
      </c>
      <c r="C235" s="1984"/>
      <c r="D235" s="1984"/>
      <c r="E235" s="1984"/>
      <c r="F235" s="2008" t="s">
        <v>498</v>
      </c>
      <c r="G235" s="2033" t="s">
        <v>2932</v>
      </c>
      <c r="H235" s="4700" t="s">
        <v>2641</v>
      </c>
      <c r="I235" s="4233">
        <f t="shared" si="13"/>
        <v>11222</v>
      </c>
      <c r="J235" s="4234"/>
      <c r="K235" s="4233">
        <f>11222</f>
        <v>11222</v>
      </c>
      <c r="L235" s="1996"/>
      <c r="M235" s="1996"/>
      <c r="N235" s="152" t="s">
        <v>5411</v>
      </c>
      <c r="R235">
        <v>11222</v>
      </c>
    </row>
    <row r="236" spans="1:21" hidden="1">
      <c r="A236">
        <v>2</v>
      </c>
      <c r="B236" s="4627" t="s">
        <v>5976</v>
      </c>
      <c r="C236" s="1984"/>
      <c r="D236" s="1984"/>
      <c r="E236" s="1984"/>
      <c r="F236" s="2008" t="s">
        <v>498</v>
      </c>
      <c r="G236" s="2033" t="s">
        <v>2932</v>
      </c>
      <c r="H236" s="2010" t="s">
        <v>5490</v>
      </c>
      <c r="I236" s="2006">
        <f t="shared" si="13"/>
        <v>2000</v>
      </c>
      <c r="J236" s="2035"/>
      <c r="K236" s="2006">
        <v>2000</v>
      </c>
      <c r="L236" s="1996"/>
      <c r="M236" s="1996"/>
      <c r="N236" s="4" t="s">
        <v>5491</v>
      </c>
    </row>
    <row r="237" spans="1:21" s="81" customFormat="1">
      <c r="A237" s="81">
        <v>1</v>
      </c>
      <c r="B237" s="4627" t="s">
        <v>5976</v>
      </c>
      <c r="C237" s="2033"/>
      <c r="D237" s="2033"/>
      <c r="E237" s="2033"/>
      <c r="F237" s="2008" t="s">
        <v>498</v>
      </c>
      <c r="G237" s="2033" t="s">
        <v>2932</v>
      </c>
      <c r="H237" s="4700" t="s">
        <v>6226</v>
      </c>
      <c r="I237" s="4235">
        <f t="shared" si="13"/>
        <v>10000</v>
      </c>
      <c r="J237" s="4234"/>
      <c r="K237" s="4233">
        <v>10000</v>
      </c>
      <c r="L237" s="1996"/>
      <c r="M237" s="1996"/>
      <c r="N237" s="4" t="s">
        <v>5492</v>
      </c>
      <c r="O237"/>
      <c r="P237"/>
      <c r="Q237"/>
      <c r="R237">
        <v>0</v>
      </c>
      <c r="S237"/>
      <c r="T237"/>
      <c r="U237"/>
    </row>
    <row r="238" spans="1:21" s="81" customFormat="1" hidden="1">
      <c r="A238" s="81">
        <v>3</v>
      </c>
      <c r="B238" s="4627" t="s">
        <v>5976</v>
      </c>
      <c r="C238" s="4400"/>
      <c r="D238" s="4400"/>
      <c r="E238" s="4400"/>
      <c r="F238" s="4237" t="s">
        <v>498</v>
      </c>
      <c r="G238" s="4400" t="s">
        <v>2932</v>
      </c>
      <c r="H238" s="4238" t="s">
        <v>2644</v>
      </c>
      <c r="I238" s="2020">
        <f t="shared" si="13"/>
        <v>0</v>
      </c>
      <c r="J238" s="2035"/>
      <c r="K238" s="4652">
        <f>25000-25000</f>
        <v>0</v>
      </c>
      <c r="L238" s="4013"/>
      <c r="M238" s="4013"/>
      <c r="N238" s="4"/>
      <c r="O238"/>
      <c r="P238"/>
      <c r="Q238"/>
      <c r="R238"/>
      <c r="S238"/>
      <c r="T238"/>
      <c r="U238"/>
    </row>
    <row r="239" spans="1:21" ht="12.75" thickBot="1">
      <c r="A239">
        <v>1</v>
      </c>
      <c r="B239" s="4627" t="s">
        <v>5976</v>
      </c>
      <c r="C239" s="3966"/>
      <c r="D239" s="3966"/>
      <c r="E239" s="3966"/>
      <c r="F239" s="3977" t="s">
        <v>498</v>
      </c>
      <c r="G239" s="4011" t="s">
        <v>2932</v>
      </c>
      <c r="H239" s="4731" t="s">
        <v>6151</v>
      </c>
      <c r="I239" s="4732">
        <f t="shared" si="13"/>
        <v>50000</v>
      </c>
      <c r="J239" s="4236"/>
      <c r="K239" s="4774">
        <f>200000-100000-30000-20000</f>
        <v>50000</v>
      </c>
      <c r="L239" s="3979"/>
      <c r="M239" s="3979"/>
      <c r="N239" s="4" t="s">
        <v>6122</v>
      </c>
      <c r="O239" s="81"/>
      <c r="P239" s="81"/>
      <c r="Q239" s="81"/>
      <c r="R239" s="81">
        <v>20000</v>
      </c>
      <c r="S239" s="81"/>
      <c r="T239" s="81"/>
      <c r="U239" s="81"/>
    </row>
    <row r="240" spans="1:21" ht="24.75" thickTop="1">
      <c r="A240">
        <v>1</v>
      </c>
      <c r="B240" s="4627" t="s">
        <v>5975</v>
      </c>
      <c r="C240" s="3969"/>
      <c r="D240" s="3969"/>
      <c r="E240" s="3969"/>
      <c r="F240" s="3970" t="s">
        <v>562</v>
      </c>
      <c r="G240" s="3969" t="s">
        <v>563</v>
      </c>
      <c r="H240" s="4737" t="s">
        <v>4691</v>
      </c>
      <c r="I240" s="4725">
        <f t="shared" si="13"/>
        <v>1700</v>
      </c>
      <c r="J240" s="4234"/>
      <c r="K240" s="4725">
        <v>1700</v>
      </c>
      <c r="L240" s="3973"/>
      <c r="M240" s="3973"/>
      <c r="N240" s="43" t="s">
        <v>4692</v>
      </c>
      <c r="R240">
        <v>1000</v>
      </c>
    </row>
    <row r="241" spans="1:18" ht="24" hidden="1">
      <c r="A241">
        <v>2</v>
      </c>
      <c r="B241" s="4627" t="s">
        <v>5975</v>
      </c>
      <c r="C241" s="1984"/>
      <c r="D241" s="1984"/>
      <c r="E241" s="1984"/>
      <c r="F241" s="2008" t="s">
        <v>562</v>
      </c>
      <c r="G241" s="1984" t="s">
        <v>563</v>
      </c>
      <c r="H241" s="2044" t="s">
        <v>4693</v>
      </c>
      <c r="I241" s="2006">
        <f t="shared" si="13"/>
        <v>3000</v>
      </c>
      <c r="J241" s="2035"/>
      <c r="K241" s="2006">
        <v>3000</v>
      </c>
      <c r="L241" s="1996"/>
      <c r="M241" s="1996"/>
      <c r="R241">
        <v>2000</v>
      </c>
    </row>
    <row r="242" spans="1:18" ht="24" hidden="1">
      <c r="A242">
        <v>2</v>
      </c>
      <c r="B242" s="4627" t="s">
        <v>5975</v>
      </c>
      <c r="C242" s="4012"/>
      <c r="D242" s="4012"/>
      <c r="E242" s="4012"/>
      <c r="F242" s="2008" t="s">
        <v>562</v>
      </c>
      <c r="G242" s="1984" t="s">
        <v>563</v>
      </c>
      <c r="H242" s="2044" t="s">
        <v>5269</v>
      </c>
      <c r="I242" s="4318">
        <f>K242</f>
        <v>500</v>
      </c>
      <c r="J242" s="2035"/>
      <c r="K242" s="4318">
        <v>500</v>
      </c>
      <c r="L242" s="4013"/>
      <c r="M242" s="4013"/>
      <c r="N242" s="43" t="s">
        <v>4688</v>
      </c>
    </row>
    <row r="243" spans="1:18" ht="12.75" thickBot="1">
      <c r="A243">
        <v>1</v>
      </c>
      <c r="B243" s="4627" t="s">
        <v>5975</v>
      </c>
      <c r="C243" s="3966"/>
      <c r="D243" s="3966"/>
      <c r="E243" s="3966"/>
      <c r="F243" s="3977" t="s">
        <v>562</v>
      </c>
      <c r="G243" s="3966" t="s">
        <v>563</v>
      </c>
      <c r="H243" s="4738" t="s">
        <v>6124</v>
      </c>
      <c r="I243" s="4732">
        <f>K243</f>
        <v>6500</v>
      </c>
      <c r="J243" s="4236"/>
      <c r="K243" s="4732">
        <v>6500</v>
      </c>
      <c r="L243" s="3979"/>
      <c r="M243" s="3979"/>
      <c r="N243" s="2561" t="s">
        <v>4698</v>
      </c>
    </row>
    <row r="244" spans="1:18" ht="12.75" hidden="1" thickTop="1">
      <c r="A244">
        <v>2</v>
      </c>
      <c r="B244" s="4627" t="s">
        <v>5976</v>
      </c>
      <c r="C244" s="1984"/>
      <c r="D244" s="1984"/>
      <c r="E244" s="1984"/>
      <c r="F244" s="2008" t="s">
        <v>500</v>
      </c>
      <c r="G244" s="1984" t="s">
        <v>429</v>
      </c>
      <c r="H244" s="2044" t="s">
        <v>5045</v>
      </c>
      <c r="I244" s="2006">
        <f>K244</f>
        <v>5000</v>
      </c>
      <c r="J244" s="2035"/>
      <c r="K244" s="4317">
        <v>5000</v>
      </c>
      <c r="L244" s="1996"/>
      <c r="M244" s="1996"/>
      <c r="N244" s="43" t="s">
        <v>5121</v>
      </c>
    </row>
    <row r="245" spans="1:18" ht="36.75" hidden="1" thickTop="1">
      <c r="A245">
        <v>2</v>
      </c>
      <c r="B245" s="4627" t="s">
        <v>5976</v>
      </c>
      <c r="C245" s="1984"/>
      <c r="D245" s="1984"/>
      <c r="E245" s="1984"/>
      <c r="F245" s="2008" t="s">
        <v>500</v>
      </c>
      <c r="G245" s="1984" t="s">
        <v>429</v>
      </c>
      <c r="H245" s="2044" t="s">
        <v>5118</v>
      </c>
      <c r="I245" s="2006">
        <f>K245</f>
        <v>9500</v>
      </c>
      <c r="J245" s="2035"/>
      <c r="K245" s="4317">
        <v>9500</v>
      </c>
      <c r="L245" s="1996"/>
      <c r="M245" s="1996"/>
      <c r="N245" s="43"/>
    </row>
    <row r="246" spans="1:18" ht="12.75" hidden="1" thickTop="1">
      <c r="A246">
        <v>3</v>
      </c>
      <c r="B246" s="4627" t="s">
        <v>5976</v>
      </c>
      <c r="C246" s="1984"/>
      <c r="D246" s="1984"/>
      <c r="E246" s="1984"/>
      <c r="F246" s="2008" t="s">
        <v>500</v>
      </c>
      <c r="G246" s="1984" t="s">
        <v>429</v>
      </c>
      <c r="H246" s="2010" t="s">
        <v>2356</v>
      </c>
      <c r="I246" s="2006">
        <f>SUM(K246:M246)</f>
        <v>20000</v>
      </c>
      <c r="J246" s="2035"/>
      <c r="K246" s="2020">
        <v>20000</v>
      </c>
      <c r="L246" s="1996"/>
      <c r="M246" s="1996"/>
      <c r="N246" s="43" t="s">
        <v>5087</v>
      </c>
      <c r="R246">
        <v>21750</v>
      </c>
    </row>
    <row r="247" spans="1:18" ht="12.75" thickTop="1">
      <c r="A247">
        <v>1</v>
      </c>
      <c r="B247" s="4627" t="s">
        <v>5976</v>
      </c>
      <c r="C247" s="1984"/>
      <c r="D247" s="1984"/>
      <c r="E247" s="1984"/>
      <c r="F247" s="2008" t="s">
        <v>500</v>
      </c>
      <c r="G247" s="1984" t="s">
        <v>429</v>
      </c>
      <c r="H247" s="4700" t="s">
        <v>5060</v>
      </c>
      <c r="I247" s="4233">
        <f>SUM(K247:M247)</f>
        <v>36000</v>
      </c>
      <c r="J247" s="4234"/>
      <c r="K247" s="4235">
        <v>36000</v>
      </c>
      <c r="L247" s="1996"/>
      <c r="M247" s="1996"/>
      <c r="N247" s="43"/>
    </row>
    <row r="248" spans="1:18">
      <c r="A248">
        <v>1</v>
      </c>
      <c r="B248" s="4627" t="s">
        <v>5976</v>
      </c>
      <c r="C248" s="1984"/>
      <c r="D248" s="1984"/>
      <c r="E248" s="1984"/>
      <c r="F248" s="2008" t="s">
        <v>500</v>
      </c>
      <c r="G248" s="1984" t="s">
        <v>429</v>
      </c>
      <c r="H248" s="4700" t="s">
        <v>5116</v>
      </c>
      <c r="I248" s="4233">
        <f>SUM(K248:M248)</f>
        <v>12000</v>
      </c>
      <c r="J248" s="4234"/>
      <c r="K248" s="4235">
        <v>12000</v>
      </c>
      <c r="L248" s="1996"/>
      <c r="M248" s="1996"/>
      <c r="N248" s="43" t="s">
        <v>5107</v>
      </c>
    </row>
    <row r="249" spans="1:18" ht="36" hidden="1">
      <c r="A249">
        <v>3</v>
      </c>
      <c r="B249" s="4627" t="s">
        <v>5976</v>
      </c>
      <c r="C249" s="1984"/>
      <c r="D249" s="1984"/>
      <c r="E249" s="1984"/>
      <c r="F249" s="2008" t="s">
        <v>500</v>
      </c>
      <c r="G249" s="1984" t="s">
        <v>429</v>
      </c>
      <c r="H249" s="2010" t="s">
        <v>5117</v>
      </c>
      <c r="I249" s="2020">
        <f>K249</f>
        <v>425000</v>
      </c>
      <c r="J249" s="2035"/>
      <c r="K249" s="2020">
        <v>425000</v>
      </c>
      <c r="L249" s="3962"/>
      <c r="M249" s="3962"/>
      <c r="N249" s="1025"/>
    </row>
    <row r="250" spans="1:18" ht="13.9" hidden="1" customHeight="1">
      <c r="A250">
        <v>3</v>
      </c>
      <c r="B250" s="4627" t="s">
        <v>5976</v>
      </c>
      <c r="C250" s="1984"/>
      <c r="D250" s="1984"/>
      <c r="E250" s="1984"/>
      <c r="F250" s="2008" t="s">
        <v>500</v>
      </c>
      <c r="G250" s="1984" t="s">
        <v>429</v>
      </c>
      <c r="H250" s="2010" t="s">
        <v>5109</v>
      </c>
      <c r="I250" s="2006">
        <f>SUM(K250:M250)</f>
        <v>32000</v>
      </c>
      <c r="J250" s="2035"/>
      <c r="K250" s="2020">
        <v>32000</v>
      </c>
      <c r="L250" s="1996"/>
      <c r="M250" s="1996"/>
      <c r="N250" s="43" t="s">
        <v>5110</v>
      </c>
    </row>
    <row r="251" spans="1:18" ht="24" hidden="1">
      <c r="A251">
        <v>2</v>
      </c>
      <c r="B251" s="4627" t="s">
        <v>5976</v>
      </c>
      <c r="C251" s="1984"/>
      <c r="D251" s="1984"/>
      <c r="E251" s="1984"/>
      <c r="F251" s="2008" t="s">
        <v>500</v>
      </c>
      <c r="G251" s="1984" t="s">
        <v>429</v>
      </c>
      <c r="H251" s="2010" t="s">
        <v>5111</v>
      </c>
      <c r="I251" s="2006">
        <f>SUM(K251:M251)</f>
        <v>6000</v>
      </c>
      <c r="J251" s="2035"/>
      <c r="K251" s="2020">
        <v>6000</v>
      </c>
      <c r="L251" s="1996"/>
      <c r="M251" s="1996"/>
      <c r="N251" s="43"/>
    </row>
    <row r="252" spans="1:18" hidden="1">
      <c r="A252">
        <v>2</v>
      </c>
      <c r="B252" s="4627" t="s">
        <v>5976</v>
      </c>
      <c r="C252" s="1984"/>
      <c r="D252" s="1984"/>
      <c r="E252" s="1984"/>
      <c r="F252" s="2008" t="s">
        <v>500</v>
      </c>
      <c r="G252" s="1984" t="s">
        <v>429</v>
      </c>
      <c r="H252" s="2010" t="s">
        <v>5104</v>
      </c>
      <c r="I252" s="2006">
        <f>SUM(K252:M252)</f>
        <v>6000</v>
      </c>
      <c r="J252" s="2035"/>
      <c r="K252" s="2020">
        <v>6000</v>
      </c>
      <c r="L252" s="1996"/>
      <c r="M252" s="1996"/>
      <c r="N252" s="43"/>
    </row>
    <row r="253" spans="1:18" ht="24" hidden="1">
      <c r="A253">
        <v>3</v>
      </c>
      <c r="B253" s="4627" t="s">
        <v>5976</v>
      </c>
      <c r="C253" s="4012"/>
      <c r="D253" s="4012"/>
      <c r="E253" s="4012"/>
      <c r="F253" s="4237" t="s">
        <v>500</v>
      </c>
      <c r="G253" s="4012" t="s">
        <v>429</v>
      </c>
      <c r="H253" s="4238" t="s">
        <v>5106</v>
      </c>
      <c r="I253" s="4318">
        <f>SUM(K253:M253)</f>
        <v>15000</v>
      </c>
      <c r="J253" s="2035"/>
      <c r="K253" s="4322">
        <v>15000</v>
      </c>
      <c r="L253" s="4013"/>
      <c r="M253" s="4013"/>
      <c r="N253" s="43"/>
    </row>
    <row r="254" spans="1:18" ht="18" customHeight="1" thickBot="1">
      <c r="A254">
        <v>1</v>
      </c>
      <c r="B254" s="4627" t="s">
        <v>5976</v>
      </c>
      <c r="C254" s="4253"/>
      <c r="D254" s="4253"/>
      <c r="E254" s="4253"/>
      <c r="F254" s="4254" t="s">
        <v>500</v>
      </c>
      <c r="G254" s="4253" t="s">
        <v>429</v>
      </c>
      <c r="H254" s="4775" t="s">
        <v>6150</v>
      </c>
      <c r="I254" s="4776">
        <f>SUM(K254:M254)</f>
        <v>70000</v>
      </c>
      <c r="J254" s="4777"/>
      <c r="K254" s="4778">
        <f>250000-180000</f>
        <v>70000</v>
      </c>
      <c r="L254" s="4256"/>
      <c r="M254" s="4256"/>
      <c r="N254" s="4" t="s">
        <v>6122</v>
      </c>
    </row>
    <row r="255" spans="1:18" ht="12.75" hidden="1" thickTop="1">
      <c r="A255">
        <v>2</v>
      </c>
      <c r="B255" s="4627" t="s">
        <v>5975</v>
      </c>
      <c r="C255" s="3969"/>
      <c r="D255" s="3969"/>
      <c r="E255" s="3969"/>
      <c r="F255" s="3970" t="s">
        <v>501</v>
      </c>
      <c r="G255" s="3969" t="s">
        <v>2933</v>
      </c>
      <c r="H255" s="3971" t="s">
        <v>3805</v>
      </c>
      <c r="I255" s="3972">
        <f t="shared" ref="I255:I260" si="14">SUM(K255:M255)</f>
        <v>15000</v>
      </c>
      <c r="J255" s="2035"/>
      <c r="K255" s="4651">
        <v>15000</v>
      </c>
      <c r="L255" s="3973"/>
      <c r="M255" s="3973"/>
      <c r="N255" s="43" t="s">
        <v>3806</v>
      </c>
      <c r="R255">
        <v>6000</v>
      </c>
    </row>
    <row r="256" spans="1:18" ht="13.5" thickTop="1" thickBot="1">
      <c r="A256">
        <v>1</v>
      </c>
      <c r="B256" s="4627" t="s">
        <v>5975</v>
      </c>
      <c r="C256" s="3966"/>
      <c r="D256" s="3966"/>
      <c r="E256" s="3966"/>
      <c r="F256" s="3977" t="s">
        <v>501</v>
      </c>
      <c r="G256" s="3966" t="s">
        <v>2933</v>
      </c>
      <c r="H256" s="4731" t="s">
        <v>3826</v>
      </c>
      <c r="I256" s="4732">
        <f t="shared" si="14"/>
        <v>9000</v>
      </c>
      <c r="J256" s="4236"/>
      <c r="K256" s="4736">
        <f>1500*6</f>
        <v>9000</v>
      </c>
      <c r="L256" s="3979"/>
      <c r="M256" s="3979"/>
      <c r="N256" s="43" t="s">
        <v>3825</v>
      </c>
    </row>
    <row r="257" spans="1:18" ht="12.75" hidden="1" thickTop="1">
      <c r="A257">
        <v>2</v>
      </c>
      <c r="B257" s="4627" t="s">
        <v>5976</v>
      </c>
      <c r="C257" s="1984"/>
      <c r="D257" s="1984"/>
      <c r="E257" s="1984"/>
      <c r="F257" s="2008" t="s">
        <v>673</v>
      </c>
      <c r="G257" s="1984" t="s">
        <v>5493</v>
      </c>
      <c r="H257" s="2010" t="s">
        <v>4972</v>
      </c>
      <c r="I257" s="2006">
        <f t="shared" si="14"/>
        <v>12600</v>
      </c>
      <c r="J257" s="2035"/>
      <c r="K257" s="2020">
        <v>12600</v>
      </c>
      <c r="L257" s="1996"/>
      <c r="M257" s="1996"/>
      <c r="R257">
        <v>3000</v>
      </c>
    </row>
    <row r="258" spans="1:18" ht="27.6" hidden="1" customHeight="1">
      <c r="A258">
        <v>2</v>
      </c>
      <c r="B258" s="4627" t="s">
        <v>5976</v>
      </c>
      <c r="C258" s="4012"/>
      <c r="D258" s="4012"/>
      <c r="E258" s="4012"/>
      <c r="F258" s="4237" t="s">
        <v>673</v>
      </c>
      <c r="G258" s="4012" t="s">
        <v>5493</v>
      </c>
      <c r="H258" s="4238" t="s">
        <v>5494</v>
      </c>
      <c r="I258" s="4318">
        <f>SUM(K258:M258)</f>
        <v>9000</v>
      </c>
      <c r="J258" s="2035"/>
      <c r="K258" s="4322">
        <v>9000</v>
      </c>
      <c r="L258" s="4013"/>
      <c r="M258" s="4013"/>
    </row>
    <row r="259" spans="1:18" ht="13.5" hidden="1" thickTop="1" thickBot="1">
      <c r="A259">
        <v>2</v>
      </c>
      <c r="B259" s="4627" t="s">
        <v>5976</v>
      </c>
      <c r="C259" s="3966"/>
      <c r="D259" s="3966"/>
      <c r="E259" s="3966"/>
      <c r="F259" s="3977" t="s">
        <v>673</v>
      </c>
      <c r="G259" s="3966" t="s">
        <v>5493</v>
      </c>
      <c r="H259" s="3967" t="s">
        <v>4998</v>
      </c>
      <c r="I259" s="3982">
        <f t="shared" si="14"/>
        <v>10000</v>
      </c>
      <c r="J259" s="3978"/>
      <c r="K259" s="3982">
        <v>10000</v>
      </c>
      <c r="L259" s="3979"/>
      <c r="M259" s="3979"/>
      <c r="N259" s="1569" t="s">
        <v>4999</v>
      </c>
      <c r="R259">
        <v>1500</v>
      </c>
    </row>
    <row r="260" spans="1:18" ht="12.75" hidden="1" thickTop="1">
      <c r="A260">
        <v>3</v>
      </c>
      <c r="B260" s="4627" t="s">
        <v>1251</v>
      </c>
      <c r="C260" s="3969"/>
      <c r="D260" s="3969"/>
      <c r="E260" s="3969"/>
      <c r="F260" s="3970" t="s">
        <v>1282</v>
      </c>
      <c r="G260" s="3969" t="s">
        <v>1138</v>
      </c>
      <c r="H260" s="3971" t="s">
        <v>2616</v>
      </c>
      <c r="I260" s="3972">
        <f t="shared" si="14"/>
        <v>3000</v>
      </c>
      <c r="J260" s="2035"/>
      <c r="K260" s="3972">
        <v>3000</v>
      </c>
      <c r="L260" s="3973"/>
      <c r="M260" s="3973"/>
      <c r="R260">
        <v>16500</v>
      </c>
    </row>
    <row r="261" spans="1:18" ht="12.75" hidden="1" thickTop="1">
      <c r="A261">
        <v>3</v>
      </c>
      <c r="B261" s="4627" t="s">
        <v>1251</v>
      </c>
      <c r="C261" s="3969"/>
      <c r="D261" s="3969"/>
      <c r="E261" s="3969"/>
      <c r="F261" s="3970" t="s">
        <v>1282</v>
      </c>
      <c r="G261" s="3969" t="s">
        <v>1138</v>
      </c>
      <c r="H261" s="3971" t="s">
        <v>5495</v>
      </c>
      <c r="I261" s="3972">
        <f t="shared" ref="I261:I269" si="15">SUM(K261:M261)</f>
        <v>15000</v>
      </c>
      <c r="J261" s="2035"/>
      <c r="K261" s="3972">
        <v>15000</v>
      </c>
      <c r="L261" s="3973"/>
      <c r="M261" s="3973"/>
    </row>
    <row r="262" spans="1:18" ht="24.75" hidden="1" thickTop="1">
      <c r="A262">
        <v>2</v>
      </c>
      <c r="B262" s="4627" t="s">
        <v>1251</v>
      </c>
      <c r="C262" s="3969"/>
      <c r="D262" s="3969"/>
      <c r="E262" s="3969"/>
      <c r="F262" s="3970" t="s">
        <v>1282</v>
      </c>
      <c r="G262" s="3969" t="s">
        <v>1138</v>
      </c>
      <c r="H262" s="3971" t="s">
        <v>4877</v>
      </c>
      <c r="I262" s="3972">
        <f t="shared" si="15"/>
        <v>2450.64</v>
      </c>
      <c r="J262" s="2035"/>
      <c r="K262" s="3972">
        <v>2450.64</v>
      </c>
      <c r="L262" s="3973"/>
      <c r="M262" s="3973"/>
    </row>
    <row r="263" spans="1:18" ht="12.75" thickTop="1">
      <c r="A263">
        <v>1</v>
      </c>
      <c r="C263" s="3969"/>
      <c r="D263" s="3969"/>
      <c r="E263" s="3969"/>
      <c r="F263" s="3970" t="s">
        <v>1282</v>
      </c>
      <c r="G263" s="4780" t="s">
        <v>1138</v>
      </c>
      <c r="H263" s="4722" t="s">
        <v>6237</v>
      </c>
      <c r="I263" s="4725">
        <f t="shared" si="15"/>
        <v>57232</v>
      </c>
      <c r="J263" s="4234"/>
      <c r="K263" s="4725">
        <v>57232</v>
      </c>
      <c r="L263" s="3973"/>
      <c r="M263" s="3973"/>
    </row>
    <row r="264" spans="1:18" ht="24">
      <c r="A264">
        <v>1</v>
      </c>
      <c r="B264" s="4627" t="s">
        <v>1251</v>
      </c>
      <c r="C264" s="3969"/>
      <c r="D264" s="3969"/>
      <c r="E264" s="3969"/>
      <c r="F264" s="3970" t="s">
        <v>1282</v>
      </c>
      <c r="G264" s="4780" t="s">
        <v>1138</v>
      </c>
      <c r="H264" s="4722" t="s">
        <v>4878</v>
      </c>
      <c r="I264" s="4725">
        <f t="shared" si="15"/>
        <v>2014.65</v>
      </c>
      <c r="J264" s="4234"/>
      <c r="K264" s="4725">
        <v>2014.65</v>
      </c>
      <c r="L264" s="3973"/>
      <c r="M264" s="3973"/>
    </row>
    <row r="265" spans="1:18">
      <c r="A265">
        <v>1</v>
      </c>
      <c r="B265" s="4627" t="s">
        <v>1251</v>
      </c>
      <c r="C265" s="3969"/>
      <c r="D265" s="3969"/>
      <c r="E265" s="3969"/>
      <c r="F265" s="3970" t="s">
        <v>1282</v>
      </c>
      <c r="G265" s="4780" t="s">
        <v>1138</v>
      </c>
      <c r="H265" s="4722" t="s">
        <v>6232</v>
      </c>
      <c r="I265" s="4725">
        <f t="shared" si="15"/>
        <v>624.29999999999995</v>
      </c>
      <c r="J265" s="4234"/>
      <c r="K265" s="4725">
        <v>624.29999999999995</v>
      </c>
      <c r="L265" s="3973"/>
      <c r="M265" s="3973"/>
    </row>
    <row r="266" spans="1:18">
      <c r="A266">
        <v>1</v>
      </c>
      <c r="B266" s="4627" t="s">
        <v>1251</v>
      </c>
      <c r="C266" s="3969"/>
      <c r="D266" s="3969"/>
      <c r="E266" s="3969"/>
      <c r="F266" s="3970" t="s">
        <v>1282</v>
      </c>
      <c r="G266" s="4780" t="s">
        <v>1138</v>
      </c>
      <c r="H266" s="4722" t="s">
        <v>6233</v>
      </c>
      <c r="I266" s="4725">
        <f t="shared" si="15"/>
        <v>710.19999999999993</v>
      </c>
      <c r="J266" s="4234"/>
      <c r="K266" s="4725">
        <v>710.19999999999993</v>
      </c>
      <c r="L266" s="3973"/>
      <c r="M266" s="3973"/>
    </row>
    <row r="267" spans="1:18">
      <c r="A267">
        <v>1</v>
      </c>
      <c r="B267" s="4627" t="s">
        <v>1251</v>
      </c>
      <c r="C267" s="3969"/>
      <c r="D267" s="3969"/>
      <c r="E267" s="3969"/>
      <c r="F267" s="3970" t="s">
        <v>1282</v>
      </c>
      <c r="G267" s="4780" t="s">
        <v>1138</v>
      </c>
      <c r="H267" s="4722" t="s">
        <v>6234</v>
      </c>
      <c r="I267" s="4725">
        <f t="shared" si="15"/>
        <v>2429.04</v>
      </c>
      <c r="J267" s="4234"/>
      <c r="K267" s="4725">
        <v>2429.04</v>
      </c>
      <c r="L267" s="3973"/>
      <c r="M267" s="3973"/>
    </row>
    <row r="268" spans="1:18" hidden="1">
      <c r="A268">
        <v>2</v>
      </c>
      <c r="B268" s="4627" t="s">
        <v>1251</v>
      </c>
      <c r="C268" s="3969"/>
      <c r="D268" s="3969"/>
      <c r="E268" s="3969"/>
      <c r="F268" s="3970" t="s">
        <v>1282</v>
      </c>
      <c r="G268" s="3969" t="s">
        <v>1138</v>
      </c>
      <c r="H268" s="3971" t="s">
        <v>6235</v>
      </c>
      <c r="I268" s="3972">
        <f t="shared" si="15"/>
        <v>1690.08</v>
      </c>
      <c r="J268" s="2035"/>
      <c r="K268" s="3972">
        <v>1690.08</v>
      </c>
      <c r="L268" s="3973"/>
      <c r="M268" s="3973"/>
    </row>
    <row r="269" spans="1:18" ht="12.75" hidden="1" thickBot="1">
      <c r="A269">
        <v>2</v>
      </c>
      <c r="B269" s="4627" t="s">
        <v>1251</v>
      </c>
      <c r="C269" s="3991"/>
      <c r="D269" s="3991"/>
      <c r="E269" s="3991"/>
      <c r="F269" s="4008" t="s">
        <v>1282</v>
      </c>
      <c r="G269" s="3991" t="s">
        <v>1138</v>
      </c>
      <c r="H269" s="4009" t="s">
        <v>6236</v>
      </c>
      <c r="I269" s="4320">
        <f t="shared" si="15"/>
        <v>1582.6</v>
      </c>
      <c r="J269" s="3978"/>
      <c r="K269" s="4320">
        <v>1582.6</v>
      </c>
      <c r="L269" s="4010"/>
      <c r="M269" s="4010"/>
    </row>
    <row r="270" spans="1:18" hidden="1">
      <c r="A270">
        <v>0</v>
      </c>
      <c r="C270" s="1992"/>
      <c r="D270" s="1992"/>
      <c r="E270" s="1992"/>
      <c r="F270" s="2212"/>
      <c r="G270" s="2212"/>
      <c r="H270" s="1995" t="s">
        <v>2963</v>
      </c>
      <c r="I270" s="3986"/>
      <c r="J270" s="4007"/>
      <c r="K270" s="3987"/>
      <c r="L270" s="3987"/>
      <c r="M270" s="3987"/>
    </row>
    <row r="271" spans="1:18" s="81" customFormat="1" hidden="1">
      <c r="A271" s="81">
        <v>2</v>
      </c>
      <c r="B271" s="4627" t="s">
        <v>5975</v>
      </c>
      <c r="C271" s="2033"/>
      <c r="D271" s="2033"/>
      <c r="E271" s="2033"/>
      <c r="F271" s="2033" t="s">
        <v>1133</v>
      </c>
      <c r="G271" s="2033" t="s">
        <v>1133</v>
      </c>
      <c r="H271" s="2010" t="s">
        <v>5575</v>
      </c>
      <c r="I271" s="2006">
        <f>SUM(K271:M271)</f>
        <v>10000</v>
      </c>
      <c r="J271" s="2035"/>
      <c r="K271" s="2006">
        <v>10000</v>
      </c>
      <c r="L271" s="2006"/>
      <c r="M271" s="2006"/>
      <c r="N271" s="4"/>
    </row>
    <row r="272" spans="1:18" s="81" customFormat="1">
      <c r="A272" s="81">
        <v>1</v>
      </c>
      <c r="B272" s="4627" t="s">
        <v>5975</v>
      </c>
      <c r="C272" s="2033"/>
      <c r="D272" s="2033"/>
      <c r="E272" s="2033"/>
      <c r="F272" s="2033" t="s">
        <v>1133</v>
      </c>
      <c r="G272" s="2033" t="s">
        <v>1133</v>
      </c>
      <c r="H272" s="4700" t="s">
        <v>5578</v>
      </c>
      <c r="I272" s="4787">
        <f>SUM(K272:M272)</f>
        <v>3000</v>
      </c>
      <c r="J272" s="4234"/>
      <c r="K272" s="4233">
        <v>3000</v>
      </c>
      <c r="L272" s="2006"/>
      <c r="M272" s="2006"/>
      <c r="N272" s="4"/>
    </row>
    <row r="273" spans="1:18" s="81" customFormat="1">
      <c r="A273" s="81">
        <v>1</v>
      </c>
      <c r="B273" s="4627" t="s">
        <v>1251</v>
      </c>
      <c r="C273" s="2033"/>
      <c r="D273" s="2033"/>
      <c r="E273" s="2033"/>
      <c r="F273" s="2033" t="s">
        <v>1133</v>
      </c>
      <c r="G273" s="2033" t="s">
        <v>1133</v>
      </c>
      <c r="H273" s="4700" t="s">
        <v>5579</v>
      </c>
      <c r="I273" s="4787">
        <f>SUM(K273:M273)</f>
        <v>3000</v>
      </c>
      <c r="J273" s="4234"/>
      <c r="K273" s="4233">
        <v>3000</v>
      </c>
      <c r="L273" s="2006"/>
      <c r="M273" s="2006"/>
      <c r="N273" s="4"/>
    </row>
    <row r="274" spans="1:18" s="81" customFormat="1">
      <c r="A274" s="81">
        <v>1</v>
      </c>
      <c r="B274" s="4627" t="s">
        <v>5975</v>
      </c>
      <c r="C274" s="2033"/>
      <c r="D274" s="2033"/>
      <c r="E274" s="2033"/>
      <c r="F274" s="2033" t="s">
        <v>1133</v>
      </c>
      <c r="G274" s="2033" t="s">
        <v>1133</v>
      </c>
      <c r="H274" s="4700" t="s">
        <v>5915</v>
      </c>
      <c r="I274" s="4787">
        <f>SUM(K274:M274)</f>
        <v>5920</v>
      </c>
      <c r="J274" s="4234"/>
      <c r="K274" s="4233">
        <v>5920</v>
      </c>
      <c r="L274" s="2006"/>
      <c r="M274" s="2006"/>
      <c r="N274" s="4" t="s">
        <v>6152</v>
      </c>
    </row>
    <row r="275" spans="1:18" s="81" customFormat="1" hidden="1">
      <c r="A275" s="81">
        <v>3</v>
      </c>
      <c r="B275" s="4627" t="s">
        <v>5976</v>
      </c>
      <c r="C275" s="2033"/>
      <c r="D275" s="2033"/>
      <c r="E275" s="2033"/>
      <c r="F275" s="2033" t="s">
        <v>1133</v>
      </c>
      <c r="G275" s="2033" t="s">
        <v>1133</v>
      </c>
      <c r="H275" s="2010" t="s">
        <v>5879</v>
      </c>
      <c r="I275" s="2006">
        <f>SUM(K275:M275)</f>
        <v>9900</v>
      </c>
      <c r="J275" s="2035"/>
      <c r="K275" s="2006">
        <v>9900</v>
      </c>
      <c r="L275" s="2006"/>
      <c r="M275" s="2006"/>
      <c r="N275" s="4"/>
    </row>
    <row r="276" spans="1:18" s="81" customFormat="1">
      <c r="A276" s="81">
        <v>1</v>
      </c>
      <c r="B276" s="4627" t="s">
        <v>5976</v>
      </c>
      <c r="C276" s="2033"/>
      <c r="D276" s="2033"/>
      <c r="E276" s="2033"/>
      <c r="F276" s="2033" t="s">
        <v>1133</v>
      </c>
      <c r="G276" s="2033" t="s">
        <v>1133</v>
      </c>
      <c r="H276" s="4700" t="s">
        <v>5810</v>
      </c>
      <c r="I276" s="4787">
        <f t="shared" ref="I276:I338" si="16">SUM(K276:M276)</f>
        <v>20000</v>
      </c>
      <c r="J276" s="4234"/>
      <c r="K276" s="4233">
        <v>20000</v>
      </c>
      <c r="L276" s="2006"/>
      <c r="M276" s="2006"/>
      <c r="N276" s="4"/>
      <c r="R276" s="81">
        <v>19200</v>
      </c>
    </row>
    <row r="277" spans="1:18" s="81" customFormat="1" hidden="1">
      <c r="A277" s="81">
        <v>2</v>
      </c>
      <c r="B277" s="4627" t="s">
        <v>5976</v>
      </c>
      <c r="C277" s="2033"/>
      <c r="D277" s="2033"/>
      <c r="E277" s="2033"/>
      <c r="F277" s="2033" t="s">
        <v>1133</v>
      </c>
      <c r="G277" s="2033" t="s">
        <v>1133</v>
      </c>
      <c r="H277" s="2010" t="s">
        <v>5817</v>
      </c>
      <c r="I277" s="2006">
        <f t="shared" si="16"/>
        <v>12000</v>
      </c>
      <c r="J277" s="2035"/>
      <c r="K277" s="2020">
        <v>12000</v>
      </c>
      <c r="L277" s="2020"/>
      <c r="M277" s="2020"/>
      <c r="N277" s="4" t="s">
        <v>5821</v>
      </c>
      <c r="R277" s="81">
        <v>600000</v>
      </c>
    </row>
    <row r="278" spans="1:18" s="81" customFormat="1" hidden="1">
      <c r="A278" s="81">
        <v>3</v>
      </c>
      <c r="B278" s="4627" t="s">
        <v>5976</v>
      </c>
      <c r="C278" s="2033"/>
      <c r="D278" s="2033"/>
      <c r="E278" s="2033"/>
      <c r="F278" s="2033" t="s">
        <v>1133</v>
      </c>
      <c r="G278" s="2033" t="s">
        <v>1133</v>
      </c>
      <c r="H278" s="2010" t="s">
        <v>5515</v>
      </c>
      <c r="I278" s="2006">
        <f t="shared" si="16"/>
        <v>5500</v>
      </c>
      <c r="J278" s="2035"/>
      <c r="K278" s="2006">
        <v>5500</v>
      </c>
      <c r="L278" s="2006"/>
      <c r="M278" s="2006"/>
      <c r="N278" s="4" t="s">
        <v>5823</v>
      </c>
      <c r="R278" s="81">
        <v>5000</v>
      </c>
    </row>
    <row r="279" spans="1:18" s="81" customFormat="1" hidden="1">
      <c r="A279" s="81">
        <v>3</v>
      </c>
      <c r="B279" s="4627" t="s">
        <v>5976</v>
      </c>
      <c r="C279" s="2033"/>
      <c r="D279" s="2033"/>
      <c r="E279" s="2033"/>
      <c r="F279" s="2033" t="s">
        <v>1133</v>
      </c>
      <c r="G279" s="2033" t="s">
        <v>1133</v>
      </c>
      <c r="H279" s="2010" t="s">
        <v>5519</v>
      </c>
      <c r="I279" s="2006">
        <f t="shared" si="16"/>
        <v>44111</v>
      </c>
      <c r="J279" s="2035"/>
      <c r="K279" s="2006">
        <v>44111</v>
      </c>
      <c r="L279" s="2006"/>
      <c r="M279" s="2006"/>
      <c r="N279" s="4" t="s">
        <v>5827</v>
      </c>
      <c r="R279" s="81">
        <v>9750</v>
      </c>
    </row>
    <row r="280" spans="1:18" s="81" customFormat="1" hidden="1">
      <c r="A280" s="81">
        <v>2</v>
      </c>
      <c r="B280" s="4627" t="s">
        <v>1251</v>
      </c>
      <c r="C280" s="2033"/>
      <c r="D280" s="2033"/>
      <c r="E280" s="2033"/>
      <c r="F280" s="2033" t="s">
        <v>1133</v>
      </c>
      <c r="G280" s="2033" t="s">
        <v>1133</v>
      </c>
      <c r="H280" s="2010" t="s">
        <v>5818</v>
      </c>
      <c r="I280" s="2006">
        <f t="shared" si="16"/>
        <v>15000</v>
      </c>
      <c r="J280" s="2035"/>
      <c r="K280" s="4660">
        <v>15000</v>
      </c>
      <c r="L280" s="2006"/>
      <c r="M280" s="2006"/>
      <c r="N280" s="4" t="s">
        <v>5821</v>
      </c>
    </row>
    <row r="281" spans="1:18" s="81" customFormat="1">
      <c r="A281" s="81">
        <v>1</v>
      </c>
      <c r="B281" s="4627" t="s">
        <v>5976</v>
      </c>
      <c r="C281" s="2033"/>
      <c r="D281" s="2033"/>
      <c r="E281" s="2033"/>
      <c r="F281" s="2033" t="s">
        <v>1133</v>
      </c>
      <c r="G281" s="2033" t="s">
        <v>1133</v>
      </c>
      <c r="H281" s="4700" t="s">
        <v>5525</v>
      </c>
      <c r="I281" s="4787">
        <f t="shared" si="16"/>
        <v>14000</v>
      </c>
      <c r="J281" s="4234"/>
      <c r="K281" s="4233">
        <v>14000</v>
      </c>
      <c r="L281" s="2006"/>
      <c r="M281" s="2006"/>
      <c r="N281" s="4195" t="s">
        <v>5845</v>
      </c>
    </row>
    <row r="282" spans="1:18" s="81" customFormat="1">
      <c r="A282" s="81">
        <v>1</v>
      </c>
      <c r="B282" s="4627" t="s">
        <v>1251</v>
      </c>
      <c r="C282" s="2033"/>
      <c r="D282" s="2033"/>
      <c r="E282" s="2033"/>
      <c r="F282" s="2033" t="s">
        <v>1133</v>
      </c>
      <c r="G282" s="2033" t="s">
        <v>1133</v>
      </c>
      <c r="H282" s="4700" t="s">
        <v>5698</v>
      </c>
      <c r="I282" s="4787">
        <f t="shared" si="16"/>
        <v>25000</v>
      </c>
      <c r="J282" s="4234"/>
      <c r="K282" s="4233">
        <v>25000</v>
      </c>
      <c r="L282" s="2006"/>
      <c r="M282" s="2006"/>
      <c r="N282" s="4190" t="s">
        <v>5901</v>
      </c>
    </row>
    <row r="283" spans="1:18" s="81" customFormat="1" hidden="1">
      <c r="A283" s="81">
        <v>2</v>
      </c>
      <c r="B283" s="4627" t="s">
        <v>5976</v>
      </c>
      <c r="C283" s="2033"/>
      <c r="D283" s="2033"/>
      <c r="E283" s="2033"/>
      <c r="F283" s="2033" t="s">
        <v>1133</v>
      </c>
      <c r="G283" s="2033" t="s">
        <v>1133</v>
      </c>
      <c r="H283" s="2010" t="s">
        <v>5699</v>
      </c>
      <c r="I283" s="2006">
        <f t="shared" si="16"/>
        <v>71921</v>
      </c>
      <c r="J283" s="2035"/>
      <c r="K283" s="2006">
        <v>71921</v>
      </c>
      <c r="L283" s="2006"/>
      <c r="M283" s="2006"/>
      <c r="N283" s="4191" t="s">
        <v>5902</v>
      </c>
    </row>
    <row r="284" spans="1:18" s="81" customFormat="1" hidden="1">
      <c r="A284" s="81">
        <v>2</v>
      </c>
      <c r="B284" s="4627" t="s">
        <v>1251</v>
      </c>
      <c r="C284" s="2033"/>
      <c r="D284" s="2033"/>
      <c r="E284" s="2033"/>
      <c r="F284" s="2033" t="s">
        <v>1133</v>
      </c>
      <c r="G284" s="2033" t="s">
        <v>1133</v>
      </c>
      <c r="H284" s="2010" t="s">
        <v>5700</v>
      </c>
      <c r="I284" s="2006">
        <f t="shared" si="16"/>
        <v>46100</v>
      </c>
      <c r="J284" s="2035"/>
      <c r="K284" s="2006">
        <v>46100</v>
      </c>
      <c r="L284" s="2006"/>
      <c r="M284" s="2006"/>
      <c r="N284" s="4190" t="s">
        <v>5903</v>
      </c>
    </row>
    <row r="285" spans="1:18" s="81" customFormat="1">
      <c r="A285" s="81">
        <v>1</v>
      </c>
      <c r="B285" s="4627" t="s">
        <v>1251</v>
      </c>
      <c r="C285" s="2033"/>
      <c r="D285" s="2033"/>
      <c r="E285" s="2033"/>
      <c r="F285" s="2033" t="s">
        <v>1133</v>
      </c>
      <c r="G285" s="2033" t="s">
        <v>1133</v>
      </c>
      <c r="H285" s="4700" t="s">
        <v>6240</v>
      </c>
      <c r="I285" s="4787">
        <f t="shared" si="16"/>
        <v>26836</v>
      </c>
      <c r="J285" s="4234"/>
      <c r="K285" s="4233">
        <v>26836</v>
      </c>
      <c r="L285" s="2006"/>
      <c r="M285" s="2006"/>
      <c r="N285" s="4190" t="s">
        <v>5904</v>
      </c>
    </row>
    <row r="286" spans="1:18" s="81" customFormat="1">
      <c r="A286" s="81">
        <v>1</v>
      </c>
      <c r="B286" s="4627" t="s">
        <v>5976</v>
      </c>
      <c r="C286" s="2033"/>
      <c r="D286" s="2033"/>
      <c r="E286" s="2033"/>
      <c r="F286" s="2033" t="s">
        <v>1133</v>
      </c>
      <c r="G286" s="2033" t="s">
        <v>1133</v>
      </c>
      <c r="H286" s="4700" t="s">
        <v>5642</v>
      </c>
      <c r="I286" s="4787">
        <f t="shared" si="16"/>
        <v>30000</v>
      </c>
      <c r="J286" s="4234"/>
      <c r="K286" s="4233">
        <v>30000</v>
      </c>
      <c r="L286" s="2006"/>
      <c r="M286" s="2006"/>
      <c r="N286" s="4190"/>
    </row>
    <row r="287" spans="1:18" s="81" customFormat="1">
      <c r="A287" s="81">
        <v>1</v>
      </c>
      <c r="B287" s="4627" t="s">
        <v>5976</v>
      </c>
      <c r="C287" s="2033"/>
      <c r="D287" s="2033"/>
      <c r="E287" s="2033"/>
      <c r="F287" s="2033" t="s">
        <v>1133</v>
      </c>
      <c r="G287" s="2033" t="s">
        <v>1133</v>
      </c>
      <c r="H287" s="4700" t="s">
        <v>5974</v>
      </c>
      <c r="I287" s="4787">
        <f t="shared" si="16"/>
        <v>0</v>
      </c>
      <c r="J287" s="4234"/>
      <c r="K287" s="4593">
        <f>330000-270000-60000</f>
        <v>0</v>
      </c>
      <c r="L287" s="2006"/>
      <c r="M287" s="2006"/>
      <c r="N287" s="4"/>
      <c r="R287" s="81">
        <v>11000</v>
      </c>
    </row>
    <row r="288" spans="1:18" s="81" customFormat="1">
      <c r="A288" s="81">
        <v>1</v>
      </c>
      <c r="B288" s="4627" t="s">
        <v>5976</v>
      </c>
      <c r="C288" s="2033"/>
      <c r="D288" s="2033"/>
      <c r="E288" s="2033"/>
      <c r="F288" s="2033" t="s">
        <v>1133</v>
      </c>
      <c r="G288" s="2033" t="s">
        <v>1133</v>
      </c>
      <c r="H288" s="4700" t="s">
        <v>6125</v>
      </c>
      <c r="I288" s="4787">
        <f t="shared" si="16"/>
        <v>13000</v>
      </c>
      <c r="J288" s="4234"/>
      <c r="K288" s="4233">
        <v>13000</v>
      </c>
      <c r="L288" s="2006"/>
      <c r="M288" s="2006"/>
      <c r="N288" s="4"/>
    </row>
    <row r="289" spans="1:18" hidden="1">
      <c r="A289" s="81">
        <v>0</v>
      </c>
      <c r="C289" s="1992"/>
      <c r="D289" s="1992"/>
      <c r="E289" s="1992"/>
      <c r="F289" s="2212"/>
      <c r="G289" s="2212"/>
      <c r="H289" s="1995" t="s">
        <v>2964</v>
      </c>
      <c r="I289" s="3986"/>
      <c r="J289" s="4007"/>
      <c r="K289" s="3987"/>
      <c r="L289" s="3987"/>
      <c r="M289" s="3987"/>
    </row>
    <row r="290" spans="1:18" hidden="1">
      <c r="A290" s="81">
        <v>0</v>
      </c>
      <c r="C290" s="1984"/>
      <c r="D290" s="1984"/>
      <c r="E290" s="1984"/>
      <c r="F290" s="2033" t="s">
        <v>1133</v>
      </c>
      <c r="G290" s="2033" t="s">
        <v>1133</v>
      </c>
      <c r="H290" s="4257" t="s">
        <v>5599</v>
      </c>
      <c r="I290" s="4258"/>
      <c r="J290" s="4259"/>
      <c r="K290" s="4258"/>
      <c r="L290" s="4258"/>
      <c r="M290" s="4258"/>
    </row>
    <row r="291" spans="1:18" hidden="1">
      <c r="A291" s="81">
        <v>2</v>
      </c>
      <c r="B291" s="4627" t="s">
        <v>5975</v>
      </c>
      <c r="C291" s="1984"/>
      <c r="D291" s="1984"/>
      <c r="E291" s="1984"/>
      <c r="F291" s="2033" t="s">
        <v>1133</v>
      </c>
      <c r="G291" s="2033" t="s">
        <v>1133</v>
      </c>
      <c r="H291" s="4401" t="s">
        <v>5601</v>
      </c>
      <c r="I291" s="4233">
        <f t="shared" si="16"/>
        <v>60000</v>
      </c>
      <c r="J291" s="3957"/>
      <c r="K291" s="4233">
        <v>60000</v>
      </c>
      <c r="L291" s="1996"/>
      <c r="M291" s="1996"/>
      <c r="N291" s="4267" t="s">
        <v>5921</v>
      </c>
    </row>
    <row r="292" spans="1:18" hidden="1">
      <c r="A292" s="81">
        <v>2</v>
      </c>
      <c r="B292" s="4627" t="s">
        <v>5975</v>
      </c>
      <c r="C292" s="1984"/>
      <c r="D292" s="1984"/>
      <c r="E292" s="1984"/>
      <c r="F292" s="2033" t="s">
        <v>1133</v>
      </c>
      <c r="G292" s="2033" t="s">
        <v>1133</v>
      </c>
      <c r="H292" s="4402" t="s">
        <v>5602</v>
      </c>
      <c r="I292" s="4233">
        <f t="shared" si="16"/>
        <v>100000</v>
      </c>
      <c r="J292" s="3957"/>
      <c r="K292" s="4233">
        <v>100000</v>
      </c>
      <c r="L292" s="1996"/>
      <c r="M292" s="1996"/>
    </row>
    <row r="293" spans="1:18" hidden="1">
      <c r="A293" s="81">
        <v>2</v>
      </c>
      <c r="B293" s="4627" t="s">
        <v>5975</v>
      </c>
      <c r="C293" s="1984"/>
      <c r="D293" s="1984"/>
      <c r="E293" s="1984"/>
      <c r="F293" s="2033" t="s">
        <v>1133</v>
      </c>
      <c r="G293" s="2033" t="s">
        <v>1133</v>
      </c>
      <c r="H293" s="4402" t="s">
        <v>5605</v>
      </c>
      <c r="I293" s="4233">
        <f t="shared" si="16"/>
        <v>18000</v>
      </c>
      <c r="J293" s="3957"/>
      <c r="K293" s="4233">
        <v>18000</v>
      </c>
      <c r="L293" s="1996"/>
      <c r="M293" s="1996"/>
    </row>
    <row r="294" spans="1:18" hidden="1">
      <c r="A294" s="81">
        <v>2</v>
      </c>
      <c r="B294" s="4627" t="s">
        <v>5975</v>
      </c>
      <c r="C294" s="1984"/>
      <c r="D294" s="1984"/>
      <c r="E294" s="1984"/>
      <c r="F294" s="2033" t="s">
        <v>1133</v>
      </c>
      <c r="G294" s="2033" t="s">
        <v>1133</v>
      </c>
      <c r="H294" s="4401" t="s">
        <v>5922</v>
      </c>
      <c r="I294" s="4233">
        <f t="shared" si="16"/>
        <v>32000</v>
      </c>
      <c r="J294" s="3957"/>
      <c r="K294" s="4233">
        <v>32000</v>
      </c>
      <c r="L294" s="1996"/>
      <c r="M294" s="1996"/>
    </row>
    <row r="295" spans="1:18" hidden="1">
      <c r="A295" s="81">
        <v>2</v>
      </c>
      <c r="B295" s="4627" t="s">
        <v>5975</v>
      </c>
      <c r="C295" s="1984"/>
      <c r="D295" s="1984"/>
      <c r="E295" s="1984"/>
      <c r="F295" s="2033" t="s">
        <v>1133</v>
      </c>
      <c r="G295" s="2033" t="s">
        <v>1133</v>
      </c>
      <c r="H295" s="4402" t="s">
        <v>5604</v>
      </c>
      <c r="I295" s="4233">
        <f t="shared" si="16"/>
        <v>46000</v>
      </c>
      <c r="J295" s="3957"/>
      <c r="K295" s="4233">
        <v>46000</v>
      </c>
      <c r="L295" s="1996"/>
      <c r="M295" s="1996"/>
    </row>
    <row r="296" spans="1:18" hidden="1">
      <c r="A296" s="81">
        <v>2</v>
      </c>
      <c r="C296" s="1984"/>
      <c r="D296" s="1984"/>
      <c r="E296" s="1984"/>
      <c r="F296" s="2033" t="s">
        <v>1133</v>
      </c>
      <c r="G296" s="2033" t="s">
        <v>1133</v>
      </c>
      <c r="H296" s="4226" t="s">
        <v>5924</v>
      </c>
      <c r="I296" s="4233">
        <f>SUM(K296:M296)</f>
        <v>81000</v>
      </c>
      <c r="J296" s="3957"/>
      <c r="K296" s="4233">
        <v>81000</v>
      </c>
      <c r="L296" s="1996"/>
      <c r="M296" s="1996"/>
      <c r="R296">
        <v>30000</v>
      </c>
    </row>
    <row r="297" spans="1:18" hidden="1">
      <c r="A297" s="81">
        <v>2</v>
      </c>
      <c r="C297" s="1984"/>
      <c r="D297" s="1984"/>
      <c r="E297" s="1984"/>
      <c r="F297" s="2033" t="s">
        <v>1133</v>
      </c>
      <c r="G297" s="2033" t="s">
        <v>1133</v>
      </c>
      <c r="H297" s="4226" t="s">
        <v>5923</v>
      </c>
      <c r="I297" s="4233">
        <f>SUM(K297:M297)</f>
        <v>70000</v>
      </c>
      <c r="J297" s="3957"/>
      <c r="K297" s="4233">
        <v>70000</v>
      </c>
      <c r="L297" s="1996"/>
      <c r="M297" s="1996"/>
    </row>
    <row r="298" spans="1:18" hidden="1">
      <c r="A298" s="81">
        <v>2</v>
      </c>
      <c r="B298" s="4627" t="s">
        <v>5975</v>
      </c>
      <c r="C298" s="1984"/>
      <c r="D298" s="1984"/>
      <c r="E298" s="1984"/>
      <c r="F298" s="2033" t="s">
        <v>1133</v>
      </c>
      <c r="G298" s="2033" t="s">
        <v>1133</v>
      </c>
      <c r="H298" s="4402" t="s">
        <v>5607</v>
      </c>
      <c r="I298" s="4233">
        <f t="shared" si="16"/>
        <v>80000</v>
      </c>
      <c r="J298" s="3957"/>
      <c r="K298" s="4233">
        <v>80000</v>
      </c>
      <c r="L298" s="1996"/>
      <c r="M298" s="1996"/>
    </row>
    <row r="299" spans="1:18" hidden="1">
      <c r="A299" s="81">
        <v>0</v>
      </c>
      <c r="C299" s="1984"/>
      <c r="D299" s="1984"/>
      <c r="E299" s="1984"/>
      <c r="F299" s="2033" t="s">
        <v>1133</v>
      </c>
      <c r="G299" s="2033" t="s">
        <v>1133</v>
      </c>
      <c r="H299" s="4257" t="s">
        <v>5608</v>
      </c>
      <c r="I299" s="4258"/>
      <c r="J299" s="4259"/>
      <c r="K299" s="4258"/>
      <c r="L299" s="4258"/>
      <c r="M299" s="4258"/>
    </row>
    <row r="300" spans="1:18">
      <c r="A300">
        <v>1</v>
      </c>
      <c r="B300" s="4627" t="s">
        <v>1251</v>
      </c>
      <c r="C300" s="1984"/>
      <c r="D300" s="1984"/>
      <c r="E300" s="1984"/>
      <c r="F300" s="2033" t="s">
        <v>1133</v>
      </c>
      <c r="G300" s="2033" t="s">
        <v>1133</v>
      </c>
      <c r="H300" s="4403" t="s">
        <v>5612</v>
      </c>
      <c r="I300" s="4233">
        <f t="shared" si="16"/>
        <v>0</v>
      </c>
      <c r="J300" s="3957"/>
      <c r="K300" s="4459">
        <f>308339.67-308339.67</f>
        <v>0</v>
      </c>
      <c r="L300" s="1996"/>
      <c r="M300" s="1996"/>
      <c r="N300" s="4268" t="s">
        <v>5926</v>
      </c>
    </row>
    <row r="301" spans="1:18" ht="24">
      <c r="A301">
        <v>1</v>
      </c>
      <c r="B301" s="4627" t="s">
        <v>5976</v>
      </c>
      <c r="C301" s="1984"/>
      <c r="D301" s="1984"/>
      <c r="E301" s="1984"/>
      <c r="F301" s="2033" t="s">
        <v>1133</v>
      </c>
      <c r="G301" s="2033" t="s">
        <v>1133</v>
      </c>
      <c r="H301" s="4782" t="s">
        <v>6270</v>
      </c>
      <c r="I301" s="4233">
        <f t="shared" si="16"/>
        <v>255000</v>
      </c>
      <c r="J301" s="4234"/>
      <c r="K301" s="4233">
        <v>255000</v>
      </c>
      <c r="L301" s="2006"/>
      <c r="M301" s="1996"/>
      <c r="N301" s="4268" t="s">
        <v>5926</v>
      </c>
    </row>
    <row r="302" spans="1:18" ht="24">
      <c r="A302">
        <v>1</v>
      </c>
      <c r="B302" s="4627" t="s">
        <v>1251</v>
      </c>
      <c r="C302" s="1984"/>
      <c r="D302" s="1984"/>
      <c r="E302" s="1984"/>
      <c r="F302" s="2033" t="s">
        <v>1133</v>
      </c>
      <c r="G302" s="2033" t="s">
        <v>1133</v>
      </c>
      <c r="H302" s="4783" t="s">
        <v>6272</v>
      </c>
      <c r="I302" s="4233">
        <f t="shared" si="16"/>
        <v>210000</v>
      </c>
      <c r="J302" s="4234"/>
      <c r="K302" s="4233">
        <v>210000</v>
      </c>
      <c r="L302" s="2006"/>
      <c r="M302" s="1996"/>
      <c r="N302" s="4267"/>
    </row>
    <row r="303" spans="1:18" hidden="1">
      <c r="A303">
        <v>3</v>
      </c>
      <c r="B303" s="4627" t="s">
        <v>5976</v>
      </c>
      <c r="C303" s="1984"/>
      <c r="D303" s="1984"/>
      <c r="E303" s="1984"/>
      <c r="F303" s="2033" t="s">
        <v>1133</v>
      </c>
      <c r="G303" s="2033" t="s">
        <v>1133</v>
      </c>
      <c r="H303" s="4403" t="s">
        <v>5614</v>
      </c>
      <c r="I303" s="4233">
        <f t="shared" si="16"/>
        <v>0</v>
      </c>
      <c r="J303" s="3957"/>
      <c r="K303" s="4459">
        <f>329070-329070</f>
        <v>0</v>
      </c>
      <c r="L303" s="1996"/>
      <c r="M303" s="1996"/>
      <c r="N303" s="4267"/>
    </row>
    <row r="304" spans="1:18" hidden="1">
      <c r="A304" s="81">
        <v>2</v>
      </c>
      <c r="B304" s="4627" t="s">
        <v>5976</v>
      </c>
      <c r="C304" s="1984"/>
      <c r="D304" s="1984"/>
      <c r="E304" s="1984"/>
      <c r="F304" s="2033" t="s">
        <v>1133</v>
      </c>
      <c r="G304" s="2033" t="s">
        <v>1133</v>
      </c>
      <c r="H304" s="4403" t="s">
        <v>5615</v>
      </c>
      <c r="I304" s="4233">
        <f t="shared" si="16"/>
        <v>1500000</v>
      </c>
      <c r="J304" s="3957"/>
      <c r="K304" s="4233">
        <v>1500000</v>
      </c>
      <c r="L304" s="1996"/>
      <c r="M304" s="1996"/>
      <c r="N304" s="4267" t="s">
        <v>5929</v>
      </c>
    </row>
    <row r="305" spans="1:14" ht="22.5" hidden="1">
      <c r="A305" s="81">
        <v>2</v>
      </c>
      <c r="C305" s="2033"/>
      <c r="D305" s="2033"/>
      <c r="E305" s="2033"/>
      <c r="F305" s="2033" t="s">
        <v>1133</v>
      </c>
      <c r="G305" s="2033" t="s">
        <v>1133</v>
      </c>
      <c r="H305" s="4402" t="s">
        <v>5610</v>
      </c>
      <c r="I305" s="4233">
        <f t="shared" si="16"/>
        <v>0</v>
      </c>
      <c r="J305" s="3957"/>
      <c r="K305" s="4233"/>
      <c r="L305" s="2006"/>
      <c r="M305" s="2006"/>
      <c r="N305" s="4269"/>
    </row>
    <row r="306" spans="1:14" hidden="1">
      <c r="A306" s="81">
        <v>2</v>
      </c>
      <c r="B306" s="4627" t="s">
        <v>5975</v>
      </c>
      <c r="C306" s="1984"/>
      <c r="D306" s="1984"/>
      <c r="E306" s="1984"/>
      <c r="F306" s="2033" t="s">
        <v>1133</v>
      </c>
      <c r="G306" s="2033" t="s">
        <v>1133</v>
      </c>
      <c r="H306" s="4402" t="s">
        <v>5977</v>
      </c>
      <c r="I306" s="4233">
        <f t="shared" si="16"/>
        <v>100000</v>
      </c>
      <c r="J306" s="3957"/>
      <c r="K306" s="4233">
        <v>100000</v>
      </c>
      <c r="L306" s="1996"/>
      <c r="M306" s="1996"/>
      <c r="N306" s="4267"/>
    </row>
    <row r="307" spans="1:14">
      <c r="A307">
        <v>1</v>
      </c>
      <c r="B307" s="4627" t="s">
        <v>5975</v>
      </c>
      <c r="C307" s="1984"/>
      <c r="D307" s="1984"/>
      <c r="E307" s="1984"/>
      <c r="F307" s="2033" t="s">
        <v>1133</v>
      </c>
      <c r="G307" s="2033" t="s">
        <v>1133</v>
      </c>
      <c r="H307" s="4784" t="s">
        <v>6274</v>
      </c>
      <c r="I307" s="4233">
        <f>SUM(K307:M307)</f>
        <v>1875164.83</v>
      </c>
      <c r="J307" s="4234"/>
      <c r="K307" s="4233">
        <f>1875164.83-L307-M307</f>
        <v>0</v>
      </c>
      <c r="L307" s="4233">
        <v>1875164.83</v>
      </c>
      <c r="M307" s="4233">
        <v>0</v>
      </c>
      <c r="N307" s="4267" t="s">
        <v>5625</v>
      </c>
    </row>
    <row r="308" spans="1:14" hidden="1">
      <c r="A308" s="81">
        <v>0</v>
      </c>
      <c r="C308" s="1984"/>
      <c r="D308" s="1984"/>
      <c r="E308" s="1984"/>
      <c r="F308" s="2033" t="s">
        <v>1133</v>
      </c>
      <c r="G308" s="2033" t="s">
        <v>1133</v>
      </c>
      <c r="H308" s="4257" t="s">
        <v>5626</v>
      </c>
      <c r="I308" s="4258"/>
      <c r="J308" s="4259"/>
      <c r="K308" s="4258"/>
      <c r="L308" s="4258"/>
      <c r="M308" s="4258"/>
      <c r="N308" s="4270"/>
    </row>
    <row r="309" spans="1:14" ht="22.5" hidden="1">
      <c r="A309" s="81">
        <v>2</v>
      </c>
      <c r="B309" s="4627" t="s">
        <v>5976</v>
      </c>
      <c r="C309" s="1984"/>
      <c r="D309" s="1984"/>
      <c r="E309" s="1984"/>
      <c r="F309" s="2033" t="s">
        <v>1133</v>
      </c>
      <c r="G309" s="2033" t="s">
        <v>1133</v>
      </c>
      <c r="H309" s="4404" t="s">
        <v>5627</v>
      </c>
      <c r="I309" s="4233">
        <f t="shared" si="16"/>
        <v>60000</v>
      </c>
      <c r="J309" s="3957"/>
      <c r="K309" s="4233">
        <v>60000</v>
      </c>
      <c r="L309" s="4233"/>
      <c r="M309" s="4233"/>
      <c r="N309" s="4267" t="s">
        <v>5932</v>
      </c>
    </row>
    <row r="310" spans="1:14">
      <c r="A310">
        <v>1</v>
      </c>
      <c r="B310" s="4627" t="s">
        <v>1251</v>
      </c>
      <c r="C310" s="1984"/>
      <c r="D310" s="1984"/>
      <c r="E310" s="1984"/>
      <c r="F310" s="2033" t="s">
        <v>1133</v>
      </c>
      <c r="G310" s="2033" t="s">
        <v>1133</v>
      </c>
      <c r="H310" s="4785" t="s">
        <v>5933</v>
      </c>
      <c r="I310" s="4787">
        <f t="shared" si="16"/>
        <v>12500</v>
      </c>
      <c r="J310" s="4234"/>
      <c r="K310" s="4593">
        <f>25000/2</f>
        <v>12500</v>
      </c>
      <c r="L310" s="2006"/>
      <c r="M310" s="4233"/>
      <c r="N310" s="4267" t="s">
        <v>5934</v>
      </c>
    </row>
    <row r="311" spans="1:14">
      <c r="A311">
        <v>1</v>
      </c>
      <c r="B311" s="4627" t="s">
        <v>1251</v>
      </c>
      <c r="C311" s="1984"/>
      <c r="D311" s="1984"/>
      <c r="E311" s="1984"/>
      <c r="F311" s="2033" t="s">
        <v>1133</v>
      </c>
      <c r="G311" s="2033" t="s">
        <v>1133</v>
      </c>
      <c r="H311" s="4786" t="s">
        <v>5628</v>
      </c>
      <c r="I311" s="4787">
        <f t="shared" si="16"/>
        <v>5000</v>
      </c>
      <c r="J311" s="4234"/>
      <c r="K311" s="4233">
        <v>5000</v>
      </c>
      <c r="L311" s="2006"/>
      <c r="M311" s="4233"/>
      <c r="N311" s="4267" t="s">
        <v>5935</v>
      </c>
    </row>
    <row r="312" spans="1:14" hidden="1">
      <c r="A312" s="81">
        <v>0</v>
      </c>
      <c r="C312" s="1984"/>
      <c r="D312" s="1984"/>
      <c r="E312" s="1984"/>
      <c r="F312" s="2033" t="s">
        <v>1133</v>
      </c>
      <c r="G312" s="2033" t="s">
        <v>1133</v>
      </c>
      <c r="H312" s="4257" t="s">
        <v>5629</v>
      </c>
      <c r="I312" s="4258"/>
      <c r="J312" s="4259"/>
      <c r="K312" s="4258"/>
      <c r="L312" s="4258"/>
      <c r="M312" s="4258"/>
      <c r="N312" s="4270"/>
    </row>
    <row r="313" spans="1:14">
      <c r="A313">
        <v>1</v>
      </c>
      <c r="B313" s="4627" t="s">
        <v>5976</v>
      </c>
      <c r="C313" s="1984"/>
      <c r="D313" s="1984"/>
      <c r="E313" s="1984"/>
      <c r="F313" s="2033" t="s">
        <v>1133</v>
      </c>
      <c r="G313" s="2033" t="s">
        <v>1133</v>
      </c>
      <c r="H313" s="4783" t="s">
        <v>5630</v>
      </c>
      <c r="I313" s="4233">
        <f t="shared" si="16"/>
        <v>35000</v>
      </c>
      <c r="J313" s="4234"/>
      <c r="K313" s="4233">
        <v>35000</v>
      </c>
      <c r="L313" s="2006"/>
      <c r="M313" s="4233"/>
      <c r="N313" s="4267" t="s">
        <v>5936</v>
      </c>
    </row>
    <row r="314" spans="1:14" ht="22.5" hidden="1">
      <c r="A314" s="81">
        <v>2</v>
      </c>
      <c r="B314" s="4627" t="s">
        <v>5975</v>
      </c>
      <c r="C314" s="1984"/>
      <c r="D314" s="1984"/>
      <c r="E314" s="1984"/>
      <c r="F314" s="2033" t="s">
        <v>1133</v>
      </c>
      <c r="G314" s="2033" t="s">
        <v>1133</v>
      </c>
      <c r="H314" s="4404" t="s">
        <v>5631</v>
      </c>
      <c r="I314" s="4233">
        <f t="shared" si="16"/>
        <v>20000</v>
      </c>
      <c r="J314" s="3957"/>
      <c r="K314" s="4233">
        <v>20000</v>
      </c>
      <c r="L314" s="4233"/>
      <c r="M314" s="4233"/>
      <c r="N314" s="4267" t="s">
        <v>5937</v>
      </c>
    </row>
    <row r="315" spans="1:14" hidden="1">
      <c r="A315" s="81">
        <v>0</v>
      </c>
      <c r="C315" s="1984"/>
      <c r="D315" s="1984"/>
      <c r="E315" s="1984"/>
      <c r="F315" s="2033" t="s">
        <v>1133</v>
      </c>
      <c r="G315" s="2033" t="s">
        <v>1133</v>
      </c>
      <c r="H315" s="4257" t="s">
        <v>5632</v>
      </c>
      <c r="I315" s="4258">
        <f t="shared" si="16"/>
        <v>0</v>
      </c>
      <c r="J315" s="4259"/>
      <c r="K315" s="4258"/>
      <c r="L315" s="4258"/>
      <c r="M315" s="4258"/>
      <c r="N315" s="4270"/>
    </row>
    <row r="316" spans="1:14" hidden="1">
      <c r="A316" s="81">
        <v>2</v>
      </c>
      <c r="B316" s="4627" t="s">
        <v>5975</v>
      </c>
      <c r="C316" s="1984"/>
      <c r="D316" s="1984"/>
      <c r="E316" s="1984"/>
      <c r="F316" s="2033" t="s">
        <v>1133</v>
      </c>
      <c r="G316" s="2033" t="s">
        <v>1133</v>
      </c>
      <c r="H316" s="4405" t="s">
        <v>5633</v>
      </c>
      <c r="I316" s="4233">
        <f t="shared" si="16"/>
        <v>21000</v>
      </c>
      <c r="J316" s="3957"/>
      <c r="K316" s="4661">
        <v>21000</v>
      </c>
      <c r="L316" s="1996"/>
      <c r="M316" s="1996"/>
    </row>
    <row r="317" spans="1:14" hidden="1">
      <c r="A317" s="81">
        <v>3</v>
      </c>
      <c r="B317" s="4627" t="s">
        <v>5976</v>
      </c>
      <c r="C317" s="1984"/>
      <c r="D317" s="1984"/>
      <c r="E317" s="1984"/>
      <c r="F317" s="2033" t="s">
        <v>1133</v>
      </c>
      <c r="G317" s="2033" t="s">
        <v>1133</v>
      </c>
      <c r="H317" s="4405" t="s">
        <v>5634</v>
      </c>
      <c r="I317" s="4233">
        <f t="shared" si="16"/>
        <v>75000</v>
      </c>
      <c r="J317" s="3957"/>
      <c r="K317" s="4233">
        <v>75000</v>
      </c>
      <c r="L317" s="1996"/>
      <c r="M317" s="1996"/>
    </row>
    <row r="318" spans="1:14" hidden="1">
      <c r="A318" s="81">
        <v>0</v>
      </c>
      <c r="C318" s="1984"/>
      <c r="D318" s="1984"/>
      <c r="E318" s="1984"/>
      <c r="F318" s="2033" t="s">
        <v>1133</v>
      </c>
      <c r="G318" s="2033" t="s">
        <v>1133</v>
      </c>
      <c r="H318" s="4257" t="s">
        <v>734</v>
      </c>
      <c r="I318" s="4258"/>
      <c r="J318" s="4259"/>
      <c r="K318" s="4258"/>
      <c r="L318" s="4258"/>
      <c r="M318" s="4258"/>
      <c r="N318" s="4270"/>
    </row>
    <row r="319" spans="1:14">
      <c r="A319" s="81">
        <v>1</v>
      </c>
      <c r="B319" s="4627" t="s">
        <v>1251</v>
      </c>
      <c r="C319" s="1984"/>
      <c r="D319" s="1984"/>
      <c r="E319" s="1984"/>
      <c r="F319" s="2033" t="s">
        <v>1133</v>
      </c>
      <c r="G319" s="2033" t="s">
        <v>1133</v>
      </c>
      <c r="H319" s="4790" t="s">
        <v>5635</v>
      </c>
      <c r="I319" s="4233">
        <f t="shared" si="16"/>
        <v>17500</v>
      </c>
      <c r="J319" s="4234"/>
      <c r="K319" s="4233">
        <f>35000*0.5</f>
        <v>17500</v>
      </c>
      <c r="L319" s="2006"/>
      <c r="M319" s="1996"/>
      <c r="N319" s="4267" t="s">
        <v>5938</v>
      </c>
    </row>
    <row r="320" spans="1:14" hidden="1">
      <c r="A320" s="81">
        <v>2</v>
      </c>
      <c r="B320" s="4627" t="s">
        <v>1251</v>
      </c>
      <c r="C320" s="1984"/>
      <c r="D320" s="1984"/>
      <c r="E320" s="1984"/>
      <c r="F320" s="2033" t="s">
        <v>1133</v>
      </c>
      <c r="G320" s="2033" t="s">
        <v>1133</v>
      </c>
      <c r="H320" s="4401" t="s">
        <v>6126</v>
      </c>
      <c r="I320" s="4233">
        <f t="shared" si="16"/>
        <v>50000</v>
      </c>
      <c r="J320" s="3957"/>
      <c r="K320" s="4233">
        <v>50000</v>
      </c>
      <c r="L320" s="1996"/>
      <c r="M320" s="1996"/>
      <c r="N320" s="4267" t="s">
        <v>5939</v>
      </c>
    </row>
    <row r="321" spans="1:18">
      <c r="A321" s="81">
        <v>1</v>
      </c>
      <c r="C321" s="1984"/>
      <c r="D321" s="1984"/>
      <c r="E321" s="1984"/>
      <c r="F321" s="2033" t="s">
        <v>1133</v>
      </c>
      <c r="G321" s="2033" t="s">
        <v>1133</v>
      </c>
      <c r="H321" s="4790" t="s">
        <v>6227</v>
      </c>
      <c r="I321" s="4233">
        <f>SUM(K321:M321)</f>
        <v>39800</v>
      </c>
      <c r="J321" s="4234"/>
      <c r="K321" s="4233">
        <v>39800</v>
      </c>
      <c r="L321" s="2006"/>
      <c r="M321" s="1996"/>
      <c r="N321" s="4273" t="s">
        <v>5941</v>
      </c>
      <c r="R321">
        <v>38000</v>
      </c>
    </row>
    <row r="322" spans="1:18" hidden="1">
      <c r="A322" s="81">
        <v>3</v>
      </c>
      <c r="B322" s="4627" t="s">
        <v>5976</v>
      </c>
      <c r="C322" s="1984"/>
      <c r="D322" s="1984"/>
      <c r="E322" s="1984"/>
      <c r="F322" s="2033" t="s">
        <v>1133</v>
      </c>
      <c r="G322" s="2033" t="s">
        <v>1133</v>
      </c>
      <c r="H322" s="4402" t="s">
        <v>2958</v>
      </c>
      <c r="I322" s="4233">
        <f t="shared" si="16"/>
        <v>50000</v>
      </c>
      <c r="J322" s="3957"/>
      <c r="K322" s="4233">
        <v>50000</v>
      </c>
      <c r="L322" s="1996"/>
      <c r="M322" s="1996"/>
      <c r="N322" s="4267" t="s">
        <v>5940</v>
      </c>
      <c r="R322">
        <v>60000</v>
      </c>
    </row>
    <row r="323" spans="1:18" ht="22.5" hidden="1">
      <c r="A323" s="81">
        <v>2</v>
      </c>
      <c r="B323" s="4627" t="s">
        <v>5975</v>
      </c>
      <c r="C323" s="1984"/>
      <c r="D323" s="1984"/>
      <c r="E323" s="1984"/>
      <c r="F323" s="2033" t="s">
        <v>1133</v>
      </c>
      <c r="G323" s="2033" t="s">
        <v>1133</v>
      </c>
      <c r="H323" s="4231" t="s">
        <v>5637</v>
      </c>
      <c r="I323" s="4233">
        <f t="shared" si="16"/>
        <v>20000</v>
      </c>
      <c r="J323" s="3957"/>
      <c r="K323" s="4459">
        <f>40000-20000</f>
        <v>20000</v>
      </c>
      <c r="L323" s="3962"/>
      <c r="M323" s="3962"/>
      <c r="N323" s="4267"/>
    </row>
    <row r="324" spans="1:18" hidden="1">
      <c r="A324" s="81">
        <v>2</v>
      </c>
      <c r="B324" s="4627" t="s">
        <v>1251</v>
      </c>
      <c r="C324" s="1984"/>
      <c r="D324" s="1984"/>
      <c r="E324" s="1984"/>
      <c r="F324" s="2033" t="s">
        <v>1133</v>
      </c>
      <c r="G324" s="2033" t="s">
        <v>1133</v>
      </c>
      <c r="H324" s="4231" t="s">
        <v>6238</v>
      </c>
      <c r="I324" s="4233">
        <f t="shared" si="16"/>
        <v>15000</v>
      </c>
      <c r="J324" s="3957"/>
      <c r="K324" s="4459">
        <f>30000-15000</f>
        <v>15000</v>
      </c>
      <c r="L324" s="3962"/>
      <c r="M324" s="3962"/>
      <c r="N324" s="4267" t="s">
        <v>5942</v>
      </c>
    </row>
    <row r="325" spans="1:18" hidden="1">
      <c r="A325" s="81">
        <v>2</v>
      </c>
      <c r="B325" s="4627" t="s">
        <v>1251</v>
      </c>
      <c r="C325" s="1984"/>
      <c r="D325" s="1984"/>
      <c r="E325" s="1984"/>
      <c r="F325" s="2033" t="s">
        <v>1133</v>
      </c>
      <c r="G325" s="2033" t="s">
        <v>1133</v>
      </c>
      <c r="H325" s="4231" t="s">
        <v>6239</v>
      </c>
      <c r="I325" s="4233">
        <f t="shared" si="16"/>
        <v>10000</v>
      </c>
      <c r="J325" s="3957"/>
      <c r="K325" s="4459">
        <f>40000-30000</f>
        <v>10000</v>
      </c>
      <c r="L325" s="3962"/>
      <c r="M325" s="3962"/>
      <c r="N325" s="4267" t="s">
        <v>5942</v>
      </c>
    </row>
    <row r="326" spans="1:18">
      <c r="A326" s="81">
        <v>1</v>
      </c>
      <c r="B326" s="4627" t="s">
        <v>5976</v>
      </c>
      <c r="C326" s="1984"/>
      <c r="D326" s="1984"/>
      <c r="E326" s="1984"/>
      <c r="F326" s="2033" t="s">
        <v>1133</v>
      </c>
      <c r="G326" s="2033" t="s">
        <v>1133</v>
      </c>
      <c r="H326" s="4789" t="s">
        <v>6275</v>
      </c>
      <c r="I326" s="4233">
        <f t="shared" si="16"/>
        <v>30000</v>
      </c>
      <c r="J326" s="4234"/>
      <c r="K326" s="4235">
        <v>30000</v>
      </c>
      <c r="L326" s="2020"/>
      <c r="M326" s="3962"/>
      <c r="N326" s="4267" t="s">
        <v>5943</v>
      </c>
    </row>
    <row r="327" spans="1:18" hidden="1">
      <c r="A327" s="81">
        <v>2</v>
      </c>
      <c r="B327" s="4627" t="s">
        <v>5976</v>
      </c>
      <c r="C327" s="1984"/>
      <c r="D327" s="1984"/>
      <c r="E327" s="1984"/>
      <c r="F327" s="2033" t="s">
        <v>1133</v>
      </c>
      <c r="G327" s="2033" t="s">
        <v>1133</v>
      </c>
      <c r="H327" s="4231" t="s">
        <v>5642</v>
      </c>
      <c r="I327" s="4233">
        <f t="shared" si="16"/>
        <v>0</v>
      </c>
      <c r="J327" s="3957"/>
      <c r="K327" s="4235">
        <f>30000-30000</f>
        <v>0</v>
      </c>
      <c r="L327" s="3962"/>
      <c r="M327" s="3962"/>
      <c r="N327" s="4267"/>
    </row>
    <row r="328" spans="1:18" hidden="1">
      <c r="A328" s="81">
        <v>2</v>
      </c>
      <c r="B328" s="4627" t="s">
        <v>5976</v>
      </c>
      <c r="C328" s="1984"/>
      <c r="D328" s="1984"/>
      <c r="E328" s="1984"/>
      <c r="F328" s="2033" t="s">
        <v>1133</v>
      </c>
      <c r="G328" s="2033" t="s">
        <v>1133</v>
      </c>
      <c r="H328" s="4231" t="s">
        <v>5643</v>
      </c>
      <c r="I328" s="4233">
        <f t="shared" si="16"/>
        <v>12000</v>
      </c>
      <c r="J328" s="3957"/>
      <c r="K328" s="4459">
        <f>22000-10000</f>
        <v>12000</v>
      </c>
      <c r="L328" s="3962"/>
      <c r="M328" s="3962"/>
      <c r="N328" s="4267"/>
    </row>
    <row r="329" spans="1:18" hidden="1">
      <c r="A329" s="81">
        <v>2</v>
      </c>
      <c r="B329" s="4627" t="s">
        <v>5975</v>
      </c>
      <c r="C329" s="1984"/>
      <c r="D329" s="1984"/>
      <c r="E329" s="1984"/>
      <c r="F329" s="2033" t="s">
        <v>1133</v>
      </c>
      <c r="G329" s="2033" t="s">
        <v>1133</v>
      </c>
      <c r="H329" s="4231" t="s">
        <v>5645</v>
      </c>
      <c r="I329" s="4233">
        <f t="shared" si="16"/>
        <v>5000</v>
      </c>
      <c r="J329" s="3957"/>
      <c r="K329" s="4459">
        <f>8000-3000</f>
        <v>5000</v>
      </c>
      <c r="L329" s="3962"/>
      <c r="M329" s="3962"/>
      <c r="N329" s="4267"/>
    </row>
    <row r="330" spans="1:18" ht="24">
      <c r="A330" s="81">
        <v>1</v>
      </c>
      <c r="B330" s="4627" t="s">
        <v>5975</v>
      </c>
      <c r="C330" s="1984"/>
      <c r="D330" s="1984"/>
      <c r="E330" s="1984"/>
      <c r="F330" s="2033" t="s">
        <v>1133</v>
      </c>
      <c r="G330" s="2033" t="s">
        <v>1133</v>
      </c>
      <c r="H330" s="4789" t="s">
        <v>6096</v>
      </c>
      <c r="I330" s="4787">
        <f t="shared" si="16"/>
        <v>12000</v>
      </c>
      <c r="J330" s="4234"/>
      <c r="K330" s="4235">
        <f>24000/2</f>
        <v>12000</v>
      </c>
      <c r="L330" s="2020"/>
      <c r="M330" s="3962"/>
      <c r="N330" s="4267" t="s">
        <v>5944</v>
      </c>
    </row>
    <row r="331" spans="1:18" ht="22.5" hidden="1">
      <c r="A331" s="81">
        <v>2</v>
      </c>
      <c r="B331" s="4627" t="s">
        <v>5975</v>
      </c>
      <c r="C331" s="1984"/>
      <c r="D331" s="1984"/>
      <c r="E331" s="1984"/>
      <c r="F331" s="2033" t="s">
        <v>1133</v>
      </c>
      <c r="G331" s="2033" t="s">
        <v>1133</v>
      </c>
      <c r="H331" s="4231" t="s">
        <v>6127</v>
      </c>
      <c r="I331" s="4233">
        <f t="shared" si="16"/>
        <v>20000</v>
      </c>
      <c r="J331" s="3957"/>
      <c r="K331" s="4235">
        <v>20000</v>
      </c>
      <c r="L331" s="3962"/>
      <c r="M331" s="3962"/>
      <c r="N331" s="4271" t="s">
        <v>5650</v>
      </c>
    </row>
    <row r="332" spans="1:18" ht="15" customHeight="1">
      <c r="A332" s="81">
        <v>1</v>
      </c>
      <c r="B332" s="4627" t="s">
        <v>5976</v>
      </c>
      <c r="C332" s="1984"/>
      <c r="D332" s="1984"/>
      <c r="E332" s="1984"/>
      <c r="F332" s="2033" t="s">
        <v>1133</v>
      </c>
      <c r="G332" s="2033" t="s">
        <v>1133</v>
      </c>
      <c r="H332" s="4231" t="s">
        <v>5651</v>
      </c>
      <c r="I332" s="2006">
        <f t="shared" si="16"/>
        <v>0</v>
      </c>
      <c r="J332" s="2035"/>
      <c r="K332" s="4459">
        <f>20000-20000</f>
        <v>0</v>
      </c>
      <c r="L332" s="2020"/>
      <c r="M332" s="3962"/>
      <c r="N332" s="4272" t="s">
        <v>5945</v>
      </c>
    </row>
    <row r="333" spans="1:18" ht="15.6" customHeight="1">
      <c r="A333" s="81">
        <v>1</v>
      </c>
      <c r="B333" s="4627" t="s">
        <v>5975</v>
      </c>
      <c r="C333" s="1984"/>
      <c r="D333" s="1984"/>
      <c r="E333" s="1984"/>
      <c r="F333" s="2033" t="s">
        <v>1133</v>
      </c>
      <c r="G333" s="2033" t="s">
        <v>1133</v>
      </c>
      <c r="H333" s="4231" t="s">
        <v>5652</v>
      </c>
      <c r="I333" s="2006">
        <f t="shared" si="16"/>
        <v>0</v>
      </c>
      <c r="J333" s="2035"/>
      <c r="K333" s="4459">
        <f>2500-2500</f>
        <v>0</v>
      </c>
      <c r="L333" s="2020"/>
      <c r="M333" s="3962"/>
      <c r="N333" s="4271" t="s">
        <v>5653</v>
      </c>
    </row>
    <row r="334" spans="1:18" ht="16.149999999999999" hidden="1" customHeight="1">
      <c r="A334" s="81">
        <v>2</v>
      </c>
      <c r="B334" s="4627" t="s">
        <v>5975</v>
      </c>
      <c r="C334" s="1984"/>
      <c r="D334" s="1984"/>
      <c r="E334" s="1984"/>
      <c r="F334" s="2033" t="s">
        <v>1133</v>
      </c>
      <c r="G334" s="2033" t="s">
        <v>1133</v>
      </c>
      <c r="H334" s="4260" t="s">
        <v>5654</v>
      </c>
      <c r="I334" s="4233">
        <f t="shared" si="16"/>
        <v>10000</v>
      </c>
      <c r="J334" s="3957"/>
      <c r="K334" s="4235">
        <v>10000</v>
      </c>
      <c r="L334" s="3962"/>
      <c r="M334" s="3962"/>
      <c r="N334" s="4271" t="s">
        <v>5655</v>
      </c>
    </row>
    <row r="335" spans="1:18">
      <c r="A335" s="81">
        <v>1</v>
      </c>
      <c r="B335" s="4627" t="s">
        <v>5975</v>
      </c>
      <c r="C335" s="1984"/>
      <c r="D335" s="1984"/>
      <c r="E335" s="1984"/>
      <c r="F335" s="2033" t="s">
        <v>1133</v>
      </c>
      <c r="G335" s="2033" t="s">
        <v>1133</v>
      </c>
      <c r="H335" s="4232" t="s">
        <v>5656</v>
      </c>
      <c r="I335" s="2006">
        <f t="shared" si="16"/>
        <v>0</v>
      </c>
      <c r="J335" s="2035"/>
      <c r="K335" s="4459">
        <f>3500-3500</f>
        <v>0</v>
      </c>
      <c r="L335" s="2020"/>
      <c r="M335" s="3962"/>
      <c r="N335" s="4271" t="s">
        <v>5657</v>
      </c>
    </row>
    <row r="336" spans="1:18" hidden="1">
      <c r="A336" s="81">
        <v>2</v>
      </c>
      <c r="B336" s="4627" t="s">
        <v>5975</v>
      </c>
      <c r="C336" s="1984"/>
      <c r="D336" s="1984"/>
      <c r="E336" s="1984"/>
      <c r="F336" s="2033" t="s">
        <v>1133</v>
      </c>
      <c r="G336" s="2033" t="s">
        <v>1133</v>
      </c>
      <c r="H336" s="4232" t="s">
        <v>5640</v>
      </c>
      <c r="I336" s="4233">
        <f t="shared" si="16"/>
        <v>0</v>
      </c>
      <c r="J336" s="3957"/>
      <c r="K336" s="4235"/>
      <c r="L336" s="3962"/>
      <c r="M336" s="3962"/>
      <c r="N336" s="4271" t="s">
        <v>5641</v>
      </c>
    </row>
    <row r="337" spans="1:18" hidden="1">
      <c r="A337" s="81">
        <v>2</v>
      </c>
      <c r="B337" s="4627" t="s">
        <v>5975</v>
      </c>
      <c r="C337" s="1984"/>
      <c r="D337" s="1984"/>
      <c r="E337" s="1984"/>
      <c r="F337" s="2033" t="s">
        <v>1133</v>
      </c>
      <c r="G337" s="2033" t="s">
        <v>1133</v>
      </c>
      <c r="H337" s="4232" t="s">
        <v>5946</v>
      </c>
      <c r="I337" s="4233">
        <f t="shared" si="16"/>
        <v>0</v>
      </c>
      <c r="J337" s="3957"/>
      <c r="K337" s="4235"/>
      <c r="L337" s="3962"/>
      <c r="M337" s="3962"/>
      <c r="N337" s="4271"/>
    </row>
    <row r="338" spans="1:18" hidden="1">
      <c r="C338" s="1984"/>
      <c r="D338" s="1984"/>
      <c r="E338" s="1984"/>
      <c r="F338" s="2033" t="s">
        <v>1133</v>
      </c>
      <c r="G338" s="2033" t="s">
        <v>1133</v>
      </c>
      <c r="H338" s="2211"/>
      <c r="I338" s="1996">
        <f t="shared" si="16"/>
        <v>0</v>
      </c>
      <c r="J338" s="3957"/>
      <c r="K338" s="1996"/>
      <c r="L338" s="1996"/>
      <c r="M338" s="1996"/>
      <c r="R338">
        <v>80000</v>
      </c>
    </row>
    <row r="339" spans="1:18" hidden="1">
      <c r="H339" s="2001" t="s">
        <v>2930</v>
      </c>
      <c r="I339" s="2183">
        <f>SUM(I171:I338)</f>
        <v>6746604.3399999999</v>
      </c>
      <c r="J339" s="2035">
        <f>SUM(J171:J322)</f>
        <v>0</v>
      </c>
      <c r="K339" s="2183">
        <f>SUM(K171:K338)</f>
        <v>4871439.51</v>
      </c>
      <c r="L339" s="2183">
        <f>SUM(L171:L338)</f>
        <v>1875164.83</v>
      </c>
      <c r="M339" s="2178">
        <f>SUM(M171:M338)</f>
        <v>0</v>
      </c>
    </row>
    <row r="340" spans="1:18">
      <c r="H340" s="4263"/>
      <c r="I340" s="3945"/>
      <c r="J340" s="2035"/>
      <c r="K340" s="3945"/>
      <c r="L340" s="3945"/>
      <c r="M340" s="2179"/>
    </row>
    <row r="341" spans="1:18" hidden="1" outlineLevel="1">
      <c r="B341" s="2575" t="s">
        <v>5976</v>
      </c>
      <c r="H341" s="4263"/>
      <c r="I341" s="4264">
        <f>SUMIF($B$171:$B$338,$B341,I$171:I$338)</f>
        <v>3151923</v>
      </c>
      <c r="J341" s="2035"/>
      <c r="K341" s="4264">
        <f t="shared" ref="K341:M343" si="17">SUMIF($B$171:$B$338,$B341,K$171:K$338)</f>
        <v>3151923</v>
      </c>
      <c r="L341" s="4264">
        <f t="shared" si="17"/>
        <v>0</v>
      </c>
      <c r="M341" s="4264">
        <f t="shared" si="17"/>
        <v>0</v>
      </c>
    </row>
    <row r="342" spans="1:18" hidden="1" outlineLevel="1">
      <c r="B342" s="2575" t="s">
        <v>1251</v>
      </c>
      <c r="H342" s="4263"/>
      <c r="I342" s="4264">
        <f>SUMIF($B$171:$B$338,$B342,I$171:I$338)</f>
        <v>648877.51</v>
      </c>
      <c r="J342" s="2035"/>
      <c r="K342" s="4264">
        <f t="shared" si="17"/>
        <v>648877.51</v>
      </c>
      <c r="L342" s="4264">
        <f t="shared" si="17"/>
        <v>0</v>
      </c>
      <c r="M342" s="4264">
        <f t="shared" si="17"/>
        <v>0</v>
      </c>
    </row>
    <row r="343" spans="1:18" hidden="1" outlineLevel="1">
      <c r="B343" s="2575" t="s">
        <v>5975</v>
      </c>
      <c r="H343" s="4263"/>
      <c r="I343" s="4264">
        <f>SUMIF($B$171:$B$338,$B343,I$171:I$338)</f>
        <v>2539082.83</v>
      </c>
      <c r="J343" s="2035"/>
      <c r="K343" s="4264">
        <f t="shared" si="17"/>
        <v>663918</v>
      </c>
      <c r="L343" s="4264">
        <f t="shared" si="17"/>
        <v>1875164.83</v>
      </c>
      <c r="M343" s="4264">
        <f t="shared" si="17"/>
        <v>0</v>
      </c>
    </row>
    <row r="344" spans="1:18" hidden="1" outlineLevel="1">
      <c r="B344" s="2575"/>
      <c r="H344" s="4263"/>
      <c r="I344" s="3945"/>
      <c r="J344" s="2035"/>
      <c r="K344" s="3945"/>
      <c r="L344" s="3945"/>
      <c r="M344" s="3945"/>
    </row>
    <row r="345" spans="1:18" ht="24" collapsed="1">
      <c r="H345" s="4263" t="s">
        <v>6113</v>
      </c>
      <c r="I345" s="2059" t="s">
        <v>1623</v>
      </c>
      <c r="J345" s="2035"/>
      <c r="K345" s="2059" t="s">
        <v>517</v>
      </c>
      <c r="L345" s="2059" t="s">
        <v>1617</v>
      </c>
      <c r="M345" s="2181" t="s">
        <v>1145</v>
      </c>
    </row>
    <row r="346" spans="1:18">
      <c r="A346">
        <v>1</v>
      </c>
      <c r="H346" s="4263">
        <v>1</v>
      </c>
      <c r="I346" s="4427">
        <f>SUMIF($A$171:$A$338,$A346,I$171:I$338)</f>
        <v>3120753.02</v>
      </c>
      <c r="J346" s="2035"/>
      <c r="K346" s="4427">
        <f t="shared" ref="K346:M349" si="18">SUMIF($A$171:$A$338,$A346,K$171:K$338)</f>
        <v>1245588.19</v>
      </c>
      <c r="L346" s="4427">
        <f t="shared" si="18"/>
        <v>1875164.83</v>
      </c>
      <c r="M346" s="4427">
        <f t="shared" si="18"/>
        <v>0</v>
      </c>
    </row>
    <row r="347" spans="1:18">
      <c r="A347">
        <v>2</v>
      </c>
      <c r="H347" s="4263">
        <v>2</v>
      </c>
      <c r="I347" s="4428">
        <f>SUMIF($A$171:$A$338,$A347,I$171:I$338)</f>
        <v>2771742.3200000003</v>
      </c>
      <c r="J347" s="2035"/>
      <c r="K347" s="4428">
        <f t="shared" si="18"/>
        <v>2771742.3200000003</v>
      </c>
      <c r="L347" s="4428">
        <f t="shared" si="18"/>
        <v>0</v>
      </c>
      <c r="M347" s="4428">
        <f t="shared" si="18"/>
        <v>0</v>
      </c>
    </row>
    <row r="348" spans="1:18">
      <c r="A348">
        <v>3</v>
      </c>
      <c r="H348" s="4263">
        <v>3</v>
      </c>
      <c r="I348" s="4429">
        <f>SUMIF($A$171:$A$338,$A348,I$171:I$338)</f>
        <v>854109</v>
      </c>
      <c r="J348" s="2035"/>
      <c r="K348" s="4429">
        <f t="shared" si="18"/>
        <v>854109</v>
      </c>
      <c r="L348" s="4429">
        <f t="shared" si="18"/>
        <v>0</v>
      </c>
      <c r="M348" s="4429">
        <f t="shared" si="18"/>
        <v>0</v>
      </c>
    </row>
    <row r="349" spans="1:18">
      <c r="A349">
        <v>0</v>
      </c>
      <c r="H349" s="4263">
        <v>0</v>
      </c>
      <c r="I349" s="3945">
        <f>SUMIF($A$171:$A$338,$A349,I$171:I$338)</f>
        <v>0</v>
      </c>
      <c r="J349" s="2035"/>
      <c r="K349" s="3945">
        <f t="shared" si="18"/>
        <v>0</v>
      </c>
      <c r="L349" s="3945">
        <f t="shared" si="18"/>
        <v>0</v>
      </c>
      <c r="M349" s="3945">
        <f t="shared" si="18"/>
        <v>0</v>
      </c>
    </row>
    <row r="350" spans="1:18">
      <c r="K350" s="84"/>
      <c r="L350" s="84"/>
      <c r="M350" s="84"/>
    </row>
    <row r="351" spans="1:18" s="2190" customFormat="1" ht="3.6" customHeight="1">
      <c r="B351" s="4630"/>
      <c r="M351" s="2191"/>
      <c r="N351" s="4015"/>
    </row>
    <row r="352" spans="1:18">
      <c r="F352" s="2189" t="s">
        <v>5502</v>
      </c>
    </row>
    <row r="353" spans="1:21">
      <c r="C353" s="4831" t="s">
        <v>1141</v>
      </c>
      <c r="D353" s="4831" t="s">
        <v>779</v>
      </c>
      <c r="E353" s="4831" t="s">
        <v>780</v>
      </c>
      <c r="F353" s="4831" t="s">
        <v>2931</v>
      </c>
      <c r="G353" s="4831" t="s">
        <v>2891</v>
      </c>
      <c r="H353" s="4832" t="s">
        <v>2892</v>
      </c>
      <c r="I353" s="4819" t="s">
        <v>1623</v>
      </c>
      <c r="J353" s="2180"/>
      <c r="K353" s="4820" t="s">
        <v>2909</v>
      </c>
      <c r="L353" s="4820"/>
      <c r="M353" s="4820"/>
    </row>
    <row r="354" spans="1:21" ht="15.6" customHeight="1">
      <c r="C354" s="4831"/>
      <c r="D354" s="4831"/>
      <c r="E354" s="4831"/>
      <c r="F354" s="4831"/>
      <c r="G354" s="4831"/>
      <c r="H354" s="4833"/>
      <c r="I354" s="4819"/>
      <c r="J354" s="2180"/>
      <c r="K354" s="2187" t="s">
        <v>517</v>
      </c>
      <c r="L354" s="2187" t="s">
        <v>1617</v>
      </c>
      <c r="M354" s="2188" t="s">
        <v>1145</v>
      </c>
    </row>
    <row r="355" spans="1:21" s="81" customFormat="1">
      <c r="B355" s="4627" t="s">
        <v>5976</v>
      </c>
      <c r="C355" s="2033"/>
      <c r="D355" s="2033"/>
      <c r="E355" s="2033"/>
      <c r="F355" s="2033" t="s">
        <v>1133</v>
      </c>
      <c r="G355" s="2033" t="s">
        <v>1133</v>
      </c>
      <c r="H355" s="2010" t="s">
        <v>5974</v>
      </c>
      <c r="I355" s="2006">
        <f>SUM(K355:M355)</f>
        <v>60000</v>
      </c>
      <c r="J355" s="2035"/>
      <c r="K355" s="4459">
        <f>330000-270000</f>
        <v>60000</v>
      </c>
      <c r="L355" s="2006"/>
      <c r="M355" s="2006"/>
      <c r="N355" s="4"/>
      <c r="R355" s="81">
        <v>11000</v>
      </c>
    </row>
    <row r="356" spans="1:21" ht="24">
      <c r="A356" s="81"/>
      <c r="B356" s="4627" t="s">
        <v>5975</v>
      </c>
      <c r="C356" s="1984"/>
      <c r="D356" s="1984"/>
      <c r="E356" s="1984"/>
      <c r="F356" s="2033" t="s">
        <v>1133</v>
      </c>
      <c r="G356" s="2033" t="s">
        <v>1133</v>
      </c>
      <c r="H356" s="4619" t="s">
        <v>6096</v>
      </c>
      <c r="I356" s="4233">
        <f>SUM(K356:M356)</f>
        <v>12000</v>
      </c>
      <c r="J356" s="3957"/>
      <c r="K356" s="4235">
        <f>24000/2</f>
        <v>12000</v>
      </c>
      <c r="L356" s="3962"/>
      <c r="M356" s="3962"/>
      <c r="N356" s="4267" t="s">
        <v>5944</v>
      </c>
    </row>
    <row r="357" spans="1:21">
      <c r="B357" s="4627" t="s">
        <v>1251</v>
      </c>
      <c r="C357" s="1984"/>
      <c r="D357" s="1984"/>
      <c r="E357" s="1984"/>
      <c r="F357" s="2033" t="s">
        <v>1133</v>
      </c>
      <c r="G357" s="2033" t="s">
        <v>1133</v>
      </c>
      <c r="H357" s="4620" t="s">
        <v>6241</v>
      </c>
      <c r="I357" s="4233">
        <f>SUM(K357:M357)</f>
        <v>308339.67</v>
      </c>
      <c r="J357" s="3957"/>
      <c r="K357" s="4459">
        <f>308339.67</f>
        <v>308339.67</v>
      </c>
      <c r="L357" s="1996"/>
      <c r="M357" s="1996"/>
      <c r="N357" s="4268" t="s">
        <v>5926</v>
      </c>
    </row>
    <row r="358" spans="1:21">
      <c r="B358" s="4627" t="s">
        <v>5976</v>
      </c>
      <c r="C358" s="1984"/>
      <c r="D358" s="1984"/>
      <c r="E358" s="1984"/>
      <c r="F358" s="2033" t="s">
        <v>1133</v>
      </c>
      <c r="G358" s="2033" t="s">
        <v>1133</v>
      </c>
      <c r="H358" s="4620" t="s">
        <v>6242</v>
      </c>
      <c r="I358" s="4233">
        <v>329070</v>
      </c>
      <c r="J358" s="3957"/>
      <c r="K358" s="4459">
        <v>329070</v>
      </c>
      <c r="L358" s="1996"/>
      <c r="M358" s="1996"/>
      <c r="N358" s="4267"/>
    </row>
    <row r="359" spans="1:21">
      <c r="B359" s="4627" t="s">
        <v>1251</v>
      </c>
      <c r="C359" s="1984"/>
      <c r="D359" s="1984"/>
      <c r="E359" s="1984"/>
      <c r="F359" s="2033" t="s">
        <v>1133</v>
      </c>
      <c r="G359" s="2033" t="s">
        <v>1133</v>
      </c>
      <c r="H359" s="4620" t="s">
        <v>6243</v>
      </c>
      <c r="I359" s="4233">
        <f>SUM(K359:M359)</f>
        <v>55000</v>
      </c>
      <c r="J359" s="3957"/>
      <c r="K359" s="4233">
        <v>55000</v>
      </c>
      <c r="L359" s="1996"/>
      <c r="M359" s="1996"/>
      <c r="R359">
        <v>38000</v>
      </c>
    </row>
    <row r="360" spans="1:21" ht="15" customHeight="1">
      <c r="B360" s="4627" t="s">
        <v>5976</v>
      </c>
      <c r="C360" s="1984"/>
      <c r="D360" s="1984"/>
      <c r="E360" s="1984"/>
      <c r="F360" s="2033" t="s">
        <v>1133</v>
      </c>
      <c r="G360" s="2033" t="s">
        <v>1133</v>
      </c>
      <c r="H360" s="4621" t="s">
        <v>5651</v>
      </c>
      <c r="I360" s="4233">
        <v>20000</v>
      </c>
      <c r="J360" s="3957"/>
      <c r="K360" s="4459">
        <v>20000</v>
      </c>
      <c r="L360" s="3962"/>
      <c r="M360" s="3962"/>
      <c r="N360" s="4272" t="s">
        <v>5945</v>
      </c>
    </row>
    <row r="361" spans="1:21" ht="15.6" customHeight="1">
      <c r="B361" s="4627" t="s">
        <v>5975</v>
      </c>
      <c r="C361" s="1984"/>
      <c r="D361" s="1984"/>
      <c r="E361" s="1984"/>
      <c r="F361" s="2033" t="s">
        <v>1133</v>
      </c>
      <c r="G361" s="2033" t="s">
        <v>1133</v>
      </c>
      <c r="H361" s="4621" t="s">
        <v>5652</v>
      </c>
      <c r="I361" s="4233">
        <v>2500</v>
      </c>
      <c r="J361" s="3957"/>
      <c r="K361" s="4459">
        <v>2500</v>
      </c>
      <c r="L361" s="3962"/>
      <c r="M361" s="3962"/>
      <c r="N361" s="4271" t="s">
        <v>5653</v>
      </c>
    </row>
    <row r="362" spans="1:21">
      <c r="B362" s="4627" t="s">
        <v>5975</v>
      </c>
      <c r="C362" s="1984"/>
      <c r="D362" s="1984"/>
      <c r="E362" s="1984"/>
      <c r="F362" s="2033" t="s">
        <v>1133</v>
      </c>
      <c r="G362" s="2033" t="s">
        <v>1133</v>
      </c>
      <c r="H362" s="4622" t="s">
        <v>5656</v>
      </c>
      <c r="I362" s="4233">
        <v>3500</v>
      </c>
      <c r="J362" s="3957"/>
      <c r="K362" s="4459">
        <v>3500</v>
      </c>
      <c r="L362" s="3962"/>
      <c r="M362" s="3962"/>
      <c r="N362" s="4271" t="s">
        <v>5657</v>
      </c>
    </row>
    <row r="363" spans="1:21">
      <c r="B363" s="4627" t="s">
        <v>5976</v>
      </c>
      <c r="C363" s="1984"/>
      <c r="D363" s="1984"/>
      <c r="E363" s="1984"/>
      <c r="F363" s="2008" t="s">
        <v>495</v>
      </c>
      <c r="G363" s="1984" t="s">
        <v>2917</v>
      </c>
      <c r="H363" s="2010" t="s">
        <v>2166</v>
      </c>
      <c r="I363" s="4310">
        <f>SUM(K363:M363)</f>
        <v>42500</v>
      </c>
      <c r="J363" s="2035"/>
      <c r="K363" s="2020">
        <f>42500</f>
        <v>42500</v>
      </c>
      <c r="L363" s="1996"/>
      <c r="M363" s="1996"/>
      <c r="N363" s="3975" t="s">
        <v>3593</v>
      </c>
      <c r="R363">
        <v>29874.9</v>
      </c>
    </row>
    <row r="364" spans="1:21" ht="13.9" customHeight="1">
      <c r="B364" s="4627" t="s">
        <v>1251</v>
      </c>
      <c r="C364" s="4240"/>
      <c r="D364" s="4240"/>
      <c r="E364" s="4240"/>
      <c r="F364" s="4239" t="s">
        <v>495</v>
      </c>
      <c r="G364" s="4240" t="s">
        <v>2917</v>
      </c>
      <c r="H364" s="4241" t="s">
        <v>3592</v>
      </c>
      <c r="I364" s="4312">
        <f>SUM(K364:M364)</f>
        <v>60000</v>
      </c>
      <c r="J364" s="4624"/>
      <c r="K364" s="4625">
        <f>60000</f>
        <v>60000</v>
      </c>
      <c r="L364" s="4626"/>
      <c r="M364" s="4626"/>
      <c r="N364" s="3975" t="s">
        <v>3594</v>
      </c>
      <c r="R364">
        <v>7048.25</v>
      </c>
    </row>
    <row r="365" spans="1:21">
      <c r="A365">
        <v>3</v>
      </c>
      <c r="B365" s="4627" t="s">
        <v>1251</v>
      </c>
      <c r="C365" s="3969"/>
      <c r="D365" s="3969"/>
      <c r="E365" s="3969"/>
      <c r="F365" s="3970" t="s">
        <v>1762</v>
      </c>
      <c r="G365" s="3969" t="s">
        <v>5480</v>
      </c>
      <c r="H365" s="3971" t="s">
        <v>4106</v>
      </c>
      <c r="I365" s="4317">
        <f t="shared" ref="I365" si="19">SUM(K365:M365)</f>
        <v>8500</v>
      </c>
      <c r="J365" s="2035"/>
      <c r="K365" s="4651">
        <v>8500</v>
      </c>
      <c r="L365" s="3973"/>
      <c r="M365" s="3973"/>
      <c r="N365" s="3975" t="s">
        <v>4107</v>
      </c>
      <c r="R365">
        <v>5000</v>
      </c>
    </row>
    <row r="366" spans="1:21">
      <c r="A366">
        <v>2</v>
      </c>
      <c r="B366" s="4627" t="s">
        <v>1251</v>
      </c>
      <c r="C366" s="3969"/>
      <c r="D366" s="3969"/>
      <c r="E366" s="3969"/>
      <c r="F366" s="3970" t="s">
        <v>1286</v>
      </c>
      <c r="G366" s="3969" t="s">
        <v>1148</v>
      </c>
      <c r="H366" s="3971" t="s">
        <v>3630</v>
      </c>
      <c r="I366" s="3972">
        <f>SUM(K366:M366)</f>
        <v>76000</v>
      </c>
      <c r="J366" s="2035"/>
      <c r="K366" s="4651">
        <v>76000</v>
      </c>
      <c r="L366" s="3973"/>
      <c r="M366" s="3973"/>
      <c r="N366" s="3975" t="s">
        <v>3631</v>
      </c>
      <c r="R366">
        <v>10000</v>
      </c>
    </row>
    <row r="367" spans="1:21" s="81" customFormat="1">
      <c r="A367" s="81">
        <v>3</v>
      </c>
      <c r="B367" s="4627" t="s">
        <v>5976</v>
      </c>
      <c r="C367" s="4400"/>
      <c r="D367" s="4400"/>
      <c r="E367" s="4400"/>
      <c r="F367" s="4237" t="s">
        <v>498</v>
      </c>
      <c r="G367" s="4400" t="s">
        <v>2932</v>
      </c>
      <c r="H367" s="4238" t="s">
        <v>2644</v>
      </c>
      <c r="I367" s="2020">
        <f t="shared" ref="I367" si="20">SUM(K367:M367)</f>
        <v>25000</v>
      </c>
      <c r="J367" s="2035"/>
      <c r="K367" s="4652">
        <v>25000</v>
      </c>
      <c r="L367" s="4013"/>
      <c r="M367" s="4013"/>
      <c r="N367" s="4"/>
      <c r="O367"/>
      <c r="P367"/>
      <c r="Q367"/>
      <c r="R367"/>
      <c r="S367"/>
      <c r="T367"/>
      <c r="U367"/>
    </row>
    <row r="368" spans="1:21">
      <c r="A368">
        <v>2</v>
      </c>
      <c r="B368" s="4627" t="s">
        <v>5975</v>
      </c>
      <c r="C368" s="4000"/>
      <c r="D368" s="3969"/>
      <c r="E368" s="3969"/>
      <c r="F368" s="2008" t="s">
        <v>494</v>
      </c>
      <c r="G368" s="1984" t="s">
        <v>5456</v>
      </c>
      <c r="H368" s="3971" t="s">
        <v>4814</v>
      </c>
      <c r="I368" s="4327">
        <f>SUM(K368:M368)</f>
        <v>7520</v>
      </c>
      <c r="J368" s="2035"/>
      <c r="K368" s="4651">
        <v>7520</v>
      </c>
      <c r="L368" s="3973"/>
      <c r="M368" s="3973"/>
      <c r="N368" s="3975"/>
    </row>
    <row r="369" spans="1:18" s="81" customFormat="1">
      <c r="A369" s="81">
        <v>2</v>
      </c>
      <c r="B369" s="4627" t="s">
        <v>1251</v>
      </c>
      <c r="C369" s="2033"/>
      <c r="D369" s="2033"/>
      <c r="E369" s="2033"/>
      <c r="F369" s="2033" t="s">
        <v>1133</v>
      </c>
      <c r="G369" s="2033" t="s">
        <v>1133</v>
      </c>
      <c r="H369" s="2010" t="s">
        <v>5818</v>
      </c>
      <c r="I369" s="2006">
        <f t="shared" ref="I369" si="21">SUM(K369:M369)</f>
        <v>15000</v>
      </c>
      <c r="J369" s="2035"/>
      <c r="K369" s="4660">
        <v>15000</v>
      </c>
      <c r="L369" s="2006"/>
      <c r="M369" s="2006"/>
      <c r="N369" s="4" t="s">
        <v>5821</v>
      </c>
    </row>
    <row r="370" spans="1:18">
      <c r="A370">
        <v>2</v>
      </c>
      <c r="B370" s="4627" t="s">
        <v>5975</v>
      </c>
      <c r="C370" s="3969"/>
      <c r="D370" s="3969"/>
      <c r="E370" s="3969"/>
      <c r="F370" s="3970" t="s">
        <v>501</v>
      </c>
      <c r="G370" s="3969" t="s">
        <v>2933</v>
      </c>
      <c r="H370" s="3971" t="s">
        <v>3805</v>
      </c>
      <c r="I370" s="3972">
        <f t="shared" ref="I370" si="22">SUM(K370:M370)</f>
        <v>15000</v>
      </c>
      <c r="J370" s="2035"/>
      <c r="K370" s="4651">
        <v>15000</v>
      </c>
      <c r="L370" s="3973"/>
      <c r="M370" s="3973"/>
      <c r="N370" s="43" t="s">
        <v>3806</v>
      </c>
      <c r="R370">
        <v>6000</v>
      </c>
    </row>
    <row r="371" spans="1:18">
      <c r="A371" s="81">
        <v>2</v>
      </c>
      <c r="B371" s="4627" t="s">
        <v>5975</v>
      </c>
      <c r="C371" s="1984"/>
      <c r="D371" s="1984"/>
      <c r="E371" s="1984"/>
      <c r="F371" s="2033" t="s">
        <v>1133</v>
      </c>
      <c r="G371" s="2033" t="s">
        <v>1133</v>
      </c>
      <c r="H371" s="4405" t="s">
        <v>5633</v>
      </c>
      <c r="I371" s="4233">
        <f t="shared" ref="I371" si="23">SUM(K371:M371)</f>
        <v>21000</v>
      </c>
      <c r="J371" s="3957"/>
      <c r="K371" s="4661">
        <v>21000</v>
      </c>
      <c r="L371" s="1996"/>
      <c r="M371" s="1996"/>
    </row>
    <row r="372" spans="1:18">
      <c r="C372" s="3969"/>
      <c r="D372" s="3969"/>
      <c r="E372" s="3969"/>
      <c r="F372" s="4242"/>
      <c r="G372" s="4242"/>
      <c r="H372" s="4623"/>
      <c r="I372" s="3972"/>
      <c r="J372" s="2035"/>
      <c r="K372" s="3972"/>
      <c r="L372" s="3972"/>
      <c r="M372" s="3972"/>
    </row>
    <row r="373" spans="1:18">
      <c r="C373" s="1984"/>
      <c r="D373" s="1984"/>
      <c r="E373" s="1984"/>
      <c r="F373" s="2008"/>
      <c r="G373" s="1984"/>
      <c r="H373" s="1985"/>
      <c r="I373" s="2006"/>
      <c r="J373" s="2035"/>
      <c r="K373" s="2006"/>
      <c r="L373" s="2006"/>
      <c r="M373" s="2006"/>
    </row>
    <row r="374" spans="1:18">
      <c r="C374" s="1984"/>
      <c r="D374" s="1984"/>
      <c r="E374" s="1984"/>
      <c r="F374" s="2008"/>
      <c r="G374" s="1984"/>
      <c r="H374" s="1985"/>
      <c r="I374" s="2006"/>
      <c r="J374" s="2035"/>
      <c r="K374" s="2006"/>
      <c r="L374" s="2006"/>
      <c r="M374" s="2006"/>
    </row>
    <row r="375" spans="1:18">
      <c r="C375" s="1984"/>
      <c r="D375" s="1984"/>
      <c r="E375" s="1984"/>
      <c r="F375" s="2033"/>
      <c r="G375" s="2033"/>
      <c r="H375" s="1985"/>
      <c r="I375" s="2006"/>
      <c r="K375" s="2006"/>
      <c r="L375" s="2006"/>
      <c r="M375" s="2006"/>
    </row>
    <row r="376" spans="1:18">
      <c r="I376" s="2183">
        <f>SUM(I355:I375)</f>
        <v>1060929.67</v>
      </c>
      <c r="J376" s="2035"/>
      <c r="K376" s="2183">
        <f>SUM(K355:K375)</f>
        <v>1060929.67</v>
      </c>
      <c r="L376" s="2183"/>
      <c r="M376" s="2183"/>
    </row>
    <row r="382" spans="1:18">
      <c r="I382" s="84"/>
    </row>
    <row r="385" spans="3:18">
      <c r="F385" s="2189" t="s">
        <v>3083</v>
      </c>
    </row>
    <row r="386" spans="3:18">
      <c r="C386" s="4829" t="s">
        <v>1141</v>
      </c>
      <c r="D386" s="4829" t="s">
        <v>779</v>
      </c>
      <c r="E386" s="4829" t="s">
        <v>780</v>
      </c>
      <c r="F386" s="4829" t="s">
        <v>2931</v>
      </c>
      <c r="G386" s="4829" t="s">
        <v>2891</v>
      </c>
      <c r="H386" s="4827" t="s">
        <v>2892</v>
      </c>
      <c r="I386" s="4829" t="s">
        <v>1623</v>
      </c>
      <c r="J386" s="2206"/>
      <c r="K386" s="4830" t="s">
        <v>2909</v>
      </c>
      <c r="L386" s="4830"/>
      <c r="M386" s="4830"/>
    </row>
    <row r="387" spans="3:18" ht="24">
      <c r="C387" s="4829"/>
      <c r="D387" s="4829"/>
      <c r="E387" s="4829"/>
      <c r="F387" s="4829"/>
      <c r="G387" s="4829"/>
      <c r="H387" s="4828"/>
      <c r="I387" s="4829"/>
      <c r="J387" s="2206"/>
      <c r="K387" s="2205" t="s">
        <v>517</v>
      </c>
      <c r="L387" s="2205" t="s">
        <v>1617</v>
      </c>
      <c r="M387" s="2207" t="s">
        <v>1145</v>
      </c>
    </row>
    <row r="388" spans="3:18">
      <c r="C388" s="2192"/>
      <c r="D388" s="2193"/>
      <c r="E388" s="2193"/>
      <c r="F388" s="2194"/>
      <c r="G388" s="2192"/>
      <c r="H388" s="2193"/>
      <c r="I388" s="2195">
        <f>SUM(K388:M388)</f>
        <v>0</v>
      </c>
      <c r="J388" s="2196"/>
      <c r="K388" s="2197"/>
      <c r="L388" s="2195"/>
      <c r="M388" s="2195"/>
      <c r="R388">
        <v>10000</v>
      </c>
    </row>
    <row r="389" spans="3:18">
      <c r="C389" s="2192"/>
      <c r="D389" s="2192"/>
      <c r="E389" s="2192"/>
      <c r="F389" s="2198"/>
      <c r="G389" s="2192"/>
      <c r="H389" s="2193"/>
      <c r="I389" s="2197">
        <f>SUM(K389:M389)</f>
        <v>0</v>
      </c>
      <c r="J389" s="2199"/>
      <c r="K389" s="2200"/>
      <c r="L389" s="2201"/>
      <c r="M389" s="2201"/>
      <c r="R389">
        <v>35000</v>
      </c>
    </row>
    <row r="390" spans="3:18">
      <c r="C390" s="2192"/>
      <c r="D390" s="2192"/>
      <c r="E390" s="2192"/>
      <c r="F390" s="2198"/>
      <c r="G390" s="2192"/>
      <c r="H390" s="2192"/>
      <c r="I390" s="2195">
        <f>SUM(K390:M390)</f>
        <v>0</v>
      </c>
      <c r="J390" s="2199"/>
      <c r="K390" s="2200"/>
      <c r="L390" s="2201"/>
      <c r="M390" s="2201"/>
      <c r="R390">
        <v>7048.25</v>
      </c>
    </row>
    <row r="391" spans="3:18">
      <c r="C391" s="2192"/>
      <c r="D391" s="2192"/>
      <c r="E391" s="2192"/>
      <c r="F391" s="2008"/>
      <c r="G391" s="1984"/>
      <c r="H391" s="2192"/>
      <c r="I391" s="2195">
        <f>SUM(K391:M391)</f>
        <v>0</v>
      </c>
      <c r="J391" s="2199"/>
      <c r="K391" s="2200"/>
      <c r="L391" s="2201"/>
      <c r="M391" s="2201"/>
      <c r="R391">
        <v>22723</v>
      </c>
    </row>
    <row r="392" spans="3:18">
      <c r="C392" s="2192"/>
      <c r="D392" s="2192"/>
      <c r="E392" s="2192"/>
      <c r="F392" s="2198"/>
      <c r="G392" s="2192"/>
      <c r="H392" s="2202"/>
      <c r="I392" s="2201">
        <f>SUM(K392:M392)</f>
        <v>0</v>
      </c>
      <c r="J392" s="2199"/>
      <c r="K392" s="2200"/>
      <c r="L392" s="2201"/>
      <c r="M392" s="2201"/>
      <c r="R392">
        <v>360</v>
      </c>
    </row>
    <row r="393" spans="3:18">
      <c r="C393" s="1992"/>
      <c r="D393" s="1992"/>
      <c r="E393" s="1992"/>
      <c r="F393" s="2212"/>
      <c r="G393" s="2212"/>
      <c r="H393" s="4014" t="s">
        <v>2964</v>
      </c>
      <c r="I393" s="3986"/>
      <c r="J393" s="4007"/>
      <c r="K393" s="3987"/>
      <c r="L393" s="3987"/>
      <c r="M393" s="3987"/>
    </row>
    <row r="394" spans="3:18">
      <c r="C394" s="1984"/>
      <c r="D394" s="1984"/>
      <c r="E394" s="1984"/>
      <c r="F394" s="2033" t="s">
        <v>1133</v>
      </c>
      <c r="G394" s="2033" t="s">
        <v>1133</v>
      </c>
      <c r="H394" s="4257" t="s">
        <v>5599</v>
      </c>
      <c r="I394" s="4258"/>
      <c r="J394" s="4259"/>
      <c r="K394" s="4258"/>
      <c r="L394" s="4258"/>
      <c r="M394" s="4258"/>
    </row>
    <row r="395" spans="3:18">
      <c r="C395" s="1984"/>
      <c r="D395" s="1984"/>
      <c r="E395" s="1984"/>
      <c r="F395" s="2033" t="s">
        <v>1133</v>
      </c>
      <c r="G395" s="2033" t="s">
        <v>1133</v>
      </c>
      <c r="H395" s="4226" t="s">
        <v>5603</v>
      </c>
      <c r="I395" s="4233">
        <f>SUM(K395:M395)</f>
        <v>31000</v>
      </c>
      <c r="J395" s="3957"/>
      <c r="K395" s="4233">
        <v>31000</v>
      </c>
      <c r="L395" s="1996"/>
      <c r="M395" s="1996"/>
      <c r="R395">
        <v>60000</v>
      </c>
    </row>
    <row r="396" spans="3:18">
      <c r="C396" s="1984"/>
      <c r="D396" s="1984"/>
      <c r="E396" s="1984"/>
      <c r="F396" s="2033" t="s">
        <v>1133</v>
      </c>
      <c r="G396" s="2033" t="s">
        <v>1133</v>
      </c>
      <c r="H396" s="4226" t="s">
        <v>5606</v>
      </c>
      <c r="I396" s="4233">
        <f>SUM(K396:M396)</f>
        <v>48000</v>
      </c>
      <c r="J396" s="3957"/>
      <c r="K396" s="4233">
        <v>48000</v>
      </c>
      <c r="L396" s="1996"/>
      <c r="M396" s="1996"/>
      <c r="R396">
        <v>80000</v>
      </c>
    </row>
    <row r="397" spans="3:18">
      <c r="C397" s="1984"/>
      <c r="D397" s="1984"/>
      <c r="E397" s="1984"/>
      <c r="F397" s="2033" t="s">
        <v>1133</v>
      </c>
      <c r="G397" s="2033" t="s">
        <v>1133</v>
      </c>
      <c r="H397" s="4226" t="s">
        <v>5925</v>
      </c>
      <c r="I397" s="4233">
        <f>SUM(K397:M397)</f>
        <v>40000</v>
      </c>
      <c r="J397" s="3957"/>
      <c r="K397" s="4233">
        <v>40000</v>
      </c>
      <c r="L397" s="1996"/>
      <c r="M397" s="1996"/>
    </row>
    <row r="398" spans="3:18">
      <c r="C398" s="1984"/>
      <c r="D398" s="1984"/>
      <c r="E398" s="1984"/>
      <c r="F398" s="2033" t="s">
        <v>1133</v>
      </c>
      <c r="G398" s="2033" t="s">
        <v>1133</v>
      </c>
      <c r="H398" s="4257" t="s">
        <v>5608</v>
      </c>
      <c r="I398" s="4258"/>
      <c r="J398" s="4259"/>
      <c r="K398" s="4258"/>
      <c r="L398" s="4258"/>
      <c r="M398" s="4258"/>
    </row>
    <row r="399" spans="3:18">
      <c r="C399" s="1984"/>
      <c r="D399" s="1984"/>
      <c r="E399" s="1984"/>
      <c r="F399" s="2033" t="s">
        <v>1133</v>
      </c>
      <c r="G399" s="2033" t="s">
        <v>1133</v>
      </c>
      <c r="H399" s="4227" t="s">
        <v>5927</v>
      </c>
      <c r="I399" s="4233">
        <f t="shared" ref="I399:I412" si="24">SUM(K399:M399)</f>
        <v>800000</v>
      </c>
      <c r="J399" s="3957"/>
      <c r="K399" s="4233">
        <v>800000</v>
      </c>
      <c r="L399" s="1996"/>
      <c r="M399" s="1996"/>
      <c r="N399" s="4273" t="s">
        <v>5928</v>
      </c>
    </row>
    <row r="400" spans="3:18">
      <c r="C400" s="1984"/>
      <c r="D400" s="1984"/>
      <c r="E400" s="1984"/>
      <c r="F400" s="2033" t="s">
        <v>1133</v>
      </c>
      <c r="G400" s="2033" t="s">
        <v>1133</v>
      </c>
      <c r="H400" s="4228" t="s">
        <v>5611</v>
      </c>
      <c r="I400" s="4233">
        <f t="shared" si="24"/>
        <v>600000</v>
      </c>
      <c r="J400" s="3957"/>
      <c r="K400" s="4233">
        <v>600000</v>
      </c>
      <c r="L400" s="1996"/>
      <c r="M400" s="1996"/>
      <c r="N400" s="4273" t="s">
        <v>5928</v>
      </c>
    </row>
    <row r="401" spans="3:18">
      <c r="C401" s="1984"/>
      <c r="D401" s="1984"/>
      <c r="E401" s="1984"/>
      <c r="F401" s="2033" t="s">
        <v>1133</v>
      </c>
      <c r="G401" s="2033" t="s">
        <v>1133</v>
      </c>
      <c r="H401" s="4226" t="s">
        <v>5600</v>
      </c>
      <c r="I401" s="4233">
        <f t="shared" si="24"/>
        <v>20000</v>
      </c>
      <c r="J401" s="3957"/>
      <c r="K401" s="4233">
        <v>20000</v>
      </c>
      <c r="L401" s="1996"/>
      <c r="M401" s="1996"/>
      <c r="N401" s="4270"/>
    </row>
    <row r="402" spans="3:18">
      <c r="C402" s="1984"/>
      <c r="D402" s="1984"/>
      <c r="E402" s="1984"/>
      <c r="F402" s="2033" t="s">
        <v>1133</v>
      </c>
      <c r="G402" s="2033" t="s">
        <v>1133</v>
      </c>
      <c r="H402" s="4229" t="s">
        <v>5609</v>
      </c>
      <c r="I402" s="4233">
        <f t="shared" si="24"/>
        <v>15000</v>
      </c>
      <c r="J402" s="3957"/>
      <c r="K402" s="4233">
        <v>15000</v>
      </c>
      <c r="L402" s="1996"/>
      <c r="M402" s="1996"/>
      <c r="N402" s="4270"/>
    </row>
    <row r="403" spans="3:18">
      <c r="C403" s="1984"/>
      <c r="D403" s="1984"/>
      <c r="E403" s="1984"/>
      <c r="F403" s="2033" t="s">
        <v>1133</v>
      </c>
      <c r="G403" s="2033" t="s">
        <v>1133</v>
      </c>
      <c r="H403" s="4225" t="s">
        <v>5613</v>
      </c>
      <c r="I403" s="4233">
        <f t="shared" si="24"/>
        <v>556000</v>
      </c>
      <c r="J403" s="3957"/>
      <c r="K403" s="4233">
        <v>556000</v>
      </c>
      <c r="L403" s="1996"/>
      <c r="M403" s="1996"/>
      <c r="N403" s="4270"/>
    </row>
    <row r="404" spans="3:18">
      <c r="C404" s="1984"/>
      <c r="D404" s="1984"/>
      <c r="E404" s="1984"/>
      <c r="F404" s="2033" t="s">
        <v>1133</v>
      </c>
      <c r="G404" s="2033" t="s">
        <v>1133</v>
      </c>
      <c r="H404" s="4229" t="s">
        <v>5616</v>
      </c>
      <c r="I404" s="4233">
        <f t="shared" si="24"/>
        <v>800000</v>
      </c>
      <c r="J404" s="3957"/>
      <c r="K404" s="4233">
        <v>800000</v>
      </c>
      <c r="L404" s="1996"/>
      <c r="M404" s="1996"/>
      <c r="N404" s="4270"/>
    </row>
    <row r="405" spans="3:18">
      <c r="C405" s="1984"/>
      <c r="D405" s="1984"/>
      <c r="E405" s="1984"/>
      <c r="F405" s="2033" t="s">
        <v>1133</v>
      </c>
      <c r="G405" s="2033" t="s">
        <v>1133</v>
      </c>
      <c r="H405" s="4229" t="s">
        <v>5617</v>
      </c>
      <c r="I405" s="4233">
        <f t="shared" si="24"/>
        <v>45000</v>
      </c>
      <c r="J405" s="3957"/>
      <c r="K405" s="4233">
        <v>45000</v>
      </c>
      <c r="L405" s="1996"/>
      <c r="M405" s="1996"/>
      <c r="N405" s="4270"/>
    </row>
    <row r="406" spans="3:18">
      <c r="C406" s="1984"/>
      <c r="D406" s="1984"/>
      <c r="E406" s="1984"/>
      <c r="F406" s="2033" t="s">
        <v>1133</v>
      </c>
      <c r="G406" s="2033" t="s">
        <v>1133</v>
      </c>
      <c r="H406" s="4196" t="s">
        <v>5618</v>
      </c>
      <c r="I406" s="4233">
        <f t="shared" si="24"/>
        <v>105000</v>
      </c>
      <c r="J406" s="3957"/>
      <c r="K406" s="4233">
        <v>105000</v>
      </c>
      <c r="L406" s="1996"/>
      <c r="M406" s="1996"/>
      <c r="N406" s="4270"/>
    </row>
    <row r="407" spans="3:18">
      <c r="C407" s="1984"/>
      <c r="D407" s="1984"/>
      <c r="E407" s="1984"/>
      <c r="F407" s="2033" t="s">
        <v>1133</v>
      </c>
      <c r="G407" s="2033" t="s">
        <v>1133</v>
      </c>
      <c r="H407" s="4196" t="s">
        <v>5619</v>
      </c>
      <c r="I407" s="4233">
        <f t="shared" si="24"/>
        <v>80000</v>
      </c>
      <c r="J407" s="3957"/>
      <c r="K407" s="4233">
        <v>80000</v>
      </c>
      <c r="L407" s="1996"/>
      <c r="M407" s="1996"/>
      <c r="N407" s="4270"/>
    </row>
    <row r="408" spans="3:18">
      <c r="C408" s="1984"/>
      <c r="D408" s="1984"/>
      <c r="E408" s="1984"/>
      <c r="F408" s="2033" t="s">
        <v>1133</v>
      </c>
      <c r="G408" s="2033" t="s">
        <v>1133</v>
      </c>
      <c r="H408" s="4196" t="s">
        <v>5620</v>
      </c>
      <c r="I408" s="4233">
        <f t="shared" si="24"/>
        <v>50000</v>
      </c>
      <c r="J408" s="3957"/>
      <c r="K408" s="4233">
        <v>50000</v>
      </c>
      <c r="L408" s="1996"/>
      <c r="M408" s="1996"/>
      <c r="N408" s="4270"/>
    </row>
    <row r="409" spans="3:18">
      <c r="C409" s="1984"/>
      <c r="D409" s="1984"/>
      <c r="E409" s="1984"/>
      <c r="F409" s="2033" t="s">
        <v>1133</v>
      </c>
      <c r="G409" s="2033" t="s">
        <v>1133</v>
      </c>
      <c r="H409" s="4230" t="s">
        <v>5621</v>
      </c>
      <c r="I409" s="4233">
        <f t="shared" si="24"/>
        <v>75000</v>
      </c>
      <c r="J409" s="3957"/>
      <c r="K409" s="4233">
        <v>75000</v>
      </c>
      <c r="L409" s="1996"/>
      <c r="M409" s="1996"/>
      <c r="N409" s="4273" t="s">
        <v>5930</v>
      </c>
    </row>
    <row r="410" spans="3:18">
      <c r="C410" s="1984"/>
      <c r="D410" s="1984"/>
      <c r="E410" s="1984"/>
      <c r="F410" s="2033" t="s">
        <v>1133</v>
      </c>
      <c r="G410" s="2033" t="s">
        <v>1133</v>
      </c>
      <c r="H410" s="4230" t="s">
        <v>5622</v>
      </c>
      <c r="I410" s="4233">
        <f t="shared" si="24"/>
        <v>1100000</v>
      </c>
      <c r="J410" s="3957"/>
      <c r="K410" s="4233">
        <v>1100000</v>
      </c>
      <c r="L410" s="1996"/>
      <c r="M410" s="1996"/>
      <c r="N410" s="4273" t="s">
        <v>5931</v>
      </c>
    </row>
    <row r="411" spans="3:18">
      <c r="C411" s="1984"/>
      <c r="D411" s="1984"/>
      <c r="E411" s="1984"/>
      <c r="F411" s="2033" t="s">
        <v>1133</v>
      </c>
      <c r="G411" s="2033" t="s">
        <v>1133</v>
      </c>
      <c r="H411" s="4230" t="s">
        <v>5623</v>
      </c>
      <c r="I411" s="4233">
        <f t="shared" si="24"/>
        <v>2000000</v>
      </c>
      <c r="J411" s="3957"/>
      <c r="K411" s="4233">
        <v>2000000</v>
      </c>
      <c r="L411" s="1996"/>
      <c r="M411" s="1996"/>
      <c r="N411" s="4273" t="s">
        <v>5931</v>
      </c>
    </row>
    <row r="412" spans="3:18">
      <c r="C412" s="1984"/>
      <c r="D412" s="1984"/>
      <c r="E412" s="1984"/>
      <c r="F412" s="2033" t="s">
        <v>1133</v>
      </c>
      <c r="G412" s="2033" t="s">
        <v>1133</v>
      </c>
      <c r="H412" s="4196" t="s">
        <v>5624</v>
      </c>
      <c r="I412" s="4233">
        <f t="shared" si="24"/>
        <v>110000</v>
      </c>
      <c r="J412" s="3957"/>
      <c r="K412" s="4233">
        <v>110000</v>
      </c>
      <c r="L412" s="1996"/>
      <c r="M412" s="1996"/>
      <c r="N412" s="4270"/>
    </row>
    <row r="413" spans="3:18">
      <c r="C413" s="1984"/>
      <c r="D413" s="1984"/>
      <c r="E413" s="1984"/>
      <c r="F413" s="2033" t="s">
        <v>1133</v>
      </c>
      <c r="G413" s="2033" t="s">
        <v>1133</v>
      </c>
      <c r="H413" s="4257" t="s">
        <v>734</v>
      </c>
      <c r="I413" s="4258"/>
      <c r="J413" s="4259"/>
      <c r="K413" s="4258"/>
      <c r="L413" s="4258"/>
      <c r="M413" s="4258"/>
      <c r="N413" s="4270"/>
    </row>
    <row r="414" spans="3:18">
      <c r="C414" s="1984"/>
      <c r="D414" s="1984"/>
      <c r="E414" s="1984"/>
      <c r="F414" s="2033" t="s">
        <v>1133</v>
      </c>
      <c r="G414" s="2033" t="s">
        <v>1133</v>
      </c>
      <c r="H414" s="4196" t="s">
        <v>5636</v>
      </c>
      <c r="I414" s="4233">
        <f t="shared" ref="I414:I428" si="25">SUM(K414:M414)</f>
        <v>45000</v>
      </c>
      <c r="J414" s="3957"/>
      <c r="K414" s="4233">
        <v>45000</v>
      </c>
      <c r="L414" s="1996"/>
      <c r="M414" s="1996"/>
      <c r="N414" s="4270"/>
      <c r="R414">
        <v>30000</v>
      </c>
    </row>
    <row r="415" spans="3:18">
      <c r="C415" s="1984"/>
      <c r="D415" s="1984"/>
      <c r="E415" s="1984"/>
      <c r="F415" s="2033" t="s">
        <v>1133</v>
      </c>
      <c r="G415" s="2033" t="s">
        <v>1133</v>
      </c>
      <c r="H415" s="4231" t="s">
        <v>5947</v>
      </c>
      <c r="I415" s="4233">
        <f t="shared" si="25"/>
        <v>40000</v>
      </c>
      <c r="J415" s="3957"/>
      <c r="K415" s="4235">
        <v>40000</v>
      </c>
      <c r="L415" s="3962"/>
      <c r="M415" s="3962"/>
      <c r="N415" s="4273" t="s">
        <v>5948</v>
      </c>
    </row>
    <row r="416" spans="3:18">
      <c r="C416" s="1984"/>
      <c r="D416" s="1984"/>
      <c r="E416" s="1984"/>
      <c r="F416" s="2033" t="s">
        <v>1133</v>
      </c>
      <c r="G416" s="2033" t="s">
        <v>1133</v>
      </c>
      <c r="H416" s="4231" t="s">
        <v>5644</v>
      </c>
      <c r="I416" s="4233">
        <f t="shared" si="25"/>
        <v>8500</v>
      </c>
      <c r="J416" s="3957"/>
      <c r="K416" s="4235">
        <v>8500</v>
      </c>
      <c r="L416" s="3962"/>
      <c r="M416" s="3962"/>
      <c r="N416" s="4273"/>
    </row>
    <row r="417" spans="3:14">
      <c r="C417" s="1984"/>
      <c r="D417" s="1984"/>
      <c r="E417" s="1984"/>
      <c r="F417" s="2033" t="s">
        <v>1133</v>
      </c>
      <c r="G417" s="2033" t="s">
        <v>1133</v>
      </c>
      <c r="H417" s="4231" t="s">
        <v>5646</v>
      </c>
      <c r="I417" s="4233">
        <f t="shared" si="25"/>
        <v>20000</v>
      </c>
      <c r="J417" s="3957"/>
      <c r="K417" s="4235">
        <v>20000</v>
      </c>
      <c r="L417" s="3962"/>
      <c r="M417" s="3962"/>
      <c r="N417" s="4273" t="s">
        <v>5949</v>
      </c>
    </row>
    <row r="418" spans="3:14">
      <c r="C418" s="1984"/>
      <c r="D418" s="1984"/>
      <c r="E418" s="1984"/>
      <c r="F418" s="2033" t="s">
        <v>1133</v>
      </c>
      <c r="G418" s="2033" t="s">
        <v>1133</v>
      </c>
      <c r="H418" s="4231" t="s">
        <v>5950</v>
      </c>
      <c r="I418" s="4233">
        <f t="shared" si="25"/>
        <v>150000</v>
      </c>
      <c r="J418" s="3957"/>
      <c r="K418" s="4235">
        <v>150000</v>
      </c>
      <c r="L418" s="3962"/>
      <c r="M418" s="3962"/>
      <c r="N418" s="4274"/>
    </row>
    <row r="419" spans="3:14" ht="22.5">
      <c r="C419" s="1984"/>
      <c r="D419" s="1984"/>
      <c r="E419" s="1984"/>
      <c r="F419" s="2033" t="s">
        <v>1133</v>
      </c>
      <c r="G419" s="2033" t="s">
        <v>1133</v>
      </c>
      <c r="H419" s="4231" t="s">
        <v>5638</v>
      </c>
      <c r="I419" s="4233">
        <f t="shared" si="25"/>
        <v>24000</v>
      </c>
      <c r="J419" s="3957"/>
      <c r="K419" s="4235">
        <v>24000</v>
      </c>
      <c r="L419" s="3962"/>
      <c r="M419" s="3962"/>
      <c r="N419" s="4270"/>
    </row>
    <row r="420" spans="3:14">
      <c r="C420" s="1984"/>
      <c r="D420" s="1984"/>
      <c r="E420" s="1984"/>
      <c r="F420" s="2033" t="s">
        <v>1133</v>
      </c>
      <c r="G420" s="2033" t="s">
        <v>1133</v>
      </c>
      <c r="H420" s="4231" t="s">
        <v>5639</v>
      </c>
      <c r="I420" s="4233">
        <f t="shared" si="25"/>
        <v>60000</v>
      </c>
      <c r="J420" s="3957"/>
      <c r="K420" s="4235">
        <v>60000</v>
      </c>
      <c r="L420" s="3962"/>
      <c r="M420" s="3962"/>
      <c r="N420" s="4270"/>
    </row>
    <row r="421" spans="3:14">
      <c r="C421" s="1984"/>
      <c r="D421" s="1984"/>
      <c r="E421" s="1984"/>
      <c r="F421" s="2033" t="s">
        <v>1133</v>
      </c>
      <c r="G421" s="2033" t="s">
        <v>1133</v>
      </c>
      <c r="H421" s="4231" t="s">
        <v>5951</v>
      </c>
      <c r="I421" s="4233">
        <f t="shared" si="25"/>
        <v>80000</v>
      </c>
      <c r="J421" s="3957"/>
      <c r="K421" s="4235">
        <v>80000</v>
      </c>
      <c r="L421" s="3962"/>
      <c r="M421" s="3962"/>
      <c r="N421" s="4270"/>
    </row>
    <row r="422" spans="3:14">
      <c r="C422" s="1984"/>
      <c r="D422" s="1984"/>
      <c r="E422" s="1984"/>
      <c r="F422" s="2033" t="s">
        <v>1133</v>
      </c>
      <c r="G422" s="2033" t="s">
        <v>1133</v>
      </c>
      <c r="H422" s="4231" t="s">
        <v>5952</v>
      </c>
      <c r="I422" s="4233">
        <f t="shared" si="25"/>
        <v>70000</v>
      </c>
      <c r="J422" s="3957"/>
      <c r="K422" s="4235">
        <v>70000</v>
      </c>
      <c r="L422" s="3962"/>
      <c r="M422" s="3962"/>
      <c r="N422" s="4270"/>
    </row>
    <row r="423" spans="3:14">
      <c r="C423" s="1984"/>
      <c r="D423" s="1984"/>
      <c r="E423" s="1984"/>
      <c r="F423" s="2033" t="s">
        <v>1133</v>
      </c>
      <c r="G423" s="2033" t="s">
        <v>1133</v>
      </c>
      <c r="H423" s="4231" t="s">
        <v>5953</v>
      </c>
      <c r="I423" s="4233">
        <f t="shared" si="25"/>
        <v>65000</v>
      </c>
      <c r="J423" s="3957"/>
      <c r="K423" s="4235">
        <v>65000</v>
      </c>
      <c r="L423" s="3962"/>
      <c r="M423" s="3962"/>
      <c r="N423" s="4270"/>
    </row>
    <row r="424" spans="3:14">
      <c r="C424" s="1984"/>
      <c r="D424" s="1984"/>
      <c r="E424" s="1984"/>
      <c r="F424" s="2033" t="s">
        <v>1133</v>
      </c>
      <c r="G424" s="2033" t="s">
        <v>1133</v>
      </c>
      <c r="H424" s="4231" t="s">
        <v>5954</v>
      </c>
      <c r="I424" s="4233">
        <f t="shared" si="25"/>
        <v>30000</v>
      </c>
      <c r="J424" s="3957"/>
      <c r="K424" s="4235">
        <v>30000</v>
      </c>
      <c r="L424" s="3962"/>
      <c r="M424" s="3962"/>
      <c r="N424" s="4270"/>
    </row>
    <row r="425" spans="3:14">
      <c r="C425" s="1984"/>
      <c r="D425" s="1984"/>
      <c r="E425" s="1984"/>
      <c r="F425" s="2033" t="s">
        <v>1133</v>
      </c>
      <c r="G425" s="2033" t="s">
        <v>1133</v>
      </c>
      <c r="H425" s="4231" t="s">
        <v>5955</v>
      </c>
      <c r="I425" s="4233">
        <f t="shared" si="25"/>
        <v>90000</v>
      </c>
      <c r="J425" s="3957"/>
      <c r="K425" s="4235">
        <v>90000</v>
      </c>
      <c r="L425" s="3962"/>
      <c r="M425" s="3962"/>
      <c r="N425" s="4270"/>
    </row>
    <row r="426" spans="3:14">
      <c r="C426" s="1984"/>
      <c r="D426" s="1984"/>
      <c r="E426" s="1984"/>
      <c r="F426" s="2033" t="s">
        <v>1133</v>
      </c>
      <c r="G426" s="2033" t="s">
        <v>1133</v>
      </c>
      <c r="H426" s="4231" t="s">
        <v>5956</v>
      </c>
      <c r="I426" s="4233">
        <f t="shared" si="25"/>
        <v>0</v>
      </c>
      <c r="J426" s="3957"/>
      <c r="K426" s="4235"/>
      <c r="L426" s="3962"/>
      <c r="M426" s="3962"/>
      <c r="N426" s="4270"/>
    </row>
    <row r="427" spans="3:14" ht="78.75">
      <c r="C427" s="1984"/>
      <c r="D427" s="1984"/>
      <c r="E427" s="1984"/>
      <c r="F427" s="2033" t="s">
        <v>1133</v>
      </c>
      <c r="G427" s="2033" t="s">
        <v>1133</v>
      </c>
      <c r="H427" s="4231" t="s">
        <v>5647</v>
      </c>
      <c r="I427" s="4233">
        <f t="shared" si="25"/>
        <v>70000</v>
      </c>
      <c r="J427" s="3957"/>
      <c r="K427" s="4235">
        <v>70000</v>
      </c>
      <c r="L427" s="3962"/>
      <c r="M427" s="3962"/>
      <c r="N427" s="4275" t="s">
        <v>5978</v>
      </c>
    </row>
    <row r="428" spans="3:14" ht="56.25">
      <c r="C428" s="1984"/>
      <c r="D428" s="1984"/>
      <c r="E428" s="1984"/>
      <c r="F428" s="2033" t="s">
        <v>1133</v>
      </c>
      <c r="G428" s="2033" t="s">
        <v>1133</v>
      </c>
      <c r="H428" s="4231" t="s">
        <v>5648</v>
      </c>
      <c r="I428" s="4233">
        <f t="shared" si="25"/>
        <v>500000</v>
      </c>
      <c r="J428" s="3957"/>
      <c r="K428" s="4235">
        <v>500000</v>
      </c>
      <c r="L428" s="3962"/>
      <c r="M428" s="3962"/>
      <c r="N428" s="4275" t="s">
        <v>5649</v>
      </c>
    </row>
    <row r="429" spans="3:14">
      <c r="C429" s="1984"/>
      <c r="D429" s="1984"/>
      <c r="E429" s="1984"/>
      <c r="F429" s="2033"/>
      <c r="G429" s="2033"/>
      <c r="H429" s="2193"/>
      <c r="I429" s="4233"/>
      <c r="J429" s="3957"/>
      <c r="K429" s="4233"/>
      <c r="L429" s="1996"/>
      <c r="M429" s="1996"/>
    </row>
    <row r="430" spans="3:14">
      <c r="C430" s="1984"/>
      <c r="D430" s="1984"/>
      <c r="E430" s="1984"/>
      <c r="F430" s="2033"/>
      <c r="G430" s="2033"/>
      <c r="H430" s="2193"/>
      <c r="I430" s="4233"/>
      <c r="J430" s="3957"/>
      <c r="K430" s="4233"/>
      <c r="L430" s="1996"/>
      <c r="M430" s="1996"/>
    </row>
    <row r="431" spans="3:14">
      <c r="C431" s="1984"/>
      <c r="D431" s="1984"/>
      <c r="E431" s="1984"/>
      <c r="F431" s="2033"/>
      <c r="G431" s="2033"/>
      <c r="H431" s="2193"/>
      <c r="I431" s="4233"/>
      <c r="J431" s="3957"/>
      <c r="K431" s="4233"/>
      <c r="L431" s="1996"/>
      <c r="M431" s="1996"/>
    </row>
    <row r="432" spans="3:14">
      <c r="C432" s="1984"/>
      <c r="D432" s="1984"/>
      <c r="E432" s="1984"/>
      <c r="F432" s="2033"/>
      <c r="G432" s="2033"/>
      <c r="H432" s="2193"/>
      <c r="I432" s="4233"/>
      <c r="J432" s="3957"/>
      <c r="K432" s="4233"/>
      <c r="L432" s="1996"/>
      <c r="M432" s="1996"/>
    </row>
    <row r="433" spans="3:13">
      <c r="C433" s="1984"/>
      <c r="D433" s="1984"/>
      <c r="E433" s="1984"/>
      <c r="F433" s="2033"/>
      <c r="G433" s="2033"/>
      <c r="H433" s="2193"/>
      <c r="I433" s="4233"/>
      <c r="J433" s="3957"/>
      <c r="K433" s="4233"/>
      <c r="L433" s="1996"/>
      <c r="M433" s="1996"/>
    </row>
    <row r="434" spans="3:13">
      <c r="C434" s="1984"/>
      <c r="D434" s="1984"/>
      <c r="E434" s="1984"/>
      <c r="F434" s="2033"/>
      <c r="G434" s="2033"/>
      <c r="H434" s="2193"/>
      <c r="I434" s="4233"/>
      <c r="J434" s="3957"/>
      <c r="K434" s="4233"/>
      <c r="L434" s="1996"/>
      <c r="M434" s="1996"/>
    </row>
    <row r="435" spans="3:13">
      <c r="C435" s="1984"/>
      <c r="D435" s="1984"/>
      <c r="E435" s="1984"/>
      <c r="F435" s="2033"/>
      <c r="G435" s="2033"/>
      <c r="H435" s="2193"/>
      <c r="I435" s="4233"/>
      <c r="J435" s="3957"/>
      <c r="K435" s="4233"/>
      <c r="L435" s="1996"/>
      <c r="M435" s="1996"/>
    </row>
    <row r="436" spans="3:13">
      <c r="C436" s="1984"/>
      <c r="D436" s="1984"/>
      <c r="E436" s="1984"/>
      <c r="F436" s="2033"/>
      <c r="G436" s="2033"/>
      <c r="H436" s="2193"/>
      <c r="I436" s="4233"/>
      <c r="J436" s="3957"/>
      <c r="K436" s="4233"/>
      <c r="L436" s="1996"/>
      <c r="M436" s="1996"/>
    </row>
    <row r="437" spans="3:13">
      <c r="C437" s="1984"/>
      <c r="D437" s="1984"/>
      <c r="E437" s="1984"/>
      <c r="F437" s="2033"/>
      <c r="G437" s="2033"/>
      <c r="H437" s="2193"/>
      <c r="I437" s="4233"/>
      <c r="J437" s="3957"/>
      <c r="K437" s="4233"/>
      <c r="L437" s="1996"/>
      <c r="M437" s="1996"/>
    </row>
    <row r="438" spans="3:13">
      <c r="C438" s="1984"/>
      <c r="D438" s="1984"/>
      <c r="E438" s="1984"/>
      <c r="F438" s="2033"/>
      <c r="G438" s="2033"/>
      <c r="H438" s="2193"/>
      <c r="I438" s="4233"/>
      <c r="J438" s="3957"/>
      <c r="K438" s="4233"/>
      <c r="L438" s="1996"/>
      <c r="M438" s="1996"/>
    </row>
    <row r="439" spans="3:13">
      <c r="C439" s="1984"/>
      <c r="D439" s="1984"/>
      <c r="E439" s="1984"/>
      <c r="F439" s="2033"/>
      <c r="G439" s="2033"/>
      <c r="H439" s="2193"/>
      <c r="I439" s="4233"/>
      <c r="J439" s="3957"/>
      <c r="K439" s="4233"/>
      <c r="L439" s="1996"/>
      <c r="M439" s="1996"/>
    </row>
    <row r="440" spans="3:13">
      <c r="C440" s="1984"/>
      <c r="D440" s="1984"/>
      <c r="E440" s="1984"/>
      <c r="F440" s="2033"/>
      <c r="G440" s="2033"/>
      <c r="H440" s="2193"/>
      <c r="I440" s="4233"/>
      <c r="J440" s="3957"/>
      <c r="K440" s="4233"/>
      <c r="L440" s="1996"/>
      <c r="M440" s="1996"/>
    </row>
    <row r="441" spans="3:13">
      <c r="C441" s="1984"/>
      <c r="D441" s="1984"/>
      <c r="E441" s="1984"/>
      <c r="F441" s="2033"/>
      <c r="G441" s="2033"/>
      <c r="H441" s="2193"/>
      <c r="I441" s="4233"/>
      <c r="J441" s="3957"/>
      <c r="K441" s="4233"/>
      <c r="L441" s="1996"/>
      <c r="M441" s="1996"/>
    </row>
    <row r="442" spans="3:13">
      <c r="C442" s="1984"/>
      <c r="D442" s="1984"/>
      <c r="E442" s="1984"/>
      <c r="F442" s="2033"/>
      <c r="G442" s="2033"/>
      <c r="H442" s="2193"/>
      <c r="I442" s="4233"/>
      <c r="J442" s="3957"/>
      <c r="K442" s="4233"/>
      <c r="L442" s="1996"/>
      <c r="M442" s="1996"/>
    </row>
    <row r="443" spans="3:13">
      <c r="C443" s="1984"/>
      <c r="D443" s="1984"/>
      <c r="E443" s="1984"/>
      <c r="F443" s="2033"/>
      <c r="G443" s="2033"/>
      <c r="H443" s="2193"/>
      <c r="I443" s="4233"/>
      <c r="J443" s="3957"/>
      <c r="K443" s="4233"/>
      <c r="L443" s="1996"/>
      <c r="M443" s="1996"/>
    </row>
    <row r="444" spans="3:13">
      <c r="C444" s="1984"/>
      <c r="D444" s="1984"/>
      <c r="E444" s="1984"/>
      <c r="F444" s="2033"/>
      <c r="G444" s="2033"/>
      <c r="H444" s="2193"/>
      <c r="I444" s="4233"/>
      <c r="J444" s="3957"/>
      <c r="K444" s="4233"/>
      <c r="L444" s="1996"/>
      <c r="M444" s="1996"/>
    </row>
    <row r="445" spans="3:13">
      <c r="C445" s="1984"/>
      <c r="D445" s="1984"/>
      <c r="E445" s="1984"/>
      <c r="F445" s="2033"/>
      <c r="G445" s="2033"/>
      <c r="H445" s="2193"/>
      <c r="I445" s="4233"/>
      <c r="J445" s="3957"/>
      <c r="K445" s="4233"/>
      <c r="L445" s="1996"/>
      <c r="M445" s="1996"/>
    </row>
    <row r="446" spans="3:13">
      <c r="C446" s="1984"/>
      <c r="D446" s="1984"/>
      <c r="E446" s="1984"/>
      <c r="F446" s="2033"/>
      <c r="G446" s="2033"/>
      <c r="H446" s="2193"/>
      <c r="I446" s="4233"/>
      <c r="J446" s="3957"/>
      <c r="K446" s="4233"/>
      <c r="L446" s="1996"/>
      <c r="M446" s="1996"/>
    </row>
    <row r="447" spans="3:13">
      <c r="C447" s="1984"/>
      <c r="D447" s="1984"/>
      <c r="E447" s="1984"/>
      <c r="F447" s="2033"/>
      <c r="G447" s="2033"/>
      <c r="H447" s="2193"/>
      <c r="I447" s="4233"/>
      <c r="J447" s="3957"/>
      <c r="K447" s="4233"/>
      <c r="L447" s="1996"/>
      <c r="M447" s="1996"/>
    </row>
    <row r="448" spans="3:13">
      <c r="C448" s="1984"/>
      <c r="D448" s="1984"/>
      <c r="E448" s="1984"/>
      <c r="F448" s="2033"/>
      <c r="G448" s="2033"/>
      <c r="H448" s="2193"/>
      <c r="I448" s="4233"/>
      <c r="J448" s="3957"/>
      <c r="K448" s="4233"/>
      <c r="L448" s="1996"/>
      <c r="M448" s="1996"/>
    </row>
    <row r="449" spans="2:23">
      <c r="C449" s="1984"/>
      <c r="D449" s="1984"/>
      <c r="E449" s="1984"/>
      <c r="F449" s="2033"/>
      <c r="G449" s="2033"/>
      <c r="H449" s="2193"/>
      <c r="I449" s="4233"/>
      <c r="J449" s="3957"/>
      <c r="K449" s="4233"/>
      <c r="L449" s="1996"/>
      <c r="M449" s="1996"/>
    </row>
    <row r="450" spans="2:23">
      <c r="C450" s="1984"/>
      <c r="D450" s="1984"/>
      <c r="E450" s="1984"/>
      <c r="F450" s="2033"/>
      <c r="G450" s="2033"/>
      <c r="H450" s="2193"/>
      <c r="I450" s="4233"/>
      <c r="J450" s="3957"/>
      <c r="K450" s="4233"/>
      <c r="L450" s="1996"/>
      <c r="M450" s="1996"/>
    </row>
    <row r="451" spans="2:23">
      <c r="C451" s="1984"/>
      <c r="D451" s="1984"/>
      <c r="E451" s="1984"/>
      <c r="F451" s="2033"/>
      <c r="G451" s="2033"/>
      <c r="H451" s="2193"/>
      <c r="I451" s="4233"/>
      <c r="J451" s="3957"/>
      <c r="K451" s="4233"/>
      <c r="L451" s="1996"/>
      <c r="M451" s="1996"/>
    </row>
    <row r="452" spans="2:23">
      <c r="C452" s="1984"/>
      <c r="D452" s="1984"/>
      <c r="E452" s="1984"/>
      <c r="F452" s="2033"/>
      <c r="G452" s="2033"/>
      <c r="H452" s="2193"/>
      <c r="I452" s="4233"/>
      <c r="J452" s="3957"/>
      <c r="K452" s="4233"/>
      <c r="L452" s="1996"/>
      <c r="M452" s="1996"/>
    </row>
    <row r="453" spans="2:23">
      <c r="C453" s="1984"/>
      <c r="D453" s="1984"/>
      <c r="E453" s="1984"/>
      <c r="F453" s="2033"/>
      <c r="G453" s="2033"/>
      <c r="H453" s="2193"/>
      <c r="I453" s="4233"/>
      <c r="J453" s="3957"/>
      <c r="K453" s="4233"/>
      <c r="L453" s="1996"/>
      <c r="M453" s="1996"/>
    </row>
    <row r="454" spans="2:23">
      <c r="C454" s="1984"/>
      <c r="D454" s="1984"/>
      <c r="E454" s="1984"/>
      <c r="F454" s="2033"/>
      <c r="G454" s="2033"/>
      <c r="H454" s="2193"/>
      <c r="I454" s="4233"/>
      <c r="J454" s="3957"/>
      <c r="K454" s="4233"/>
      <c r="L454" s="1996"/>
      <c r="M454" s="1996"/>
    </row>
    <row r="455" spans="2:23">
      <c r="C455" s="1984"/>
      <c r="D455" s="1984"/>
      <c r="E455" s="1984"/>
      <c r="F455" s="2033"/>
      <c r="G455" s="2033"/>
      <c r="H455" s="2193"/>
      <c r="I455" s="4233"/>
      <c r="J455" s="3957"/>
      <c r="K455" s="4233"/>
      <c r="L455" s="1996"/>
      <c r="M455" s="1996"/>
    </row>
    <row r="456" spans="2:23">
      <c r="C456" s="1984"/>
      <c r="D456" s="1984"/>
      <c r="E456" s="1984"/>
      <c r="F456" s="2033"/>
      <c r="G456" s="2033"/>
      <c r="H456" s="2193"/>
      <c r="I456" s="4233"/>
      <c r="J456" s="3957"/>
      <c r="K456" s="4233"/>
      <c r="L456" s="1996"/>
      <c r="M456" s="1996"/>
    </row>
    <row r="457" spans="2:23">
      <c r="C457" s="2192"/>
      <c r="D457" s="2192"/>
      <c r="E457" s="2192"/>
      <c r="F457" s="2192"/>
      <c r="G457" s="2192"/>
      <c r="H457" s="2193"/>
      <c r="I457" s="2200">
        <f>SUM(K457:M457)</f>
        <v>0</v>
      </c>
      <c r="J457" s="2199"/>
      <c r="K457" s="2201"/>
      <c r="L457" s="2201"/>
      <c r="M457" s="2201"/>
      <c r="R457">
        <v>11000</v>
      </c>
    </row>
    <row r="458" spans="2:23" s="152" customFormat="1">
      <c r="B458" s="4627"/>
      <c r="C458" s="2203"/>
      <c r="D458" s="2203"/>
      <c r="E458" s="2203"/>
      <c r="F458" s="2203"/>
      <c r="G458" s="2203"/>
      <c r="H458" s="2203"/>
      <c r="I458" s="2204">
        <f>SUM(I388:I457)</f>
        <v>7727500</v>
      </c>
      <c r="J458" s="2199"/>
      <c r="K458" s="2204">
        <f>SUM(K388:K457)</f>
        <v>7727500</v>
      </c>
      <c r="L458" s="2204"/>
      <c r="M458" s="2204"/>
      <c r="O458"/>
      <c r="P458"/>
      <c r="Q458"/>
      <c r="R458"/>
      <c r="S458"/>
      <c r="T458"/>
      <c r="U458"/>
      <c r="V458"/>
      <c r="W458"/>
    </row>
    <row r="460" spans="2:23" s="152" customFormat="1">
      <c r="B460" s="4627"/>
      <c r="C460"/>
      <c r="D460"/>
      <c r="E460"/>
      <c r="F460"/>
      <c r="G460"/>
      <c r="H460"/>
      <c r="I460" s="84"/>
      <c r="J460"/>
      <c r="K460" s="84"/>
      <c r="L460"/>
      <c r="M460" s="78"/>
      <c r="O460"/>
      <c r="P460"/>
      <c r="Q460"/>
      <c r="R460"/>
      <c r="S460"/>
      <c r="T460"/>
      <c r="U460"/>
      <c r="V460"/>
      <c r="W460"/>
    </row>
  </sheetData>
  <autoFilter ref="A170:W339" xr:uid="{34A192B1-81F0-4FC0-97F9-946F07D61EF1}">
    <filterColumn colId="0">
      <filters>
        <filter val="1"/>
      </filters>
    </filterColumn>
  </autoFilter>
  <mergeCells count="44">
    <mergeCell ref="H39:H40"/>
    <mergeCell ref="C39:C40"/>
    <mergeCell ref="D39:D40"/>
    <mergeCell ref="E39:E40"/>
    <mergeCell ref="F39:F40"/>
    <mergeCell ref="G39:G40"/>
    <mergeCell ref="N55:R55"/>
    <mergeCell ref="C87:C88"/>
    <mergeCell ref="D87:D88"/>
    <mergeCell ref="E87:E88"/>
    <mergeCell ref="F87:F88"/>
    <mergeCell ref="G87:G88"/>
    <mergeCell ref="H87:H88"/>
    <mergeCell ref="I87:I88"/>
    <mergeCell ref="H386:H387"/>
    <mergeCell ref="I386:I387"/>
    <mergeCell ref="K386:M386"/>
    <mergeCell ref="C353:C354"/>
    <mergeCell ref="D353:D354"/>
    <mergeCell ref="E353:E354"/>
    <mergeCell ref="F353:F354"/>
    <mergeCell ref="G353:G354"/>
    <mergeCell ref="H353:H354"/>
    <mergeCell ref="C386:C387"/>
    <mergeCell ref="D386:D387"/>
    <mergeCell ref="E386:E387"/>
    <mergeCell ref="F386:F387"/>
    <mergeCell ref="G386:G387"/>
    <mergeCell ref="B39:B40"/>
    <mergeCell ref="B87:B88"/>
    <mergeCell ref="N173:R173"/>
    <mergeCell ref="I353:I354"/>
    <mergeCell ref="K353:M353"/>
    <mergeCell ref="K87:M87"/>
    <mergeCell ref="C169:C170"/>
    <mergeCell ref="D169:D170"/>
    <mergeCell ref="E169:E170"/>
    <mergeCell ref="F169:F170"/>
    <mergeCell ref="G169:G170"/>
    <mergeCell ref="H169:H170"/>
    <mergeCell ref="I169:I170"/>
    <mergeCell ref="K169:M169"/>
    <mergeCell ref="I39:I40"/>
    <mergeCell ref="K39:M39"/>
  </mergeCells>
  <pageMargins left="0.25" right="0.25" top="0.75" bottom="0.75" header="0.3" footer="0.3"/>
  <pageSetup paperSize="9" scale="12" orientation="portrait" r:id="rId1"/>
  <rowBreaks count="2" manualBreakCount="2">
    <brk id="38" max="16383" man="1"/>
    <brk id="85"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apa10">
    <tabColor rgb="FF92D050"/>
    <pageSetUpPr fitToPage="1"/>
  </sheetPr>
  <dimension ref="A1:L275"/>
  <sheetViews>
    <sheetView tabSelected="1" zoomScaleNormal="100" zoomScaleSheetLayoutView="80" workbookViewId="0">
      <pane xSplit="4" ySplit="5" topLeftCell="E6" activePane="bottomRight" state="frozen"/>
      <selection activeCell="C1" sqref="C1"/>
      <selection pane="topRight" activeCell="E1" sqref="E1"/>
      <selection pane="bottomLeft" activeCell="C6" sqref="C6"/>
      <selection pane="bottomRight" activeCell="H2" sqref="H2"/>
    </sheetView>
  </sheetViews>
  <sheetFormatPr defaultRowHeight="15" outlineLevelRow="1" outlineLevelCol="2"/>
  <cols>
    <col min="1" max="1" width="7.85546875" style="87" hidden="1" customWidth="1" outlineLevel="2"/>
    <col min="2" max="2" width="11.42578125" style="87" hidden="1" customWidth="1" outlineLevel="2"/>
    <col min="3" max="3" width="15" style="89" customWidth="1" collapsed="1"/>
    <col min="4" max="4" width="48.5703125" style="4634" customWidth="1"/>
    <col min="5" max="5" width="14.85546875" style="87" customWidth="1" outlineLevel="2"/>
    <col min="6" max="6" width="16.5703125" style="87" customWidth="1" outlineLevel="2"/>
    <col min="7" max="8" width="14.85546875" style="113" customWidth="1" outlineLevel="2"/>
    <col min="9" max="9" width="14.85546875" style="87" customWidth="1" outlineLevel="2"/>
    <col min="10" max="10" width="14.85546875" style="113" customWidth="1" outlineLevel="2"/>
    <col min="11" max="11" width="14.85546875" style="87" customWidth="1" outlineLevel="2"/>
    <col min="12" max="12" width="14.85546875" style="113" customWidth="1" outlineLevel="1"/>
    <col min="13" max="165" width="9" style="87"/>
    <col min="166" max="167" width="0" style="87" hidden="1" customWidth="1"/>
    <col min="168" max="168" width="13.7109375" style="87" customWidth="1"/>
    <col min="169" max="169" width="52.85546875" style="87" customWidth="1"/>
    <col min="170" max="209" width="0" style="87" hidden="1" customWidth="1"/>
    <col min="210" max="211" width="14.85546875" style="87" customWidth="1"/>
    <col min="212" max="213" width="0" style="87" hidden="1" customWidth="1"/>
    <col min="214" max="214" width="14.85546875" style="87" customWidth="1"/>
    <col min="215" max="216" width="0" style="87" hidden="1" customWidth="1"/>
    <col min="217" max="217" width="14.85546875" style="87" customWidth="1"/>
    <col min="218" max="219" width="0" style="87" hidden="1" customWidth="1"/>
    <col min="220" max="220" width="14.85546875" style="87" customWidth="1"/>
    <col min="221" max="222" width="0" style="87" hidden="1" customWidth="1"/>
    <col min="223" max="223" width="14.85546875" style="87" customWidth="1"/>
    <col min="224" max="225" width="0" style="87" hidden="1" customWidth="1"/>
    <col min="226" max="227" width="14.85546875" style="87" customWidth="1"/>
    <col min="228" max="228" width="44.42578125" style="87" customWidth="1"/>
    <col min="229" max="233" width="14.85546875" style="87" customWidth="1"/>
    <col min="234" max="234" width="63.85546875" style="87" customWidth="1"/>
    <col min="235" max="235" width="13.28515625" style="87" customWidth="1"/>
    <col min="236" max="421" width="9" style="87"/>
    <col min="422" max="423" width="0" style="87" hidden="1" customWidth="1"/>
    <col min="424" max="424" width="13.7109375" style="87" customWidth="1"/>
    <col min="425" max="425" width="52.85546875" style="87" customWidth="1"/>
    <col min="426" max="465" width="0" style="87" hidden="1" customWidth="1"/>
    <col min="466" max="467" width="14.85546875" style="87" customWidth="1"/>
    <col min="468" max="469" width="0" style="87" hidden="1" customWidth="1"/>
    <col min="470" max="470" width="14.85546875" style="87" customWidth="1"/>
    <col min="471" max="472" width="0" style="87" hidden="1" customWidth="1"/>
    <col min="473" max="473" width="14.85546875" style="87" customWidth="1"/>
    <col min="474" max="475" width="0" style="87" hidden="1" customWidth="1"/>
    <col min="476" max="476" width="14.85546875" style="87" customWidth="1"/>
    <col min="477" max="478" width="0" style="87" hidden="1" customWidth="1"/>
    <col min="479" max="479" width="14.85546875" style="87" customWidth="1"/>
    <col min="480" max="481" width="0" style="87" hidden="1" customWidth="1"/>
    <col min="482" max="483" width="14.85546875" style="87" customWidth="1"/>
    <col min="484" max="484" width="44.42578125" style="87" customWidth="1"/>
    <col min="485" max="489" width="14.85546875" style="87" customWidth="1"/>
    <col min="490" max="490" width="63.85546875" style="87" customWidth="1"/>
    <col min="491" max="491" width="13.28515625" style="87" customWidth="1"/>
    <col min="492" max="677" width="9" style="87"/>
    <col min="678" max="679" width="0" style="87" hidden="1" customWidth="1"/>
    <col min="680" max="680" width="13.7109375" style="87" customWidth="1"/>
    <col min="681" max="681" width="52.85546875" style="87" customWidth="1"/>
    <col min="682" max="721" width="0" style="87" hidden="1" customWidth="1"/>
    <col min="722" max="723" width="14.85546875" style="87" customWidth="1"/>
    <col min="724" max="725" width="0" style="87" hidden="1" customWidth="1"/>
    <col min="726" max="726" width="14.85546875" style="87" customWidth="1"/>
    <col min="727" max="728" width="0" style="87" hidden="1" customWidth="1"/>
    <col min="729" max="729" width="14.85546875" style="87" customWidth="1"/>
    <col min="730" max="731" width="0" style="87" hidden="1" customWidth="1"/>
    <col min="732" max="732" width="14.85546875" style="87" customWidth="1"/>
    <col min="733" max="734" width="0" style="87" hidden="1" customWidth="1"/>
    <col min="735" max="735" width="14.85546875" style="87" customWidth="1"/>
    <col min="736" max="737" width="0" style="87" hidden="1" customWidth="1"/>
    <col min="738" max="739" width="14.85546875" style="87" customWidth="1"/>
    <col min="740" max="740" width="44.42578125" style="87" customWidth="1"/>
    <col min="741" max="745" width="14.85546875" style="87" customWidth="1"/>
    <col min="746" max="746" width="63.85546875" style="87" customWidth="1"/>
    <col min="747" max="747" width="13.28515625" style="87" customWidth="1"/>
    <col min="748" max="933" width="9" style="87"/>
    <col min="934" max="935" width="0" style="87" hidden="1" customWidth="1"/>
    <col min="936" max="936" width="13.7109375" style="87" customWidth="1"/>
    <col min="937" max="937" width="52.85546875" style="87" customWidth="1"/>
    <col min="938" max="977" width="0" style="87" hidden="1" customWidth="1"/>
    <col min="978" max="979" width="14.85546875" style="87" customWidth="1"/>
    <col min="980" max="981" width="0" style="87" hidden="1" customWidth="1"/>
    <col min="982" max="982" width="14.85546875" style="87" customWidth="1"/>
    <col min="983" max="984" width="0" style="87" hidden="1" customWidth="1"/>
    <col min="985" max="985" width="14.85546875" style="87" customWidth="1"/>
    <col min="986" max="987" width="0" style="87" hidden="1" customWidth="1"/>
    <col min="988" max="988" width="14.85546875" style="87" customWidth="1"/>
    <col min="989" max="990" width="0" style="87" hidden="1" customWidth="1"/>
    <col min="991" max="991" width="14.85546875" style="87" customWidth="1"/>
    <col min="992" max="993" width="0" style="87" hidden="1" customWidth="1"/>
    <col min="994" max="995" width="14.85546875" style="87" customWidth="1"/>
    <col min="996" max="996" width="44.42578125" style="87" customWidth="1"/>
    <col min="997" max="1001" width="14.85546875" style="87" customWidth="1"/>
    <col min="1002" max="1002" width="63.85546875" style="87" customWidth="1"/>
    <col min="1003" max="1003" width="13.28515625" style="87" customWidth="1"/>
    <col min="1004" max="1189" width="9" style="87"/>
    <col min="1190" max="1191" width="0" style="87" hidden="1" customWidth="1"/>
    <col min="1192" max="1192" width="13.7109375" style="87" customWidth="1"/>
    <col min="1193" max="1193" width="52.85546875" style="87" customWidth="1"/>
    <col min="1194" max="1233" width="0" style="87" hidden="1" customWidth="1"/>
    <col min="1234" max="1235" width="14.85546875" style="87" customWidth="1"/>
    <col min="1236" max="1237" width="0" style="87" hidden="1" customWidth="1"/>
    <col min="1238" max="1238" width="14.85546875" style="87" customWidth="1"/>
    <col min="1239" max="1240" width="0" style="87" hidden="1" customWidth="1"/>
    <col min="1241" max="1241" width="14.85546875" style="87" customWidth="1"/>
    <col min="1242" max="1243" width="0" style="87" hidden="1" customWidth="1"/>
    <col min="1244" max="1244" width="14.85546875" style="87" customWidth="1"/>
    <col min="1245" max="1246" width="0" style="87" hidden="1" customWidth="1"/>
    <col min="1247" max="1247" width="14.85546875" style="87" customWidth="1"/>
    <col min="1248" max="1249" width="0" style="87" hidden="1" customWidth="1"/>
    <col min="1250" max="1251" width="14.85546875" style="87" customWidth="1"/>
    <col min="1252" max="1252" width="44.42578125" style="87" customWidth="1"/>
    <col min="1253" max="1257" width="14.85546875" style="87" customWidth="1"/>
    <col min="1258" max="1258" width="63.85546875" style="87" customWidth="1"/>
    <col min="1259" max="1259" width="13.28515625" style="87" customWidth="1"/>
    <col min="1260" max="1445" width="9" style="87"/>
    <col min="1446" max="1447" width="0" style="87" hidden="1" customWidth="1"/>
    <col min="1448" max="1448" width="13.7109375" style="87" customWidth="1"/>
    <col min="1449" max="1449" width="52.85546875" style="87" customWidth="1"/>
    <col min="1450" max="1489" width="0" style="87" hidden="1" customWidth="1"/>
    <col min="1490" max="1491" width="14.85546875" style="87" customWidth="1"/>
    <col min="1492" max="1493" width="0" style="87" hidden="1" customWidth="1"/>
    <col min="1494" max="1494" width="14.85546875" style="87" customWidth="1"/>
    <col min="1495" max="1496" width="0" style="87" hidden="1" customWidth="1"/>
    <col min="1497" max="1497" width="14.85546875" style="87" customWidth="1"/>
    <col min="1498" max="1499" width="0" style="87" hidden="1" customWidth="1"/>
    <col min="1500" max="1500" width="14.85546875" style="87" customWidth="1"/>
    <col min="1501" max="1502" width="0" style="87" hidden="1" customWidth="1"/>
    <col min="1503" max="1503" width="14.85546875" style="87" customWidth="1"/>
    <col min="1504" max="1505" width="0" style="87" hidden="1" customWidth="1"/>
    <col min="1506" max="1507" width="14.85546875" style="87" customWidth="1"/>
    <col min="1508" max="1508" width="44.42578125" style="87" customWidth="1"/>
    <col min="1509" max="1513" width="14.85546875" style="87" customWidth="1"/>
    <col min="1514" max="1514" width="63.85546875" style="87" customWidth="1"/>
    <col min="1515" max="1515" width="13.28515625" style="87" customWidth="1"/>
    <col min="1516" max="1701" width="9" style="87"/>
    <col min="1702" max="1703" width="0" style="87" hidden="1" customWidth="1"/>
    <col min="1704" max="1704" width="13.7109375" style="87" customWidth="1"/>
    <col min="1705" max="1705" width="52.85546875" style="87" customWidth="1"/>
    <col min="1706" max="1745" width="0" style="87" hidden="1" customWidth="1"/>
    <col min="1746" max="1747" width="14.85546875" style="87" customWidth="1"/>
    <col min="1748" max="1749" width="0" style="87" hidden="1" customWidth="1"/>
    <col min="1750" max="1750" width="14.85546875" style="87" customWidth="1"/>
    <col min="1751" max="1752" width="0" style="87" hidden="1" customWidth="1"/>
    <col min="1753" max="1753" width="14.85546875" style="87" customWidth="1"/>
    <col min="1754" max="1755" width="0" style="87" hidden="1" customWidth="1"/>
    <col min="1756" max="1756" width="14.85546875" style="87" customWidth="1"/>
    <col min="1757" max="1758" width="0" style="87" hidden="1" customWidth="1"/>
    <col min="1759" max="1759" width="14.85546875" style="87" customWidth="1"/>
    <col min="1760" max="1761" width="0" style="87" hidden="1" customWidth="1"/>
    <col min="1762" max="1763" width="14.85546875" style="87" customWidth="1"/>
    <col min="1764" max="1764" width="44.42578125" style="87" customWidth="1"/>
    <col min="1765" max="1769" width="14.85546875" style="87" customWidth="1"/>
    <col min="1770" max="1770" width="63.85546875" style="87" customWidth="1"/>
    <col min="1771" max="1771" width="13.28515625" style="87" customWidth="1"/>
    <col min="1772" max="1957" width="9" style="87"/>
    <col min="1958" max="1959" width="0" style="87" hidden="1" customWidth="1"/>
    <col min="1960" max="1960" width="13.7109375" style="87" customWidth="1"/>
    <col min="1961" max="1961" width="52.85546875" style="87" customWidth="1"/>
    <col min="1962" max="2001" width="0" style="87" hidden="1" customWidth="1"/>
    <col min="2002" max="2003" width="14.85546875" style="87" customWidth="1"/>
    <col min="2004" max="2005" width="0" style="87" hidden="1" customWidth="1"/>
    <col min="2006" max="2006" width="14.85546875" style="87" customWidth="1"/>
    <col min="2007" max="2008" width="0" style="87" hidden="1" customWidth="1"/>
    <col min="2009" max="2009" width="14.85546875" style="87" customWidth="1"/>
    <col min="2010" max="2011" width="0" style="87" hidden="1" customWidth="1"/>
    <col min="2012" max="2012" width="14.85546875" style="87" customWidth="1"/>
    <col min="2013" max="2014" width="0" style="87" hidden="1" customWidth="1"/>
    <col min="2015" max="2015" width="14.85546875" style="87" customWidth="1"/>
    <col min="2016" max="2017" width="0" style="87" hidden="1" customWidth="1"/>
    <col min="2018" max="2019" width="14.85546875" style="87" customWidth="1"/>
    <col min="2020" max="2020" width="44.42578125" style="87" customWidth="1"/>
    <col min="2021" max="2025" width="14.85546875" style="87" customWidth="1"/>
    <col min="2026" max="2026" width="63.85546875" style="87" customWidth="1"/>
    <col min="2027" max="2027" width="13.28515625" style="87" customWidth="1"/>
    <col min="2028" max="2213" width="9" style="87"/>
    <col min="2214" max="2215" width="0" style="87" hidden="1" customWidth="1"/>
    <col min="2216" max="2216" width="13.7109375" style="87" customWidth="1"/>
    <col min="2217" max="2217" width="52.85546875" style="87" customWidth="1"/>
    <col min="2218" max="2257" width="0" style="87" hidden="1" customWidth="1"/>
    <col min="2258" max="2259" width="14.85546875" style="87" customWidth="1"/>
    <col min="2260" max="2261" width="0" style="87" hidden="1" customWidth="1"/>
    <col min="2262" max="2262" width="14.85546875" style="87" customWidth="1"/>
    <col min="2263" max="2264" width="0" style="87" hidden="1" customWidth="1"/>
    <col min="2265" max="2265" width="14.85546875" style="87" customWidth="1"/>
    <col min="2266" max="2267" width="0" style="87" hidden="1" customWidth="1"/>
    <col min="2268" max="2268" width="14.85546875" style="87" customWidth="1"/>
    <col min="2269" max="2270" width="0" style="87" hidden="1" customWidth="1"/>
    <col min="2271" max="2271" width="14.85546875" style="87" customWidth="1"/>
    <col min="2272" max="2273" width="0" style="87" hidden="1" customWidth="1"/>
    <col min="2274" max="2275" width="14.85546875" style="87" customWidth="1"/>
    <col min="2276" max="2276" width="44.42578125" style="87" customWidth="1"/>
    <col min="2277" max="2281" width="14.85546875" style="87" customWidth="1"/>
    <col min="2282" max="2282" width="63.85546875" style="87" customWidth="1"/>
    <col min="2283" max="2283" width="13.28515625" style="87" customWidth="1"/>
    <col min="2284" max="2469" width="9" style="87"/>
    <col min="2470" max="2471" width="0" style="87" hidden="1" customWidth="1"/>
    <col min="2472" max="2472" width="13.7109375" style="87" customWidth="1"/>
    <col min="2473" max="2473" width="52.85546875" style="87" customWidth="1"/>
    <col min="2474" max="2513" width="0" style="87" hidden="1" customWidth="1"/>
    <col min="2514" max="2515" width="14.85546875" style="87" customWidth="1"/>
    <col min="2516" max="2517" width="0" style="87" hidden="1" customWidth="1"/>
    <col min="2518" max="2518" width="14.85546875" style="87" customWidth="1"/>
    <col min="2519" max="2520" width="0" style="87" hidden="1" customWidth="1"/>
    <col min="2521" max="2521" width="14.85546875" style="87" customWidth="1"/>
    <col min="2522" max="2523" width="0" style="87" hidden="1" customWidth="1"/>
    <col min="2524" max="2524" width="14.85546875" style="87" customWidth="1"/>
    <col min="2525" max="2526" width="0" style="87" hidden="1" customWidth="1"/>
    <col min="2527" max="2527" width="14.85546875" style="87" customWidth="1"/>
    <col min="2528" max="2529" width="0" style="87" hidden="1" customWidth="1"/>
    <col min="2530" max="2531" width="14.85546875" style="87" customWidth="1"/>
    <col min="2532" max="2532" width="44.42578125" style="87" customWidth="1"/>
    <col min="2533" max="2537" width="14.85546875" style="87" customWidth="1"/>
    <col min="2538" max="2538" width="63.85546875" style="87" customWidth="1"/>
    <col min="2539" max="2539" width="13.28515625" style="87" customWidth="1"/>
    <col min="2540" max="2725" width="9" style="87"/>
    <col min="2726" max="2727" width="0" style="87" hidden="1" customWidth="1"/>
    <col min="2728" max="2728" width="13.7109375" style="87" customWidth="1"/>
    <col min="2729" max="2729" width="52.85546875" style="87" customWidth="1"/>
    <col min="2730" max="2769" width="0" style="87" hidden="1" customWidth="1"/>
    <col min="2770" max="2771" width="14.85546875" style="87" customWidth="1"/>
    <col min="2772" max="2773" width="0" style="87" hidden="1" customWidth="1"/>
    <col min="2774" max="2774" width="14.85546875" style="87" customWidth="1"/>
    <col min="2775" max="2776" width="0" style="87" hidden="1" customWidth="1"/>
    <col min="2777" max="2777" width="14.85546875" style="87" customWidth="1"/>
    <col min="2778" max="2779" width="0" style="87" hidden="1" customWidth="1"/>
    <col min="2780" max="2780" width="14.85546875" style="87" customWidth="1"/>
    <col min="2781" max="2782" width="0" style="87" hidden="1" customWidth="1"/>
    <col min="2783" max="2783" width="14.85546875" style="87" customWidth="1"/>
    <col min="2784" max="2785" width="0" style="87" hidden="1" customWidth="1"/>
    <col min="2786" max="2787" width="14.85546875" style="87" customWidth="1"/>
    <col min="2788" max="2788" width="44.42578125" style="87" customWidth="1"/>
    <col min="2789" max="2793" width="14.85546875" style="87" customWidth="1"/>
    <col min="2794" max="2794" width="63.85546875" style="87" customWidth="1"/>
    <col min="2795" max="2795" width="13.28515625" style="87" customWidth="1"/>
    <col min="2796" max="2981" width="9" style="87"/>
    <col min="2982" max="2983" width="0" style="87" hidden="1" customWidth="1"/>
    <col min="2984" max="2984" width="13.7109375" style="87" customWidth="1"/>
    <col min="2985" max="2985" width="52.85546875" style="87" customWidth="1"/>
    <col min="2986" max="3025" width="0" style="87" hidden="1" customWidth="1"/>
    <col min="3026" max="3027" width="14.85546875" style="87" customWidth="1"/>
    <col min="3028" max="3029" width="0" style="87" hidden="1" customWidth="1"/>
    <col min="3030" max="3030" width="14.85546875" style="87" customWidth="1"/>
    <col min="3031" max="3032" width="0" style="87" hidden="1" customWidth="1"/>
    <col min="3033" max="3033" width="14.85546875" style="87" customWidth="1"/>
    <col min="3034" max="3035" width="0" style="87" hidden="1" customWidth="1"/>
    <col min="3036" max="3036" width="14.85546875" style="87" customWidth="1"/>
    <col min="3037" max="3038" width="0" style="87" hidden="1" customWidth="1"/>
    <col min="3039" max="3039" width="14.85546875" style="87" customWidth="1"/>
    <col min="3040" max="3041" width="0" style="87" hidden="1" customWidth="1"/>
    <col min="3042" max="3043" width="14.85546875" style="87" customWidth="1"/>
    <col min="3044" max="3044" width="44.42578125" style="87" customWidth="1"/>
    <col min="3045" max="3049" width="14.85546875" style="87" customWidth="1"/>
    <col min="3050" max="3050" width="63.85546875" style="87" customWidth="1"/>
    <col min="3051" max="3051" width="13.28515625" style="87" customWidth="1"/>
    <col min="3052" max="3237" width="9" style="87"/>
    <col min="3238" max="3239" width="0" style="87" hidden="1" customWidth="1"/>
    <col min="3240" max="3240" width="13.7109375" style="87" customWidth="1"/>
    <col min="3241" max="3241" width="52.85546875" style="87" customWidth="1"/>
    <col min="3242" max="3281" width="0" style="87" hidden="1" customWidth="1"/>
    <col min="3282" max="3283" width="14.85546875" style="87" customWidth="1"/>
    <col min="3284" max="3285" width="0" style="87" hidden="1" customWidth="1"/>
    <col min="3286" max="3286" width="14.85546875" style="87" customWidth="1"/>
    <col min="3287" max="3288" width="0" style="87" hidden="1" customWidth="1"/>
    <col min="3289" max="3289" width="14.85546875" style="87" customWidth="1"/>
    <col min="3290" max="3291" width="0" style="87" hidden="1" customWidth="1"/>
    <col min="3292" max="3292" width="14.85546875" style="87" customWidth="1"/>
    <col min="3293" max="3294" width="0" style="87" hidden="1" customWidth="1"/>
    <col min="3295" max="3295" width="14.85546875" style="87" customWidth="1"/>
    <col min="3296" max="3297" width="0" style="87" hidden="1" customWidth="1"/>
    <col min="3298" max="3299" width="14.85546875" style="87" customWidth="1"/>
    <col min="3300" max="3300" width="44.42578125" style="87" customWidth="1"/>
    <col min="3301" max="3305" width="14.85546875" style="87" customWidth="1"/>
    <col min="3306" max="3306" width="63.85546875" style="87" customWidth="1"/>
    <col min="3307" max="3307" width="13.28515625" style="87" customWidth="1"/>
    <col min="3308" max="3493" width="9" style="87"/>
    <col min="3494" max="3495" width="0" style="87" hidden="1" customWidth="1"/>
    <col min="3496" max="3496" width="13.7109375" style="87" customWidth="1"/>
    <col min="3497" max="3497" width="52.85546875" style="87" customWidth="1"/>
    <col min="3498" max="3537" width="0" style="87" hidden="1" customWidth="1"/>
    <col min="3538" max="3539" width="14.85546875" style="87" customWidth="1"/>
    <col min="3540" max="3541" width="0" style="87" hidden="1" customWidth="1"/>
    <col min="3542" max="3542" width="14.85546875" style="87" customWidth="1"/>
    <col min="3543" max="3544" width="0" style="87" hidden="1" customWidth="1"/>
    <col min="3545" max="3545" width="14.85546875" style="87" customWidth="1"/>
    <col min="3546" max="3547" width="0" style="87" hidden="1" customWidth="1"/>
    <col min="3548" max="3548" width="14.85546875" style="87" customWidth="1"/>
    <col min="3549" max="3550" width="0" style="87" hidden="1" customWidth="1"/>
    <col min="3551" max="3551" width="14.85546875" style="87" customWidth="1"/>
    <col min="3552" max="3553" width="0" style="87" hidden="1" customWidth="1"/>
    <col min="3554" max="3555" width="14.85546875" style="87" customWidth="1"/>
    <col min="3556" max="3556" width="44.42578125" style="87" customWidth="1"/>
    <col min="3557" max="3561" width="14.85546875" style="87" customWidth="1"/>
    <col min="3562" max="3562" width="63.85546875" style="87" customWidth="1"/>
    <col min="3563" max="3563" width="13.28515625" style="87" customWidth="1"/>
    <col min="3564" max="3749" width="9" style="87"/>
    <col min="3750" max="3751" width="0" style="87" hidden="1" customWidth="1"/>
    <col min="3752" max="3752" width="13.7109375" style="87" customWidth="1"/>
    <col min="3753" max="3753" width="52.85546875" style="87" customWidth="1"/>
    <col min="3754" max="3793" width="0" style="87" hidden="1" customWidth="1"/>
    <col min="3794" max="3795" width="14.85546875" style="87" customWidth="1"/>
    <col min="3796" max="3797" width="0" style="87" hidden="1" customWidth="1"/>
    <col min="3798" max="3798" width="14.85546875" style="87" customWidth="1"/>
    <col min="3799" max="3800" width="0" style="87" hidden="1" customWidth="1"/>
    <col min="3801" max="3801" width="14.85546875" style="87" customWidth="1"/>
    <col min="3802" max="3803" width="0" style="87" hidden="1" customWidth="1"/>
    <col min="3804" max="3804" width="14.85546875" style="87" customWidth="1"/>
    <col min="3805" max="3806" width="0" style="87" hidden="1" customWidth="1"/>
    <col min="3807" max="3807" width="14.85546875" style="87" customWidth="1"/>
    <col min="3808" max="3809" width="0" style="87" hidden="1" customWidth="1"/>
    <col min="3810" max="3811" width="14.85546875" style="87" customWidth="1"/>
    <col min="3812" max="3812" width="44.42578125" style="87" customWidth="1"/>
    <col min="3813" max="3817" width="14.85546875" style="87" customWidth="1"/>
    <col min="3818" max="3818" width="63.85546875" style="87" customWidth="1"/>
    <col min="3819" max="3819" width="13.28515625" style="87" customWidth="1"/>
    <col min="3820" max="4005" width="9" style="87"/>
    <col min="4006" max="4007" width="0" style="87" hidden="1" customWidth="1"/>
    <col min="4008" max="4008" width="13.7109375" style="87" customWidth="1"/>
    <col min="4009" max="4009" width="52.85546875" style="87" customWidth="1"/>
    <col min="4010" max="4049" width="0" style="87" hidden="1" customWidth="1"/>
    <col min="4050" max="4051" width="14.85546875" style="87" customWidth="1"/>
    <col min="4052" max="4053" width="0" style="87" hidden="1" customWidth="1"/>
    <col min="4054" max="4054" width="14.85546875" style="87" customWidth="1"/>
    <col min="4055" max="4056" width="0" style="87" hidden="1" customWidth="1"/>
    <col min="4057" max="4057" width="14.85546875" style="87" customWidth="1"/>
    <col min="4058" max="4059" width="0" style="87" hidden="1" customWidth="1"/>
    <col min="4060" max="4060" width="14.85546875" style="87" customWidth="1"/>
    <col min="4061" max="4062" width="0" style="87" hidden="1" customWidth="1"/>
    <col min="4063" max="4063" width="14.85546875" style="87" customWidth="1"/>
    <col min="4064" max="4065" width="0" style="87" hidden="1" customWidth="1"/>
    <col min="4066" max="4067" width="14.85546875" style="87" customWidth="1"/>
    <col min="4068" max="4068" width="44.42578125" style="87" customWidth="1"/>
    <col min="4069" max="4073" width="14.85546875" style="87" customWidth="1"/>
    <col min="4074" max="4074" width="63.85546875" style="87" customWidth="1"/>
    <col min="4075" max="4075" width="13.28515625" style="87" customWidth="1"/>
    <col min="4076" max="4261" width="9" style="87"/>
    <col min="4262" max="4263" width="0" style="87" hidden="1" customWidth="1"/>
    <col min="4264" max="4264" width="13.7109375" style="87" customWidth="1"/>
    <col min="4265" max="4265" width="52.85546875" style="87" customWidth="1"/>
    <col min="4266" max="4305" width="0" style="87" hidden="1" customWidth="1"/>
    <col min="4306" max="4307" width="14.85546875" style="87" customWidth="1"/>
    <col min="4308" max="4309" width="0" style="87" hidden="1" customWidth="1"/>
    <col min="4310" max="4310" width="14.85546875" style="87" customWidth="1"/>
    <col min="4311" max="4312" width="0" style="87" hidden="1" customWidth="1"/>
    <col min="4313" max="4313" width="14.85546875" style="87" customWidth="1"/>
    <col min="4314" max="4315" width="0" style="87" hidden="1" customWidth="1"/>
    <col min="4316" max="4316" width="14.85546875" style="87" customWidth="1"/>
    <col min="4317" max="4318" width="0" style="87" hidden="1" customWidth="1"/>
    <col min="4319" max="4319" width="14.85546875" style="87" customWidth="1"/>
    <col min="4320" max="4321" width="0" style="87" hidden="1" customWidth="1"/>
    <col min="4322" max="4323" width="14.85546875" style="87" customWidth="1"/>
    <col min="4324" max="4324" width="44.42578125" style="87" customWidth="1"/>
    <col min="4325" max="4329" width="14.85546875" style="87" customWidth="1"/>
    <col min="4330" max="4330" width="63.85546875" style="87" customWidth="1"/>
    <col min="4331" max="4331" width="13.28515625" style="87" customWidth="1"/>
    <col min="4332" max="4517" width="9" style="87"/>
    <col min="4518" max="4519" width="0" style="87" hidden="1" customWidth="1"/>
    <col min="4520" max="4520" width="13.7109375" style="87" customWidth="1"/>
    <col min="4521" max="4521" width="52.85546875" style="87" customWidth="1"/>
    <col min="4522" max="4561" width="0" style="87" hidden="1" customWidth="1"/>
    <col min="4562" max="4563" width="14.85546875" style="87" customWidth="1"/>
    <col min="4564" max="4565" width="0" style="87" hidden="1" customWidth="1"/>
    <col min="4566" max="4566" width="14.85546875" style="87" customWidth="1"/>
    <col min="4567" max="4568" width="0" style="87" hidden="1" customWidth="1"/>
    <col min="4569" max="4569" width="14.85546875" style="87" customWidth="1"/>
    <col min="4570" max="4571" width="0" style="87" hidden="1" customWidth="1"/>
    <col min="4572" max="4572" width="14.85546875" style="87" customWidth="1"/>
    <col min="4573" max="4574" width="0" style="87" hidden="1" customWidth="1"/>
    <col min="4575" max="4575" width="14.85546875" style="87" customWidth="1"/>
    <col min="4576" max="4577" width="0" style="87" hidden="1" customWidth="1"/>
    <col min="4578" max="4579" width="14.85546875" style="87" customWidth="1"/>
    <col min="4580" max="4580" width="44.42578125" style="87" customWidth="1"/>
    <col min="4581" max="4585" width="14.85546875" style="87" customWidth="1"/>
    <col min="4586" max="4586" width="63.85546875" style="87" customWidth="1"/>
    <col min="4587" max="4587" width="13.28515625" style="87" customWidth="1"/>
    <col min="4588" max="4773" width="9" style="87"/>
    <col min="4774" max="4775" width="0" style="87" hidden="1" customWidth="1"/>
    <col min="4776" max="4776" width="13.7109375" style="87" customWidth="1"/>
    <col min="4777" max="4777" width="52.85546875" style="87" customWidth="1"/>
    <col min="4778" max="4817" width="0" style="87" hidden="1" customWidth="1"/>
    <col min="4818" max="4819" width="14.85546875" style="87" customWidth="1"/>
    <col min="4820" max="4821" width="0" style="87" hidden="1" customWidth="1"/>
    <col min="4822" max="4822" width="14.85546875" style="87" customWidth="1"/>
    <col min="4823" max="4824" width="0" style="87" hidden="1" customWidth="1"/>
    <col min="4825" max="4825" width="14.85546875" style="87" customWidth="1"/>
    <col min="4826" max="4827" width="0" style="87" hidden="1" customWidth="1"/>
    <col min="4828" max="4828" width="14.85546875" style="87" customWidth="1"/>
    <col min="4829" max="4830" width="0" style="87" hidden="1" customWidth="1"/>
    <col min="4831" max="4831" width="14.85546875" style="87" customWidth="1"/>
    <col min="4832" max="4833" width="0" style="87" hidden="1" customWidth="1"/>
    <col min="4834" max="4835" width="14.85546875" style="87" customWidth="1"/>
    <col min="4836" max="4836" width="44.42578125" style="87" customWidth="1"/>
    <col min="4837" max="4841" width="14.85546875" style="87" customWidth="1"/>
    <col min="4842" max="4842" width="63.85546875" style="87" customWidth="1"/>
    <col min="4843" max="4843" width="13.28515625" style="87" customWidth="1"/>
    <col min="4844" max="5029" width="9" style="87"/>
    <col min="5030" max="5031" width="0" style="87" hidden="1" customWidth="1"/>
    <col min="5032" max="5032" width="13.7109375" style="87" customWidth="1"/>
    <col min="5033" max="5033" width="52.85546875" style="87" customWidth="1"/>
    <col min="5034" max="5073" width="0" style="87" hidden="1" customWidth="1"/>
    <col min="5074" max="5075" width="14.85546875" style="87" customWidth="1"/>
    <col min="5076" max="5077" width="0" style="87" hidden="1" customWidth="1"/>
    <col min="5078" max="5078" width="14.85546875" style="87" customWidth="1"/>
    <col min="5079" max="5080" width="0" style="87" hidden="1" customWidth="1"/>
    <col min="5081" max="5081" width="14.85546875" style="87" customWidth="1"/>
    <col min="5082" max="5083" width="0" style="87" hidden="1" customWidth="1"/>
    <col min="5084" max="5084" width="14.85546875" style="87" customWidth="1"/>
    <col min="5085" max="5086" width="0" style="87" hidden="1" customWidth="1"/>
    <col min="5087" max="5087" width="14.85546875" style="87" customWidth="1"/>
    <col min="5088" max="5089" width="0" style="87" hidden="1" customWidth="1"/>
    <col min="5090" max="5091" width="14.85546875" style="87" customWidth="1"/>
    <col min="5092" max="5092" width="44.42578125" style="87" customWidth="1"/>
    <col min="5093" max="5097" width="14.85546875" style="87" customWidth="1"/>
    <col min="5098" max="5098" width="63.85546875" style="87" customWidth="1"/>
    <col min="5099" max="5099" width="13.28515625" style="87" customWidth="1"/>
    <col min="5100" max="5285" width="9" style="87"/>
    <col min="5286" max="5287" width="0" style="87" hidden="1" customWidth="1"/>
    <col min="5288" max="5288" width="13.7109375" style="87" customWidth="1"/>
    <col min="5289" max="5289" width="52.85546875" style="87" customWidth="1"/>
    <col min="5290" max="5329" width="0" style="87" hidden="1" customWidth="1"/>
    <col min="5330" max="5331" width="14.85546875" style="87" customWidth="1"/>
    <col min="5332" max="5333" width="0" style="87" hidden="1" customWidth="1"/>
    <col min="5334" max="5334" width="14.85546875" style="87" customWidth="1"/>
    <col min="5335" max="5336" width="0" style="87" hidden="1" customWidth="1"/>
    <col min="5337" max="5337" width="14.85546875" style="87" customWidth="1"/>
    <col min="5338" max="5339" width="0" style="87" hidden="1" customWidth="1"/>
    <col min="5340" max="5340" width="14.85546875" style="87" customWidth="1"/>
    <col min="5341" max="5342" width="0" style="87" hidden="1" customWidth="1"/>
    <col min="5343" max="5343" width="14.85546875" style="87" customWidth="1"/>
    <col min="5344" max="5345" width="0" style="87" hidden="1" customWidth="1"/>
    <col min="5346" max="5347" width="14.85546875" style="87" customWidth="1"/>
    <col min="5348" max="5348" width="44.42578125" style="87" customWidth="1"/>
    <col min="5349" max="5353" width="14.85546875" style="87" customWidth="1"/>
    <col min="5354" max="5354" width="63.85546875" style="87" customWidth="1"/>
    <col min="5355" max="5355" width="13.28515625" style="87" customWidth="1"/>
    <col min="5356" max="5541" width="9" style="87"/>
    <col min="5542" max="5543" width="0" style="87" hidden="1" customWidth="1"/>
    <col min="5544" max="5544" width="13.7109375" style="87" customWidth="1"/>
    <col min="5545" max="5545" width="52.85546875" style="87" customWidth="1"/>
    <col min="5546" max="5585" width="0" style="87" hidden="1" customWidth="1"/>
    <col min="5586" max="5587" width="14.85546875" style="87" customWidth="1"/>
    <col min="5588" max="5589" width="0" style="87" hidden="1" customWidth="1"/>
    <col min="5590" max="5590" width="14.85546875" style="87" customWidth="1"/>
    <col min="5591" max="5592" width="0" style="87" hidden="1" customWidth="1"/>
    <col min="5593" max="5593" width="14.85546875" style="87" customWidth="1"/>
    <col min="5594" max="5595" width="0" style="87" hidden="1" customWidth="1"/>
    <col min="5596" max="5596" width="14.85546875" style="87" customWidth="1"/>
    <col min="5597" max="5598" width="0" style="87" hidden="1" customWidth="1"/>
    <col min="5599" max="5599" width="14.85546875" style="87" customWidth="1"/>
    <col min="5600" max="5601" width="0" style="87" hidden="1" customWidth="1"/>
    <col min="5602" max="5603" width="14.85546875" style="87" customWidth="1"/>
    <col min="5604" max="5604" width="44.42578125" style="87" customWidth="1"/>
    <col min="5605" max="5609" width="14.85546875" style="87" customWidth="1"/>
    <col min="5610" max="5610" width="63.85546875" style="87" customWidth="1"/>
    <col min="5611" max="5611" width="13.28515625" style="87" customWidth="1"/>
    <col min="5612" max="5797" width="9" style="87"/>
    <col min="5798" max="5799" width="0" style="87" hidden="1" customWidth="1"/>
    <col min="5800" max="5800" width="13.7109375" style="87" customWidth="1"/>
    <col min="5801" max="5801" width="52.85546875" style="87" customWidth="1"/>
    <col min="5802" max="5841" width="0" style="87" hidden="1" customWidth="1"/>
    <col min="5842" max="5843" width="14.85546875" style="87" customWidth="1"/>
    <col min="5844" max="5845" width="0" style="87" hidden="1" customWidth="1"/>
    <col min="5846" max="5846" width="14.85546875" style="87" customWidth="1"/>
    <col min="5847" max="5848" width="0" style="87" hidden="1" customWidth="1"/>
    <col min="5849" max="5849" width="14.85546875" style="87" customWidth="1"/>
    <col min="5850" max="5851" width="0" style="87" hidden="1" customWidth="1"/>
    <col min="5852" max="5852" width="14.85546875" style="87" customWidth="1"/>
    <col min="5853" max="5854" width="0" style="87" hidden="1" customWidth="1"/>
    <col min="5855" max="5855" width="14.85546875" style="87" customWidth="1"/>
    <col min="5856" max="5857" width="0" style="87" hidden="1" customWidth="1"/>
    <col min="5858" max="5859" width="14.85546875" style="87" customWidth="1"/>
    <col min="5860" max="5860" width="44.42578125" style="87" customWidth="1"/>
    <col min="5861" max="5865" width="14.85546875" style="87" customWidth="1"/>
    <col min="5866" max="5866" width="63.85546875" style="87" customWidth="1"/>
    <col min="5867" max="5867" width="13.28515625" style="87" customWidth="1"/>
    <col min="5868" max="6053" width="9" style="87"/>
    <col min="6054" max="6055" width="0" style="87" hidden="1" customWidth="1"/>
    <col min="6056" max="6056" width="13.7109375" style="87" customWidth="1"/>
    <col min="6057" max="6057" width="52.85546875" style="87" customWidth="1"/>
    <col min="6058" max="6097" width="0" style="87" hidden="1" customWidth="1"/>
    <col min="6098" max="6099" width="14.85546875" style="87" customWidth="1"/>
    <col min="6100" max="6101" width="0" style="87" hidden="1" customWidth="1"/>
    <col min="6102" max="6102" width="14.85546875" style="87" customWidth="1"/>
    <col min="6103" max="6104" width="0" style="87" hidden="1" customWidth="1"/>
    <col min="6105" max="6105" width="14.85546875" style="87" customWidth="1"/>
    <col min="6106" max="6107" width="0" style="87" hidden="1" customWidth="1"/>
    <col min="6108" max="6108" width="14.85546875" style="87" customWidth="1"/>
    <col min="6109" max="6110" width="0" style="87" hidden="1" customWidth="1"/>
    <col min="6111" max="6111" width="14.85546875" style="87" customWidth="1"/>
    <col min="6112" max="6113" width="0" style="87" hidden="1" customWidth="1"/>
    <col min="6114" max="6115" width="14.85546875" style="87" customWidth="1"/>
    <col min="6116" max="6116" width="44.42578125" style="87" customWidth="1"/>
    <col min="6117" max="6121" width="14.85546875" style="87" customWidth="1"/>
    <col min="6122" max="6122" width="63.85546875" style="87" customWidth="1"/>
    <col min="6123" max="6123" width="13.28515625" style="87" customWidth="1"/>
    <col min="6124" max="6309" width="9" style="87"/>
    <col min="6310" max="6311" width="0" style="87" hidden="1" customWidth="1"/>
    <col min="6312" max="6312" width="13.7109375" style="87" customWidth="1"/>
    <col min="6313" max="6313" width="52.85546875" style="87" customWidth="1"/>
    <col min="6314" max="6353" width="0" style="87" hidden="1" customWidth="1"/>
    <col min="6354" max="6355" width="14.85546875" style="87" customWidth="1"/>
    <col min="6356" max="6357" width="0" style="87" hidden="1" customWidth="1"/>
    <col min="6358" max="6358" width="14.85546875" style="87" customWidth="1"/>
    <col min="6359" max="6360" width="0" style="87" hidden="1" customWidth="1"/>
    <col min="6361" max="6361" width="14.85546875" style="87" customWidth="1"/>
    <col min="6362" max="6363" width="0" style="87" hidden="1" customWidth="1"/>
    <col min="6364" max="6364" width="14.85546875" style="87" customWidth="1"/>
    <col min="6365" max="6366" width="0" style="87" hidden="1" customWidth="1"/>
    <col min="6367" max="6367" width="14.85546875" style="87" customWidth="1"/>
    <col min="6368" max="6369" width="0" style="87" hidden="1" customWidth="1"/>
    <col min="6370" max="6371" width="14.85546875" style="87" customWidth="1"/>
    <col min="6372" max="6372" width="44.42578125" style="87" customWidth="1"/>
    <col min="6373" max="6377" width="14.85546875" style="87" customWidth="1"/>
    <col min="6378" max="6378" width="63.85546875" style="87" customWidth="1"/>
    <col min="6379" max="6379" width="13.28515625" style="87" customWidth="1"/>
    <col min="6380" max="6565" width="9" style="87"/>
    <col min="6566" max="6567" width="0" style="87" hidden="1" customWidth="1"/>
    <col min="6568" max="6568" width="13.7109375" style="87" customWidth="1"/>
    <col min="6569" max="6569" width="52.85546875" style="87" customWidth="1"/>
    <col min="6570" max="6609" width="0" style="87" hidden="1" customWidth="1"/>
    <col min="6610" max="6611" width="14.85546875" style="87" customWidth="1"/>
    <col min="6612" max="6613" width="0" style="87" hidden="1" customWidth="1"/>
    <col min="6614" max="6614" width="14.85546875" style="87" customWidth="1"/>
    <col min="6615" max="6616" width="0" style="87" hidden="1" customWidth="1"/>
    <col min="6617" max="6617" width="14.85546875" style="87" customWidth="1"/>
    <col min="6618" max="6619" width="0" style="87" hidden="1" customWidth="1"/>
    <col min="6620" max="6620" width="14.85546875" style="87" customWidth="1"/>
    <col min="6621" max="6622" width="0" style="87" hidden="1" customWidth="1"/>
    <col min="6623" max="6623" width="14.85546875" style="87" customWidth="1"/>
    <col min="6624" max="6625" width="0" style="87" hidden="1" customWidth="1"/>
    <col min="6626" max="6627" width="14.85546875" style="87" customWidth="1"/>
    <col min="6628" max="6628" width="44.42578125" style="87" customWidth="1"/>
    <col min="6629" max="6633" width="14.85546875" style="87" customWidth="1"/>
    <col min="6634" max="6634" width="63.85546875" style="87" customWidth="1"/>
    <col min="6635" max="6635" width="13.28515625" style="87" customWidth="1"/>
    <col min="6636" max="6821" width="9" style="87"/>
    <col min="6822" max="6823" width="0" style="87" hidden="1" customWidth="1"/>
    <col min="6824" max="6824" width="13.7109375" style="87" customWidth="1"/>
    <col min="6825" max="6825" width="52.85546875" style="87" customWidth="1"/>
    <col min="6826" max="6865" width="0" style="87" hidden="1" customWidth="1"/>
    <col min="6866" max="6867" width="14.85546875" style="87" customWidth="1"/>
    <col min="6868" max="6869" width="0" style="87" hidden="1" customWidth="1"/>
    <col min="6870" max="6870" width="14.85546875" style="87" customWidth="1"/>
    <col min="6871" max="6872" width="0" style="87" hidden="1" customWidth="1"/>
    <col min="6873" max="6873" width="14.85546875" style="87" customWidth="1"/>
    <col min="6874" max="6875" width="0" style="87" hidden="1" customWidth="1"/>
    <col min="6876" max="6876" width="14.85546875" style="87" customWidth="1"/>
    <col min="6877" max="6878" width="0" style="87" hidden="1" customWidth="1"/>
    <col min="6879" max="6879" width="14.85546875" style="87" customWidth="1"/>
    <col min="6880" max="6881" width="0" style="87" hidden="1" customWidth="1"/>
    <col min="6882" max="6883" width="14.85546875" style="87" customWidth="1"/>
    <col min="6884" max="6884" width="44.42578125" style="87" customWidth="1"/>
    <col min="6885" max="6889" width="14.85546875" style="87" customWidth="1"/>
    <col min="6890" max="6890" width="63.85546875" style="87" customWidth="1"/>
    <col min="6891" max="6891" width="13.28515625" style="87" customWidth="1"/>
    <col min="6892" max="7077" width="9" style="87"/>
    <col min="7078" max="7079" width="0" style="87" hidden="1" customWidth="1"/>
    <col min="7080" max="7080" width="13.7109375" style="87" customWidth="1"/>
    <col min="7081" max="7081" width="52.85546875" style="87" customWidth="1"/>
    <col min="7082" max="7121" width="0" style="87" hidden="1" customWidth="1"/>
    <col min="7122" max="7123" width="14.85546875" style="87" customWidth="1"/>
    <col min="7124" max="7125" width="0" style="87" hidden="1" customWidth="1"/>
    <col min="7126" max="7126" width="14.85546875" style="87" customWidth="1"/>
    <col min="7127" max="7128" width="0" style="87" hidden="1" customWidth="1"/>
    <col min="7129" max="7129" width="14.85546875" style="87" customWidth="1"/>
    <col min="7130" max="7131" width="0" style="87" hidden="1" customWidth="1"/>
    <col min="7132" max="7132" width="14.85546875" style="87" customWidth="1"/>
    <col min="7133" max="7134" width="0" style="87" hidden="1" customWidth="1"/>
    <col min="7135" max="7135" width="14.85546875" style="87" customWidth="1"/>
    <col min="7136" max="7137" width="0" style="87" hidden="1" customWidth="1"/>
    <col min="7138" max="7139" width="14.85546875" style="87" customWidth="1"/>
    <col min="7140" max="7140" width="44.42578125" style="87" customWidth="1"/>
    <col min="7141" max="7145" width="14.85546875" style="87" customWidth="1"/>
    <col min="7146" max="7146" width="63.85546875" style="87" customWidth="1"/>
    <col min="7147" max="7147" width="13.28515625" style="87" customWidth="1"/>
    <col min="7148" max="7333" width="9" style="87"/>
    <col min="7334" max="7335" width="0" style="87" hidden="1" customWidth="1"/>
    <col min="7336" max="7336" width="13.7109375" style="87" customWidth="1"/>
    <col min="7337" max="7337" width="52.85546875" style="87" customWidth="1"/>
    <col min="7338" max="7377" width="0" style="87" hidden="1" customWidth="1"/>
    <col min="7378" max="7379" width="14.85546875" style="87" customWidth="1"/>
    <col min="7380" max="7381" width="0" style="87" hidden="1" customWidth="1"/>
    <col min="7382" max="7382" width="14.85546875" style="87" customWidth="1"/>
    <col min="7383" max="7384" width="0" style="87" hidden="1" customWidth="1"/>
    <col min="7385" max="7385" width="14.85546875" style="87" customWidth="1"/>
    <col min="7386" max="7387" width="0" style="87" hidden="1" customWidth="1"/>
    <col min="7388" max="7388" width="14.85546875" style="87" customWidth="1"/>
    <col min="7389" max="7390" width="0" style="87" hidden="1" customWidth="1"/>
    <col min="7391" max="7391" width="14.85546875" style="87" customWidth="1"/>
    <col min="7392" max="7393" width="0" style="87" hidden="1" customWidth="1"/>
    <col min="7394" max="7395" width="14.85546875" style="87" customWidth="1"/>
    <col min="7396" max="7396" width="44.42578125" style="87" customWidth="1"/>
    <col min="7397" max="7401" width="14.85546875" style="87" customWidth="1"/>
    <col min="7402" max="7402" width="63.85546875" style="87" customWidth="1"/>
    <col min="7403" max="7403" width="13.28515625" style="87" customWidth="1"/>
    <col min="7404" max="7589" width="9" style="87"/>
    <col min="7590" max="7591" width="0" style="87" hidden="1" customWidth="1"/>
    <col min="7592" max="7592" width="13.7109375" style="87" customWidth="1"/>
    <col min="7593" max="7593" width="52.85546875" style="87" customWidth="1"/>
    <col min="7594" max="7633" width="0" style="87" hidden="1" customWidth="1"/>
    <col min="7634" max="7635" width="14.85546875" style="87" customWidth="1"/>
    <col min="7636" max="7637" width="0" style="87" hidden="1" customWidth="1"/>
    <col min="7638" max="7638" width="14.85546875" style="87" customWidth="1"/>
    <col min="7639" max="7640" width="0" style="87" hidden="1" customWidth="1"/>
    <col min="7641" max="7641" width="14.85546875" style="87" customWidth="1"/>
    <col min="7642" max="7643" width="0" style="87" hidden="1" customWidth="1"/>
    <col min="7644" max="7644" width="14.85546875" style="87" customWidth="1"/>
    <col min="7645" max="7646" width="0" style="87" hidden="1" customWidth="1"/>
    <col min="7647" max="7647" width="14.85546875" style="87" customWidth="1"/>
    <col min="7648" max="7649" width="0" style="87" hidden="1" customWidth="1"/>
    <col min="7650" max="7651" width="14.85546875" style="87" customWidth="1"/>
    <col min="7652" max="7652" width="44.42578125" style="87" customWidth="1"/>
    <col min="7653" max="7657" width="14.85546875" style="87" customWidth="1"/>
    <col min="7658" max="7658" width="63.85546875" style="87" customWidth="1"/>
    <col min="7659" max="7659" width="13.28515625" style="87" customWidth="1"/>
    <col min="7660" max="7845" width="9" style="87"/>
    <col min="7846" max="7847" width="0" style="87" hidden="1" customWidth="1"/>
    <col min="7848" max="7848" width="13.7109375" style="87" customWidth="1"/>
    <col min="7849" max="7849" width="52.85546875" style="87" customWidth="1"/>
    <col min="7850" max="7889" width="0" style="87" hidden="1" customWidth="1"/>
    <col min="7890" max="7891" width="14.85546875" style="87" customWidth="1"/>
    <col min="7892" max="7893" width="0" style="87" hidden="1" customWidth="1"/>
    <col min="7894" max="7894" width="14.85546875" style="87" customWidth="1"/>
    <col min="7895" max="7896" width="0" style="87" hidden="1" customWidth="1"/>
    <col min="7897" max="7897" width="14.85546875" style="87" customWidth="1"/>
    <col min="7898" max="7899" width="0" style="87" hidden="1" customWidth="1"/>
    <col min="7900" max="7900" width="14.85546875" style="87" customWidth="1"/>
    <col min="7901" max="7902" width="0" style="87" hidden="1" customWidth="1"/>
    <col min="7903" max="7903" width="14.85546875" style="87" customWidth="1"/>
    <col min="7904" max="7905" width="0" style="87" hidden="1" customWidth="1"/>
    <col min="7906" max="7907" width="14.85546875" style="87" customWidth="1"/>
    <col min="7908" max="7908" width="44.42578125" style="87" customWidth="1"/>
    <col min="7909" max="7913" width="14.85546875" style="87" customWidth="1"/>
    <col min="7914" max="7914" width="63.85546875" style="87" customWidth="1"/>
    <col min="7915" max="7915" width="13.28515625" style="87" customWidth="1"/>
    <col min="7916" max="8101" width="9" style="87"/>
    <col min="8102" max="8103" width="0" style="87" hidden="1" customWidth="1"/>
    <col min="8104" max="8104" width="13.7109375" style="87" customWidth="1"/>
    <col min="8105" max="8105" width="52.85546875" style="87" customWidth="1"/>
    <col min="8106" max="8145" width="0" style="87" hidden="1" customWidth="1"/>
    <col min="8146" max="8147" width="14.85546875" style="87" customWidth="1"/>
    <col min="8148" max="8149" width="0" style="87" hidden="1" customWidth="1"/>
    <col min="8150" max="8150" width="14.85546875" style="87" customWidth="1"/>
    <col min="8151" max="8152" width="0" style="87" hidden="1" customWidth="1"/>
    <col min="8153" max="8153" width="14.85546875" style="87" customWidth="1"/>
    <col min="8154" max="8155" width="0" style="87" hidden="1" customWidth="1"/>
    <col min="8156" max="8156" width="14.85546875" style="87" customWidth="1"/>
    <col min="8157" max="8158" width="0" style="87" hidden="1" customWidth="1"/>
    <col min="8159" max="8159" width="14.85546875" style="87" customWidth="1"/>
    <col min="8160" max="8161" width="0" style="87" hidden="1" customWidth="1"/>
    <col min="8162" max="8163" width="14.85546875" style="87" customWidth="1"/>
    <col min="8164" max="8164" width="44.42578125" style="87" customWidth="1"/>
    <col min="8165" max="8169" width="14.85546875" style="87" customWidth="1"/>
    <col min="8170" max="8170" width="63.85546875" style="87" customWidth="1"/>
    <col min="8171" max="8171" width="13.28515625" style="87" customWidth="1"/>
    <col min="8172" max="8357" width="9" style="87"/>
    <col min="8358" max="8359" width="0" style="87" hidden="1" customWidth="1"/>
    <col min="8360" max="8360" width="13.7109375" style="87" customWidth="1"/>
    <col min="8361" max="8361" width="52.85546875" style="87" customWidth="1"/>
    <col min="8362" max="8401" width="0" style="87" hidden="1" customWidth="1"/>
    <col min="8402" max="8403" width="14.85546875" style="87" customWidth="1"/>
    <col min="8404" max="8405" width="0" style="87" hidden="1" customWidth="1"/>
    <col min="8406" max="8406" width="14.85546875" style="87" customWidth="1"/>
    <col min="8407" max="8408" width="0" style="87" hidden="1" customWidth="1"/>
    <col min="8409" max="8409" width="14.85546875" style="87" customWidth="1"/>
    <col min="8410" max="8411" width="0" style="87" hidden="1" customWidth="1"/>
    <col min="8412" max="8412" width="14.85546875" style="87" customWidth="1"/>
    <col min="8413" max="8414" width="0" style="87" hidden="1" customWidth="1"/>
    <col min="8415" max="8415" width="14.85546875" style="87" customWidth="1"/>
    <col min="8416" max="8417" width="0" style="87" hidden="1" customWidth="1"/>
    <col min="8418" max="8419" width="14.85546875" style="87" customWidth="1"/>
    <col min="8420" max="8420" width="44.42578125" style="87" customWidth="1"/>
    <col min="8421" max="8425" width="14.85546875" style="87" customWidth="1"/>
    <col min="8426" max="8426" width="63.85546875" style="87" customWidth="1"/>
    <col min="8427" max="8427" width="13.28515625" style="87" customWidth="1"/>
    <col min="8428" max="8613" width="9" style="87"/>
    <col min="8614" max="8615" width="0" style="87" hidden="1" customWidth="1"/>
    <col min="8616" max="8616" width="13.7109375" style="87" customWidth="1"/>
    <col min="8617" max="8617" width="52.85546875" style="87" customWidth="1"/>
    <col min="8618" max="8657" width="0" style="87" hidden="1" customWidth="1"/>
    <col min="8658" max="8659" width="14.85546875" style="87" customWidth="1"/>
    <col min="8660" max="8661" width="0" style="87" hidden="1" customWidth="1"/>
    <col min="8662" max="8662" width="14.85546875" style="87" customWidth="1"/>
    <col min="8663" max="8664" width="0" style="87" hidden="1" customWidth="1"/>
    <col min="8665" max="8665" width="14.85546875" style="87" customWidth="1"/>
    <col min="8666" max="8667" width="0" style="87" hidden="1" customWidth="1"/>
    <col min="8668" max="8668" width="14.85546875" style="87" customWidth="1"/>
    <col min="8669" max="8670" width="0" style="87" hidden="1" customWidth="1"/>
    <col min="8671" max="8671" width="14.85546875" style="87" customWidth="1"/>
    <col min="8672" max="8673" width="0" style="87" hidden="1" customWidth="1"/>
    <col min="8674" max="8675" width="14.85546875" style="87" customWidth="1"/>
    <col min="8676" max="8676" width="44.42578125" style="87" customWidth="1"/>
    <col min="8677" max="8681" width="14.85546875" style="87" customWidth="1"/>
    <col min="8682" max="8682" width="63.85546875" style="87" customWidth="1"/>
    <col min="8683" max="8683" width="13.28515625" style="87" customWidth="1"/>
    <col min="8684" max="8869" width="9" style="87"/>
    <col min="8870" max="8871" width="0" style="87" hidden="1" customWidth="1"/>
    <col min="8872" max="8872" width="13.7109375" style="87" customWidth="1"/>
    <col min="8873" max="8873" width="52.85546875" style="87" customWidth="1"/>
    <col min="8874" max="8913" width="0" style="87" hidden="1" customWidth="1"/>
    <col min="8914" max="8915" width="14.85546875" style="87" customWidth="1"/>
    <col min="8916" max="8917" width="0" style="87" hidden="1" customWidth="1"/>
    <col min="8918" max="8918" width="14.85546875" style="87" customWidth="1"/>
    <col min="8919" max="8920" width="0" style="87" hidden="1" customWidth="1"/>
    <col min="8921" max="8921" width="14.85546875" style="87" customWidth="1"/>
    <col min="8922" max="8923" width="0" style="87" hidden="1" customWidth="1"/>
    <col min="8924" max="8924" width="14.85546875" style="87" customWidth="1"/>
    <col min="8925" max="8926" width="0" style="87" hidden="1" customWidth="1"/>
    <col min="8927" max="8927" width="14.85546875" style="87" customWidth="1"/>
    <col min="8928" max="8929" width="0" style="87" hidden="1" customWidth="1"/>
    <col min="8930" max="8931" width="14.85546875" style="87" customWidth="1"/>
    <col min="8932" max="8932" width="44.42578125" style="87" customWidth="1"/>
    <col min="8933" max="8937" width="14.85546875" style="87" customWidth="1"/>
    <col min="8938" max="8938" width="63.85546875" style="87" customWidth="1"/>
    <col min="8939" max="8939" width="13.28515625" style="87" customWidth="1"/>
    <col min="8940" max="9125" width="9" style="87"/>
    <col min="9126" max="9127" width="0" style="87" hidden="1" customWidth="1"/>
    <col min="9128" max="9128" width="13.7109375" style="87" customWidth="1"/>
    <col min="9129" max="9129" width="52.85546875" style="87" customWidth="1"/>
    <col min="9130" max="9169" width="0" style="87" hidden="1" customWidth="1"/>
    <col min="9170" max="9171" width="14.85546875" style="87" customWidth="1"/>
    <col min="9172" max="9173" width="0" style="87" hidden="1" customWidth="1"/>
    <col min="9174" max="9174" width="14.85546875" style="87" customWidth="1"/>
    <col min="9175" max="9176" width="0" style="87" hidden="1" customWidth="1"/>
    <col min="9177" max="9177" width="14.85546875" style="87" customWidth="1"/>
    <col min="9178" max="9179" width="0" style="87" hidden="1" customWidth="1"/>
    <col min="9180" max="9180" width="14.85546875" style="87" customWidth="1"/>
    <col min="9181" max="9182" width="0" style="87" hidden="1" customWidth="1"/>
    <col min="9183" max="9183" width="14.85546875" style="87" customWidth="1"/>
    <col min="9184" max="9185" width="0" style="87" hidden="1" customWidth="1"/>
    <col min="9186" max="9187" width="14.85546875" style="87" customWidth="1"/>
    <col min="9188" max="9188" width="44.42578125" style="87" customWidth="1"/>
    <col min="9189" max="9193" width="14.85546875" style="87" customWidth="1"/>
    <col min="9194" max="9194" width="63.85546875" style="87" customWidth="1"/>
    <col min="9195" max="9195" width="13.28515625" style="87" customWidth="1"/>
    <col min="9196" max="9381" width="9" style="87"/>
    <col min="9382" max="9383" width="0" style="87" hidden="1" customWidth="1"/>
    <col min="9384" max="9384" width="13.7109375" style="87" customWidth="1"/>
    <col min="9385" max="9385" width="52.85546875" style="87" customWidth="1"/>
    <col min="9386" max="9425" width="0" style="87" hidden="1" customWidth="1"/>
    <col min="9426" max="9427" width="14.85546875" style="87" customWidth="1"/>
    <col min="9428" max="9429" width="0" style="87" hidden="1" customWidth="1"/>
    <col min="9430" max="9430" width="14.85546875" style="87" customWidth="1"/>
    <col min="9431" max="9432" width="0" style="87" hidden="1" customWidth="1"/>
    <col min="9433" max="9433" width="14.85546875" style="87" customWidth="1"/>
    <col min="9434" max="9435" width="0" style="87" hidden="1" customWidth="1"/>
    <col min="9436" max="9436" width="14.85546875" style="87" customWidth="1"/>
    <col min="9437" max="9438" width="0" style="87" hidden="1" customWidth="1"/>
    <col min="9439" max="9439" width="14.85546875" style="87" customWidth="1"/>
    <col min="9440" max="9441" width="0" style="87" hidden="1" customWidth="1"/>
    <col min="9442" max="9443" width="14.85546875" style="87" customWidth="1"/>
    <col min="9444" max="9444" width="44.42578125" style="87" customWidth="1"/>
    <col min="9445" max="9449" width="14.85546875" style="87" customWidth="1"/>
    <col min="9450" max="9450" width="63.85546875" style="87" customWidth="1"/>
    <col min="9451" max="9451" width="13.28515625" style="87" customWidth="1"/>
    <col min="9452" max="9637" width="9" style="87"/>
    <col min="9638" max="9639" width="0" style="87" hidden="1" customWidth="1"/>
    <col min="9640" max="9640" width="13.7109375" style="87" customWidth="1"/>
    <col min="9641" max="9641" width="52.85546875" style="87" customWidth="1"/>
    <col min="9642" max="9681" width="0" style="87" hidden="1" customWidth="1"/>
    <col min="9682" max="9683" width="14.85546875" style="87" customWidth="1"/>
    <col min="9684" max="9685" width="0" style="87" hidden="1" customWidth="1"/>
    <col min="9686" max="9686" width="14.85546875" style="87" customWidth="1"/>
    <col min="9687" max="9688" width="0" style="87" hidden="1" customWidth="1"/>
    <col min="9689" max="9689" width="14.85546875" style="87" customWidth="1"/>
    <col min="9690" max="9691" width="0" style="87" hidden="1" customWidth="1"/>
    <col min="9692" max="9692" width="14.85546875" style="87" customWidth="1"/>
    <col min="9693" max="9694" width="0" style="87" hidden="1" customWidth="1"/>
    <col min="9695" max="9695" width="14.85546875" style="87" customWidth="1"/>
    <col min="9696" max="9697" width="0" style="87" hidden="1" customWidth="1"/>
    <col min="9698" max="9699" width="14.85546875" style="87" customWidth="1"/>
    <col min="9700" max="9700" width="44.42578125" style="87" customWidth="1"/>
    <col min="9701" max="9705" width="14.85546875" style="87" customWidth="1"/>
    <col min="9706" max="9706" width="63.85546875" style="87" customWidth="1"/>
    <col min="9707" max="9707" width="13.28515625" style="87" customWidth="1"/>
    <col min="9708" max="9893" width="9" style="87"/>
    <col min="9894" max="9895" width="0" style="87" hidden="1" customWidth="1"/>
    <col min="9896" max="9896" width="13.7109375" style="87" customWidth="1"/>
    <col min="9897" max="9897" width="52.85546875" style="87" customWidth="1"/>
    <col min="9898" max="9937" width="0" style="87" hidden="1" customWidth="1"/>
    <col min="9938" max="9939" width="14.85546875" style="87" customWidth="1"/>
    <col min="9940" max="9941" width="0" style="87" hidden="1" customWidth="1"/>
    <col min="9942" max="9942" width="14.85546875" style="87" customWidth="1"/>
    <col min="9943" max="9944" width="0" style="87" hidden="1" customWidth="1"/>
    <col min="9945" max="9945" width="14.85546875" style="87" customWidth="1"/>
    <col min="9946" max="9947" width="0" style="87" hidden="1" customWidth="1"/>
    <col min="9948" max="9948" width="14.85546875" style="87" customWidth="1"/>
    <col min="9949" max="9950" width="0" style="87" hidden="1" customWidth="1"/>
    <col min="9951" max="9951" width="14.85546875" style="87" customWidth="1"/>
    <col min="9952" max="9953" width="0" style="87" hidden="1" customWidth="1"/>
    <col min="9954" max="9955" width="14.85546875" style="87" customWidth="1"/>
    <col min="9956" max="9956" width="44.42578125" style="87" customWidth="1"/>
    <col min="9957" max="9961" width="14.85546875" style="87" customWidth="1"/>
    <col min="9962" max="9962" width="63.85546875" style="87" customWidth="1"/>
    <col min="9963" max="9963" width="13.28515625" style="87" customWidth="1"/>
    <col min="9964" max="10149" width="9" style="87"/>
    <col min="10150" max="10151" width="0" style="87" hidden="1" customWidth="1"/>
    <col min="10152" max="10152" width="13.7109375" style="87" customWidth="1"/>
    <col min="10153" max="10153" width="52.85546875" style="87" customWidth="1"/>
    <col min="10154" max="10193" width="0" style="87" hidden="1" customWidth="1"/>
    <col min="10194" max="10195" width="14.85546875" style="87" customWidth="1"/>
    <col min="10196" max="10197" width="0" style="87" hidden="1" customWidth="1"/>
    <col min="10198" max="10198" width="14.85546875" style="87" customWidth="1"/>
    <col min="10199" max="10200" width="0" style="87" hidden="1" customWidth="1"/>
    <col min="10201" max="10201" width="14.85546875" style="87" customWidth="1"/>
    <col min="10202" max="10203" width="0" style="87" hidden="1" customWidth="1"/>
    <col min="10204" max="10204" width="14.85546875" style="87" customWidth="1"/>
    <col min="10205" max="10206" width="0" style="87" hidden="1" customWidth="1"/>
    <col min="10207" max="10207" width="14.85546875" style="87" customWidth="1"/>
    <col min="10208" max="10209" width="0" style="87" hidden="1" customWidth="1"/>
    <col min="10210" max="10211" width="14.85546875" style="87" customWidth="1"/>
    <col min="10212" max="10212" width="44.42578125" style="87" customWidth="1"/>
    <col min="10213" max="10217" width="14.85546875" style="87" customWidth="1"/>
    <col min="10218" max="10218" width="63.85546875" style="87" customWidth="1"/>
    <col min="10219" max="10219" width="13.28515625" style="87" customWidth="1"/>
    <col min="10220" max="10405" width="9" style="87"/>
    <col min="10406" max="10407" width="0" style="87" hidden="1" customWidth="1"/>
    <col min="10408" max="10408" width="13.7109375" style="87" customWidth="1"/>
    <col min="10409" max="10409" width="52.85546875" style="87" customWidth="1"/>
    <col min="10410" max="10449" width="0" style="87" hidden="1" customWidth="1"/>
    <col min="10450" max="10451" width="14.85546875" style="87" customWidth="1"/>
    <col min="10452" max="10453" width="0" style="87" hidden="1" customWidth="1"/>
    <col min="10454" max="10454" width="14.85546875" style="87" customWidth="1"/>
    <col min="10455" max="10456" width="0" style="87" hidden="1" customWidth="1"/>
    <col min="10457" max="10457" width="14.85546875" style="87" customWidth="1"/>
    <col min="10458" max="10459" width="0" style="87" hidden="1" customWidth="1"/>
    <col min="10460" max="10460" width="14.85546875" style="87" customWidth="1"/>
    <col min="10461" max="10462" width="0" style="87" hidden="1" customWidth="1"/>
    <col min="10463" max="10463" width="14.85546875" style="87" customWidth="1"/>
    <col min="10464" max="10465" width="0" style="87" hidden="1" customWidth="1"/>
    <col min="10466" max="10467" width="14.85546875" style="87" customWidth="1"/>
    <col min="10468" max="10468" width="44.42578125" style="87" customWidth="1"/>
    <col min="10469" max="10473" width="14.85546875" style="87" customWidth="1"/>
    <col min="10474" max="10474" width="63.85546875" style="87" customWidth="1"/>
    <col min="10475" max="10475" width="13.28515625" style="87" customWidth="1"/>
    <col min="10476" max="10661" width="9" style="87"/>
    <col min="10662" max="10663" width="0" style="87" hidden="1" customWidth="1"/>
    <col min="10664" max="10664" width="13.7109375" style="87" customWidth="1"/>
    <col min="10665" max="10665" width="52.85546875" style="87" customWidth="1"/>
    <col min="10666" max="10705" width="0" style="87" hidden="1" customWidth="1"/>
    <col min="10706" max="10707" width="14.85546875" style="87" customWidth="1"/>
    <col min="10708" max="10709" width="0" style="87" hidden="1" customWidth="1"/>
    <col min="10710" max="10710" width="14.85546875" style="87" customWidth="1"/>
    <col min="10711" max="10712" width="0" style="87" hidden="1" customWidth="1"/>
    <col min="10713" max="10713" width="14.85546875" style="87" customWidth="1"/>
    <col min="10714" max="10715" width="0" style="87" hidden="1" customWidth="1"/>
    <col min="10716" max="10716" width="14.85546875" style="87" customWidth="1"/>
    <col min="10717" max="10718" width="0" style="87" hidden="1" customWidth="1"/>
    <col min="10719" max="10719" width="14.85546875" style="87" customWidth="1"/>
    <col min="10720" max="10721" width="0" style="87" hidden="1" customWidth="1"/>
    <col min="10722" max="10723" width="14.85546875" style="87" customWidth="1"/>
    <col min="10724" max="10724" width="44.42578125" style="87" customWidth="1"/>
    <col min="10725" max="10729" width="14.85546875" style="87" customWidth="1"/>
    <col min="10730" max="10730" width="63.85546875" style="87" customWidth="1"/>
    <col min="10731" max="10731" width="13.28515625" style="87" customWidth="1"/>
    <col min="10732" max="10917" width="9" style="87"/>
    <col min="10918" max="10919" width="0" style="87" hidden="1" customWidth="1"/>
    <col min="10920" max="10920" width="13.7109375" style="87" customWidth="1"/>
    <col min="10921" max="10921" width="52.85546875" style="87" customWidth="1"/>
    <col min="10922" max="10961" width="0" style="87" hidden="1" customWidth="1"/>
    <col min="10962" max="10963" width="14.85546875" style="87" customWidth="1"/>
    <col min="10964" max="10965" width="0" style="87" hidden="1" customWidth="1"/>
    <col min="10966" max="10966" width="14.85546875" style="87" customWidth="1"/>
    <col min="10967" max="10968" width="0" style="87" hidden="1" customWidth="1"/>
    <col min="10969" max="10969" width="14.85546875" style="87" customWidth="1"/>
    <col min="10970" max="10971" width="0" style="87" hidden="1" customWidth="1"/>
    <col min="10972" max="10972" width="14.85546875" style="87" customWidth="1"/>
    <col min="10973" max="10974" width="0" style="87" hidden="1" customWidth="1"/>
    <col min="10975" max="10975" width="14.85546875" style="87" customWidth="1"/>
    <col min="10976" max="10977" width="0" style="87" hidden="1" customWidth="1"/>
    <col min="10978" max="10979" width="14.85546875" style="87" customWidth="1"/>
    <col min="10980" max="10980" width="44.42578125" style="87" customWidth="1"/>
    <col min="10981" max="10985" width="14.85546875" style="87" customWidth="1"/>
    <col min="10986" max="10986" width="63.85546875" style="87" customWidth="1"/>
    <col min="10987" max="10987" width="13.28515625" style="87" customWidth="1"/>
    <col min="10988" max="11173" width="9" style="87"/>
    <col min="11174" max="11175" width="0" style="87" hidden="1" customWidth="1"/>
    <col min="11176" max="11176" width="13.7109375" style="87" customWidth="1"/>
    <col min="11177" max="11177" width="52.85546875" style="87" customWidth="1"/>
    <col min="11178" max="11217" width="0" style="87" hidden="1" customWidth="1"/>
    <col min="11218" max="11219" width="14.85546875" style="87" customWidth="1"/>
    <col min="11220" max="11221" width="0" style="87" hidden="1" customWidth="1"/>
    <col min="11222" max="11222" width="14.85546875" style="87" customWidth="1"/>
    <col min="11223" max="11224" width="0" style="87" hidden="1" customWidth="1"/>
    <col min="11225" max="11225" width="14.85546875" style="87" customWidth="1"/>
    <col min="11226" max="11227" width="0" style="87" hidden="1" customWidth="1"/>
    <col min="11228" max="11228" width="14.85546875" style="87" customWidth="1"/>
    <col min="11229" max="11230" width="0" style="87" hidden="1" customWidth="1"/>
    <col min="11231" max="11231" width="14.85546875" style="87" customWidth="1"/>
    <col min="11232" max="11233" width="0" style="87" hidden="1" customWidth="1"/>
    <col min="11234" max="11235" width="14.85546875" style="87" customWidth="1"/>
    <col min="11236" max="11236" width="44.42578125" style="87" customWidth="1"/>
    <col min="11237" max="11241" width="14.85546875" style="87" customWidth="1"/>
    <col min="11242" max="11242" width="63.85546875" style="87" customWidth="1"/>
    <col min="11243" max="11243" width="13.28515625" style="87" customWidth="1"/>
    <col min="11244" max="11429" width="9" style="87"/>
    <col min="11430" max="11431" width="0" style="87" hidden="1" customWidth="1"/>
    <col min="11432" max="11432" width="13.7109375" style="87" customWidth="1"/>
    <col min="11433" max="11433" width="52.85546875" style="87" customWidth="1"/>
    <col min="11434" max="11473" width="0" style="87" hidden="1" customWidth="1"/>
    <col min="11474" max="11475" width="14.85546875" style="87" customWidth="1"/>
    <col min="11476" max="11477" width="0" style="87" hidden="1" customWidth="1"/>
    <col min="11478" max="11478" width="14.85546875" style="87" customWidth="1"/>
    <col min="11479" max="11480" width="0" style="87" hidden="1" customWidth="1"/>
    <col min="11481" max="11481" width="14.85546875" style="87" customWidth="1"/>
    <col min="11482" max="11483" width="0" style="87" hidden="1" customWidth="1"/>
    <col min="11484" max="11484" width="14.85546875" style="87" customWidth="1"/>
    <col min="11485" max="11486" width="0" style="87" hidden="1" customWidth="1"/>
    <col min="11487" max="11487" width="14.85546875" style="87" customWidth="1"/>
    <col min="11488" max="11489" width="0" style="87" hidden="1" customWidth="1"/>
    <col min="11490" max="11491" width="14.85546875" style="87" customWidth="1"/>
    <col min="11492" max="11492" width="44.42578125" style="87" customWidth="1"/>
    <col min="11493" max="11497" width="14.85546875" style="87" customWidth="1"/>
    <col min="11498" max="11498" width="63.85546875" style="87" customWidth="1"/>
    <col min="11499" max="11499" width="13.28515625" style="87" customWidth="1"/>
    <col min="11500" max="11685" width="9" style="87"/>
    <col min="11686" max="11687" width="0" style="87" hidden="1" customWidth="1"/>
    <col min="11688" max="11688" width="13.7109375" style="87" customWidth="1"/>
    <col min="11689" max="11689" width="52.85546875" style="87" customWidth="1"/>
    <col min="11690" max="11729" width="0" style="87" hidden="1" customWidth="1"/>
    <col min="11730" max="11731" width="14.85546875" style="87" customWidth="1"/>
    <col min="11732" max="11733" width="0" style="87" hidden="1" customWidth="1"/>
    <col min="11734" max="11734" width="14.85546875" style="87" customWidth="1"/>
    <col min="11735" max="11736" width="0" style="87" hidden="1" customWidth="1"/>
    <col min="11737" max="11737" width="14.85546875" style="87" customWidth="1"/>
    <col min="11738" max="11739" width="0" style="87" hidden="1" customWidth="1"/>
    <col min="11740" max="11740" width="14.85546875" style="87" customWidth="1"/>
    <col min="11741" max="11742" width="0" style="87" hidden="1" customWidth="1"/>
    <col min="11743" max="11743" width="14.85546875" style="87" customWidth="1"/>
    <col min="11744" max="11745" width="0" style="87" hidden="1" customWidth="1"/>
    <col min="11746" max="11747" width="14.85546875" style="87" customWidth="1"/>
    <col min="11748" max="11748" width="44.42578125" style="87" customWidth="1"/>
    <col min="11749" max="11753" width="14.85546875" style="87" customWidth="1"/>
    <col min="11754" max="11754" width="63.85546875" style="87" customWidth="1"/>
    <col min="11755" max="11755" width="13.28515625" style="87" customWidth="1"/>
    <col min="11756" max="11941" width="9" style="87"/>
    <col min="11942" max="11943" width="0" style="87" hidden="1" customWidth="1"/>
    <col min="11944" max="11944" width="13.7109375" style="87" customWidth="1"/>
    <col min="11945" max="11945" width="52.85546875" style="87" customWidth="1"/>
    <col min="11946" max="11985" width="0" style="87" hidden="1" customWidth="1"/>
    <col min="11986" max="11987" width="14.85546875" style="87" customWidth="1"/>
    <col min="11988" max="11989" width="0" style="87" hidden="1" customWidth="1"/>
    <col min="11990" max="11990" width="14.85546875" style="87" customWidth="1"/>
    <col min="11991" max="11992" width="0" style="87" hidden="1" customWidth="1"/>
    <col min="11993" max="11993" width="14.85546875" style="87" customWidth="1"/>
    <col min="11994" max="11995" width="0" style="87" hidden="1" customWidth="1"/>
    <col min="11996" max="11996" width="14.85546875" style="87" customWidth="1"/>
    <col min="11997" max="11998" width="0" style="87" hidden="1" customWidth="1"/>
    <col min="11999" max="11999" width="14.85546875" style="87" customWidth="1"/>
    <col min="12000" max="12001" width="0" style="87" hidden="1" customWidth="1"/>
    <col min="12002" max="12003" width="14.85546875" style="87" customWidth="1"/>
    <col min="12004" max="12004" width="44.42578125" style="87" customWidth="1"/>
    <col min="12005" max="12009" width="14.85546875" style="87" customWidth="1"/>
    <col min="12010" max="12010" width="63.85546875" style="87" customWidth="1"/>
    <col min="12011" max="12011" width="13.28515625" style="87" customWidth="1"/>
    <col min="12012" max="12197" width="9" style="87"/>
    <col min="12198" max="12199" width="0" style="87" hidden="1" customWidth="1"/>
    <col min="12200" max="12200" width="13.7109375" style="87" customWidth="1"/>
    <col min="12201" max="12201" width="52.85546875" style="87" customWidth="1"/>
    <col min="12202" max="12241" width="0" style="87" hidden="1" customWidth="1"/>
    <col min="12242" max="12243" width="14.85546875" style="87" customWidth="1"/>
    <col min="12244" max="12245" width="0" style="87" hidden="1" customWidth="1"/>
    <col min="12246" max="12246" width="14.85546875" style="87" customWidth="1"/>
    <col min="12247" max="12248" width="0" style="87" hidden="1" customWidth="1"/>
    <col min="12249" max="12249" width="14.85546875" style="87" customWidth="1"/>
    <col min="12250" max="12251" width="0" style="87" hidden="1" customWidth="1"/>
    <col min="12252" max="12252" width="14.85546875" style="87" customWidth="1"/>
    <col min="12253" max="12254" width="0" style="87" hidden="1" customWidth="1"/>
    <col min="12255" max="12255" width="14.85546875" style="87" customWidth="1"/>
    <col min="12256" max="12257" width="0" style="87" hidden="1" customWidth="1"/>
    <col min="12258" max="12259" width="14.85546875" style="87" customWidth="1"/>
    <col min="12260" max="12260" width="44.42578125" style="87" customWidth="1"/>
    <col min="12261" max="12265" width="14.85546875" style="87" customWidth="1"/>
    <col min="12266" max="12266" width="63.85546875" style="87" customWidth="1"/>
    <col min="12267" max="12267" width="13.28515625" style="87" customWidth="1"/>
    <col min="12268" max="12453" width="9" style="87"/>
    <col min="12454" max="12455" width="0" style="87" hidden="1" customWidth="1"/>
    <col min="12456" max="12456" width="13.7109375" style="87" customWidth="1"/>
    <col min="12457" max="12457" width="52.85546875" style="87" customWidth="1"/>
    <col min="12458" max="12497" width="0" style="87" hidden="1" customWidth="1"/>
    <col min="12498" max="12499" width="14.85546875" style="87" customWidth="1"/>
    <col min="12500" max="12501" width="0" style="87" hidden="1" customWidth="1"/>
    <col min="12502" max="12502" width="14.85546875" style="87" customWidth="1"/>
    <col min="12503" max="12504" width="0" style="87" hidden="1" customWidth="1"/>
    <col min="12505" max="12505" width="14.85546875" style="87" customWidth="1"/>
    <col min="12506" max="12507" width="0" style="87" hidden="1" customWidth="1"/>
    <col min="12508" max="12508" width="14.85546875" style="87" customWidth="1"/>
    <col min="12509" max="12510" width="0" style="87" hidden="1" customWidth="1"/>
    <col min="12511" max="12511" width="14.85546875" style="87" customWidth="1"/>
    <col min="12512" max="12513" width="0" style="87" hidden="1" customWidth="1"/>
    <col min="12514" max="12515" width="14.85546875" style="87" customWidth="1"/>
    <col min="12516" max="12516" width="44.42578125" style="87" customWidth="1"/>
    <col min="12517" max="12521" width="14.85546875" style="87" customWidth="1"/>
    <col min="12522" max="12522" width="63.85546875" style="87" customWidth="1"/>
    <col min="12523" max="12523" width="13.28515625" style="87" customWidth="1"/>
    <col min="12524" max="12709" width="9" style="87"/>
    <col min="12710" max="12711" width="0" style="87" hidden="1" customWidth="1"/>
    <col min="12712" max="12712" width="13.7109375" style="87" customWidth="1"/>
    <col min="12713" max="12713" width="52.85546875" style="87" customWidth="1"/>
    <col min="12714" max="12753" width="0" style="87" hidden="1" customWidth="1"/>
    <col min="12754" max="12755" width="14.85546875" style="87" customWidth="1"/>
    <col min="12756" max="12757" width="0" style="87" hidden="1" customWidth="1"/>
    <col min="12758" max="12758" width="14.85546875" style="87" customWidth="1"/>
    <col min="12759" max="12760" width="0" style="87" hidden="1" customWidth="1"/>
    <col min="12761" max="12761" width="14.85546875" style="87" customWidth="1"/>
    <col min="12762" max="12763" width="0" style="87" hidden="1" customWidth="1"/>
    <col min="12764" max="12764" width="14.85546875" style="87" customWidth="1"/>
    <col min="12765" max="12766" width="0" style="87" hidden="1" customWidth="1"/>
    <col min="12767" max="12767" width="14.85546875" style="87" customWidth="1"/>
    <col min="12768" max="12769" width="0" style="87" hidden="1" customWidth="1"/>
    <col min="12770" max="12771" width="14.85546875" style="87" customWidth="1"/>
    <col min="12772" max="12772" width="44.42578125" style="87" customWidth="1"/>
    <col min="12773" max="12777" width="14.85546875" style="87" customWidth="1"/>
    <col min="12778" max="12778" width="63.85546875" style="87" customWidth="1"/>
    <col min="12779" max="12779" width="13.28515625" style="87" customWidth="1"/>
    <col min="12780" max="12965" width="9" style="87"/>
    <col min="12966" max="12967" width="0" style="87" hidden="1" customWidth="1"/>
    <col min="12968" max="12968" width="13.7109375" style="87" customWidth="1"/>
    <col min="12969" max="12969" width="52.85546875" style="87" customWidth="1"/>
    <col min="12970" max="13009" width="0" style="87" hidden="1" customWidth="1"/>
    <col min="13010" max="13011" width="14.85546875" style="87" customWidth="1"/>
    <col min="13012" max="13013" width="0" style="87" hidden="1" customWidth="1"/>
    <col min="13014" max="13014" width="14.85546875" style="87" customWidth="1"/>
    <col min="13015" max="13016" width="0" style="87" hidden="1" customWidth="1"/>
    <col min="13017" max="13017" width="14.85546875" style="87" customWidth="1"/>
    <col min="13018" max="13019" width="0" style="87" hidden="1" customWidth="1"/>
    <col min="13020" max="13020" width="14.85546875" style="87" customWidth="1"/>
    <col min="13021" max="13022" width="0" style="87" hidden="1" customWidth="1"/>
    <col min="13023" max="13023" width="14.85546875" style="87" customWidth="1"/>
    <col min="13024" max="13025" width="0" style="87" hidden="1" customWidth="1"/>
    <col min="13026" max="13027" width="14.85546875" style="87" customWidth="1"/>
    <col min="13028" max="13028" width="44.42578125" style="87" customWidth="1"/>
    <col min="13029" max="13033" width="14.85546875" style="87" customWidth="1"/>
    <col min="13034" max="13034" width="63.85546875" style="87" customWidth="1"/>
    <col min="13035" max="13035" width="13.28515625" style="87" customWidth="1"/>
    <col min="13036" max="13221" width="9" style="87"/>
    <col min="13222" max="13223" width="0" style="87" hidden="1" customWidth="1"/>
    <col min="13224" max="13224" width="13.7109375" style="87" customWidth="1"/>
    <col min="13225" max="13225" width="52.85546875" style="87" customWidth="1"/>
    <col min="13226" max="13265" width="0" style="87" hidden="1" customWidth="1"/>
    <col min="13266" max="13267" width="14.85546875" style="87" customWidth="1"/>
    <col min="13268" max="13269" width="0" style="87" hidden="1" customWidth="1"/>
    <col min="13270" max="13270" width="14.85546875" style="87" customWidth="1"/>
    <col min="13271" max="13272" width="0" style="87" hidden="1" customWidth="1"/>
    <col min="13273" max="13273" width="14.85546875" style="87" customWidth="1"/>
    <col min="13274" max="13275" width="0" style="87" hidden="1" customWidth="1"/>
    <col min="13276" max="13276" width="14.85546875" style="87" customWidth="1"/>
    <col min="13277" max="13278" width="0" style="87" hidden="1" customWidth="1"/>
    <col min="13279" max="13279" width="14.85546875" style="87" customWidth="1"/>
    <col min="13280" max="13281" width="0" style="87" hidden="1" customWidth="1"/>
    <col min="13282" max="13283" width="14.85546875" style="87" customWidth="1"/>
    <col min="13284" max="13284" width="44.42578125" style="87" customWidth="1"/>
    <col min="13285" max="13289" width="14.85546875" style="87" customWidth="1"/>
    <col min="13290" max="13290" width="63.85546875" style="87" customWidth="1"/>
    <col min="13291" max="13291" width="13.28515625" style="87" customWidth="1"/>
    <col min="13292" max="13477" width="9" style="87"/>
    <col min="13478" max="13479" width="0" style="87" hidden="1" customWidth="1"/>
    <col min="13480" max="13480" width="13.7109375" style="87" customWidth="1"/>
    <col min="13481" max="13481" width="52.85546875" style="87" customWidth="1"/>
    <col min="13482" max="13521" width="0" style="87" hidden="1" customWidth="1"/>
    <col min="13522" max="13523" width="14.85546875" style="87" customWidth="1"/>
    <col min="13524" max="13525" width="0" style="87" hidden="1" customWidth="1"/>
    <col min="13526" max="13526" width="14.85546875" style="87" customWidth="1"/>
    <col min="13527" max="13528" width="0" style="87" hidden="1" customWidth="1"/>
    <col min="13529" max="13529" width="14.85546875" style="87" customWidth="1"/>
    <col min="13530" max="13531" width="0" style="87" hidden="1" customWidth="1"/>
    <col min="13532" max="13532" width="14.85546875" style="87" customWidth="1"/>
    <col min="13533" max="13534" width="0" style="87" hidden="1" customWidth="1"/>
    <col min="13535" max="13535" width="14.85546875" style="87" customWidth="1"/>
    <col min="13536" max="13537" width="0" style="87" hidden="1" customWidth="1"/>
    <col min="13538" max="13539" width="14.85546875" style="87" customWidth="1"/>
    <col min="13540" max="13540" width="44.42578125" style="87" customWidth="1"/>
    <col min="13541" max="13545" width="14.85546875" style="87" customWidth="1"/>
    <col min="13546" max="13546" width="63.85546875" style="87" customWidth="1"/>
    <col min="13547" max="13547" width="13.28515625" style="87" customWidth="1"/>
    <col min="13548" max="13733" width="9" style="87"/>
    <col min="13734" max="13735" width="0" style="87" hidden="1" customWidth="1"/>
    <col min="13736" max="13736" width="13.7109375" style="87" customWidth="1"/>
    <col min="13737" max="13737" width="52.85546875" style="87" customWidth="1"/>
    <col min="13738" max="13777" width="0" style="87" hidden="1" customWidth="1"/>
    <col min="13778" max="13779" width="14.85546875" style="87" customWidth="1"/>
    <col min="13780" max="13781" width="0" style="87" hidden="1" customWidth="1"/>
    <col min="13782" max="13782" width="14.85546875" style="87" customWidth="1"/>
    <col min="13783" max="13784" width="0" style="87" hidden="1" customWidth="1"/>
    <col min="13785" max="13785" width="14.85546875" style="87" customWidth="1"/>
    <col min="13786" max="13787" width="0" style="87" hidden="1" customWidth="1"/>
    <col min="13788" max="13788" width="14.85546875" style="87" customWidth="1"/>
    <col min="13789" max="13790" width="0" style="87" hidden="1" customWidth="1"/>
    <col min="13791" max="13791" width="14.85546875" style="87" customWidth="1"/>
    <col min="13792" max="13793" width="0" style="87" hidden="1" customWidth="1"/>
    <col min="13794" max="13795" width="14.85546875" style="87" customWidth="1"/>
    <col min="13796" max="13796" width="44.42578125" style="87" customWidth="1"/>
    <col min="13797" max="13801" width="14.85546875" style="87" customWidth="1"/>
    <col min="13802" max="13802" width="63.85546875" style="87" customWidth="1"/>
    <col min="13803" max="13803" width="13.28515625" style="87" customWidth="1"/>
    <col min="13804" max="13989" width="9" style="87"/>
    <col min="13990" max="13991" width="0" style="87" hidden="1" customWidth="1"/>
    <col min="13992" max="13992" width="13.7109375" style="87" customWidth="1"/>
    <col min="13993" max="13993" width="52.85546875" style="87" customWidth="1"/>
    <col min="13994" max="14033" width="0" style="87" hidden="1" customWidth="1"/>
    <col min="14034" max="14035" width="14.85546875" style="87" customWidth="1"/>
    <col min="14036" max="14037" width="0" style="87" hidden="1" customWidth="1"/>
    <col min="14038" max="14038" width="14.85546875" style="87" customWidth="1"/>
    <col min="14039" max="14040" width="0" style="87" hidden="1" customWidth="1"/>
    <col min="14041" max="14041" width="14.85546875" style="87" customWidth="1"/>
    <col min="14042" max="14043" width="0" style="87" hidden="1" customWidth="1"/>
    <col min="14044" max="14044" width="14.85546875" style="87" customWidth="1"/>
    <col min="14045" max="14046" width="0" style="87" hidden="1" customWidth="1"/>
    <col min="14047" max="14047" width="14.85546875" style="87" customWidth="1"/>
    <col min="14048" max="14049" width="0" style="87" hidden="1" customWidth="1"/>
    <col min="14050" max="14051" width="14.85546875" style="87" customWidth="1"/>
    <col min="14052" max="14052" width="44.42578125" style="87" customWidth="1"/>
    <col min="14053" max="14057" width="14.85546875" style="87" customWidth="1"/>
    <col min="14058" max="14058" width="63.85546875" style="87" customWidth="1"/>
    <col min="14059" max="14059" width="13.28515625" style="87" customWidth="1"/>
    <col min="14060" max="14245" width="9" style="87"/>
    <col min="14246" max="14247" width="0" style="87" hidden="1" customWidth="1"/>
    <col min="14248" max="14248" width="13.7109375" style="87" customWidth="1"/>
    <col min="14249" max="14249" width="52.85546875" style="87" customWidth="1"/>
    <col min="14250" max="14289" width="0" style="87" hidden="1" customWidth="1"/>
    <col min="14290" max="14291" width="14.85546875" style="87" customWidth="1"/>
    <col min="14292" max="14293" width="0" style="87" hidden="1" customWidth="1"/>
    <col min="14294" max="14294" width="14.85546875" style="87" customWidth="1"/>
    <col min="14295" max="14296" width="0" style="87" hidden="1" customWidth="1"/>
    <col min="14297" max="14297" width="14.85546875" style="87" customWidth="1"/>
    <col min="14298" max="14299" width="0" style="87" hidden="1" customWidth="1"/>
    <col min="14300" max="14300" width="14.85546875" style="87" customWidth="1"/>
    <col min="14301" max="14302" width="0" style="87" hidden="1" customWidth="1"/>
    <col min="14303" max="14303" width="14.85546875" style="87" customWidth="1"/>
    <col min="14304" max="14305" width="0" style="87" hidden="1" customWidth="1"/>
    <col min="14306" max="14307" width="14.85546875" style="87" customWidth="1"/>
    <col min="14308" max="14308" width="44.42578125" style="87" customWidth="1"/>
    <col min="14309" max="14313" width="14.85546875" style="87" customWidth="1"/>
    <col min="14314" max="14314" width="63.85546875" style="87" customWidth="1"/>
    <col min="14315" max="14315" width="13.28515625" style="87" customWidth="1"/>
    <col min="14316" max="14501" width="9" style="87"/>
    <col min="14502" max="14503" width="0" style="87" hidden="1" customWidth="1"/>
    <col min="14504" max="14504" width="13.7109375" style="87" customWidth="1"/>
    <col min="14505" max="14505" width="52.85546875" style="87" customWidth="1"/>
    <col min="14506" max="14545" width="0" style="87" hidden="1" customWidth="1"/>
    <col min="14546" max="14547" width="14.85546875" style="87" customWidth="1"/>
    <col min="14548" max="14549" width="0" style="87" hidden="1" customWidth="1"/>
    <col min="14550" max="14550" width="14.85546875" style="87" customWidth="1"/>
    <col min="14551" max="14552" width="0" style="87" hidden="1" customWidth="1"/>
    <col min="14553" max="14553" width="14.85546875" style="87" customWidth="1"/>
    <col min="14554" max="14555" width="0" style="87" hidden="1" customWidth="1"/>
    <col min="14556" max="14556" width="14.85546875" style="87" customWidth="1"/>
    <col min="14557" max="14558" width="0" style="87" hidden="1" customWidth="1"/>
    <col min="14559" max="14559" width="14.85546875" style="87" customWidth="1"/>
    <col min="14560" max="14561" width="0" style="87" hidden="1" customWidth="1"/>
    <col min="14562" max="14563" width="14.85546875" style="87" customWidth="1"/>
    <col min="14564" max="14564" width="44.42578125" style="87" customWidth="1"/>
    <col min="14565" max="14569" width="14.85546875" style="87" customWidth="1"/>
    <col min="14570" max="14570" width="63.85546875" style="87" customWidth="1"/>
    <col min="14571" max="14571" width="13.28515625" style="87" customWidth="1"/>
    <col min="14572" max="14757" width="9" style="87"/>
    <col min="14758" max="14759" width="0" style="87" hidden="1" customWidth="1"/>
    <col min="14760" max="14760" width="13.7109375" style="87" customWidth="1"/>
    <col min="14761" max="14761" width="52.85546875" style="87" customWidth="1"/>
    <col min="14762" max="14801" width="0" style="87" hidden="1" customWidth="1"/>
    <col min="14802" max="14803" width="14.85546875" style="87" customWidth="1"/>
    <col min="14804" max="14805" width="0" style="87" hidden="1" customWidth="1"/>
    <col min="14806" max="14806" width="14.85546875" style="87" customWidth="1"/>
    <col min="14807" max="14808" width="0" style="87" hidden="1" customWidth="1"/>
    <col min="14809" max="14809" width="14.85546875" style="87" customWidth="1"/>
    <col min="14810" max="14811" width="0" style="87" hidden="1" customWidth="1"/>
    <col min="14812" max="14812" width="14.85546875" style="87" customWidth="1"/>
    <col min="14813" max="14814" width="0" style="87" hidden="1" customWidth="1"/>
    <col min="14815" max="14815" width="14.85546875" style="87" customWidth="1"/>
    <col min="14816" max="14817" width="0" style="87" hidden="1" customWidth="1"/>
    <col min="14818" max="14819" width="14.85546875" style="87" customWidth="1"/>
    <col min="14820" max="14820" width="44.42578125" style="87" customWidth="1"/>
    <col min="14821" max="14825" width="14.85546875" style="87" customWidth="1"/>
    <col min="14826" max="14826" width="63.85546875" style="87" customWidth="1"/>
    <col min="14827" max="14827" width="13.28515625" style="87" customWidth="1"/>
    <col min="14828" max="15013" width="9" style="87"/>
    <col min="15014" max="15015" width="0" style="87" hidden="1" customWidth="1"/>
    <col min="15016" max="15016" width="13.7109375" style="87" customWidth="1"/>
    <col min="15017" max="15017" width="52.85546875" style="87" customWidth="1"/>
    <col min="15018" max="15057" width="0" style="87" hidden="1" customWidth="1"/>
    <col min="15058" max="15059" width="14.85546875" style="87" customWidth="1"/>
    <col min="15060" max="15061" width="0" style="87" hidden="1" customWidth="1"/>
    <col min="15062" max="15062" width="14.85546875" style="87" customWidth="1"/>
    <col min="15063" max="15064" width="0" style="87" hidden="1" customWidth="1"/>
    <col min="15065" max="15065" width="14.85546875" style="87" customWidth="1"/>
    <col min="15066" max="15067" width="0" style="87" hidden="1" customWidth="1"/>
    <col min="15068" max="15068" width="14.85546875" style="87" customWidth="1"/>
    <col min="15069" max="15070" width="0" style="87" hidden="1" customWidth="1"/>
    <col min="15071" max="15071" width="14.85546875" style="87" customWidth="1"/>
    <col min="15072" max="15073" width="0" style="87" hidden="1" customWidth="1"/>
    <col min="15074" max="15075" width="14.85546875" style="87" customWidth="1"/>
    <col min="15076" max="15076" width="44.42578125" style="87" customWidth="1"/>
    <col min="15077" max="15081" width="14.85546875" style="87" customWidth="1"/>
    <col min="15082" max="15082" width="63.85546875" style="87" customWidth="1"/>
    <col min="15083" max="15083" width="13.28515625" style="87" customWidth="1"/>
    <col min="15084" max="15269" width="9" style="87"/>
    <col min="15270" max="15271" width="0" style="87" hidden="1" customWidth="1"/>
    <col min="15272" max="15272" width="13.7109375" style="87" customWidth="1"/>
    <col min="15273" max="15273" width="52.85546875" style="87" customWidth="1"/>
    <col min="15274" max="15313" width="0" style="87" hidden="1" customWidth="1"/>
    <col min="15314" max="15315" width="14.85546875" style="87" customWidth="1"/>
    <col min="15316" max="15317" width="0" style="87" hidden="1" customWidth="1"/>
    <col min="15318" max="15318" width="14.85546875" style="87" customWidth="1"/>
    <col min="15319" max="15320" width="0" style="87" hidden="1" customWidth="1"/>
    <col min="15321" max="15321" width="14.85546875" style="87" customWidth="1"/>
    <col min="15322" max="15323" width="0" style="87" hidden="1" customWidth="1"/>
    <col min="15324" max="15324" width="14.85546875" style="87" customWidth="1"/>
    <col min="15325" max="15326" width="0" style="87" hidden="1" customWidth="1"/>
    <col min="15327" max="15327" width="14.85546875" style="87" customWidth="1"/>
    <col min="15328" max="15329" width="0" style="87" hidden="1" customWidth="1"/>
    <col min="15330" max="15331" width="14.85546875" style="87" customWidth="1"/>
    <col min="15332" max="15332" width="44.42578125" style="87" customWidth="1"/>
    <col min="15333" max="15337" width="14.85546875" style="87" customWidth="1"/>
    <col min="15338" max="15338" width="63.85546875" style="87" customWidth="1"/>
    <col min="15339" max="15339" width="13.28515625" style="87" customWidth="1"/>
    <col min="15340" max="15525" width="9" style="87"/>
    <col min="15526" max="15527" width="0" style="87" hidden="1" customWidth="1"/>
    <col min="15528" max="15528" width="13.7109375" style="87" customWidth="1"/>
    <col min="15529" max="15529" width="52.85546875" style="87" customWidth="1"/>
    <col min="15530" max="15569" width="0" style="87" hidden="1" customWidth="1"/>
    <col min="15570" max="15571" width="14.85546875" style="87" customWidth="1"/>
    <col min="15572" max="15573" width="0" style="87" hidden="1" customWidth="1"/>
    <col min="15574" max="15574" width="14.85546875" style="87" customWidth="1"/>
    <col min="15575" max="15576" width="0" style="87" hidden="1" customWidth="1"/>
    <col min="15577" max="15577" width="14.85546875" style="87" customWidth="1"/>
    <col min="15578" max="15579" width="0" style="87" hidden="1" customWidth="1"/>
    <col min="15580" max="15580" width="14.85546875" style="87" customWidth="1"/>
    <col min="15581" max="15582" width="0" style="87" hidden="1" customWidth="1"/>
    <col min="15583" max="15583" width="14.85546875" style="87" customWidth="1"/>
    <col min="15584" max="15585" width="0" style="87" hidden="1" customWidth="1"/>
    <col min="15586" max="15587" width="14.85546875" style="87" customWidth="1"/>
    <col min="15588" max="15588" width="44.42578125" style="87" customWidth="1"/>
    <col min="15589" max="15593" width="14.85546875" style="87" customWidth="1"/>
    <col min="15594" max="15594" width="63.85546875" style="87" customWidth="1"/>
    <col min="15595" max="15595" width="13.28515625" style="87" customWidth="1"/>
    <col min="15596" max="15781" width="9" style="87"/>
    <col min="15782" max="15783" width="0" style="87" hidden="1" customWidth="1"/>
    <col min="15784" max="15784" width="13.7109375" style="87" customWidth="1"/>
    <col min="15785" max="15785" width="52.85546875" style="87" customWidth="1"/>
    <col min="15786" max="15825" width="0" style="87" hidden="1" customWidth="1"/>
    <col min="15826" max="15827" width="14.85546875" style="87" customWidth="1"/>
    <col min="15828" max="15829" width="0" style="87" hidden="1" customWidth="1"/>
    <col min="15830" max="15830" width="14.85546875" style="87" customWidth="1"/>
    <col min="15831" max="15832" width="0" style="87" hidden="1" customWidth="1"/>
    <col min="15833" max="15833" width="14.85546875" style="87" customWidth="1"/>
    <col min="15834" max="15835" width="0" style="87" hidden="1" customWidth="1"/>
    <col min="15836" max="15836" width="14.85546875" style="87" customWidth="1"/>
    <col min="15837" max="15838" width="0" style="87" hidden="1" customWidth="1"/>
    <col min="15839" max="15839" width="14.85546875" style="87" customWidth="1"/>
    <col min="15840" max="15841" width="0" style="87" hidden="1" customWidth="1"/>
    <col min="15842" max="15843" width="14.85546875" style="87" customWidth="1"/>
    <col min="15844" max="15844" width="44.42578125" style="87" customWidth="1"/>
    <col min="15845" max="15849" width="14.85546875" style="87" customWidth="1"/>
    <col min="15850" max="15850" width="63.85546875" style="87" customWidth="1"/>
    <col min="15851" max="15851" width="13.28515625" style="87" customWidth="1"/>
    <col min="15852" max="16037" width="9" style="87"/>
    <col min="16038" max="16039" width="0" style="87" hidden="1" customWidth="1"/>
    <col min="16040" max="16040" width="13.7109375" style="87" customWidth="1"/>
    <col min="16041" max="16041" width="52.85546875" style="87" customWidth="1"/>
    <col min="16042" max="16081" width="0" style="87" hidden="1" customWidth="1"/>
    <col min="16082" max="16083" width="14.85546875" style="87" customWidth="1"/>
    <col min="16084" max="16085" width="0" style="87" hidden="1" customWidth="1"/>
    <col min="16086" max="16086" width="14.85546875" style="87" customWidth="1"/>
    <col min="16087" max="16088" width="0" style="87" hidden="1" customWidth="1"/>
    <col min="16089" max="16089" width="14.85546875" style="87" customWidth="1"/>
    <col min="16090" max="16091" width="0" style="87" hidden="1" customWidth="1"/>
    <col min="16092" max="16092" width="14.85546875" style="87" customWidth="1"/>
    <col min="16093" max="16094" width="0" style="87" hidden="1" customWidth="1"/>
    <col min="16095" max="16095" width="14.85546875" style="87" customWidth="1"/>
    <col min="16096" max="16097" width="0" style="87" hidden="1" customWidth="1"/>
    <col min="16098" max="16099" width="14.85546875" style="87" customWidth="1"/>
    <col min="16100" max="16100" width="44.42578125" style="87" customWidth="1"/>
    <col min="16101" max="16105" width="14.85546875" style="87" customWidth="1"/>
    <col min="16106" max="16106" width="63.85546875" style="87" customWidth="1"/>
    <col min="16107" max="16107" width="13.28515625" style="87" customWidth="1"/>
    <col min="16108" max="16306" width="9" style="87"/>
    <col min="16307" max="16339" width="9.140625" style="87" customWidth="1"/>
    <col min="16340" max="16347" width="9.140625" style="87"/>
    <col min="16348" max="16384" width="9.140625" style="87" customWidth="1"/>
  </cols>
  <sheetData>
    <row r="1" spans="1:12" ht="25.5" outlineLevel="1">
      <c r="C1" s="502" t="s">
        <v>1172</v>
      </c>
      <c r="D1" s="4633"/>
      <c r="E1" s="88"/>
      <c r="F1" s="88"/>
      <c r="G1" s="4634"/>
      <c r="H1" s="4638"/>
      <c r="I1" s="88"/>
      <c r="J1" s="4634"/>
      <c r="K1" s="88"/>
      <c r="L1" s="4634"/>
    </row>
    <row r="2" spans="1:12" ht="25.5" outlineLevel="1">
      <c r="C2" s="4835" t="s">
        <v>6281</v>
      </c>
      <c r="D2" s="4835"/>
      <c r="E2" s="232"/>
      <c r="F2" s="232"/>
      <c r="G2" s="4638"/>
      <c r="H2" s="4638"/>
      <c r="I2" s="88"/>
      <c r="J2" s="4634"/>
      <c r="K2" s="232"/>
      <c r="L2" s="4638"/>
    </row>
    <row r="3" spans="1:12" ht="20.25" outlineLevel="1">
      <c r="C3" s="4834" t="s">
        <v>0</v>
      </c>
      <c r="D3" s="4834"/>
      <c r="E3" s="288"/>
      <c r="F3" s="288"/>
      <c r="G3" s="4639"/>
      <c r="H3" s="4638"/>
      <c r="I3" s="88"/>
      <c r="J3" s="4634"/>
      <c r="K3" s="288">
        <f>K23-BAZE_2024!G16</f>
        <v>0</v>
      </c>
      <c r="L3" s="4639"/>
    </row>
    <row r="4" spans="1:12" ht="15.75" outlineLevel="1" thickBot="1">
      <c r="C4" s="1354"/>
      <c r="E4" s="1"/>
      <c r="F4" s="1"/>
      <c r="G4" s="4639"/>
      <c r="H4" s="4638"/>
      <c r="I4" s="88"/>
      <c r="J4" s="4634"/>
      <c r="K4" s="1"/>
      <c r="L4" s="4640"/>
    </row>
    <row r="5" spans="1:12" ht="55.15" customHeight="1" thickBot="1">
      <c r="C5" s="91" t="s">
        <v>1</v>
      </c>
      <c r="D5" s="92" t="s">
        <v>2</v>
      </c>
      <c r="E5" s="289" t="s">
        <v>6244</v>
      </c>
      <c r="F5" s="289" t="s">
        <v>4</v>
      </c>
      <c r="G5" s="289" t="s">
        <v>5</v>
      </c>
      <c r="H5" s="289" t="s">
        <v>677</v>
      </c>
      <c r="I5" s="289" t="s">
        <v>1133</v>
      </c>
      <c r="J5" s="289" t="s">
        <v>6267</v>
      </c>
      <c r="K5" s="289" t="s">
        <v>6282</v>
      </c>
      <c r="L5" s="289" t="s">
        <v>6268</v>
      </c>
    </row>
    <row r="6" spans="1:12">
      <c r="C6" s="1194" t="s">
        <v>1791</v>
      </c>
      <c r="D6" s="1195" t="s">
        <v>8</v>
      </c>
      <c r="E6" s="485">
        <f>ROUND((E7+E11+E14+E17+E20),0)</f>
        <v>0</v>
      </c>
      <c r="F6" s="485">
        <f t="shared" ref="F6:L6" si="0">ROUND((F7+F11+F14+F17+F20),0)</f>
        <v>70000</v>
      </c>
      <c r="G6" s="485">
        <f t="shared" si="0"/>
        <v>0</v>
      </c>
      <c r="H6" s="485">
        <f t="shared" si="0"/>
        <v>0</v>
      </c>
      <c r="I6" s="485">
        <f t="shared" si="0"/>
        <v>0</v>
      </c>
      <c r="J6" s="485">
        <f t="shared" si="0"/>
        <v>0</v>
      </c>
      <c r="K6" s="485">
        <f t="shared" si="0"/>
        <v>38004624</v>
      </c>
      <c r="L6" s="485">
        <f t="shared" si="0"/>
        <v>38074624</v>
      </c>
    </row>
    <row r="7" spans="1:12">
      <c r="B7" s="87" t="s">
        <v>9</v>
      </c>
      <c r="C7" s="1196" t="s">
        <v>10</v>
      </c>
      <c r="D7" s="1197" t="s">
        <v>11</v>
      </c>
      <c r="E7" s="98">
        <f>SUM(E8:E9)</f>
        <v>0</v>
      </c>
      <c r="F7" s="98">
        <f t="shared" ref="F7:K7" si="1">SUM(F8:F9)</f>
        <v>0</v>
      </c>
      <c r="G7" s="98">
        <f t="shared" si="1"/>
        <v>0</v>
      </c>
      <c r="H7" s="98">
        <f t="shared" si="1"/>
        <v>0</v>
      </c>
      <c r="I7" s="98">
        <f>SUM(I8:I9)</f>
        <v>0</v>
      </c>
      <c r="J7" s="98">
        <f t="shared" si="1"/>
        <v>0</v>
      </c>
      <c r="K7" s="98">
        <f t="shared" si="1"/>
        <v>34831773</v>
      </c>
      <c r="L7" s="98">
        <f>SUM(L8:L9)</f>
        <v>34831773</v>
      </c>
    </row>
    <row r="8" spans="1:12" ht="18" customHeight="1">
      <c r="A8" s="87" t="s">
        <v>12</v>
      </c>
      <c r="B8" s="99" t="s">
        <v>14</v>
      </c>
      <c r="C8" s="1198" t="s">
        <v>13</v>
      </c>
      <c r="D8" s="1199" t="s">
        <v>16</v>
      </c>
      <c r="E8" s="102"/>
      <c r="F8" s="102"/>
      <c r="G8" s="102"/>
      <c r="H8" s="102"/>
      <c r="I8" s="102"/>
      <c r="J8" s="102"/>
      <c r="K8" s="102">
        <f>BAZE_2024!G4</f>
        <v>34831773</v>
      </c>
      <c r="L8" s="102">
        <f>F8+G8+H8+I8+J8+K8</f>
        <v>34831773</v>
      </c>
    </row>
    <row r="9" spans="1:12" ht="27.75" hidden="1" customHeight="1" outlineLevel="1">
      <c r="B9" s="99"/>
      <c r="C9" s="1198" t="s">
        <v>15</v>
      </c>
      <c r="D9" s="1199" t="s">
        <v>778</v>
      </c>
      <c r="E9" s="102"/>
      <c r="F9" s="102"/>
      <c r="G9" s="102"/>
      <c r="H9" s="102"/>
      <c r="I9" s="102"/>
      <c r="J9" s="102"/>
      <c r="K9" s="102">
        <f>BAZE_2024!G5</f>
        <v>0</v>
      </c>
      <c r="L9" s="102">
        <f>F9+G9+H9+I9+J9+K9</f>
        <v>0</v>
      </c>
    </row>
    <row r="10" spans="1:12" ht="32.450000000000003" customHeight="1" collapsed="1">
      <c r="C10" s="1194" t="s">
        <v>1792</v>
      </c>
      <c r="D10" s="1195" t="s">
        <v>1793</v>
      </c>
      <c r="E10" s="485"/>
      <c r="F10" s="485"/>
      <c r="G10" s="485"/>
      <c r="H10" s="485"/>
      <c r="I10" s="485"/>
      <c r="J10" s="485"/>
      <c r="K10" s="485"/>
      <c r="L10" s="485">
        <f>L11+L14+L17</f>
        <v>3172850.61</v>
      </c>
    </row>
    <row r="11" spans="1:12">
      <c r="B11" s="87" t="s">
        <v>17</v>
      </c>
      <c r="C11" s="1200" t="s">
        <v>18</v>
      </c>
      <c r="D11" s="1201" t="s">
        <v>19</v>
      </c>
      <c r="E11" s="106">
        <f t="shared" ref="E11:K11" si="2">SUM(E12:E13)</f>
        <v>0</v>
      </c>
      <c r="F11" s="106">
        <f t="shared" si="2"/>
        <v>0</v>
      </c>
      <c r="G11" s="106">
        <f t="shared" si="2"/>
        <v>0</v>
      </c>
      <c r="H11" s="106">
        <f t="shared" si="2"/>
        <v>0</v>
      </c>
      <c r="I11" s="106">
        <f>SUM(I12:I13)</f>
        <v>0</v>
      </c>
      <c r="J11" s="106">
        <f t="shared" si="2"/>
        <v>0</v>
      </c>
      <c r="K11" s="106">
        <f t="shared" si="2"/>
        <v>2040017.74</v>
      </c>
      <c r="L11" s="106">
        <f>SUM(L12:L13)</f>
        <v>2040017.74</v>
      </c>
    </row>
    <row r="12" spans="1:12">
      <c r="A12" s="87" t="s">
        <v>12</v>
      </c>
      <c r="B12" s="99" t="s">
        <v>20</v>
      </c>
      <c r="C12" s="1198" t="s">
        <v>21</v>
      </c>
      <c r="D12" s="1199" t="s">
        <v>16</v>
      </c>
      <c r="E12" s="102"/>
      <c r="F12" s="102"/>
      <c r="G12" s="102"/>
      <c r="H12" s="102"/>
      <c r="I12" s="102"/>
      <c r="J12" s="102"/>
      <c r="K12" s="102">
        <f>BAZE_2024!G7</f>
        <v>1900000</v>
      </c>
      <c r="L12" s="102">
        <f>F12+G12+H12+I12+J12+K12</f>
        <v>1900000</v>
      </c>
    </row>
    <row r="13" spans="1:12">
      <c r="A13" s="87" t="s">
        <v>12</v>
      </c>
      <c r="B13" s="99" t="s">
        <v>22</v>
      </c>
      <c r="C13" s="1198" t="s">
        <v>23</v>
      </c>
      <c r="D13" s="1199" t="s">
        <v>24</v>
      </c>
      <c r="E13" s="102"/>
      <c r="F13" s="102"/>
      <c r="G13" s="102"/>
      <c r="H13" s="102"/>
      <c r="I13" s="102"/>
      <c r="J13" s="102"/>
      <c r="K13" s="102">
        <f>BAZE_2024!G8</f>
        <v>140017.74</v>
      </c>
      <c r="L13" s="102">
        <f>F13+G13+H13+I13+J13+K13</f>
        <v>140017.74</v>
      </c>
    </row>
    <row r="14" spans="1:12">
      <c r="B14" s="87" t="s">
        <v>25</v>
      </c>
      <c r="C14" s="1200" t="s">
        <v>26</v>
      </c>
      <c r="D14" s="1201" t="s">
        <v>27</v>
      </c>
      <c r="E14" s="106">
        <f t="shared" ref="E14:K14" si="3">SUM(E15:E16)</f>
        <v>0</v>
      </c>
      <c r="F14" s="106">
        <f t="shared" si="3"/>
        <v>0</v>
      </c>
      <c r="G14" s="106">
        <f t="shared" si="3"/>
        <v>0</v>
      </c>
      <c r="H14" s="106">
        <f t="shared" si="3"/>
        <v>0</v>
      </c>
      <c r="I14" s="106">
        <f>SUM(I15:I16)</f>
        <v>0</v>
      </c>
      <c r="J14" s="106">
        <f t="shared" si="3"/>
        <v>0</v>
      </c>
      <c r="K14" s="106">
        <f t="shared" si="3"/>
        <v>410966.93</v>
      </c>
      <c r="L14" s="106">
        <f>SUM(L15:L16)</f>
        <v>410966.93</v>
      </c>
    </row>
    <row r="15" spans="1:12">
      <c r="A15" s="87" t="s">
        <v>12</v>
      </c>
      <c r="B15" s="99" t="s">
        <v>28</v>
      </c>
      <c r="C15" s="1198" t="s">
        <v>29</v>
      </c>
      <c r="D15" s="1199" t="s">
        <v>30</v>
      </c>
      <c r="E15" s="102"/>
      <c r="F15" s="102"/>
      <c r="G15" s="102"/>
      <c r="H15" s="102"/>
      <c r="I15" s="102"/>
      <c r="J15" s="102"/>
      <c r="K15" s="102">
        <f>BAZE_2024!G10</f>
        <v>350989</v>
      </c>
      <c r="L15" s="102">
        <f>F15+G15+H15+I15+J15+K15</f>
        <v>350989</v>
      </c>
    </row>
    <row r="16" spans="1:12">
      <c r="A16" s="87" t="s">
        <v>12</v>
      </c>
      <c r="B16" s="99" t="s">
        <v>31</v>
      </c>
      <c r="C16" s="1198" t="s">
        <v>32</v>
      </c>
      <c r="D16" s="1199" t="s">
        <v>24</v>
      </c>
      <c r="E16" s="102"/>
      <c r="F16" s="102"/>
      <c r="G16" s="102"/>
      <c r="H16" s="102"/>
      <c r="I16" s="102"/>
      <c r="J16" s="102"/>
      <c r="K16" s="102">
        <f>BAZE_2024!G11</f>
        <v>59977.93</v>
      </c>
      <c r="L16" s="102">
        <f>F16+G16+H16+I16+J16+K16</f>
        <v>59977.93</v>
      </c>
    </row>
    <row r="17" spans="1:12" ht="29.25">
      <c r="B17" s="87" t="s">
        <v>33</v>
      </c>
      <c r="C17" s="1200" t="s">
        <v>34</v>
      </c>
      <c r="D17" s="1201" t="s">
        <v>35</v>
      </c>
      <c r="E17" s="106">
        <f t="shared" ref="E17:L17" si="4">SUM(E18:E19)</f>
        <v>0</v>
      </c>
      <c r="F17" s="106">
        <f t="shared" si="4"/>
        <v>0</v>
      </c>
      <c r="G17" s="106">
        <f t="shared" si="4"/>
        <v>0</v>
      </c>
      <c r="H17" s="106">
        <f t="shared" si="4"/>
        <v>0</v>
      </c>
      <c r="I17" s="106">
        <f>SUM(I18:I19)</f>
        <v>0</v>
      </c>
      <c r="J17" s="106">
        <f t="shared" si="4"/>
        <v>0</v>
      </c>
      <c r="K17" s="106">
        <f t="shared" si="4"/>
        <v>721865.94</v>
      </c>
      <c r="L17" s="106">
        <f t="shared" si="4"/>
        <v>721865.94</v>
      </c>
    </row>
    <row r="18" spans="1:12" ht="18.75" customHeight="1">
      <c r="A18" s="87" t="s">
        <v>12</v>
      </c>
      <c r="B18" s="99" t="s">
        <v>36</v>
      </c>
      <c r="C18" s="1198" t="s">
        <v>37</v>
      </c>
      <c r="D18" s="1199" t="s">
        <v>30</v>
      </c>
      <c r="E18" s="102"/>
      <c r="F18" s="102"/>
      <c r="G18" s="102"/>
      <c r="H18" s="102"/>
      <c r="I18" s="102"/>
      <c r="J18" s="102"/>
      <c r="K18" s="102">
        <f>BAZE_2024!G13</f>
        <v>650000</v>
      </c>
      <c r="L18" s="102">
        <f>F18+G18+H18+I18+J18+K18</f>
        <v>650000</v>
      </c>
    </row>
    <row r="19" spans="1:12">
      <c r="A19" s="87" t="s">
        <v>12</v>
      </c>
      <c r="B19" s="99" t="s">
        <v>38</v>
      </c>
      <c r="C19" s="1198" t="s">
        <v>39</v>
      </c>
      <c r="D19" s="1199" t="s">
        <v>24</v>
      </c>
      <c r="E19" s="102"/>
      <c r="F19" s="102"/>
      <c r="G19" s="102"/>
      <c r="H19" s="102"/>
      <c r="I19" s="102"/>
      <c r="J19" s="102"/>
      <c r="K19" s="102">
        <f>BAZE_2024!G14</f>
        <v>71865.94</v>
      </c>
      <c r="L19" s="102">
        <f>F19+G19+H19+I19+J19+K19</f>
        <v>71865.94</v>
      </c>
    </row>
    <row r="20" spans="1:12" ht="29.25">
      <c r="B20" s="497"/>
      <c r="C20" s="1200" t="s">
        <v>40</v>
      </c>
      <c r="D20" s="1201" t="s">
        <v>1690</v>
      </c>
      <c r="E20" s="106">
        <f t="shared" ref="E20:L20" si="5">SUM(E21:E22)</f>
        <v>0</v>
      </c>
      <c r="F20" s="106">
        <f t="shared" si="5"/>
        <v>70000</v>
      </c>
      <c r="G20" s="106">
        <f t="shared" si="5"/>
        <v>0</v>
      </c>
      <c r="H20" s="106">
        <f t="shared" si="5"/>
        <v>0</v>
      </c>
      <c r="I20" s="106">
        <f t="shared" si="5"/>
        <v>0</v>
      </c>
      <c r="J20" s="106">
        <f t="shared" si="5"/>
        <v>0</v>
      </c>
      <c r="K20" s="106">
        <f t="shared" si="5"/>
        <v>0</v>
      </c>
      <c r="L20" s="106">
        <f t="shared" si="5"/>
        <v>70000</v>
      </c>
    </row>
    <row r="21" spans="1:12" ht="14.45" customHeight="1" outlineLevel="1">
      <c r="B21" s="99" t="s">
        <v>1796</v>
      </c>
      <c r="C21" s="1198" t="s">
        <v>170</v>
      </c>
      <c r="D21" s="1199" t="s">
        <v>41</v>
      </c>
      <c r="E21" s="102"/>
      <c r="F21" s="102"/>
      <c r="G21" s="102"/>
      <c r="H21" s="102"/>
      <c r="I21" s="102"/>
      <c r="J21" s="102"/>
      <c r="K21" s="102"/>
      <c r="L21" s="102">
        <f>F21+G21+H21+I21+J21+K21</f>
        <v>0</v>
      </c>
    </row>
    <row r="22" spans="1:12" ht="15.6" customHeight="1">
      <c r="B22" s="99" t="s">
        <v>1795</v>
      </c>
      <c r="C22" s="1198" t="s">
        <v>170</v>
      </c>
      <c r="D22" s="1199" t="s">
        <v>1794</v>
      </c>
      <c r="E22" s="102"/>
      <c r="F22" s="102">
        <v>70000</v>
      </c>
      <c r="G22" s="102"/>
      <c r="H22" s="102"/>
      <c r="I22" s="102"/>
      <c r="J22" s="102"/>
      <c r="K22" s="102"/>
      <c r="L22" s="102">
        <f>F22+G22+H22+I22+J22+K22</f>
        <v>70000</v>
      </c>
    </row>
    <row r="23" spans="1:12" ht="15.75" customHeight="1">
      <c r="B23" s="87" t="s">
        <v>42</v>
      </c>
      <c r="C23" s="1200" t="s">
        <v>43</v>
      </c>
      <c r="D23" s="1201" t="s">
        <v>44</v>
      </c>
      <c r="E23" s="106">
        <f t="shared" ref="E23:L23" si="6">E24+E28</f>
        <v>0</v>
      </c>
      <c r="F23" s="106">
        <f t="shared" si="6"/>
        <v>0</v>
      </c>
      <c r="G23" s="106">
        <f t="shared" si="6"/>
        <v>0</v>
      </c>
      <c r="H23" s="106">
        <f t="shared" si="6"/>
        <v>0</v>
      </c>
      <c r="I23" s="106">
        <f t="shared" si="6"/>
        <v>0</v>
      </c>
      <c r="J23" s="106">
        <f t="shared" si="6"/>
        <v>0</v>
      </c>
      <c r="K23" s="106">
        <f t="shared" si="6"/>
        <v>160000</v>
      </c>
      <c r="L23" s="106">
        <f t="shared" si="6"/>
        <v>160000</v>
      </c>
    </row>
    <row r="24" spans="1:12">
      <c r="A24" s="87" t="s">
        <v>12</v>
      </c>
      <c r="B24" s="87" t="s">
        <v>45</v>
      </c>
      <c r="C24" s="1198" t="s">
        <v>46</v>
      </c>
      <c r="D24" s="1199" t="s">
        <v>47</v>
      </c>
      <c r="E24" s="102">
        <f>E25+E26+E27</f>
        <v>0</v>
      </c>
      <c r="F24" s="102">
        <f t="shared" ref="F24:L24" si="7">F25+F26+F27</f>
        <v>0</v>
      </c>
      <c r="G24" s="102">
        <f t="shared" si="7"/>
        <v>0</v>
      </c>
      <c r="H24" s="102">
        <f t="shared" si="7"/>
        <v>0</v>
      </c>
      <c r="I24" s="102">
        <f>I25+I26+I27</f>
        <v>0</v>
      </c>
      <c r="J24" s="102">
        <f t="shared" si="7"/>
        <v>0</v>
      </c>
      <c r="K24" s="102">
        <f t="shared" si="7"/>
        <v>6700</v>
      </c>
      <c r="L24" s="102">
        <f t="shared" si="7"/>
        <v>6700</v>
      </c>
    </row>
    <row r="25" spans="1:12" ht="26.25">
      <c r="B25" s="99" t="s">
        <v>48</v>
      </c>
      <c r="C25" s="1202" t="s">
        <v>49</v>
      </c>
      <c r="D25" s="1203" t="s">
        <v>50</v>
      </c>
      <c r="E25" s="102"/>
      <c r="F25" s="102"/>
      <c r="G25" s="102"/>
      <c r="H25" s="102"/>
      <c r="I25" s="102"/>
      <c r="J25" s="102"/>
      <c r="K25" s="102">
        <v>1700</v>
      </c>
      <c r="L25" s="102">
        <f>F25+G25+H25+I25+J25+K25</f>
        <v>1700</v>
      </c>
    </row>
    <row r="26" spans="1:12" ht="26.25">
      <c r="B26" s="99" t="s">
        <v>51</v>
      </c>
      <c r="C26" s="1202" t="s">
        <v>52</v>
      </c>
      <c r="D26" s="1203" t="s">
        <v>1099</v>
      </c>
      <c r="E26" s="102"/>
      <c r="F26" s="102"/>
      <c r="G26" s="102"/>
      <c r="H26" s="102"/>
      <c r="I26" s="102"/>
      <c r="J26" s="102"/>
      <c r="K26" s="102">
        <v>4500</v>
      </c>
      <c r="L26" s="102">
        <f>F26+G26+H26+I26+J26+K26</f>
        <v>4500</v>
      </c>
    </row>
    <row r="27" spans="1:12" ht="26.25">
      <c r="B27" s="99" t="s">
        <v>53</v>
      </c>
      <c r="C27" s="1202" t="s">
        <v>54</v>
      </c>
      <c r="D27" s="1203" t="s">
        <v>1100</v>
      </c>
      <c r="E27" s="102"/>
      <c r="F27" s="102"/>
      <c r="G27" s="102"/>
      <c r="H27" s="102"/>
      <c r="I27" s="102"/>
      <c r="J27" s="102"/>
      <c r="K27" s="102">
        <v>500</v>
      </c>
      <c r="L27" s="102">
        <f>F27+G27+H27+I27+J27+K27</f>
        <v>500</v>
      </c>
    </row>
    <row r="28" spans="1:12">
      <c r="A28" s="87" t="s">
        <v>12</v>
      </c>
      <c r="B28" s="87" t="s">
        <v>55</v>
      </c>
      <c r="C28" s="1198" t="s">
        <v>56</v>
      </c>
      <c r="D28" s="1199" t="s">
        <v>57</v>
      </c>
      <c r="E28" s="102">
        <f>SUM(E29:E35)</f>
        <v>0</v>
      </c>
      <c r="F28" s="102">
        <f t="shared" ref="F28:L28" si="8">SUM(F29:F35)</f>
        <v>0</v>
      </c>
      <c r="G28" s="102">
        <f t="shared" si="8"/>
        <v>0</v>
      </c>
      <c r="H28" s="102">
        <f t="shared" si="8"/>
        <v>0</v>
      </c>
      <c r="I28" s="102">
        <f>SUM(I29:I35)</f>
        <v>0</v>
      </c>
      <c r="J28" s="102">
        <f t="shared" si="8"/>
        <v>0</v>
      </c>
      <c r="K28" s="102">
        <f t="shared" si="8"/>
        <v>153300</v>
      </c>
      <c r="L28" s="102">
        <f t="shared" si="8"/>
        <v>153300</v>
      </c>
    </row>
    <row r="29" spans="1:12" ht="26.25">
      <c r="B29" s="99" t="s">
        <v>58</v>
      </c>
      <c r="C29" s="1202" t="s">
        <v>59</v>
      </c>
      <c r="D29" s="1203" t="s">
        <v>1101</v>
      </c>
      <c r="E29" s="102"/>
      <c r="F29" s="102"/>
      <c r="G29" s="102"/>
      <c r="H29" s="102"/>
      <c r="I29" s="102"/>
      <c r="J29" s="102"/>
      <c r="K29" s="102">
        <v>350</v>
      </c>
      <c r="L29" s="102">
        <f t="shared" ref="L29:L35" si="9">F29+G29+H29+I29+J29+K29</f>
        <v>350</v>
      </c>
    </row>
    <row r="30" spans="1:12" ht="26.25">
      <c r="B30" s="834" t="s">
        <v>3059</v>
      </c>
      <c r="C30" s="1202" t="s">
        <v>61</v>
      </c>
      <c r="D30" s="1203" t="s">
        <v>1125</v>
      </c>
      <c r="E30" s="452"/>
      <c r="F30" s="452"/>
      <c r="G30" s="452"/>
      <c r="H30" s="452"/>
      <c r="I30" s="452"/>
      <c r="J30" s="452"/>
      <c r="K30" s="102">
        <v>1100</v>
      </c>
      <c r="L30" s="102">
        <f t="shared" si="9"/>
        <v>1100</v>
      </c>
    </row>
    <row r="31" spans="1:12">
      <c r="B31" s="99" t="s">
        <v>60</v>
      </c>
      <c r="C31" s="1202" t="s">
        <v>63</v>
      </c>
      <c r="D31" s="1203" t="s">
        <v>1102</v>
      </c>
      <c r="E31" s="102"/>
      <c r="F31" s="102"/>
      <c r="G31" s="102"/>
      <c r="H31" s="102"/>
      <c r="I31" s="102"/>
      <c r="J31" s="102"/>
      <c r="K31" s="102">
        <v>27000</v>
      </c>
      <c r="L31" s="102">
        <f t="shared" si="9"/>
        <v>27000</v>
      </c>
    </row>
    <row r="32" spans="1:12">
      <c r="B32" s="99" t="s">
        <v>62</v>
      </c>
      <c r="C32" s="1202" t="s">
        <v>65</v>
      </c>
      <c r="D32" s="1203" t="s">
        <v>1103</v>
      </c>
      <c r="E32" s="102"/>
      <c r="F32" s="102"/>
      <c r="G32" s="102"/>
      <c r="H32" s="102"/>
      <c r="I32" s="102"/>
      <c r="J32" s="102"/>
      <c r="K32" s="102">
        <v>0</v>
      </c>
      <c r="L32" s="102">
        <f t="shared" si="9"/>
        <v>0</v>
      </c>
    </row>
    <row r="33" spans="1:12" ht="26.25">
      <c r="B33" s="99" t="s">
        <v>64</v>
      </c>
      <c r="C33" s="1202" t="s">
        <v>67</v>
      </c>
      <c r="D33" s="1203" t="s">
        <v>1104</v>
      </c>
      <c r="E33" s="102"/>
      <c r="F33" s="102"/>
      <c r="G33" s="102"/>
      <c r="H33" s="102"/>
      <c r="I33" s="102"/>
      <c r="J33" s="102"/>
      <c r="K33" s="102">
        <v>11500</v>
      </c>
      <c r="L33" s="102">
        <f t="shared" si="9"/>
        <v>11500</v>
      </c>
    </row>
    <row r="34" spans="1:12">
      <c r="B34" s="99" t="s">
        <v>66</v>
      </c>
      <c r="C34" s="1202" t="s">
        <v>69</v>
      </c>
      <c r="D34" s="1203" t="s">
        <v>1105</v>
      </c>
      <c r="E34" s="102"/>
      <c r="F34" s="102"/>
      <c r="G34" s="102"/>
      <c r="H34" s="102"/>
      <c r="I34" s="102"/>
      <c r="J34" s="102"/>
      <c r="K34" s="102">
        <f>100000-13150+19500</f>
        <v>106350</v>
      </c>
      <c r="L34" s="102">
        <f t="shared" si="9"/>
        <v>106350</v>
      </c>
    </row>
    <row r="35" spans="1:12">
      <c r="B35" s="99" t="s">
        <v>68</v>
      </c>
      <c r="C35" s="1202" t="s">
        <v>1149</v>
      </c>
      <c r="D35" s="1203" t="s">
        <v>1106</v>
      </c>
      <c r="E35" s="102"/>
      <c r="F35" s="102"/>
      <c r="G35" s="102"/>
      <c r="H35" s="102"/>
      <c r="I35" s="102"/>
      <c r="J35" s="102"/>
      <c r="K35" s="102">
        <v>7000</v>
      </c>
      <c r="L35" s="102">
        <f t="shared" si="9"/>
        <v>7000</v>
      </c>
    </row>
    <row r="36" spans="1:12" ht="18" customHeight="1">
      <c r="B36" s="87" t="s">
        <v>70</v>
      </c>
      <c r="C36" s="1200" t="s">
        <v>71</v>
      </c>
      <c r="D36" s="1201" t="s">
        <v>72</v>
      </c>
      <c r="E36" s="106">
        <f t="shared" ref="E36:L36" si="10">E37+E38</f>
        <v>0</v>
      </c>
      <c r="F36" s="106">
        <f t="shared" si="10"/>
        <v>0</v>
      </c>
      <c r="G36" s="106">
        <f t="shared" si="10"/>
        <v>0</v>
      </c>
      <c r="H36" s="106">
        <f t="shared" si="10"/>
        <v>0</v>
      </c>
      <c r="I36" s="106">
        <f>I37+I38</f>
        <v>0</v>
      </c>
      <c r="J36" s="106">
        <f t="shared" si="10"/>
        <v>0</v>
      </c>
      <c r="K36" s="106">
        <f t="shared" si="10"/>
        <v>65000</v>
      </c>
      <c r="L36" s="106">
        <f t="shared" si="10"/>
        <v>65000</v>
      </c>
    </row>
    <row r="37" spans="1:12" ht="16.5" customHeight="1">
      <c r="B37" s="497" t="s">
        <v>73</v>
      </c>
      <c r="C37" s="1198" t="s">
        <v>74</v>
      </c>
      <c r="D37" s="1199" t="s">
        <v>72</v>
      </c>
      <c r="E37" s="102"/>
      <c r="F37" s="102"/>
      <c r="G37" s="102"/>
      <c r="H37" s="102"/>
      <c r="I37" s="102"/>
      <c r="J37" s="102"/>
      <c r="K37" s="102">
        <v>31000</v>
      </c>
      <c r="L37" s="102">
        <f>F37+G37+H37+I37+J37+K37</f>
        <v>31000</v>
      </c>
    </row>
    <row r="38" spans="1:12" ht="30">
      <c r="B38" s="497" t="s">
        <v>75</v>
      </c>
      <c r="C38" s="1198" t="s">
        <v>76</v>
      </c>
      <c r="D38" s="1199" t="s">
        <v>77</v>
      </c>
      <c r="E38" s="102"/>
      <c r="F38" s="102"/>
      <c r="G38" s="102"/>
      <c r="H38" s="102"/>
      <c r="I38" s="102"/>
      <c r="J38" s="102"/>
      <c r="K38" s="102">
        <v>34000</v>
      </c>
      <c r="L38" s="102">
        <f>F38+G38+H38+I38+J38+K38</f>
        <v>34000</v>
      </c>
    </row>
    <row r="39" spans="1:12">
      <c r="B39" s="87" t="s">
        <v>78</v>
      </c>
      <c r="C39" s="1200" t="s">
        <v>79</v>
      </c>
      <c r="D39" s="1201" t="s">
        <v>80</v>
      </c>
      <c r="E39" s="106">
        <f t="shared" ref="E39:L39" si="11">E40+E41+E42</f>
        <v>0</v>
      </c>
      <c r="F39" s="106">
        <f t="shared" si="11"/>
        <v>0</v>
      </c>
      <c r="G39" s="106">
        <f t="shared" si="11"/>
        <v>0</v>
      </c>
      <c r="H39" s="106">
        <f t="shared" si="11"/>
        <v>0</v>
      </c>
      <c r="I39" s="106">
        <f>I40+I41+I42</f>
        <v>0</v>
      </c>
      <c r="J39" s="106">
        <f t="shared" si="11"/>
        <v>0</v>
      </c>
      <c r="K39" s="106">
        <f>BAZE_2024!G18</f>
        <v>6453</v>
      </c>
      <c r="L39" s="106">
        <f t="shared" si="11"/>
        <v>6453</v>
      </c>
    </row>
    <row r="40" spans="1:12" ht="29.45" customHeight="1">
      <c r="A40" s="87" t="s">
        <v>12</v>
      </c>
      <c r="B40" s="88" t="s">
        <v>695</v>
      </c>
      <c r="C40" s="1198" t="s">
        <v>81</v>
      </c>
      <c r="D40" s="4653" t="s">
        <v>82</v>
      </c>
      <c r="E40" s="102"/>
      <c r="F40" s="102"/>
      <c r="G40" s="102"/>
      <c r="H40" s="102"/>
      <c r="I40" s="102"/>
      <c r="J40" s="102"/>
      <c r="K40" s="102"/>
      <c r="L40" s="102">
        <f>F40+G40+H40+I40+J40+K40</f>
        <v>0</v>
      </c>
    </row>
    <row r="41" spans="1:12" ht="30">
      <c r="B41" s="87" t="s">
        <v>676</v>
      </c>
      <c r="C41" s="1198" t="s">
        <v>83</v>
      </c>
      <c r="D41" s="1199" t="s">
        <v>675</v>
      </c>
      <c r="E41" s="102"/>
      <c r="F41" s="102"/>
      <c r="G41" s="102"/>
      <c r="H41" s="102"/>
      <c r="I41" s="102"/>
      <c r="J41" s="102"/>
      <c r="K41" s="102">
        <v>500</v>
      </c>
      <c r="L41" s="102">
        <f>F41+G41+H41+I41+J41+K41</f>
        <v>500</v>
      </c>
    </row>
    <row r="42" spans="1:12">
      <c r="C42" s="1198" t="s">
        <v>84</v>
      </c>
      <c r="D42" s="1199" t="s">
        <v>1165</v>
      </c>
      <c r="E42" s="452"/>
      <c r="F42" s="452"/>
      <c r="G42" s="452"/>
      <c r="H42" s="452"/>
      <c r="I42" s="452"/>
      <c r="J42" s="452"/>
      <c r="K42" s="452">
        <f>6453-K41</f>
        <v>5953</v>
      </c>
      <c r="L42" s="102">
        <f>F42+G42+H42+I42+J42+K42</f>
        <v>5953</v>
      </c>
    </row>
    <row r="43" spans="1:12" ht="15" customHeight="1">
      <c r="B43" s="87" t="s">
        <v>615</v>
      </c>
      <c r="C43" s="1204" t="s">
        <v>85</v>
      </c>
      <c r="D43" s="1201" t="s">
        <v>86</v>
      </c>
      <c r="E43" s="106"/>
      <c r="F43" s="106"/>
      <c r="G43" s="106"/>
      <c r="H43" s="106"/>
      <c r="I43" s="106"/>
      <c r="J43" s="106"/>
      <c r="K43" s="106">
        <f>BAZE_2024!G19</f>
        <v>5856</v>
      </c>
      <c r="L43" s="106">
        <f>F43+G43+H43+I43+J43+K43</f>
        <v>5856</v>
      </c>
    </row>
    <row r="44" spans="1:12">
      <c r="C44" s="1204" t="s">
        <v>89</v>
      </c>
      <c r="D44" s="1201" t="s">
        <v>692</v>
      </c>
      <c r="E44" s="106">
        <f t="shared" ref="E44:L44" si="12">E45+E68+E88</f>
        <v>2707710.83</v>
      </c>
      <c r="F44" s="106">
        <f t="shared" si="12"/>
        <v>8993696.3728</v>
      </c>
      <c r="G44" s="106">
        <f t="shared" si="12"/>
        <v>1159816</v>
      </c>
      <c r="H44" s="106">
        <f t="shared" si="12"/>
        <v>0</v>
      </c>
      <c r="I44" s="106">
        <f t="shared" si="12"/>
        <v>0</v>
      </c>
      <c r="J44" s="106">
        <f t="shared" si="12"/>
        <v>0</v>
      </c>
      <c r="K44" s="106">
        <f t="shared" si="12"/>
        <v>0</v>
      </c>
      <c r="L44" s="106">
        <f t="shared" si="12"/>
        <v>10153512.3728</v>
      </c>
    </row>
    <row r="45" spans="1:12" ht="17.45" customHeight="1">
      <c r="B45" s="99"/>
      <c r="C45" s="1205" t="s">
        <v>93</v>
      </c>
      <c r="D45" s="4656" t="s">
        <v>90</v>
      </c>
      <c r="E45" s="116">
        <f>SUM(E46:E49)+E52+SUM(E56:E67)</f>
        <v>1888471.83</v>
      </c>
      <c r="F45" s="116">
        <f t="shared" ref="F45:L45" si="13">SUM(F46:F49)+F52+SUM(F56:F67)</f>
        <v>8993696.3728</v>
      </c>
      <c r="G45" s="116">
        <f t="shared" si="13"/>
        <v>0</v>
      </c>
      <c r="H45" s="116">
        <f t="shared" si="13"/>
        <v>0</v>
      </c>
      <c r="I45" s="116">
        <f t="shared" si="13"/>
        <v>0</v>
      </c>
      <c r="J45" s="116">
        <f t="shared" si="13"/>
        <v>0</v>
      </c>
      <c r="K45" s="116">
        <f t="shared" si="13"/>
        <v>0</v>
      </c>
      <c r="L45" s="116">
        <f t="shared" si="13"/>
        <v>8993696.3728</v>
      </c>
    </row>
    <row r="46" spans="1:12" ht="16.899999999999999" customHeight="1">
      <c r="A46" s="87" t="s">
        <v>91</v>
      </c>
      <c r="B46" s="87" t="s">
        <v>92</v>
      </c>
      <c r="C46" s="1202" t="s">
        <v>1804</v>
      </c>
      <c r="D46" s="1199" t="s">
        <v>94</v>
      </c>
      <c r="E46" s="102">
        <v>0</v>
      </c>
      <c r="F46" s="102">
        <f>43903*1.2359*12</f>
        <v>651116.61239999998</v>
      </c>
      <c r="G46" s="102"/>
      <c r="H46" s="102"/>
      <c r="I46" s="102"/>
      <c r="J46" s="102"/>
      <c r="K46" s="102"/>
      <c r="L46" s="102">
        <f>F46+G46+H46+I46+J46+K46</f>
        <v>651116.61239999998</v>
      </c>
    </row>
    <row r="47" spans="1:12" ht="13.9" customHeight="1">
      <c r="A47" s="87" t="s">
        <v>91</v>
      </c>
      <c r="B47" s="497" t="s">
        <v>95</v>
      </c>
      <c r="C47" s="1202" t="s">
        <v>1805</v>
      </c>
      <c r="D47" s="1199" t="s">
        <v>97</v>
      </c>
      <c r="E47" s="102">
        <v>0</v>
      </c>
      <c r="F47" s="102">
        <f>21213*1.2359*12</f>
        <v>314605.76040000003</v>
      </c>
      <c r="G47" s="102"/>
      <c r="H47" s="102"/>
      <c r="I47" s="102"/>
      <c r="J47" s="102"/>
      <c r="K47" s="102"/>
      <c r="L47" s="102">
        <f>F47+G47+H47+I47+J47+K47</f>
        <v>314605.76040000003</v>
      </c>
    </row>
    <row r="48" spans="1:12">
      <c r="B48" s="400" t="s">
        <v>991</v>
      </c>
      <c r="C48" s="1202" t="s">
        <v>1806</v>
      </c>
      <c r="D48" s="1199" t="s">
        <v>98</v>
      </c>
      <c r="E48" s="102">
        <v>0</v>
      </c>
      <c r="F48" s="102">
        <f>49493+166307+33476</f>
        <v>249276</v>
      </c>
      <c r="G48" s="102"/>
      <c r="H48" s="102"/>
      <c r="I48" s="102"/>
      <c r="J48" s="102"/>
      <c r="K48" s="102"/>
      <c r="L48" s="102">
        <f>F48+G48+H48+I48+J48+K48</f>
        <v>249276</v>
      </c>
    </row>
    <row r="49" spans="1:12" ht="14.25" customHeight="1">
      <c r="A49" s="87" t="s">
        <v>91</v>
      </c>
      <c r="B49" s="497" t="s">
        <v>99</v>
      </c>
      <c r="C49" s="1202" t="s">
        <v>1807</v>
      </c>
      <c r="D49" s="1199" t="s">
        <v>2040</v>
      </c>
      <c r="E49" s="102">
        <f>E50+E51</f>
        <v>0</v>
      </c>
      <c r="F49" s="102">
        <f t="shared" ref="F49:L49" si="14">F50+F51</f>
        <v>0</v>
      </c>
      <c r="G49" s="102">
        <f t="shared" si="14"/>
        <v>0</v>
      </c>
      <c r="H49" s="102">
        <f t="shared" si="14"/>
        <v>0</v>
      </c>
      <c r="I49" s="102">
        <f t="shared" si="14"/>
        <v>0</v>
      </c>
      <c r="J49" s="102">
        <f t="shared" si="14"/>
        <v>0</v>
      </c>
      <c r="K49" s="102">
        <f t="shared" si="14"/>
        <v>0</v>
      </c>
      <c r="L49" s="102">
        <f t="shared" si="14"/>
        <v>0</v>
      </c>
    </row>
    <row r="50" spans="1:12" ht="14.25" customHeight="1">
      <c r="B50" s="497"/>
      <c r="C50" s="1202" t="s">
        <v>2037</v>
      </c>
      <c r="D50" s="1203" t="s">
        <v>2039</v>
      </c>
      <c r="E50" s="1267"/>
      <c r="F50" s="1267"/>
      <c r="G50" s="1267"/>
      <c r="H50" s="1267"/>
      <c r="I50" s="1267"/>
      <c r="J50" s="1267"/>
      <c r="K50" s="1267"/>
      <c r="L50" s="1267"/>
    </row>
    <row r="51" spans="1:12" ht="17.45" customHeight="1">
      <c r="B51" s="497"/>
      <c r="C51" s="1202" t="s">
        <v>2038</v>
      </c>
      <c r="D51" s="1203" t="s">
        <v>2041</v>
      </c>
      <c r="E51" s="1267">
        <v>0</v>
      </c>
      <c r="F51" s="1267"/>
      <c r="G51" s="1267"/>
      <c r="H51" s="1267"/>
      <c r="I51" s="1267"/>
      <c r="J51" s="1267"/>
      <c r="K51" s="1267"/>
      <c r="L51" s="1267"/>
    </row>
    <row r="52" spans="1:12" ht="13.9" customHeight="1">
      <c r="B52" s="87" t="s">
        <v>100</v>
      </c>
      <c r="C52" s="1202" t="s">
        <v>1808</v>
      </c>
      <c r="D52" s="1199" t="s">
        <v>101</v>
      </c>
      <c r="E52" s="290">
        <f t="shared" ref="E52:L52" si="15">E53+E54+E55</f>
        <v>0</v>
      </c>
      <c r="F52" s="290">
        <f t="shared" si="15"/>
        <v>6510554</v>
      </c>
      <c r="G52" s="290">
        <f t="shared" si="15"/>
        <v>0</v>
      </c>
      <c r="H52" s="290">
        <f t="shared" si="15"/>
        <v>0</v>
      </c>
      <c r="I52" s="290">
        <f>I53+I54+I55</f>
        <v>0</v>
      </c>
      <c r="J52" s="290">
        <f t="shared" si="15"/>
        <v>0</v>
      </c>
      <c r="K52" s="290">
        <f t="shared" si="15"/>
        <v>0</v>
      </c>
      <c r="L52" s="290">
        <f t="shared" si="15"/>
        <v>6510554</v>
      </c>
    </row>
    <row r="53" spans="1:12" s="112" customFormat="1">
      <c r="A53" s="87" t="s">
        <v>91</v>
      </c>
      <c r="B53" s="497" t="s">
        <v>102</v>
      </c>
      <c r="C53" s="1202" t="s">
        <v>1809</v>
      </c>
      <c r="D53" s="1203" t="s">
        <v>103</v>
      </c>
      <c r="E53" s="111">
        <v>0</v>
      </c>
      <c r="F53" s="111">
        <f>152284+238164+407268+158733+138119+6194</f>
        <v>1100762</v>
      </c>
      <c r="G53" s="111"/>
      <c r="H53" s="111"/>
      <c r="I53" s="111"/>
      <c r="J53" s="111"/>
      <c r="K53" s="111"/>
      <c r="L53" s="111">
        <f>F53+G53+H53+I53+J53+K53</f>
        <v>1100762</v>
      </c>
    </row>
    <row r="54" spans="1:12" s="112" customFormat="1">
      <c r="A54" s="87" t="s">
        <v>91</v>
      </c>
      <c r="B54" s="497" t="s">
        <v>104</v>
      </c>
      <c r="C54" s="1202" t="s">
        <v>1810</v>
      </c>
      <c r="D54" s="1203" t="s">
        <v>1107</v>
      </c>
      <c r="E54" s="111">
        <v>0</v>
      </c>
      <c r="F54" s="111">
        <f>4021527+1070901</f>
        <v>5092428</v>
      </c>
      <c r="G54" s="111"/>
      <c r="H54" s="111"/>
      <c r="I54" s="111"/>
      <c r="J54" s="111"/>
      <c r="K54" s="111"/>
      <c r="L54" s="111">
        <f>F54+G54+H54+I54+J54+K54</f>
        <v>5092428</v>
      </c>
    </row>
    <row r="55" spans="1:12" s="112" customFormat="1">
      <c r="A55" s="87" t="s">
        <v>91</v>
      </c>
      <c r="B55" s="87"/>
      <c r="C55" s="1202" t="s">
        <v>1811</v>
      </c>
      <c r="D55" s="1203" t="s">
        <v>1108</v>
      </c>
      <c r="E55" s="111"/>
      <c r="F55" s="111">
        <v>317364</v>
      </c>
      <c r="G55" s="111"/>
      <c r="H55" s="111"/>
      <c r="I55" s="111"/>
      <c r="J55" s="111"/>
      <c r="K55" s="111"/>
      <c r="L55" s="111">
        <f>F55+G55+H55+I55+J55+K55</f>
        <v>317364</v>
      </c>
    </row>
    <row r="56" spans="1:12" ht="31.5" customHeight="1">
      <c r="A56" s="87" t="s">
        <v>91</v>
      </c>
      <c r="B56" s="87" t="s">
        <v>105</v>
      </c>
      <c r="C56" s="1202" t="s">
        <v>1812</v>
      </c>
      <c r="D56" s="1199" t="s">
        <v>882</v>
      </c>
      <c r="E56" s="102"/>
      <c r="F56" s="102">
        <v>13088</v>
      </c>
      <c r="G56" s="103"/>
      <c r="H56" s="103"/>
      <c r="I56" s="102"/>
      <c r="J56" s="103"/>
      <c r="K56" s="102"/>
      <c r="L56" s="102">
        <f>F56+G56+H56+I56+J56+K56</f>
        <v>13088</v>
      </c>
    </row>
    <row r="57" spans="1:12" ht="19.149999999999999" customHeight="1">
      <c r="A57" s="87" t="s">
        <v>91</v>
      </c>
      <c r="B57" s="497" t="s">
        <v>106</v>
      </c>
      <c r="C57" s="1202" t="s">
        <v>1813</v>
      </c>
      <c r="D57" s="1199" t="s">
        <v>1150</v>
      </c>
      <c r="E57" s="102">
        <v>0</v>
      </c>
      <c r="F57" s="102">
        <v>14485</v>
      </c>
      <c r="G57" s="102"/>
      <c r="H57" s="102"/>
      <c r="I57" s="102"/>
      <c r="J57" s="102"/>
      <c r="K57" s="102"/>
      <c r="L57" s="102">
        <f>F57+G57+H57+I57+J57+K57</f>
        <v>14485</v>
      </c>
    </row>
    <row r="58" spans="1:12" ht="19.149999999999999" customHeight="1">
      <c r="B58" s="497"/>
      <c r="C58" s="1202" t="s">
        <v>1814</v>
      </c>
      <c r="D58" s="1199" t="s">
        <v>1649</v>
      </c>
      <c r="E58" s="1267"/>
      <c r="F58" s="102">
        <v>3668</v>
      </c>
      <c r="G58" s="1267"/>
      <c r="H58" s="1267"/>
      <c r="I58" s="1267"/>
      <c r="J58" s="1267"/>
      <c r="K58" s="1267"/>
      <c r="L58" s="102">
        <f t="shared" ref="L58:L67" si="16">F58+G58+H58+I58+J58+K58</f>
        <v>3668</v>
      </c>
    </row>
    <row r="59" spans="1:12" ht="18.600000000000001" customHeight="1">
      <c r="B59" s="87" t="s">
        <v>107</v>
      </c>
      <c r="C59" s="1202" t="s">
        <v>1815</v>
      </c>
      <c r="D59" s="1199" t="s">
        <v>108</v>
      </c>
      <c r="E59" s="102"/>
      <c r="F59" s="102">
        <v>501000</v>
      </c>
      <c r="G59" s="102"/>
      <c r="H59" s="102"/>
      <c r="I59" s="102"/>
      <c r="J59" s="102"/>
      <c r="K59" s="102"/>
      <c r="L59" s="102">
        <f t="shared" si="16"/>
        <v>501000</v>
      </c>
    </row>
    <row r="60" spans="1:12" ht="31.5" customHeight="1">
      <c r="C60" s="1202" t="s">
        <v>1816</v>
      </c>
      <c r="D60" s="1199" t="s">
        <v>777</v>
      </c>
      <c r="E60" s="102"/>
      <c r="F60" s="102"/>
      <c r="G60" s="102"/>
      <c r="H60" s="102"/>
      <c r="I60" s="102"/>
      <c r="J60" s="102"/>
      <c r="K60" s="102"/>
      <c r="L60" s="102">
        <f t="shared" si="16"/>
        <v>0</v>
      </c>
    </row>
    <row r="61" spans="1:12" ht="31.5" customHeight="1">
      <c r="C61" s="2298"/>
      <c r="D61" s="2046" t="s">
        <v>6255</v>
      </c>
      <c r="E61" s="2299">
        <v>1875164.83</v>
      </c>
      <c r="F61" s="2299"/>
      <c r="G61" s="4642"/>
      <c r="H61" s="4642"/>
      <c r="I61" s="2299"/>
      <c r="J61" s="4642"/>
      <c r="K61" s="2299"/>
      <c r="L61" s="102">
        <f t="shared" si="16"/>
        <v>0</v>
      </c>
    </row>
    <row r="62" spans="1:12" ht="16.5" customHeight="1">
      <c r="B62" s="832" t="s">
        <v>1844</v>
      </c>
      <c r="C62" s="1202" t="s">
        <v>1817</v>
      </c>
      <c r="D62" s="4671" t="s">
        <v>995</v>
      </c>
      <c r="E62" s="4677"/>
      <c r="F62" s="257">
        <v>342263</v>
      </c>
      <c r="G62" s="257"/>
      <c r="H62" s="257"/>
      <c r="I62" s="257"/>
      <c r="J62" s="257"/>
      <c r="K62" s="257"/>
      <c r="L62" s="257">
        <f>F62+G62+H62+I62+J62+K62</f>
        <v>342263</v>
      </c>
    </row>
    <row r="63" spans="1:12" ht="58.9" customHeight="1">
      <c r="C63" s="1202"/>
      <c r="D63" s="4716" t="s">
        <v>6245</v>
      </c>
      <c r="E63" s="1267">
        <v>700</v>
      </c>
      <c r="F63" s="1267"/>
      <c r="G63" s="1267"/>
      <c r="H63" s="1267"/>
      <c r="I63" s="1267"/>
      <c r="J63" s="1267"/>
      <c r="K63" s="1267"/>
      <c r="L63" s="1267">
        <f t="shared" si="16"/>
        <v>0</v>
      </c>
    </row>
    <row r="64" spans="1:12" ht="15.6" customHeight="1">
      <c r="C64" s="1202" t="s">
        <v>3115</v>
      </c>
      <c r="D64" s="4674" t="s">
        <v>2036</v>
      </c>
      <c r="E64" s="1267"/>
      <c r="F64" s="1267">
        <v>50000</v>
      </c>
      <c r="G64" s="1267"/>
      <c r="H64" s="1267"/>
      <c r="I64" s="1267"/>
      <c r="J64" s="1267"/>
      <c r="K64" s="1267"/>
      <c r="L64" s="1267">
        <f t="shared" si="16"/>
        <v>50000</v>
      </c>
    </row>
    <row r="65" spans="1:12" ht="17.45" customHeight="1">
      <c r="B65" s="87" t="s">
        <v>100</v>
      </c>
      <c r="C65" s="1464" t="s">
        <v>3116</v>
      </c>
      <c r="D65" s="2046" t="s">
        <v>2968</v>
      </c>
      <c r="E65" s="1267"/>
      <c r="F65" s="1267">
        <v>200000</v>
      </c>
      <c r="G65" s="1267"/>
      <c r="H65" s="1267"/>
      <c r="I65" s="1267"/>
      <c r="J65" s="1267"/>
      <c r="K65" s="1267"/>
      <c r="L65" s="4673">
        <f t="shared" si="16"/>
        <v>200000</v>
      </c>
    </row>
    <row r="66" spans="1:12">
      <c r="A66" s="87" t="s">
        <v>91</v>
      </c>
      <c r="B66" s="359" t="s">
        <v>900</v>
      </c>
      <c r="C66" s="1202" t="s">
        <v>3117</v>
      </c>
      <c r="D66" s="4694" t="s">
        <v>2994</v>
      </c>
      <c r="E66" s="102">
        <v>12607</v>
      </c>
      <c r="F66" s="102"/>
      <c r="G66" s="102"/>
      <c r="H66" s="102"/>
      <c r="I66" s="102"/>
      <c r="J66" s="102"/>
      <c r="K66" s="102"/>
      <c r="L66" s="102">
        <f t="shared" si="16"/>
        <v>0</v>
      </c>
    </row>
    <row r="67" spans="1:12" ht="18.600000000000001" customHeight="1">
      <c r="A67" s="832" t="s">
        <v>494</v>
      </c>
      <c r="B67" s="87" t="s">
        <v>1004</v>
      </c>
      <c r="C67" s="1202" t="s">
        <v>6265</v>
      </c>
      <c r="D67" s="1199" t="s">
        <v>109</v>
      </c>
      <c r="E67" s="102"/>
      <c r="F67" s="102">
        <f>50000+60000+16000+17640</f>
        <v>143640</v>
      </c>
      <c r="G67" s="102"/>
      <c r="H67" s="102"/>
      <c r="I67" s="102"/>
      <c r="J67" s="102"/>
      <c r="K67" s="102"/>
      <c r="L67" s="102">
        <f t="shared" si="16"/>
        <v>143640</v>
      </c>
    </row>
    <row r="68" spans="1:12" ht="32.25" customHeight="1">
      <c r="C68" s="1205" t="s">
        <v>96</v>
      </c>
      <c r="D68" s="4656" t="s">
        <v>690</v>
      </c>
      <c r="E68" s="116">
        <f t="shared" ref="E68:L68" si="17">SUM(E69:E87)</f>
        <v>819239</v>
      </c>
      <c r="F68" s="116">
        <f t="shared" si="17"/>
        <v>0</v>
      </c>
      <c r="G68" s="116">
        <f t="shared" si="17"/>
        <v>1159816</v>
      </c>
      <c r="H68" s="116">
        <f t="shared" si="17"/>
        <v>0</v>
      </c>
      <c r="I68" s="116">
        <f t="shared" si="17"/>
        <v>0</v>
      </c>
      <c r="J68" s="116">
        <f t="shared" si="17"/>
        <v>0</v>
      </c>
      <c r="K68" s="116">
        <f t="shared" si="17"/>
        <v>0</v>
      </c>
      <c r="L68" s="116">
        <f t="shared" si="17"/>
        <v>1159816</v>
      </c>
    </row>
    <row r="69" spans="1:12">
      <c r="A69" s="87" t="s">
        <v>1839</v>
      </c>
      <c r="B69" s="87" t="s">
        <v>113</v>
      </c>
      <c r="C69" s="1202" t="s">
        <v>1818</v>
      </c>
      <c r="D69" s="4694" t="s">
        <v>2993</v>
      </c>
      <c r="E69" s="102">
        <v>9946</v>
      </c>
      <c r="F69" s="102"/>
      <c r="G69" s="102">
        <v>0</v>
      </c>
      <c r="H69" s="102"/>
      <c r="I69" s="102"/>
      <c r="J69" s="102"/>
      <c r="K69" s="102"/>
      <c r="L69" s="102">
        <f t="shared" ref="L69:L88" si="18">F69+G69+H69+I69+J69+K69</f>
        <v>0</v>
      </c>
    </row>
    <row r="70" spans="1:12">
      <c r="C70" s="1202" t="s">
        <v>1819</v>
      </c>
      <c r="D70" s="4694" t="s">
        <v>5458</v>
      </c>
      <c r="E70" s="102">
        <v>16012</v>
      </c>
      <c r="F70" s="102"/>
      <c r="G70" s="102">
        <f>80000-16012</f>
        <v>63988</v>
      </c>
      <c r="H70" s="102"/>
      <c r="I70" s="102"/>
      <c r="J70" s="102"/>
      <c r="K70" s="102"/>
      <c r="L70" s="102">
        <f t="shared" si="18"/>
        <v>63988</v>
      </c>
    </row>
    <row r="71" spans="1:12" ht="30">
      <c r="B71" s="113" t="s">
        <v>790</v>
      </c>
      <c r="C71" s="1202" t="s">
        <v>1820</v>
      </c>
      <c r="D71" s="4697" t="s">
        <v>5964</v>
      </c>
      <c r="E71" s="102"/>
      <c r="F71" s="102"/>
      <c r="G71" s="102">
        <v>2532</v>
      </c>
      <c r="H71" s="102"/>
      <c r="I71" s="102"/>
      <c r="J71" s="102"/>
      <c r="K71" s="102"/>
      <c r="L71" s="102">
        <f t="shared" si="18"/>
        <v>2532</v>
      </c>
    </row>
    <row r="72" spans="1:12">
      <c r="B72" s="113"/>
      <c r="C72" s="1202" t="s">
        <v>1821</v>
      </c>
      <c r="D72" s="4698" t="s">
        <v>6196</v>
      </c>
      <c r="E72" s="2299"/>
      <c r="F72" s="2299"/>
      <c r="G72" s="2299">
        <v>5135</v>
      </c>
      <c r="H72" s="2299"/>
      <c r="I72" s="2299"/>
      <c r="J72" s="2299"/>
      <c r="K72" s="2299"/>
      <c r="L72" s="102">
        <f t="shared" si="18"/>
        <v>5135</v>
      </c>
    </row>
    <row r="73" spans="1:12">
      <c r="B73" s="113"/>
      <c r="C73" s="1202" t="s">
        <v>1822</v>
      </c>
      <c r="D73" s="4698" t="s">
        <v>2967</v>
      </c>
      <c r="E73" s="2299"/>
      <c r="F73" s="2299"/>
      <c r="G73" s="2299">
        <v>9000</v>
      </c>
      <c r="H73" s="2299"/>
      <c r="I73" s="2299"/>
      <c r="J73" s="2299"/>
      <c r="K73" s="2299"/>
      <c r="L73" s="102">
        <f t="shared" si="18"/>
        <v>9000</v>
      </c>
    </row>
    <row r="74" spans="1:12" ht="60">
      <c r="B74" s="113"/>
      <c r="C74" s="1202" t="s">
        <v>1823</v>
      </c>
      <c r="D74" s="4698" t="s">
        <v>6248</v>
      </c>
      <c r="E74" s="2299"/>
      <c r="F74" s="2299"/>
      <c r="G74" s="2299">
        <v>6010</v>
      </c>
      <c r="H74" s="2299"/>
      <c r="I74" s="2299"/>
      <c r="J74" s="2299"/>
      <c r="K74" s="2299"/>
      <c r="L74" s="102">
        <f t="shared" si="18"/>
        <v>6010</v>
      </c>
    </row>
    <row r="75" spans="1:12" ht="45">
      <c r="B75" s="113"/>
      <c r="C75" s="1202" t="s">
        <v>6276</v>
      </c>
      <c r="D75" s="4698" t="s">
        <v>6247</v>
      </c>
      <c r="E75" s="2299"/>
      <c r="F75" s="2299"/>
      <c r="G75" s="2299">
        <v>30655</v>
      </c>
      <c r="H75" s="2299"/>
      <c r="I75" s="2299"/>
      <c r="J75" s="2299"/>
      <c r="K75" s="2299"/>
      <c r="L75" s="102">
        <f t="shared" si="18"/>
        <v>30655</v>
      </c>
    </row>
    <row r="76" spans="1:12">
      <c r="A76" s="832" t="s">
        <v>5460</v>
      </c>
      <c r="B76" s="113"/>
      <c r="C76" s="1202" t="s">
        <v>1824</v>
      </c>
      <c r="D76" s="4698" t="s">
        <v>5461</v>
      </c>
      <c r="E76" s="2299">
        <v>168527</v>
      </c>
      <c r="F76" s="2299"/>
      <c r="G76" s="2299"/>
      <c r="H76" s="2299"/>
      <c r="I76" s="2299"/>
      <c r="J76" s="2299"/>
      <c r="K76" s="2299"/>
      <c r="L76" s="102">
        <f t="shared" si="18"/>
        <v>0</v>
      </c>
    </row>
    <row r="77" spans="1:12" ht="30">
      <c r="A77" s="832" t="s">
        <v>2987</v>
      </c>
      <c r="B77" s="113"/>
      <c r="C77" s="1202" t="s">
        <v>2997</v>
      </c>
      <c r="D77" s="4698" t="s">
        <v>2981</v>
      </c>
      <c r="E77" s="2299">
        <v>50458</v>
      </c>
      <c r="F77" s="2299"/>
      <c r="G77" s="2299"/>
      <c r="H77" s="2299"/>
      <c r="I77" s="2299"/>
      <c r="J77" s="2299"/>
      <c r="K77" s="2299"/>
      <c r="L77" s="102">
        <f t="shared" si="18"/>
        <v>0</v>
      </c>
    </row>
    <row r="78" spans="1:12" ht="30">
      <c r="B78" s="87" t="s">
        <v>791</v>
      </c>
      <c r="C78" s="1202" t="s">
        <v>1825</v>
      </c>
      <c r="D78" s="4694" t="s">
        <v>627</v>
      </c>
      <c r="E78" s="102">
        <f>4086+10226</f>
        <v>14312</v>
      </c>
      <c r="F78" s="102"/>
      <c r="G78" s="102"/>
      <c r="H78" s="102"/>
      <c r="I78" s="102"/>
      <c r="J78" s="102"/>
      <c r="K78" s="102"/>
      <c r="L78" s="102">
        <f t="shared" si="18"/>
        <v>0</v>
      </c>
    </row>
    <row r="79" spans="1:12" ht="30">
      <c r="B79" s="497" t="s">
        <v>792</v>
      </c>
      <c r="C79" s="1202" t="s">
        <v>1826</v>
      </c>
      <c r="D79" s="4694" t="s">
        <v>697</v>
      </c>
      <c r="E79" s="102">
        <v>15746</v>
      </c>
      <c r="F79" s="102"/>
      <c r="G79" s="102"/>
      <c r="H79" s="102"/>
      <c r="I79" s="102"/>
      <c r="J79" s="102"/>
      <c r="K79" s="102"/>
      <c r="L79" s="102">
        <f t="shared" si="18"/>
        <v>0</v>
      </c>
    </row>
    <row r="80" spans="1:12" ht="30">
      <c r="B80" s="497"/>
      <c r="C80" s="1202" t="s">
        <v>2998</v>
      </c>
      <c r="D80" s="4694" t="s">
        <v>2995</v>
      </c>
      <c r="E80" s="102"/>
      <c r="F80" s="102"/>
      <c r="G80" s="102"/>
      <c r="H80" s="102"/>
      <c r="I80" s="102"/>
      <c r="J80" s="102"/>
      <c r="K80" s="102"/>
      <c r="L80" s="102">
        <f t="shared" si="18"/>
        <v>0</v>
      </c>
    </row>
    <row r="81" spans="1:12">
      <c r="B81" s="497"/>
      <c r="C81" s="1202" t="s">
        <v>1880</v>
      </c>
      <c r="D81" s="4694" t="s">
        <v>2996</v>
      </c>
      <c r="E81" s="102">
        <v>209617</v>
      </c>
      <c r="F81" s="102"/>
      <c r="G81" s="102"/>
      <c r="H81" s="102"/>
      <c r="I81" s="102"/>
      <c r="J81" s="102"/>
      <c r="K81" s="102">
        <f>BAZE_2024!G23</f>
        <v>0</v>
      </c>
      <c r="L81" s="102">
        <f t="shared" si="18"/>
        <v>0</v>
      </c>
    </row>
    <row r="82" spans="1:12" ht="30">
      <c r="B82" s="497"/>
      <c r="C82" s="1202" t="s">
        <v>1881</v>
      </c>
      <c r="D82" s="4698" t="s">
        <v>1153</v>
      </c>
      <c r="E82" s="2299">
        <v>17962</v>
      </c>
      <c r="F82" s="2299"/>
      <c r="G82" s="2299"/>
      <c r="H82" s="2299"/>
      <c r="I82" s="2299"/>
      <c r="J82" s="2299"/>
      <c r="K82" s="2299"/>
      <c r="L82" s="102">
        <f t="shared" si="18"/>
        <v>0</v>
      </c>
    </row>
    <row r="83" spans="1:12">
      <c r="B83" s="497"/>
      <c r="C83" s="1202" t="s">
        <v>1882</v>
      </c>
      <c r="D83" s="4698" t="s">
        <v>1154</v>
      </c>
      <c r="E83" s="2299">
        <v>185742</v>
      </c>
      <c r="F83" s="2299"/>
      <c r="G83" s="2299"/>
      <c r="H83" s="2299"/>
      <c r="I83" s="2299"/>
      <c r="J83" s="2299"/>
      <c r="K83" s="2299"/>
      <c r="L83" s="102">
        <f t="shared" si="18"/>
        <v>0</v>
      </c>
    </row>
    <row r="84" spans="1:12">
      <c r="B84" s="497"/>
      <c r="C84" s="1202" t="s">
        <v>2042</v>
      </c>
      <c r="D84" s="4694" t="s">
        <v>1174</v>
      </c>
      <c r="E84" s="452">
        <f>130917</f>
        <v>130917</v>
      </c>
      <c r="F84" s="452"/>
      <c r="G84" s="452">
        <f>135176+3165+12304</f>
        <v>150645</v>
      </c>
      <c r="H84" s="452"/>
      <c r="I84" s="452"/>
      <c r="J84" s="452"/>
      <c r="K84" s="452"/>
      <c r="L84" s="452">
        <f t="shared" si="18"/>
        <v>150645</v>
      </c>
    </row>
    <row r="85" spans="1:12" ht="41.45" customHeight="1">
      <c r="B85" s="497"/>
      <c r="C85" s="1202" t="s">
        <v>2999</v>
      </c>
      <c r="D85" s="4694" t="s">
        <v>2899</v>
      </c>
      <c r="E85" s="1267"/>
      <c r="F85" s="1267"/>
      <c r="G85" s="1267">
        <v>118650</v>
      </c>
      <c r="H85" s="1267"/>
      <c r="I85" s="1267"/>
      <c r="J85" s="1267"/>
      <c r="K85" s="1267"/>
      <c r="L85" s="452">
        <f t="shared" si="18"/>
        <v>118650</v>
      </c>
    </row>
    <row r="86" spans="1:12">
      <c r="B86" s="497"/>
      <c r="C86" s="1202" t="s">
        <v>3000</v>
      </c>
      <c r="D86" s="4694" t="s">
        <v>1665</v>
      </c>
      <c r="E86" s="1267"/>
      <c r="F86" s="1267"/>
      <c r="G86" s="1267">
        <v>390462</v>
      </c>
      <c r="H86" s="1267"/>
      <c r="I86" s="1267"/>
      <c r="J86" s="1267"/>
      <c r="K86" s="1267"/>
      <c r="L86" s="452">
        <f t="shared" si="18"/>
        <v>390462</v>
      </c>
    </row>
    <row r="87" spans="1:12">
      <c r="B87" s="832" t="s">
        <v>3304</v>
      </c>
      <c r="C87" s="1202" t="s">
        <v>3001</v>
      </c>
      <c r="D87" s="4694" t="s">
        <v>3090</v>
      </c>
      <c r="E87" s="1267"/>
      <c r="F87" s="1267"/>
      <c r="G87" s="1267">
        <v>382739</v>
      </c>
      <c r="H87" s="1267"/>
      <c r="I87" s="1267"/>
      <c r="J87" s="1267"/>
      <c r="K87" s="1267"/>
      <c r="L87" s="452">
        <f t="shared" si="18"/>
        <v>382739</v>
      </c>
    </row>
    <row r="88" spans="1:12" hidden="1" outlineLevel="1">
      <c r="B88" s="99" t="s">
        <v>1832</v>
      </c>
      <c r="C88" s="1198" t="s">
        <v>1834</v>
      </c>
      <c r="D88" s="4635" t="s">
        <v>1833</v>
      </c>
      <c r="E88" s="1267"/>
      <c r="F88" s="1267"/>
      <c r="G88" s="2570"/>
      <c r="H88" s="2570"/>
      <c r="I88" s="1267"/>
      <c r="J88" s="2570"/>
      <c r="K88" s="1267"/>
      <c r="L88" s="4641">
        <f t="shared" si="18"/>
        <v>0</v>
      </c>
    </row>
    <row r="89" spans="1:12" collapsed="1">
      <c r="C89" s="1204" t="s">
        <v>114</v>
      </c>
      <c r="D89" s="1201" t="s">
        <v>115</v>
      </c>
      <c r="E89" s="106">
        <f t="shared" ref="E89:L89" si="19">E90+E91</f>
        <v>0</v>
      </c>
      <c r="F89" s="106">
        <f t="shared" si="19"/>
        <v>0</v>
      </c>
      <c r="G89" s="106">
        <f t="shared" si="19"/>
        <v>0</v>
      </c>
      <c r="H89" s="106">
        <f t="shared" si="19"/>
        <v>0</v>
      </c>
      <c r="I89" s="106">
        <f>I90+I91</f>
        <v>0</v>
      </c>
      <c r="J89" s="106">
        <f t="shared" si="19"/>
        <v>0</v>
      </c>
      <c r="K89" s="106">
        <f t="shared" si="19"/>
        <v>295000</v>
      </c>
      <c r="L89" s="106">
        <f t="shared" si="19"/>
        <v>295000</v>
      </c>
    </row>
    <row r="90" spans="1:12" ht="27.6" customHeight="1">
      <c r="B90" s="87" t="s">
        <v>116</v>
      </c>
      <c r="C90" s="1198" t="s">
        <v>117</v>
      </c>
      <c r="D90" s="1199" t="s">
        <v>118</v>
      </c>
      <c r="E90" s="102"/>
      <c r="F90" s="102"/>
      <c r="G90" s="102"/>
      <c r="H90" s="102"/>
      <c r="I90" s="102"/>
      <c r="J90" s="102"/>
      <c r="K90" s="102">
        <f>BAZE_2024!G25</f>
        <v>295000</v>
      </c>
      <c r="L90" s="102">
        <f>F90+G90+H90+I90+J90+K90</f>
        <v>295000</v>
      </c>
    </row>
    <row r="91" spans="1:12" ht="16.149999999999999" customHeight="1">
      <c r="B91" s="87" t="s">
        <v>687</v>
      </c>
      <c r="C91" s="1198" t="s">
        <v>119</v>
      </c>
      <c r="D91" s="1199" t="s">
        <v>688</v>
      </c>
      <c r="E91" s="102"/>
      <c r="F91" s="102"/>
      <c r="G91" s="102"/>
      <c r="H91" s="102"/>
      <c r="I91" s="102"/>
      <c r="J91" s="102"/>
      <c r="K91" s="102">
        <f>BAZE_2024!G26</f>
        <v>0</v>
      </c>
      <c r="L91" s="102">
        <f>F91+G91+H91+I91+J91+K91</f>
        <v>0</v>
      </c>
    </row>
    <row r="92" spans="1:12" ht="35.450000000000003" customHeight="1">
      <c r="C92" s="1204" t="s">
        <v>120</v>
      </c>
      <c r="D92" s="1201" t="s">
        <v>121</v>
      </c>
      <c r="E92" s="106">
        <f t="shared" ref="E92:L92" si="20">E93+E96+E99+E103+E107</f>
        <v>0</v>
      </c>
      <c r="F92" s="106">
        <f t="shared" si="20"/>
        <v>0</v>
      </c>
      <c r="G92" s="106">
        <f t="shared" si="20"/>
        <v>10621</v>
      </c>
      <c r="H92" s="106">
        <f t="shared" si="20"/>
        <v>0</v>
      </c>
      <c r="I92" s="106">
        <f t="shared" si="20"/>
        <v>1674037</v>
      </c>
      <c r="J92" s="106">
        <f t="shared" si="20"/>
        <v>0</v>
      </c>
      <c r="K92" s="106">
        <f>K93+K96+K99+K103+K107</f>
        <v>469100</v>
      </c>
      <c r="L92" s="106">
        <f t="shared" si="20"/>
        <v>2153758</v>
      </c>
    </row>
    <row r="93" spans="1:12">
      <c r="A93" s="87" t="s">
        <v>12</v>
      </c>
      <c r="B93" s="87" t="s">
        <v>122</v>
      </c>
      <c r="C93" s="1198" t="s">
        <v>123</v>
      </c>
      <c r="D93" s="1199" t="s">
        <v>3046</v>
      </c>
      <c r="E93" s="102">
        <f t="shared" ref="E93:L93" si="21">SUM(E94:E95)</f>
        <v>0</v>
      </c>
      <c r="F93" s="102">
        <f t="shared" si="21"/>
        <v>0</v>
      </c>
      <c r="G93" s="102">
        <f t="shared" si="21"/>
        <v>0</v>
      </c>
      <c r="H93" s="102">
        <f t="shared" si="21"/>
        <v>0</v>
      </c>
      <c r="I93" s="102">
        <f>SUM(I94:I95)</f>
        <v>0</v>
      </c>
      <c r="J93" s="102">
        <f t="shared" si="21"/>
        <v>0</v>
      </c>
      <c r="K93" s="102">
        <f t="shared" si="21"/>
        <v>149000</v>
      </c>
      <c r="L93" s="102">
        <f t="shared" si="21"/>
        <v>149000</v>
      </c>
    </row>
    <row r="94" spans="1:12" ht="14.25" customHeight="1">
      <c r="B94" s="87" t="s">
        <v>125</v>
      </c>
      <c r="C94" s="1206" t="s">
        <v>124</v>
      </c>
      <c r="D94" s="1207" t="s">
        <v>3019</v>
      </c>
      <c r="E94" s="102"/>
      <c r="F94" s="102"/>
      <c r="G94" s="102"/>
      <c r="H94" s="102"/>
      <c r="I94" s="102"/>
      <c r="J94" s="102"/>
      <c r="K94" s="102">
        <f>BAZE_2024!G29</f>
        <v>24000</v>
      </c>
      <c r="L94" s="102">
        <f>F94+G94+H94+I94+J94+K94</f>
        <v>24000</v>
      </c>
    </row>
    <row r="95" spans="1:12" ht="15.6" customHeight="1">
      <c r="B95" s="87" t="s">
        <v>127</v>
      </c>
      <c r="C95" s="1206" t="s">
        <v>126</v>
      </c>
      <c r="D95" s="2065" t="s">
        <v>3020</v>
      </c>
      <c r="E95" s="102"/>
      <c r="F95" s="102"/>
      <c r="G95" s="102"/>
      <c r="H95" s="102"/>
      <c r="I95" s="102"/>
      <c r="J95" s="102"/>
      <c r="K95" s="102">
        <f>BAZE_2024!G30</f>
        <v>125000</v>
      </c>
      <c r="L95" s="102">
        <f>F95+G95+H95+I95+J95+K95</f>
        <v>125000</v>
      </c>
    </row>
    <row r="96" spans="1:12" ht="13.9" customHeight="1">
      <c r="C96" s="1198" t="s">
        <v>129</v>
      </c>
      <c r="D96" s="1199" t="s">
        <v>1156</v>
      </c>
      <c r="E96" s="452">
        <f>E97+E98</f>
        <v>0</v>
      </c>
      <c r="F96" s="452">
        <f t="shared" ref="F96:L96" si="22">F97+F98</f>
        <v>0</v>
      </c>
      <c r="G96" s="452">
        <f t="shared" si="22"/>
        <v>0</v>
      </c>
      <c r="H96" s="452">
        <f t="shared" si="22"/>
        <v>0</v>
      </c>
      <c r="I96" s="452">
        <f>I97+I98</f>
        <v>0</v>
      </c>
      <c r="J96" s="452">
        <f t="shared" si="22"/>
        <v>0</v>
      </c>
      <c r="K96" s="452">
        <f t="shared" si="22"/>
        <v>0</v>
      </c>
      <c r="L96" s="452">
        <f t="shared" si="22"/>
        <v>0</v>
      </c>
    </row>
    <row r="97" spans="1:12">
      <c r="C97" s="1206" t="s">
        <v>132</v>
      </c>
      <c r="D97" s="1207" t="s">
        <v>1152</v>
      </c>
      <c r="E97" s="452"/>
      <c r="F97" s="452"/>
      <c r="G97" s="452"/>
      <c r="H97" s="452"/>
      <c r="I97" s="452"/>
      <c r="J97" s="452"/>
      <c r="K97" s="452">
        <f>BAZE_2024!G32</f>
        <v>0</v>
      </c>
      <c r="L97" s="102">
        <f>F97+G97+H97+I97+J97+K97</f>
        <v>0</v>
      </c>
    </row>
    <row r="98" spans="1:12" ht="30" customHeight="1">
      <c r="B98" s="832" t="s">
        <v>1888</v>
      </c>
      <c r="C98" s="1206" t="s">
        <v>134</v>
      </c>
      <c r="D98" s="4694" t="s">
        <v>1155</v>
      </c>
      <c r="E98" s="452"/>
      <c r="F98" s="452"/>
      <c r="G98" s="452"/>
      <c r="H98" s="452"/>
      <c r="I98" s="452"/>
      <c r="J98" s="452"/>
      <c r="K98" s="452">
        <f>BAZE_2024!G33</f>
        <v>0</v>
      </c>
      <c r="L98" s="102">
        <f>F98+G98+H98+I98+J98+K98</f>
        <v>0</v>
      </c>
    </row>
    <row r="99" spans="1:12">
      <c r="A99" s="87" t="s">
        <v>12</v>
      </c>
      <c r="B99" s="87" t="s">
        <v>128</v>
      </c>
      <c r="C99" s="1198" t="s">
        <v>136</v>
      </c>
      <c r="D99" s="1199" t="s">
        <v>130</v>
      </c>
      <c r="E99" s="102">
        <f t="shared" ref="E99:L99" si="23">SUM(E100:E102)</f>
        <v>0</v>
      </c>
      <c r="F99" s="102">
        <f t="shared" si="23"/>
        <v>0</v>
      </c>
      <c r="G99" s="102">
        <f t="shared" si="23"/>
        <v>0</v>
      </c>
      <c r="H99" s="102">
        <f t="shared" si="23"/>
        <v>0</v>
      </c>
      <c r="I99" s="102">
        <f>SUM(I100:I102)</f>
        <v>0</v>
      </c>
      <c r="J99" s="102">
        <f t="shared" si="23"/>
        <v>0</v>
      </c>
      <c r="K99" s="102">
        <f t="shared" si="23"/>
        <v>180000</v>
      </c>
      <c r="L99" s="102">
        <f t="shared" si="23"/>
        <v>180000</v>
      </c>
    </row>
    <row r="100" spans="1:12" ht="15.75" customHeight="1">
      <c r="B100" s="87" t="s">
        <v>131</v>
      </c>
      <c r="C100" s="1206" t="s">
        <v>1157</v>
      </c>
      <c r="D100" s="1207" t="s">
        <v>1159</v>
      </c>
      <c r="E100" s="102"/>
      <c r="F100" s="102"/>
      <c r="G100" s="102"/>
      <c r="H100" s="102"/>
      <c r="I100" s="102"/>
      <c r="J100" s="102"/>
      <c r="K100" s="102">
        <f>BAZE_2024!G35</f>
        <v>143000</v>
      </c>
      <c r="L100" s="102">
        <f>F100+G100+H100+I100+J100+K100</f>
        <v>143000</v>
      </c>
    </row>
    <row r="101" spans="1:12">
      <c r="B101" s="87" t="s">
        <v>133</v>
      </c>
      <c r="C101" s="1206" t="s">
        <v>1158</v>
      </c>
      <c r="D101" s="1207" t="s">
        <v>1160</v>
      </c>
      <c r="E101" s="102"/>
      <c r="F101" s="102"/>
      <c r="G101" s="102"/>
      <c r="H101" s="102"/>
      <c r="I101" s="102"/>
      <c r="J101" s="102"/>
      <c r="K101" s="102">
        <f>BAZE_2024!G36</f>
        <v>36000</v>
      </c>
      <c r="L101" s="102">
        <f>F101+G101+H101+I101+J101+K101</f>
        <v>36000</v>
      </c>
    </row>
    <row r="102" spans="1:12">
      <c r="B102" s="87" t="s">
        <v>2043</v>
      </c>
      <c r="C102" s="1206" t="s">
        <v>1161</v>
      </c>
      <c r="D102" s="4694" t="s">
        <v>1162</v>
      </c>
      <c r="E102" s="452"/>
      <c r="F102" s="452"/>
      <c r="G102" s="452"/>
      <c r="H102" s="452"/>
      <c r="I102" s="452"/>
      <c r="J102" s="452"/>
      <c r="K102" s="102">
        <f>BAZE_2024!G37</f>
        <v>1000</v>
      </c>
      <c r="L102" s="102">
        <f>F102+G102+H102+I102+J102+K102</f>
        <v>1000</v>
      </c>
    </row>
    <row r="103" spans="1:12" ht="25.15" customHeight="1">
      <c r="A103" s="87" t="s">
        <v>12</v>
      </c>
      <c r="B103" s="87" t="s">
        <v>135</v>
      </c>
      <c r="C103" s="1198" t="s">
        <v>138</v>
      </c>
      <c r="D103" s="1199" t="s">
        <v>137</v>
      </c>
      <c r="E103" s="102">
        <f t="shared" ref="E103:L103" si="24">SUM(E104:E106)</f>
        <v>0</v>
      </c>
      <c r="F103" s="102">
        <f t="shared" si="24"/>
        <v>0</v>
      </c>
      <c r="G103" s="102">
        <f t="shared" si="24"/>
        <v>0</v>
      </c>
      <c r="H103" s="102">
        <f t="shared" si="24"/>
        <v>0</v>
      </c>
      <c r="I103" s="102">
        <f t="shared" si="24"/>
        <v>1574037</v>
      </c>
      <c r="J103" s="102">
        <f t="shared" si="24"/>
        <v>0</v>
      </c>
      <c r="K103" s="102">
        <f t="shared" si="24"/>
        <v>138100</v>
      </c>
      <c r="L103" s="102">
        <f t="shared" si="24"/>
        <v>1712137</v>
      </c>
    </row>
    <row r="104" spans="1:12" ht="16.5" customHeight="1">
      <c r="A104" s="832" t="s">
        <v>495</v>
      </c>
      <c r="C104" s="1206" t="s">
        <v>1126</v>
      </c>
      <c r="D104" s="1207" t="s">
        <v>137</v>
      </c>
      <c r="E104" s="452"/>
      <c r="F104" s="452"/>
      <c r="G104" s="452"/>
      <c r="H104" s="452"/>
      <c r="I104" s="452"/>
      <c r="J104" s="452"/>
      <c r="K104" s="452">
        <f>BAZE_2024!G39</f>
        <v>135600</v>
      </c>
      <c r="L104" s="102">
        <f>F104+G104+H104+I104+J104+K104</f>
        <v>135600</v>
      </c>
    </row>
    <row r="105" spans="1:12" ht="16.5" customHeight="1">
      <c r="B105" s="87" t="s">
        <v>3022</v>
      </c>
      <c r="C105" s="1206" t="s">
        <v>1127</v>
      </c>
      <c r="D105" s="1207" t="s">
        <v>3023</v>
      </c>
      <c r="E105" s="452"/>
      <c r="F105" s="452"/>
      <c r="G105" s="452"/>
      <c r="H105" s="452"/>
      <c r="I105" s="452"/>
      <c r="J105" s="452"/>
      <c r="K105" s="452">
        <f>BAZE_2024!G40</f>
        <v>2500</v>
      </c>
      <c r="L105" s="102">
        <f>F105+G105+H105+I105+J105+K105</f>
        <v>2500</v>
      </c>
    </row>
    <row r="106" spans="1:12" ht="28.9" customHeight="1">
      <c r="B106" s="87" t="s">
        <v>6252</v>
      </c>
      <c r="C106" s="1206" t="s">
        <v>1128</v>
      </c>
      <c r="D106" s="1207" t="s">
        <v>1163</v>
      </c>
      <c r="E106" s="452"/>
      <c r="F106" s="452"/>
      <c r="G106" s="452"/>
      <c r="H106" s="452"/>
      <c r="I106" s="4684">
        <f>BAZE_2024!G41</f>
        <v>1574037</v>
      </c>
      <c r="J106" s="452"/>
      <c r="K106" s="452"/>
      <c r="L106" s="102">
        <f>F106+G106+H106+I106+J106+K106</f>
        <v>1574037</v>
      </c>
    </row>
    <row r="107" spans="1:12" ht="18" customHeight="1" thickBot="1">
      <c r="A107" s="87" t="s">
        <v>12</v>
      </c>
      <c r="B107" s="4662" t="s">
        <v>6253</v>
      </c>
      <c r="C107" s="1198" t="s">
        <v>1164</v>
      </c>
      <c r="D107" s="1199" t="s">
        <v>3047</v>
      </c>
      <c r="E107" s="102"/>
      <c r="F107" s="102"/>
      <c r="G107" s="102">
        <f>10621</f>
        <v>10621</v>
      </c>
      <c r="H107" s="102"/>
      <c r="I107" s="4684">
        <f>75000+25000</f>
        <v>100000</v>
      </c>
      <c r="J107" s="102"/>
      <c r="K107" s="102">
        <f>BAZE_2024!G42+10621-SUM(E107:J107)</f>
        <v>2000</v>
      </c>
      <c r="L107" s="102">
        <f>F107+G107+H107+I107+J107+K107</f>
        <v>112621</v>
      </c>
    </row>
    <row r="108" spans="1:12" ht="15" customHeight="1" thickBot="1">
      <c r="C108" s="120"/>
      <c r="D108" s="121" t="s">
        <v>139</v>
      </c>
      <c r="E108" s="233">
        <f t="shared" ref="E108:L108" si="25">E7+E11+E14+E17+E20+E23+E36+E39+E43+E44+E89+E92</f>
        <v>2707710.83</v>
      </c>
      <c r="F108" s="233">
        <f t="shared" si="25"/>
        <v>9063696.3728</v>
      </c>
      <c r="G108" s="233">
        <f t="shared" si="25"/>
        <v>1170437</v>
      </c>
      <c r="H108" s="233">
        <f t="shared" si="25"/>
        <v>0</v>
      </c>
      <c r="I108" s="233">
        <f t="shared" si="25"/>
        <v>1674037</v>
      </c>
      <c r="J108" s="233">
        <f t="shared" si="25"/>
        <v>0</v>
      </c>
      <c r="K108" s="233">
        <f t="shared" si="25"/>
        <v>39006032.609999999</v>
      </c>
      <c r="L108" s="233">
        <f t="shared" si="25"/>
        <v>50914202.982799999</v>
      </c>
    </row>
    <row r="109" spans="1:12" ht="15.75" thickBot="1">
      <c r="C109" s="1208" t="s">
        <v>140</v>
      </c>
      <c r="D109" s="4806" t="s">
        <v>141</v>
      </c>
      <c r="E109" s="234">
        <f>SUM(E110:E111)</f>
        <v>2707710.83</v>
      </c>
      <c r="F109" s="234">
        <f t="shared" ref="F109:L109" si="26">SUM(F110:F111)</f>
        <v>0</v>
      </c>
      <c r="G109" s="234">
        <f t="shared" si="26"/>
        <v>0</v>
      </c>
      <c r="H109" s="234">
        <f t="shared" si="26"/>
        <v>0</v>
      </c>
      <c r="I109" s="234">
        <f>SUM(I110:I111)</f>
        <v>0</v>
      </c>
      <c r="J109" s="234">
        <f t="shared" si="26"/>
        <v>0</v>
      </c>
      <c r="K109" s="234">
        <f t="shared" si="26"/>
        <v>0</v>
      </c>
      <c r="L109" s="234">
        <f t="shared" si="26"/>
        <v>9016613.8300000001</v>
      </c>
    </row>
    <row r="110" spans="1:12" ht="17.25" customHeight="1">
      <c r="C110" s="1198" t="s">
        <v>142</v>
      </c>
      <c r="D110" s="1199" t="s">
        <v>143</v>
      </c>
      <c r="E110" s="102">
        <f>E108</f>
        <v>2707710.83</v>
      </c>
      <c r="F110" s="102"/>
      <c r="G110" s="102"/>
      <c r="H110" s="102"/>
      <c r="I110" s="102"/>
      <c r="J110" s="102"/>
      <c r="K110" s="102"/>
      <c r="L110" s="102">
        <f>E110</f>
        <v>2707710.83</v>
      </c>
    </row>
    <row r="111" spans="1:12">
      <c r="C111" s="1198" t="s">
        <v>144</v>
      </c>
      <c r="D111" s="1199" t="s">
        <v>145</v>
      </c>
      <c r="E111" s="102"/>
      <c r="F111" s="102"/>
      <c r="G111" s="102"/>
      <c r="H111" s="102"/>
      <c r="I111" s="102"/>
      <c r="J111" s="102"/>
      <c r="K111" s="102"/>
      <c r="L111" s="102">
        <v>6308903</v>
      </c>
    </row>
    <row r="112" spans="1:12">
      <c r="C112" s="1204" t="s">
        <v>146</v>
      </c>
      <c r="D112" s="4769" t="s">
        <v>147</v>
      </c>
      <c r="E112" s="500">
        <f t="shared" ref="E112:L112" si="27">SUM(E113:E117)</f>
        <v>0</v>
      </c>
      <c r="F112" s="500">
        <f t="shared" si="27"/>
        <v>0</v>
      </c>
      <c r="G112" s="500">
        <f t="shared" si="27"/>
        <v>0</v>
      </c>
      <c r="H112" s="500">
        <f t="shared" si="27"/>
        <v>1873161</v>
      </c>
      <c r="I112" s="500">
        <f t="shared" si="27"/>
        <v>0</v>
      </c>
      <c r="J112" s="500">
        <f t="shared" si="27"/>
        <v>0</v>
      </c>
      <c r="K112" s="500">
        <f t="shared" si="27"/>
        <v>0</v>
      </c>
      <c r="L112" s="500">
        <f t="shared" si="27"/>
        <v>1873161</v>
      </c>
    </row>
    <row r="113" spans="1:12" ht="26.45" customHeight="1">
      <c r="A113" s="832"/>
      <c r="B113" s="832"/>
      <c r="C113" s="2057" t="s">
        <v>2988</v>
      </c>
      <c r="D113" s="4702" t="s">
        <v>6260</v>
      </c>
      <c r="E113" s="1272"/>
      <c r="F113" s="1272"/>
      <c r="G113" s="1272"/>
      <c r="H113" s="2370">
        <v>541742</v>
      </c>
      <c r="I113" s="1272"/>
      <c r="J113" s="1272"/>
      <c r="K113" s="1272"/>
      <c r="L113" s="1267">
        <f t="shared" ref="L113:L115" si="28">F113+G113+H113+I113+J113+K113</f>
        <v>541742</v>
      </c>
    </row>
    <row r="114" spans="1:12" ht="30">
      <c r="A114" s="832" t="s">
        <v>1839</v>
      </c>
      <c r="B114" s="832" t="s">
        <v>1845</v>
      </c>
      <c r="C114" s="2057" t="s">
        <v>2989</v>
      </c>
      <c r="D114" s="4807" t="s">
        <v>2984</v>
      </c>
      <c r="E114" s="4678"/>
      <c r="F114" s="4678"/>
      <c r="G114" s="4678"/>
      <c r="H114" s="4715">
        <f>284889+68516</f>
        <v>353405</v>
      </c>
      <c r="I114" s="4678"/>
      <c r="J114" s="4678"/>
      <c r="K114" s="4678"/>
      <c r="L114" s="102">
        <f t="shared" si="28"/>
        <v>353405</v>
      </c>
    </row>
    <row r="115" spans="1:12" ht="45" customHeight="1">
      <c r="B115" s="832"/>
      <c r="C115" s="2057" t="s">
        <v>2990</v>
      </c>
      <c r="D115" s="4711" t="s">
        <v>2920</v>
      </c>
      <c r="E115" s="4679"/>
      <c r="F115" s="4679"/>
      <c r="G115" s="4679"/>
      <c r="H115" s="4712">
        <v>30982</v>
      </c>
      <c r="I115" s="4679"/>
      <c r="J115" s="4679"/>
      <c r="K115" s="4679"/>
      <c r="L115" s="4679">
        <f t="shared" si="28"/>
        <v>30982</v>
      </c>
    </row>
    <row r="116" spans="1:12" ht="58.9" customHeight="1">
      <c r="B116" s="832"/>
      <c r="C116" s="2057" t="s">
        <v>2991</v>
      </c>
      <c r="D116" s="4707" t="s">
        <v>5115</v>
      </c>
      <c r="E116" s="4680"/>
      <c r="F116" s="4680"/>
      <c r="G116" s="4680"/>
      <c r="H116" s="4708">
        <v>783000</v>
      </c>
      <c r="I116" s="4680"/>
      <c r="J116" s="4680"/>
      <c r="K116" s="4680"/>
      <c r="L116" s="4680">
        <f t="shared" ref="L116:L117" si="29">F116+G116+H116+I116+J116+K116</f>
        <v>783000</v>
      </c>
    </row>
    <row r="117" spans="1:12" ht="16.149999999999999" customHeight="1">
      <c r="B117" s="832" t="s">
        <v>3304</v>
      </c>
      <c r="C117" s="2057" t="s">
        <v>2992</v>
      </c>
      <c r="D117" s="4707" t="s">
        <v>3090</v>
      </c>
      <c r="E117" s="4680"/>
      <c r="F117" s="4680"/>
      <c r="G117" s="4680"/>
      <c r="H117" s="4708">
        <v>164032</v>
      </c>
      <c r="I117" s="4680"/>
      <c r="J117" s="4643"/>
      <c r="K117" s="4680"/>
      <c r="L117" s="4680">
        <f t="shared" si="29"/>
        <v>164032</v>
      </c>
    </row>
    <row r="118" spans="1:12" ht="15.75" thickBot="1">
      <c r="C118" s="501"/>
      <c r="D118" s="4794" t="s">
        <v>148</v>
      </c>
      <c r="E118" s="234">
        <f>E110</f>
        <v>2707710.83</v>
      </c>
      <c r="F118" s="234">
        <f t="shared" ref="F118:L118" si="30">F108+F109+F112</f>
        <v>9063696.3728</v>
      </c>
      <c r="G118" s="234">
        <f t="shared" si="30"/>
        <v>1170437</v>
      </c>
      <c r="H118" s="234">
        <f t="shared" si="30"/>
        <v>1873161</v>
      </c>
      <c r="I118" s="234">
        <f t="shared" si="30"/>
        <v>1674037</v>
      </c>
      <c r="J118" s="234">
        <f t="shared" si="30"/>
        <v>0</v>
      </c>
      <c r="K118" s="234">
        <f t="shared" si="30"/>
        <v>39006032.609999999</v>
      </c>
      <c r="L118" s="234">
        <f t="shared" si="30"/>
        <v>61803977.812799998</v>
      </c>
    </row>
    <row r="119" spans="1:12">
      <c r="L119" s="4638"/>
    </row>
    <row r="120" spans="1:12">
      <c r="E120" s="232"/>
      <c r="F120" s="232"/>
      <c r="G120" s="4638"/>
      <c r="H120" s="4638"/>
      <c r="I120" s="232"/>
      <c r="J120" s="4638"/>
      <c r="K120" s="232"/>
      <c r="L120" s="4638"/>
    </row>
    <row r="121" spans="1:12" ht="20.25">
      <c r="C121" s="4834" t="s">
        <v>149</v>
      </c>
      <c r="D121" s="4834"/>
      <c r="E121" s="232"/>
      <c r="F121" s="232"/>
      <c r="G121" s="4638"/>
      <c r="H121" s="4638"/>
      <c r="I121" s="232"/>
      <c r="J121" s="4638"/>
      <c r="K121" s="232"/>
      <c r="L121" s="4638"/>
    </row>
    <row r="122" spans="1:12" ht="15.75" thickBot="1">
      <c r="C122" s="4814"/>
      <c r="D122" s="4814"/>
      <c r="E122" s="291"/>
      <c r="F122" s="291"/>
      <c r="G122" s="4644"/>
      <c r="H122" s="4644"/>
      <c r="I122" s="291"/>
      <c r="J122" s="4644"/>
      <c r="K122" s="232"/>
      <c r="L122" s="4644"/>
    </row>
    <row r="123" spans="1:12" ht="57" customHeight="1" outlineLevel="1" thickBot="1">
      <c r="C123" s="91" t="s">
        <v>1</v>
      </c>
      <c r="D123" s="92" t="s">
        <v>2</v>
      </c>
      <c r="E123" s="289" t="s">
        <v>2969</v>
      </c>
      <c r="F123" s="289" t="s">
        <v>4</v>
      </c>
      <c r="G123" s="289" t="s">
        <v>5</v>
      </c>
      <c r="H123" s="289" t="s">
        <v>677</v>
      </c>
      <c r="I123" s="289" t="s">
        <v>1133</v>
      </c>
      <c r="J123" s="289" t="s">
        <v>6267</v>
      </c>
      <c r="K123" s="289" t="s">
        <v>6282</v>
      </c>
      <c r="L123" s="289" t="s">
        <v>6268</v>
      </c>
    </row>
    <row r="124" spans="1:12">
      <c r="C124" s="1209" t="s">
        <v>10</v>
      </c>
      <c r="D124" s="4757" t="s">
        <v>150</v>
      </c>
      <c r="E124" s="125">
        <f t="shared" ref="E124:L124" si="31">SUM(E125:E133)</f>
        <v>0</v>
      </c>
      <c r="F124" s="125">
        <f t="shared" si="31"/>
        <v>0</v>
      </c>
      <c r="G124" s="125">
        <f t="shared" si="31"/>
        <v>0</v>
      </c>
      <c r="H124" s="125">
        <f t="shared" si="31"/>
        <v>0</v>
      </c>
      <c r="I124" s="125">
        <f t="shared" si="31"/>
        <v>0</v>
      </c>
      <c r="J124" s="125">
        <f t="shared" si="31"/>
        <v>0</v>
      </c>
      <c r="K124" s="125">
        <f t="shared" si="31"/>
        <v>11584925.99087845</v>
      </c>
      <c r="L124" s="125">
        <f t="shared" si="31"/>
        <v>11584925.99087845</v>
      </c>
    </row>
    <row r="125" spans="1:12" ht="31.5" customHeight="1">
      <c r="B125" s="832" t="s">
        <v>485</v>
      </c>
      <c r="C125" s="1210" t="s">
        <v>13</v>
      </c>
      <c r="D125" s="4659" t="s">
        <v>151</v>
      </c>
      <c r="E125" s="116"/>
      <c r="F125" s="116"/>
      <c r="G125" s="116"/>
      <c r="H125" s="116"/>
      <c r="I125" s="116"/>
      <c r="J125" s="116"/>
      <c r="K125" s="116">
        <f>BAZE_2024!G65</f>
        <v>1983486.7499856404</v>
      </c>
      <c r="L125" s="116">
        <f>E125+F125+G125+H125+I125+J125+K125</f>
        <v>1983486.7499856404</v>
      </c>
    </row>
    <row r="126" spans="1:12">
      <c r="B126" s="832" t="s">
        <v>486</v>
      </c>
      <c r="C126" s="1210" t="s">
        <v>15</v>
      </c>
      <c r="D126" s="4659" t="s">
        <v>152</v>
      </c>
      <c r="E126" s="116"/>
      <c r="F126" s="116"/>
      <c r="G126" s="116"/>
      <c r="H126" s="116"/>
      <c r="I126" s="116"/>
      <c r="J126" s="116"/>
      <c r="K126" s="116">
        <f>BAZE_2024!G70</f>
        <v>376850.10523802938</v>
      </c>
      <c r="L126" s="116">
        <f t="shared" ref="L126:L135" si="32">E126+F126+G126+H126+I126+J126+K126</f>
        <v>376850.10523802938</v>
      </c>
    </row>
    <row r="127" spans="1:12" ht="13.15" customHeight="1">
      <c r="B127" s="832" t="s">
        <v>488</v>
      </c>
      <c r="C127" s="1210" t="s">
        <v>153</v>
      </c>
      <c r="D127" s="4659" t="s">
        <v>154</v>
      </c>
      <c r="E127" s="116"/>
      <c r="F127" s="116"/>
      <c r="G127" s="116"/>
      <c r="H127" s="116"/>
      <c r="I127" s="116"/>
      <c r="J127" s="116"/>
      <c r="K127" s="116">
        <f>BAZE_2024!G71</f>
        <v>62511.517776000001</v>
      </c>
      <c r="L127" s="116">
        <f t="shared" si="32"/>
        <v>62511.517776000001</v>
      </c>
    </row>
    <row r="128" spans="1:12" ht="14.45" customHeight="1">
      <c r="B128" s="832" t="s">
        <v>489</v>
      </c>
      <c r="C128" s="1210" t="s">
        <v>155</v>
      </c>
      <c r="D128" s="4659" t="s">
        <v>156</v>
      </c>
      <c r="E128" s="116"/>
      <c r="F128" s="116"/>
      <c r="G128" s="116"/>
      <c r="H128" s="116"/>
      <c r="I128" s="116"/>
      <c r="J128" s="116"/>
      <c r="K128" s="116">
        <f>BAZE_2024!G76</f>
        <v>45279.369875199998</v>
      </c>
      <c r="L128" s="116">
        <f t="shared" si="32"/>
        <v>45279.369875199998</v>
      </c>
    </row>
    <row r="129" spans="2:12" ht="18" customHeight="1">
      <c r="B129" s="832" t="s">
        <v>487</v>
      </c>
      <c r="C129" s="1210" t="s">
        <v>157</v>
      </c>
      <c r="D129" s="4659" t="s">
        <v>158</v>
      </c>
      <c r="E129" s="116"/>
      <c r="F129" s="116"/>
      <c r="G129" s="116"/>
      <c r="H129" s="116"/>
      <c r="I129" s="116"/>
      <c r="J129" s="116"/>
      <c r="K129" s="116">
        <f>BAZE_2024!G77</f>
        <v>8039.5</v>
      </c>
      <c r="L129" s="116">
        <f t="shared" si="32"/>
        <v>8039.5</v>
      </c>
    </row>
    <row r="130" spans="2:12" ht="29.45" customHeight="1">
      <c r="B130" s="832" t="s">
        <v>490</v>
      </c>
      <c r="C130" s="1210" t="s">
        <v>159</v>
      </c>
      <c r="D130" s="4659" t="s">
        <v>593</v>
      </c>
      <c r="E130" s="116"/>
      <c r="F130" s="116"/>
      <c r="G130" s="116"/>
      <c r="H130" s="116"/>
      <c r="I130" s="116"/>
      <c r="J130" s="116"/>
      <c r="K130" s="116">
        <f>BAZE_2024!G78</f>
        <v>53046.204242480002</v>
      </c>
      <c r="L130" s="116">
        <f t="shared" si="32"/>
        <v>53046.204242480002</v>
      </c>
    </row>
    <row r="131" spans="2:12" ht="15.6" customHeight="1">
      <c r="B131" s="832" t="s">
        <v>485</v>
      </c>
      <c r="C131" s="1210" t="s">
        <v>160</v>
      </c>
      <c r="D131" s="4659" t="s">
        <v>163</v>
      </c>
      <c r="E131" s="116"/>
      <c r="F131" s="116"/>
      <c r="G131" s="116"/>
      <c r="H131" s="116"/>
      <c r="I131" s="116"/>
      <c r="J131" s="116"/>
      <c r="K131" s="116">
        <f>BAZE_2024!G81</f>
        <v>2229302</v>
      </c>
      <c r="L131" s="116">
        <f t="shared" si="32"/>
        <v>2229302</v>
      </c>
    </row>
    <row r="132" spans="2:12">
      <c r="B132" s="832" t="s">
        <v>485</v>
      </c>
      <c r="C132" s="1210" t="s">
        <v>162</v>
      </c>
      <c r="D132" s="4659" t="s">
        <v>164</v>
      </c>
      <c r="E132" s="116"/>
      <c r="F132" s="116"/>
      <c r="G132" s="116"/>
      <c r="H132" s="116"/>
      <c r="I132" s="116"/>
      <c r="J132" s="116"/>
      <c r="K132" s="116">
        <f>BAZE_2024!G82</f>
        <v>6416104</v>
      </c>
      <c r="L132" s="116">
        <f t="shared" si="32"/>
        <v>6416104</v>
      </c>
    </row>
    <row r="133" spans="2:12" ht="42.6" customHeight="1">
      <c r="B133" s="832" t="s">
        <v>1626</v>
      </c>
      <c r="C133" s="1210" t="s">
        <v>1130</v>
      </c>
      <c r="D133" s="4659" t="s">
        <v>1166</v>
      </c>
      <c r="E133" s="116"/>
      <c r="F133" s="116"/>
      <c r="G133" s="116"/>
      <c r="H133" s="116"/>
      <c r="I133" s="116"/>
      <c r="J133" s="116"/>
      <c r="K133" s="116">
        <f>BAZE_2024!G83</f>
        <v>410306.54376110004</v>
      </c>
      <c r="L133" s="116">
        <f t="shared" si="32"/>
        <v>410306.54376110004</v>
      </c>
    </row>
    <row r="134" spans="2:12">
      <c r="C134" s="1211" t="s">
        <v>18</v>
      </c>
      <c r="D134" s="4689" t="s">
        <v>165</v>
      </c>
      <c r="E134" s="106">
        <f>E135</f>
        <v>0</v>
      </c>
      <c r="F134" s="106">
        <f t="shared" ref="F134:L134" si="33">F135</f>
        <v>0</v>
      </c>
      <c r="G134" s="106">
        <f t="shared" si="33"/>
        <v>0</v>
      </c>
      <c r="H134" s="106">
        <f t="shared" si="33"/>
        <v>0</v>
      </c>
      <c r="I134" s="106">
        <f t="shared" si="33"/>
        <v>0</v>
      </c>
      <c r="J134" s="106">
        <f t="shared" si="33"/>
        <v>0</v>
      </c>
      <c r="K134" s="106">
        <f t="shared" si="33"/>
        <v>0</v>
      </c>
      <c r="L134" s="106">
        <f t="shared" si="33"/>
        <v>0</v>
      </c>
    </row>
    <row r="135" spans="2:12" ht="13.9" customHeight="1">
      <c r="B135" s="832" t="s">
        <v>493</v>
      </c>
      <c r="C135" s="1210" t="s">
        <v>21</v>
      </c>
      <c r="D135" s="4659" t="s">
        <v>166</v>
      </c>
      <c r="E135" s="116"/>
      <c r="F135" s="116"/>
      <c r="G135" s="116"/>
      <c r="H135" s="116"/>
      <c r="I135" s="116"/>
      <c r="J135" s="116"/>
      <c r="K135" s="116"/>
      <c r="L135" s="116">
        <f t="shared" si="32"/>
        <v>0</v>
      </c>
    </row>
    <row r="136" spans="2:12" ht="15" customHeight="1" collapsed="1">
      <c r="B136" s="832" t="s">
        <v>492</v>
      </c>
      <c r="C136" s="1211" t="s">
        <v>26</v>
      </c>
      <c r="D136" s="4689" t="s">
        <v>167</v>
      </c>
      <c r="E136" s="106"/>
      <c r="F136" s="106"/>
      <c r="G136" s="106"/>
      <c r="H136" s="106"/>
      <c r="I136" s="106"/>
      <c r="J136" s="106">
        <f>7000</f>
        <v>7000</v>
      </c>
      <c r="K136" s="106">
        <f>BAZE_2024!G88</f>
        <v>1025367.7769225</v>
      </c>
      <c r="L136" s="106">
        <f>F136+G136+H136+I136+J136+K136</f>
        <v>1032367.7769225</v>
      </c>
    </row>
    <row r="137" spans="2:12" s="119" customFormat="1" ht="16.899999999999999" customHeight="1">
      <c r="C137" s="1211" t="s">
        <v>34</v>
      </c>
      <c r="D137" s="4689" t="s">
        <v>1691</v>
      </c>
      <c r="E137" s="106">
        <f t="shared" ref="E137:L137" si="34">E138+E141</f>
        <v>0</v>
      </c>
      <c r="F137" s="106">
        <f t="shared" si="34"/>
        <v>342263</v>
      </c>
      <c r="G137" s="106">
        <f t="shared" si="34"/>
        <v>0</v>
      </c>
      <c r="H137" s="106">
        <f t="shared" si="34"/>
        <v>0</v>
      </c>
      <c r="I137" s="106">
        <f t="shared" si="34"/>
        <v>0</v>
      </c>
      <c r="J137" s="106">
        <f t="shared" si="34"/>
        <v>2000</v>
      </c>
      <c r="K137" s="106">
        <f t="shared" si="34"/>
        <v>177686.07229136</v>
      </c>
      <c r="L137" s="106">
        <f t="shared" si="34"/>
        <v>521949.07229136</v>
      </c>
    </row>
    <row r="138" spans="2:12">
      <c r="B138" s="832" t="s">
        <v>491</v>
      </c>
      <c r="C138" s="1210" t="s">
        <v>37</v>
      </c>
      <c r="D138" s="4659" t="s">
        <v>168</v>
      </c>
      <c r="E138" s="116">
        <f>SUM(E139:E140)</f>
        <v>0</v>
      </c>
      <c r="F138" s="116">
        <f t="shared" ref="F138:L138" si="35">SUM(F139:F140)</f>
        <v>0</v>
      </c>
      <c r="G138" s="116">
        <f t="shared" si="35"/>
        <v>0</v>
      </c>
      <c r="H138" s="116">
        <f t="shared" si="35"/>
        <v>0</v>
      </c>
      <c r="I138" s="116">
        <f t="shared" si="35"/>
        <v>0</v>
      </c>
      <c r="J138" s="116">
        <f t="shared" si="35"/>
        <v>2000</v>
      </c>
      <c r="K138" s="116">
        <f t="shared" si="35"/>
        <v>177686.07229136</v>
      </c>
      <c r="L138" s="116">
        <f t="shared" si="35"/>
        <v>179686.07229136</v>
      </c>
    </row>
    <row r="139" spans="2:12">
      <c r="B139" s="832" t="s">
        <v>491</v>
      </c>
      <c r="C139" s="1212" t="s">
        <v>1875</v>
      </c>
      <c r="D139" s="4657" t="s">
        <v>1760</v>
      </c>
      <c r="E139" s="102"/>
      <c r="F139" s="102"/>
      <c r="G139" s="102"/>
      <c r="H139" s="102"/>
      <c r="I139" s="102"/>
      <c r="J139" s="102">
        <f>2000</f>
        <v>2000</v>
      </c>
      <c r="K139" s="102">
        <f>BAZE_2024!G94-K140</f>
        <v>148459.07229136</v>
      </c>
      <c r="L139" s="102">
        <f t="shared" ref="L139:L147" si="36">E139+F139+G139+H139+I139+J139+K139</f>
        <v>150459.07229136</v>
      </c>
    </row>
    <row r="140" spans="2:12">
      <c r="B140" s="832"/>
      <c r="C140" s="1212" t="s">
        <v>1876</v>
      </c>
      <c r="D140" s="4758" t="s">
        <v>1874</v>
      </c>
      <c r="E140" s="1267"/>
      <c r="F140" s="1267"/>
      <c r="G140" s="1267"/>
      <c r="H140" s="1267"/>
      <c r="I140" s="1267"/>
      <c r="J140" s="1267"/>
      <c r="K140" s="1267">
        <f>BAZE_2024!G97</f>
        <v>29227</v>
      </c>
      <c r="L140" s="102">
        <f t="shared" si="36"/>
        <v>29227</v>
      </c>
    </row>
    <row r="141" spans="2:12">
      <c r="B141" s="832" t="s">
        <v>1770</v>
      </c>
      <c r="C141" s="1210" t="s">
        <v>39</v>
      </c>
      <c r="D141" s="4672" t="s">
        <v>1132</v>
      </c>
      <c r="E141" s="1276">
        <f>E62</f>
        <v>0</v>
      </c>
      <c r="F141" s="4673">
        <f>F62</f>
        <v>342263</v>
      </c>
      <c r="G141" s="1276"/>
      <c r="H141" s="1276"/>
      <c r="I141" s="1276"/>
      <c r="J141" s="1276"/>
      <c r="K141" s="1276"/>
      <c r="L141" s="116">
        <f t="shared" si="36"/>
        <v>342263</v>
      </c>
    </row>
    <row r="142" spans="2:12">
      <c r="C142" s="1211" t="s">
        <v>40</v>
      </c>
      <c r="D142" s="4689" t="s">
        <v>1699</v>
      </c>
      <c r="E142" s="106">
        <f>E143</f>
        <v>0</v>
      </c>
      <c r="F142" s="106">
        <f t="shared" ref="F142:L142" si="37">F143</f>
        <v>70000</v>
      </c>
      <c r="G142" s="106">
        <f t="shared" si="37"/>
        <v>0</v>
      </c>
      <c r="H142" s="106">
        <f t="shared" si="37"/>
        <v>0</v>
      </c>
      <c r="I142" s="106">
        <f t="shared" si="37"/>
        <v>0</v>
      </c>
      <c r="J142" s="106">
        <f t="shared" si="37"/>
        <v>0</v>
      </c>
      <c r="K142" s="106">
        <f t="shared" si="37"/>
        <v>0</v>
      </c>
      <c r="L142" s="106">
        <f t="shared" si="37"/>
        <v>70000</v>
      </c>
    </row>
    <row r="143" spans="2:12" ht="16.149999999999999" customHeight="1">
      <c r="B143" s="832" t="s">
        <v>1765</v>
      </c>
      <c r="C143" s="1210" t="s">
        <v>170</v>
      </c>
      <c r="D143" s="4659" t="s">
        <v>1698</v>
      </c>
      <c r="E143" s="116">
        <f>E22</f>
        <v>0</v>
      </c>
      <c r="F143" s="116">
        <f>F22</f>
        <v>70000</v>
      </c>
      <c r="G143" s="116"/>
      <c r="H143" s="116"/>
      <c r="I143" s="116"/>
      <c r="J143" s="116"/>
      <c r="K143" s="116"/>
      <c r="L143" s="116">
        <f>E143+F143+G143+H143+I143+J143+K143</f>
        <v>70000</v>
      </c>
    </row>
    <row r="144" spans="2:12" ht="29.25">
      <c r="C144" s="1211" t="s">
        <v>43</v>
      </c>
      <c r="D144" s="4689" t="s">
        <v>169</v>
      </c>
      <c r="E144" s="106">
        <f t="shared" ref="E144:L144" si="38">E145+E146+E147+E148+E163</f>
        <v>2120107.83</v>
      </c>
      <c r="F144" s="106">
        <f t="shared" si="38"/>
        <v>16000</v>
      </c>
      <c r="G144" s="106">
        <f t="shared" si="38"/>
        <v>1019792</v>
      </c>
      <c r="H144" s="106">
        <f t="shared" si="38"/>
        <v>517437</v>
      </c>
      <c r="I144" s="106">
        <f t="shared" si="38"/>
        <v>6321839.2470302833</v>
      </c>
      <c r="J144" s="106">
        <f t="shared" si="38"/>
        <v>2656512</v>
      </c>
      <c r="K144" s="106">
        <f t="shared" si="38"/>
        <v>1530989.7586342003</v>
      </c>
      <c r="L144" s="106">
        <f t="shared" si="38"/>
        <v>14182677.835664485</v>
      </c>
    </row>
    <row r="145" spans="2:12" ht="15.6" customHeight="1">
      <c r="B145" s="832" t="s">
        <v>493</v>
      </c>
      <c r="C145" s="1210" t="s">
        <v>46</v>
      </c>
      <c r="D145" s="4701" t="s">
        <v>166</v>
      </c>
      <c r="E145" s="116"/>
      <c r="F145" s="116"/>
      <c r="G145" s="116"/>
      <c r="H145" s="116"/>
      <c r="I145" s="116"/>
      <c r="J145" s="116"/>
      <c r="K145" s="131">
        <f>BAZE_2024!G107</f>
        <v>70000</v>
      </c>
      <c r="L145" s="131">
        <f>E145+F145+G145+H145+I145+J145+K145</f>
        <v>70000</v>
      </c>
    </row>
    <row r="146" spans="2:12" ht="19.149999999999999" customHeight="1">
      <c r="B146" s="832" t="s">
        <v>1837</v>
      </c>
      <c r="C146" s="1210" t="s">
        <v>56</v>
      </c>
      <c r="D146" s="4701" t="s">
        <v>171</v>
      </c>
      <c r="E146" s="131"/>
      <c r="F146" s="131"/>
      <c r="G146" s="131"/>
      <c r="H146" s="131"/>
      <c r="I146" s="131"/>
      <c r="J146" s="131">
        <f>15000</f>
        <v>15000</v>
      </c>
      <c r="K146" s="131">
        <f>BAZE_2024!G108</f>
        <v>315451.62734220002</v>
      </c>
      <c r="L146" s="131">
        <f t="shared" si="36"/>
        <v>330451.62734220002</v>
      </c>
    </row>
    <row r="147" spans="2:12" ht="19.149999999999999" customHeight="1">
      <c r="B147" s="832" t="s">
        <v>1871</v>
      </c>
      <c r="C147" s="1210" t="s">
        <v>179</v>
      </c>
      <c r="D147" s="4701" t="s">
        <v>1654</v>
      </c>
      <c r="E147" s="2050"/>
      <c r="F147" s="2050"/>
      <c r="G147" s="2050"/>
      <c r="H147" s="2050"/>
      <c r="I147" s="2050"/>
      <c r="J147" s="2050">
        <v>79126</v>
      </c>
      <c r="K147" s="2050">
        <f>BAZE_2024!G137</f>
        <v>313928.73621730006</v>
      </c>
      <c r="L147" s="131">
        <f t="shared" si="36"/>
        <v>393054.73621730006</v>
      </c>
    </row>
    <row r="148" spans="2:12">
      <c r="C148" s="1210" t="s">
        <v>181</v>
      </c>
      <c r="D148" s="4701" t="s">
        <v>1655</v>
      </c>
      <c r="E148" s="131">
        <f t="shared" ref="E148:L148" si="39">SUM(E149:E162)</f>
        <v>234997</v>
      </c>
      <c r="F148" s="131">
        <f t="shared" si="39"/>
        <v>16000</v>
      </c>
      <c r="G148" s="131">
        <f t="shared" si="39"/>
        <v>637053</v>
      </c>
      <c r="H148" s="131">
        <f t="shared" si="39"/>
        <v>0</v>
      </c>
      <c r="I148" s="131">
        <f t="shared" si="39"/>
        <v>0</v>
      </c>
      <c r="J148" s="131">
        <f t="shared" si="39"/>
        <v>526803</v>
      </c>
      <c r="K148" s="131">
        <f t="shared" si="39"/>
        <v>424516.63014720002</v>
      </c>
      <c r="L148" s="131">
        <f t="shared" si="39"/>
        <v>1839369.6301472001</v>
      </c>
    </row>
    <row r="149" spans="2:12" ht="19.899999999999999" customHeight="1">
      <c r="B149" s="832" t="s">
        <v>494</v>
      </c>
      <c r="C149" s="1212" t="s">
        <v>1700</v>
      </c>
      <c r="D149" s="4654" t="s">
        <v>173</v>
      </c>
      <c r="E149" s="102"/>
      <c r="F149" s="102">
        <v>16000</v>
      </c>
      <c r="G149" s="102">
        <f>G107</f>
        <v>10621</v>
      </c>
      <c r="H149" s="102"/>
      <c r="I149" s="102"/>
      <c r="J149" s="1267">
        <f>10621+85000+56800+120000-SUM(E149:I149)</f>
        <v>245800</v>
      </c>
      <c r="K149" s="102">
        <f>BAZE_2024!G113</f>
        <v>424516.63014720002</v>
      </c>
      <c r="L149" s="102">
        <f>E149+F149+G149+H149+I149+J149+K149</f>
        <v>696937.63014720008</v>
      </c>
    </row>
    <row r="150" spans="2:12" ht="18.600000000000001" customHeight="1">
      <c r="B150" s="832" t="s">
        <v>1889</v>
      </c>
      <c r="C150" s="1212" t="s">
        <v>1701</v>
      </c>
      <c r="D150" s="4654" t="s">
        <v>1135</v>
      </c>
      <c r="E150" s="452"/>
      <c r="F150" s="452"/>
      <c r="G150" s="452"/>
      <c r="H150" s="452"/>
      <c r="I150" s="452"/>
      <c r="J150" s="452">
        <v>40000</v>
      </c>
      <c r="K150" s="452"/>
      <c r="L150" s="452">
        <f t="shared" ref="L150:L161" si="40">E150+F150+G150+H150+I150+J150+K150</f>
        <v>40000</v>
      </c>
    </row>
    <row r="151" spans="2:12" ht="16.5" customHeight="1">
      <c r="B151" s="832" t="s">
        <v>1889</v>
      </c>
      <c r="C151" s="1212" t="s">
        <v>3084</v>
      </c>
      <c r="D151" s="4728" t="s">
        <v>1878</v>
      </c>
      <c r="E151" s="1267"/>
      <c r="F151" s="1267"/>
      <c r="G151" s="1267"/>
      <c r="H151" s="1267"/>
      <c r="I151" s="1267"/>
      <c r="J151" s="1267">
        <f>5094+10000</f>
        <v>15094</v>
      </c>
      <c r="K151" s="1267"/>
      <c r="L151" s="452">
        <f t="shared" si="40"/>
        <v>15094</v>
      </c>
    </row>
    <row r="152" spans="2:12" ht="28.15" customHeight="1">
      <c r="B152" s="832" t="s">
        <v>2987</v>
      </c>
      <c r="C152" s="2053" t="s">
        <v>3085</v>
      </c>
      <c r="D152" s="4694" t="s">
        <v>2981</v>
      </c>
      <c r="E152" s="102">
        <f>E77</f>
        <v>50458</v>
      </c>
      <c r="F152" s="102"/>
      <c r="G152" s="102"/>
      <c r="H152" s="102"/>
      <c r="I152" s="102"/>
      <c r="J152" s="102">
        <f>50458-SUM(E152:I152)</f>
        <v>0</v>
      </c>
      <c r="K152" s="102"/>
      <c r="L152" s="102">
        <f t="shared" si="40"/>
        <v>50458</v>
      </c>
    </row>
    <row r="153" spans="2:12" ht="32.450000000000003" customHeight="1">
      <c r="B153" s="832" t="s">
        <v>1771</v>
      </c>
      <c r="C153" s="2054" t="s">
        <v>3086</v>
      </c>
      <c r="D153" s="4703" t="s">
        <v>1664</v>
      </c>
      <c r="E153" s="1267"/>
      <c r="F153" s="1267"/>
      <c r="G153" s="1267">
        <f>G85</f>
        <v>118650</v>
      </c>
      <c r="H153" s="1267"/>
      <c r="I153" s="1267"/>
      <c r="J153" s="1267">
        <f>145650-SUM(E153:I153)</f>
        <v>27000</v>
      </c>
      <c r="K153" s="1267"/>
      <c r="L153" s="102">
        <f t="shared" si="40"/>
        <v>145650</v>
      </c>
    </row>
    <row r="154" spans="2:12" ht="15.75" customHeight="1">
      <c r="B154" s="832" t="s">
        <v>1772</v>
      </c>
      <c r="C154" s="2053" t="s">
        <v>1702</v>
      </c>
      <c r="D154" s="4703" t="s">
        <v>1665</v>
      </c>
      <c r="E154" s="1267"/>
      <c r="F154" s="1267"/>
      <c r="G154" s="1267">
        <f>G86</f>
        <v>390462</v>
      </c>
      <c r="H154" s="1267"/>
      <c r="I154" s="1267"/>
      <c r="J154" s="1267">
        <f>397337-SUM(E154:I154)</f>
        <v>6875</v>
      </c>
      <c r="K154" s="1267"/>
      <c r="L154" s="102">
        <f t="shared" si="40"/>
        <v>397337</v>
      </c>
    </row>
    <row r="155" spans="2:12" ht="16.899999999999999" customHeight="1">
      <c r="B155" s="4692" t="s">
        <v>2980</v>
      </c>
      <c r="C155" s="2053" t="s">
        <v>1703</v>
      </c>
      <c r="D155" s="4693" t="s">
        <v>5458</v>
      </c>
      <c r="E155" s="102">
        <f>E70</f>
        <v>16012</v>
      </c>
      <c r="F155" s="102"/>
      <c r="G155" s="102">
        <f t="shared" ref="G155:G160" si="41">G70</f>
        <v>63988</v>
      </c>
      <c r="H155" s="102"/>
      <c r="I155" s="102"/>
      <c r="J155" s="102">
        <f>207440-SUM(E155:I155)</f>
        <v>127440</v>
      </c>
      <c r="K155" s="102"/>
      <c r="L155" s="102">
        <f t="shared" si="40"/>
        <v>207440</v>
      </c>
    </row>
    <row r="156" spans="2:12" ht="30" customHeight="1">
      <c r="B156" s="4692"/>
      <c r="C156" s="2053" t="s">
        <v>1704</v>
      </c>
      <c r="D156" s="4696" t="s">
        <v>5964</v>
      </c>
      <c r="E156" s="2299"/>
      <c r="F156" s="2299"/>
      <c r="G156" s="102">
        <f t="shared" si="41"/>
        <v>2532</v>
      </c>
      <c r="H156" s="2299"/>
      <c r="I156" s="2299"/>
      <c r="J156" s="102">
        <f>14067-SUM(E156:I156)</f>
        <v>11535</v>
      </c>
      <c r="K156" s="2299"/>
      <c r="L156" s="102">
        <f t="shared" si="40"/>
        <v>14067</v>
      </c>
    </row>
    <row r="157" spans="2:12" ht="30" customHeight="1">
      <c r="B157" s="4692"/>
      <c r="C157" s="2053" t="s">
        <v>1705</v>
      </c>
      <c r="D157" s="4696" t="s">
        <v>6196</v>
      </c>
      <c r="E157" s="2299"/>
      <c r="F157" s="2299"/>
      <c r="G157" s="102">
        <f t="shared" si="41"/>
        <v>5135</v>
      </c>
      <c r="H157" s="2299"/>
      <c r="I157" s="2299"/>
      <c r="J157" s="102">
        <f>7900-SUM(E157:I157)</f>
        <v>2765</v>
      </c>
      <c r="K157" s="2299"/>
      <c r="L157" s="102">
        <f t="shared" si="40"/>
        <v>7900</v>
      </c>
    </row>
    <row r="158" spans="2:12" ht="17.45" customHeight="1">
      <c r="B158" s="4692"/>
      <c r="C158" s="2053" t="s">
        <v>3087</v>
      </c>
      <c r="D158" s="4696" t="s">
        <v>2967</v>
      </c>
      <c r="E158" s="2299"/>
      <c r="F158" s="2299"/>
      <c r="G158" s="102">
        <f t="shared" si="41"/>
        <v>9000</v>
      </c>
      <c r="H158" s="2299"/>
      <c r="I158" s="2299"/>
      <c r="J158" s="102">
        <f>9000-SUM(E158:I158)</f>
        <v>0</v>
      </c>
      <c r="K158" s="2299"/>
      <c r="L158" s="102">
        <f t="shared" si="40"/>
        <v>9000</v>
      </c>
    </row>
    <row r="159" spans="2:12" ht="55.9" customHeight="1">
      <c r="B159" s="4692"/>
      <c r="C159" s="2053" t="s">
        <v>6277</v>
      </c>
      <c r="D159" s="4696" t="s">
        <v>6248</v>
      </c>
      <c r="E159" s="2299"/>
      <c r="F159" s="2299"/>
      <c r="G159" s="102">
        <f t="shared" si="41"/>
        <v>6010</v>
      </c>
      <c r="H159" s="2299"/>
      <c r="I159" s="2299"/>
      <c r="J159" s="102">
        <f>12020-SUM(E159:I159)</f>
        <v>6010</v>
      </c>
      <c r="K159" s="2299"/>
      <c r="L159" s="102">
        <f t="shared" si="40"/>
        <v>12020</v>
      </c>
    </row>
    <row r="160" spans="2:12" ht="40.9" customHeight="1">
      <c r="B160" s="4692"/>
      <c r="C160" s="2053" t="s">
        <v>6278</v>
      </c>
      <c r="D160" s="4696" t="s">
        <v>6247</v>
      </c>
      <c r="E160" s="2299"/>
      <c r="F160" s="2299"/>
      <c r="G160" s="102">
        <f t="shared" si="41"/>
        <v>30655</v>
      </c>
      <c r="H160" s="2299"/>
      <c r="I160" s="2299"/>
      <c r="J160" s="102">
        <f>30655-SUM(E160:I160)</f>
        <v>0</v>
      </c>
      <c r="K160" s="2299"/>
      <c r="L160" s="102">
        <f t="shared" si="40"/>
        <v>30655</v>
      </c>
    </row>
    <row r="161" spans="2:12" ht="16.899999999999999" customHeight="1">
      <c r="B161" s="832" t="s">
        <v>5460</v>
      </c>
      <c r="C161" s="2053" t="s">
        <v>6279</v>
      </c>
      <c r="D161" s="4696" t="s">
        <v>5461</v>
      </c>
      <c r="E161" s="2299">
        <f>E76</f>
        <v>168527</v>
      </c>
      <c r="F161" s="2299"/>
      <c r="G161" s="2299"/>
      <c r="H161" s="2299"/>
      <c r="I161" s="2299"/>
      <c r="J161" s="2299"/>
      <c r="K161" s="2299"/>
      <c r="L161" s="102">
        <f t="shared" si="40"/>
        <v>168527</v>
      </c>
    </row>
    <row r="162" spans="2:12" ht="42.6" customHeight="1">
      <c r="B162" s="832"/>
      <c r="C162" s="2053" t="s">
        <v>6280</v>
      </c>
      <c r="D162" s="4696" t="s">
        <v>4825</v>
      </c>
      <c r="E162" s="2299"/>
      <c r="F162" s="2299"/>
      <c r="G162" s="2299"/>
      <c r="H162" s="2299"/>
      <c r="I162" s="2299"/>
      <c r="J162" s="102">
        <f>44284-SUM(E162:I162)</f>
        <v>44284</v>
      </c>
      <c r="K162" s="2299"/>
      <c r="L162" s="102">
        <f t="shared" ref="L162" si="42">E162+F162+G162+H162+I162+J162+K162</f>
        <v>44284</v>
      </c>
    </row>
    <row r="163" spans="2:12" ht="29.25" customHeight="1">
      <c r="C163" s="1210" t="s">
        <v>183</v>
      </c>
      <c r="D163" s="4701" t="s">
        <v>175</v>
      </c>
      <c r="E163" s="131">
        <f>SUM(E164:E180)</f>
        <v>1885110.83</v>
      </c>
      <c r="F163" s="131">
        <f t="shared" ref="F163:L163" si="43">SUM(F164:F169,F173:F180)</f>
        <v>0</v>
      </c>
      <c r="G163" s="131">
        <f t="shared" si="43"/>
        <v>382739</v>
      </c>
      <c r="H163" s="131">
        <f t="shared" si="43"/>
        <v>517437</v>
      </c>
      <c r="I163" s="131">
        <f t="shared" si="43"/>
        <v>6321839.2470302833</v>
      </c>
      <c r="J163" s="131">
        <f t="shared" si="43"/>
        <v>2035583</v>
      </c>
      <c r="K163" s="131">
        <f t="shared" si="43"/>
        <v>407092.76492750004</v>
      </c>
      <c r="L163" s="131">
        <f t="shared" si="43"/>
        <v>11549801.841957785</v>
      </c>
    </row>
    <row r="164" spans="2:12" s="113" customFormat="1" ht="17.25" hidden="1" customHeight="1" outlineLevel="1">
      <c r="C164" s="2117" t="s">
        <v>3151</v>
      </c>
      <c r="D164" s="4693" t="s">
        <v>1696</v>
      </c>
      <c r="E164" s="102"/>
      <c r="F164" s="102"/>
      <c r="G164" s="102"/>
      <c r="H164" s="102"/>
      <c r="I164" s="102"/>
      <c r="J164" s="452"/>
      <c r="K164" s="452"/>
      <c r="L164" s="452">
        <f t="shared" ref="L164:L180" si="44">E164+F164+G164+H164+I164+J164+K164</f>
        <v>0</v>
      </c>
    </row>
    <row r="165" spans="2:12" ht="15.75" customHeight="1" collapsed="1">
      <c r="B165" s="832" t="s">
        <v>1627</v>
      </c>
      <c r="C165" s="1212" t="s">
        <v>3151</v>
      </c>
      <c r="D165" s="4693" t="s">
        <v>3088</v>
      </c>
      <c r="E165" s="2058"/>
      <c r="F165" s="2058"/>
      <c r="G165" s="2058"/>
      <c r="H165" s="2058"/>
      <c r="I165" s="2058"/>
      <c r="J165" s="2058">
        <v>1037000</v>
      </c>
      <c r="K165" s="452">
        <f>BAZE_2024!G142</f>
        <v>162200.02932750003</v>
      </c>
      <c r="L165" s="452">
        <f t="shared" si="44"/>
        <v>1199200.0293275001</v>
      </c>
    </row>
    <row r="166" spans="2:12" ht="13.9" customHeight="1">
      <c r="B166" s="832" t="s">
        <v>1850</v>
      </c>
      <c r="C166" s="1212" t="s">
        <v>3152</v>
      </c>
      <c r="D166" s="4693" t="s">
        <v>6273</v>
      </c>
      <c r="E166" s="102">
        <f>E61</f>
        <v>1875164.83</v>
      </c>
      <c r="F166" s="102"/>
      <c r="G166" s="102"/>
      <c r="H166" s="102"/>
      <c r="I166" s="102"/>
      <c r="J166" s="102"/>
      <c r="K166" s="102"/>
      <c r="L166" s="4756">
        <f t="shared" si="44"/>
        <v>1875164.83</v>
      </c>
    </row>
    <row r="167" spans="2:12" ht="27" customHeight="1">
      <c r="B167" s="832" t="s">
        <v>1839</v>
      </c>
      <c r="C167" s="2053" t="s">
        <v>3153</v>
      </c>
      <c r="D167" s="4693" t="s">
        <v>2984</v>
      </c>
      <c r="E167" s="102">
        <f>E69</f>
        <v>9946</v>
      </c>
      <c r="F167" s="102"/>
      <c r="G167" s="102">
        <f>G69</f>
        <v>0</v>
      </c>
      <c r="H167" s="102">
        <f>H114</f>
        <v>353405</v>
      </c>
      <c r="I167" s="102"/>
      <c r="J167" s="102">
        <f>353405+9946-SUM(E167:I167)</f>
        <v>0</v>
      </c>
      <c r="K167" s="102"/>
      <c r="L167" s="452">
        <f t="shared" si="44"/>
        <v>363351</v>
      </c>
    </row>
    <row r="168" spans="2:12" ht="25.9" customHeight="1">
      <c r="B168" s="832" t="s">
        <v>3069</v>
      </c>
      <c r="C168" s="1212" t="s">
        <v>3154</v>
      </c>
      <c r="D168" s="4693" t="s">
        <v>1134</v>
      </c>
      <c r="E168" s="452">
        <f>E106</f>
        <v>0</v>
      </c>
      <c r="F168" s="452"/>
      <c r="G168" s="452"/>
      <c r="H168" s="452"/>
      <c r="I168" s="1328">
        <f>BAZE_2024!G155-SUM(E168:H168)</f>
        <v>1574037</v>
      </c>
      <c r="J168" s="452"/>
      <c r="K168" s="452"/>
      <c r="L168" s="4756">
        <f t="shared" si="44"/>
        <v>1574037</v>
      </c>
    </row>
    <row r="169" spans="2:12" ht="32.25" customHeight="1">
      <c r="B169" s="832" t="s">
        <v>1133</v>
      </c>
      <c r="C169" s="1212" t="s">
        <v>3155</v>
      </c>
      <c r="D169" s="4693" t="s">
        <v>1657</v>
      </c>
      <c r="E169" s="452"/>
      <c r="F169" s="452"/>
      <c r="G169" s="452"/>
      <c r="H169" s="452"/>
      <c r="I169" s="452">
        <f>SUM(I170:I172)</f>
        <v>4747802.2470302833</v>
      </c>
      <c r="J169" s="452">
        <f>SUM(J170:J172)</f>
        <v>411283</v>
      </c>
      <c r="K169" s="452">
        <f>SUM(K170:K172)</f>
        <v>244892.73560000001</v>
      </c>
      <c r="L169" s="4756">
        <f t="shared" si="44"/>
        <v>5403977.9826302836</v>
      </c>
    </row>
    <row r="170" spans="2:12" ht="20.45" customHeight="1">
      <c r="B170" s="832"/>
      <c r="C170" s="2231" t="s">
        <v>3156</v>
      </c>
      <c r="D170" s="4753" t="s">
        <v>3099</v>
      </c>
      <c r="E170" s="1267"/>
      <c r="F170" s="1267"/>
      <c r="G170" s="1267"/>
      <c r="H170" s="1267"/>
      <c r="I170" s="4685">
        <f>BAZE_2024!G150-K172</f>
        <v>4397802.2470302833</v>
      </c>
      <c r="J170" s="4685">
        <f>153953+140756+17500+12000</f>
        <v>324209</v>
      </c>
      <c r="K170" s="4688"/>
      <c r="L170" s="4754">
        <f t="shared" si="44"/>
        <v>4722011.2470302833</v>
      </c>
    </row>
    <row r="171" spans="2:12" ht="16.899999999999999" customHeight="1">
      <c r="B171" s="832"/>
      <c r="C171" s="2231" t="s">
        <v>3157</v>
      </c>
      <c r="D171" s="4753" t="s">
        <v>3100</v>
      </c>
      <c r="E171" s="1267"/>
      <c r="F171" s="1267"/>
      <c r="G171" s="1267"/>
      <c r="H171" s="1267"/>
      <c r="I171" s="4685">
        <f>BAZE_2024!G161</f>
        <v>350000</v>
      </c>
      <c r="J171" s="4755"/>
      <c r="K171" s="4688"/>
      <c r="L171" s="4754">
        <f t="shared" si="44"/>
        <v>350000</v>
      </c>
    </row>
    <row r="172" spans="2:12" ht="15" customHeight="1">
      <c r="B172" s="832"/>
      <c r="C172" s="2231" t="s">
        <v>3158</v>
      </c>
      <c r="D172" s="4753" t="s">
        <v>3101</v>
      </c>
      <c r="E172" s="1267"/>
      <c r="F172" s="1267"/>
      <c r="G172" s="1267"/>
      <c r="H172" s="1267"/>
      <c r="I172" s="4688"/>
      <c r="J172" s="4688">
        <f>10000+77074</f>
        <v>87074</v>
      </c>
      <c r="K172" s="4685">
        <f>BAZE_2024!G147</f>
        <v>244892.73560000001</v>
      </c>
      <c r="L172" s="4754">
        <f t="shared" si="44"/>
        <v>331966.73560000001</v>
      </c>
    </row>
    <row r="173" spans="2:12" ht="29.25" hidden="1" customHeight="1" outlineLevel="1">
      <c r="B173" s="832" t="s">
        <v>1258</v>
      </c>
      <c r="C173" s="1212" t="s">
        <v>3159</v>
      </c>
      <c r="D173" s="2118" t="s">
        <v>1168</v>
      </c>
      <c r="E173" s="452"/>
      <c r="F173" s="452"/>
      <c r="G173" s="4641"/>
      <c r="H173" s="4641"/>
      <c r="I173" s="452"/>
      <c r="J173" s="4641"/>
      <c r="K173" s="452"/>
      <c r="L173" s="4641">
        <f t="shared" si="44"/>
        <v>0</v>
      </c>
    </row>
    <row r="174" spans="2:12" ht="30" customHeight="1" collapsed="1">
      <c r="B174" s="832" t="s">
        <v>1133</v>
      </c>
      <c r="C174" s="2053" t="s">
        <v>3160</v>
      </c>
      <c r="D174" s="4693" t="s">
        <v>5630</v>
      </c>
      <c r="E174" s="451"/>
      <c r="F174" s="451"/>
      <c r="G174" s="451"/>
      <c r="H174" s="451"/>
      <c r="I174" s="451"/>
      <c r="J174" s="451">
        <f>35000</f>
        <v>35000</v>
      </c>
      <c r="K174" s="451"/>
      <c r="L174" s="452">
        <f t="shared" si="44"/>
        <v>35000</v>
      </c>
    </row>
    <row r="175" spans="2:12" ht="41.45" customHeight="1">
      <c r="B175" s="832" t="s">
        <v>1133</v>
      </c>
      <c r="C175" s="2054" t="s">
        <v>3161</v>
      </c>
      <c r="D175" s="4709" t="s">
        <v>6271</v>
      </c>
      <c r="E175" s="1266"/>
      <c r="F175" s="1266"/>
      <c r="G175" s="1266"/>
      <c r="H175" s="1266"/>
      <c r="I175" s="1266"/>
      <c r="J175" s="1266">
        <f>210000</f>
        <v>210000</v>
      </c>
      <c r="K175" s="1266"/>
      <c r="L175" s="452">
        <f t="shared" si="44"/>
        <v>210000</v>
      </c>
    </row>
    <row r="176" spans="2:12" ht="18.600000000000001" customHeight="1">
      <c r="B176" s="832" t="s">
        <v>1133</v>
      </c>
      <c r="C176" s="2053" t="s">
        <v>3162</v>
      </c>
      <c r="D176" s="4709" t="s">
        <v>5635</v>
      </c>
      <c r="E176" s="1266"/>
      <c r="F176" s="1266"/>
      <c r="G176" s="1266"/>
      <c r="H176" s="1266"/>
      <c r="I176" s="1266"/>
      <c r="J176" s="1266">
        <f>17500</f>
        <v>17500</v>
      </c>
      <c r="K176" s="1266"/>
      <c r="L176" s="4756">
        <f t="shared" si="44"/>
        <v>17500</v>
      </c>
    </row>
    <row r="177" spans="2:12" ht="33.6" customHeight="1">
      <c r="B177" s="832" t="s">
        <v>1133</v>
      </c>
      <c r="C177" s="2053" t="s">
        <v>3163</v>
      </c>
      <c r="D177" s="4709" t="s">
        <v>3091</v>
      </c>
      <c r="E177" s="1266"/>
      <c r="F177" s="1266"/>
      <c r="G177" s="1266"/>
      <c r="H177" s="1266"/>
      <c r="I177" s="1266"/>
      <c r="J177" s="1266">
        <v>255000</v>
      </c>
      <c r="K177" s="1266"/>
      <c r="L177" s="4756">
        <f t="shared" si="44"/>
        <v>255000</v>
      </c>
    </row>
    <row r="178" spans="2:12" ht="21" customHeight="1">
      <c r="B178" s="832" t="s">
        <v>1133</v>
      </c>
      <c r="C178" s="2053" t="s">
        <v>3164</v>
      </c>
      <c r="D178" s="4709" t="s">
        <v>6227</v>
      </c>
      <c r="E178" s="1266"/>
      <c r="F178" s="1266"/>
      <c r="G178" s="1266"/>
      <c r="H178" s="1266"/>
      <c r="I178" s="1266"/>
      <c r="J178" s="1266">
        <f>39800</f>
        <v>39800</v>
      </c>
      <c r="K178" s="1266"/>
      <c r="L178" s="4756">
        <f t="shared" si="44"/>
        <v>39800</v>
      </c>
    </row>
    <row r="179" spans="2:12" ht="29.45" customHeight="1">
      <c r="B179" s="832" t="s">
        <v>1133</v>
      </c>
      <c r="C179" s="2053" t="s">
        <v>3165</v>
      </c>
      <c r="D179" s="4709" t="s">
        <v>6275</v>
      </c>
      <c r="E179" s="1266"/>
      <c r="F179" s="1266"/>
      <c r="G179" s="1266"/>
      <c r="H179" s="1266"/>
      <c r="I179" s="1266"/>
      <c r="J179" s="1266">
        <f>30000</f>
        <v>30000</v>
      </c>
      <c r="K179" s="1266"/>
      <c r="L179" s="4756">
        <f t="shared" ref="L179" si="45">E179+F179+G179+H179+I179+J179+K179</f>
        <v>30000</v>
      </c>
    </row>
    <row r="180" spans="2:12" ht="18.600000000000001" customHeight="1">
      <c r="B180" s="832" t="s">
        <v>3304</v>
      </c>
      <c r="C180" s="2053" t="s">
        <v>3166</v>
      </c>
      <c r="D180" s="4709" t="s">
        <v>3090</v>
      </c>
      <c r="E180" s="1266"/>
      <c r="F180" s="1266"/>
      <c r="G180" s="1266">
        <f>G87</f>
        <v>382739</v>
      </c>
      <c r="H180" s="1266">
        <f>H117</f>
        <v>164032</v>
      </c>
      <c r="I180" s="1266"/>
      <c r="J180" s="1266">
        <f>546771-SUM(E180:I180)</f>
        <v>0</v>
      </c>
      <c r="K180" s="1266"/>
      <c r="L180" s="452">
        <f t="shared" si="44"/>
        <v>546771</v>
      </c>
    </row>
    <row r="181" spans="2:12">
      <c r="C181" s="1211" t="s">
        <v>71</v>
      </c>
      <c r="D181" s="4689" t="s">
        <v>177</v>
      </c>
      <c r="E181" s="106">
        <f t="shared" ref="E181:J181" si="46">SUM(E182,E187:E193)</f>
        <v>185742</v>
      </c>
      <c r="F181" s="106">
        <f t="shared" si="46"/>
        <v>13088</v>
      </c>
      <c r="G181" s="106">
        <f t="shared" si="46"/>
        <v>0</v>
      </c>
      <c r="H181" s="106">
        <f t="shared" si="46"/>
        <v>0</v>
      </c>
      <c r="I181" s="106">
        <f t="shared" si="46"/>
        <v>0</v>
      </c>
      <c r="J181" s="106">
        <f t="shared" si="46"/>
        <v>568865</v>
      </c>
      <c r="K181" s="106">
        <f>SUM(K182,K187:K193)</f>
        <v>1751486.8453729004</v>
      </c>
      <c r="L181" s="106">
        <f t="shared" ref="L181" si="47">SUM(L182,L187:L193)</f>
        <v>2519181.8453729004</v>
      </c>
    </row>
    <row r="182" spans="2:12" ht="23.25" customHeight="1">
      <c r="C182" s="1210" t="s">
        <v>74</v>
      </c>
      <c r="D182" s="4659" t="s">
        <v>1142</v>
      </c>
      <c r="E182" s="116">
        <f>SUM(E183:E186)</f>
        <v>0</v>
      </c>
      <c r="F182" s="116">
        <f t="shared" ref="F182:L182" si="48">SUM(F183:F186)</f>
        <v>13088</v>
      </c>
      <c r="G182" s="116">
        <f t="shared" si="48"/>
        <v>0</v>
      </c>
      <c r="H182" s="116">
        <f t="shared" si="48"/>
        <v>0</v>
      </c>
      <c r="I182" s="116">
        <f t="shared" si="48"/>
        <v>0</v>
      </c>
      <c r="J182" s="116">
        <f t="shared" si="48"/>
        <v>389850</v>
      </c>
      <c r="K182" s="116">
        <f>SUM(K183:K186)</f>
        <v>923419.79004240013</v>
      </c>
      <c r="L182" s="116">
        <f t="shared" si="48"/>
        <v>1326357.7900424001</v>
      </c>
    </row>
    <row r="183" spans="2:12" ht="15" customHeight="1">
      <c r="B183" s="832" t="s">
        <v>1777</v>
      </c>
      <c r="C183" s="1212" t="s">
        <v>540</v>
      </c>
      <c r="D183" s="4657" t="s">
        <v>1658</v>
      </c>
      <c r="E183" s="452"/>
      <c r="F183" s="452">
        <v>8329</v>
      </c>
      <c r="G183" s="452"/>
      <c r="H183" s="452"/>
      <c r="I183" s="452"/>
      <c r="J183" s="452">
        <f>164500+21200</f>
        <v>185700</v>
      </c>
      <c r="K183" s="452">
        <f>BAZE_2024!G173</f>
        <v>444020.85509206675</v>
      </c>
      <c r="L183" s="452">
        <f t="shared" ref="L183:L193" si="49">E183+F183+G183+H183+I183+J183+K183</f>
        <v>638049.85509206681</v>
      </c>
    </row>
    <row r="184" spans="2:12" ht="16.149999999999999" customHeight="1">
      <c r="B184" s="832" t="s">
        <v>1762</v>
      </c>
      <c r="C184" s="1212" t="s">
        <v>542</v>
      </c>
      <c r="D184" s="4657" t="s">
        <v>1169</v>
      </c>
      <c r="E184" s="452"/>
      <c r="F184" s="452">
        <v>4759</v>
      </c>
      <c r="G184" s="452"/>
      <c r="H184" s="452"/>
      <c r="I184" s="452"/>
      <c r="J184" s="452">
        <f>176650+21500</f>
        <v>198150</v>
      </c>
      <c r="K184" s="452">
        <f>BAZE_2024!G181</f>
        <v>282270.86028633331</v>
      </c>
      <c r="L184" s="452">
        <f t="shared" si="49"/>
        <v>485179.86028633331</v>
      </c>
    </row>
    <row r="185" spans="2:12" ht="13.15" customHeight="1">
      <c r="B185" s="832" t="s">
        <v>1761</v>
      </c>
      <c r="C185" s="1212" t="s">
        <v>1144</v>
      </c>
      <c r="D185" s="4657" t="s">
        <v>3070</v>
      </c>
      <c r="E185" s="452"/>
      <c r="F185" s="452"/>
      <c r="G185" s="452"/>
      <c r="H185" s="452"/>
      <c r="I185" s="452"/>
      <c r="J185" s="452">
        <f>3000</f>
        <v>3000</v>
      </c>
      <c r="K185" s="452">
        <f>BAZE_2024!G208</f>
        <v>169588.07466400001</v>
      </c>
      <c r="L185" s="452">
        <f t="shared" si="49"/>
        <v>172588.07466400001</v>
      </c>
    </row>
    <row r="186" spans="2:12" ht="16.899999999999999" customHeight="1">
      <c r="B186" s="832" t="s">
        <v>3226</v>
      </c>
      <c r="C186" s="1212" t="s">
        <v>6256</v>
      </c>
      <c r="D186" s="4657" t="s">
        <v>4088</v>
      </c>
      <c r="E186" s="102"/>
      <c r="F186" s="102"/>
      <c r="G186" s="102"/>
      <c r="H186" s="102"/>
      <c r="I186" s="102"/>
      <c r="J186" s="102">
        <f>500+2500</f>
        <v>3000</v>
      </c>
      <c r="K186" s="102">
        <f>BAZE_2024!G214</f>
        <v>27540</v>
      </c>
      <c r="L186" s="102">
        <f>E186+F186+G186+H186+I186+J186+K186</f>
        <v>30540</v>
      </c>
    </row>
    <row r="187" spans="2:12" ht="29.45" customHeight="1">
      <c r="B187" s="832" t="s">
        <v>1840</v>
      </c>
      <c r="C187" s="2055" t="s">
        <v>187</v>
      </c>
      <c r="D187" s="4659" t="s">
        <v>1170</v>
      </c>
      <c r="E187" s="116">
        <f>E83</f>
        <v>185742</v>
      </c>
      <c r="F187" s="116"/>
      <c r="G187" s="116"/>
      <c r="H187" s="116"/>
      <c r="I187" s="116"/>
      <c r="J187" s="116"/>
      <c r="K187" s="116"/>
      <c r="L187" s="116">
        <f t="shared" si="49"/>
        <v>185742</v>
      </c>
    </row>
    <row r="188" spans="2:12" ht="27" customHeight="1">
      <c r="B188" s="832" t="s">
        <v>1841</v>
      </c>
      <c r="C188" s="2055" t="s">
        <v>769</v>
      </c>
      <c r="D188" s="4659" t="s">
        <v>1171</v>
      </c>
      <c r="E188" s="116"/>
      <c r="F188" s="116"/>
      <c r="G188" s="116"/>
      <c r="H188" s="116"/>
      <c r="I188" s="116"/>
      <c r="J188" s="116"/>
      <c r="K188" s="116"/>
      <c r="L188" s="116">
        <f t="shared" si="49"/>
        <v>0</v>
      </c>
    </row>
    <row r="189" spans="2:12" ht="15" customHeight="1">
      <c r="B189" s="832" t="s">
        <v>496</v>
      </c>
      <c r="C189" s="1210" t="s">
        <v>1590</v>
      </c>
      <c r="D189" s="4659" t="s">
        <v>1659</v>
      </c>
      <c r="E189" s="116"/>
      <c r="F189" s="116"/>
      <c r="G189" s="116"/>
      <c r="H189" s="116"/>
      <c r="I189" s="116"/>
      <c r="J189" s="116"/>
      <c r="K189" s="116">
        <f>BAZE_2024!G188</f>
        <v>153395.37309000001</v>
      </c>
      <c r="L189" s="116">
        <f t="shared" si="49"/>
        <v>153395.37309000001</v>
      </c>
    </row>
    <row r="190" spans="2:12" ht="15.6" customHeight="1">
      <c r="B190" s="832" t="s">
        <v>1625</v>
      </c>
      <c r="C190" s="1210" t="s">
        <v>1706</v>
      </c>
      <c r="D190" s="4659" t="s">
        <v>1660</v>
      </c>
      <c r="E190" s="939"/>
      <c r="F190" s="939"/>
      <c r="G190" s="939"/>
      <c r="H190" s="939"/>
      <c r="I190" s="939"/>
      <c r="J190" s="939"/>
      <c r="K190" s="939">
        <f>BAZE_2024!G193</f>
        <v>64813.521870000011</v>
      </c>
      <c r="L190" s="939">
        <f t="shared" si="49"/>
        <v>64813.521870000011</v>
      </c>
    </row>
    <row r="191" spans="2:12" ht="15" customHeight="1">
      <c r="B191" s="832" t="s">
        <v>495</v>
      </c>
      <c r="C191" s="1210" t="s">
        <v>1708</v>
      </c>
      <c r="D191" s="4659" t="s">
        <v>180</v>
      </c>
      <c r="E191" s="116"/>
      <c r="F191" s="116"/>
      <c r="G191" s="116"/>
      <c r="H191" s="116"/>
      <c r="I191" s="116"/>
      <c r="J191" s="116">
        <f>175015</f>
        <v>175015</v>
      </c>
      <c r="K191" s="116">
        <f>BAZE_2024!G198</f>
        <v>590629.98647050001</v>
      </c>
      <c r="L191" s="116">
        <f t="shared" si="49"/>
        <v>765644.98647050001</v>
      </c>
    </row>
    <row r="192" spans="2:12" ht="15.6" customHeight="1">
      <c r="B192" s="832" t="s">
        <v>497</v>
      </c>
      <c r="C192" s="1210" t="s">
        <v>1709</v>
      </c>
      <c r="D192" s="4659" t="s">
        <v>182</v>
      </c>
      <c r="E192" s="116"/>
      <c r="F192" s="116"/>
      <c r="G192" s="116"/>
      <c r="H192" s="116"/>
      <c r="I192" s="116"/>
      <c r="J192" s="116">
        <v>4000</v>
      </c>
      <c r="K192" s="116"/>
      <c r="L192" s="116">
        <f t="shared" si="49"/>
        <v>4000</v>
      </c>
    </row>
    <row r="193" spans="2:12" ht="15.6" customHeight="1">
      <c r="B193" s="832" t="s">
        <v>3071</v>
      </c>
      <c r="C193" s="1210" t="s">
        <v>2502</v>
      </c>
      <c r="D193" s="4659" t="s">
        <v>636</v>
      </c>
      <c r="E193" s="116"/>
      <c r="F193" s="116"/>
      <c r="G193" s="116"/>
      <c r="H193" s="116"/>
      <c r="I193" s="116"/>
      <c r="J193" s="116"/>
      <c r="K193" s="116">
        <f>BAZE_2024!G277</f>
        <v>19228.173900000002</v>
      </c>
      <c r="L193" s="116">
        <f t="shared" si="49"/>
        <v>19228.173900000002</v>
      </c>
    </row>
    <row r="194" spans="2:12" s="89" customFormat="1" ht="15.6" customHeight="1">
      <c r="C194" s="1211" t="s">
        <v>79</v>
      </c>
      <c r="D194" s="4689" t="s">
        <v>184</v>
      </c>
      <c r="E194" s="106">
        <f>E195+E201+E204+E208+E209+E210+E211+E212</f>
        <v>236536</v>
      </c>
      <c r="F194" s="106">
        <f t="shared" ref="F194:L194" si="50">F195+F201+F204+F208+F209+F210+F211+F212</f>
        <v>861000</v>
      </c>
      <c r="G194" s="106">
        <f t="shared" si="50"/>
        <v>0</v>
      </c>
      <c r="H194" s="106">
        <f t="shared" si="50"/>
        <v>0</v>
      </c>
      <c r="I194" s="106">
        <f t="shared" si="50"/>
        <v>0</v>
      </c>
      <c r="J194" s="106">
        <f t="shared" si="50"/>
        <v>488272</v>
      </c>
      <c r="K194" s="106">
        <f t="shared" si="50"/>
        <v>2211217.7610668591</v>
      </c>
      <c r="L194" s="106">
        <f t="shared" si="50"/>
        <v>3797025.7610668591</v>
      </c>
    </row>
    <row r="195" spans="2:12" s="89" customFormat="1" ht="15" customHeight="1">
      <c r="C195" s="1210" t="s">
        <v>81</v>
      </c>
      <c r="D195" s="4659" t="s">
        <v>185</v>
      </c>
      <c r="E195" s="116">
        <f>E196+E197+E198+E199+E200</f>
        <v>0</v>
      </c>
      <c r="F195" s="116">
        <f t="shared" ref="F195:L195" si="51">F196+F197+F198+F199+F200</f>
        <v>611000</v>
      </c>
      <c r="G195" s="116">
        <f t="shared" si="51"/>
        <v>0</v>
      </c>
      <c r="H195" s="116">
        <f t="shared" si="51"/>
        <v>0</v>
      </c>
      <c r="I195" s="116">
        <f t="shared" si="51"/>
        <v>0</v>
      </c>
      <c r="J195" s="116">
        <f t="shared" si="51"/>
        <v>478022</v>
      </c>
      <c r="K195" s="116">
        <f t="shared" si="51"/>
        <v>1667965.0633929078</v>
      </c>
      <c r="L195" s="116">
        <f t="shared" si="51"/>
        <v>2756987.0633929078</v>
      </c>
    </row>
    <row r="196" spans="2:12" s="145" customFormat="1" ht="18.600000000000001" customHeight="1" outlineLevel="1">
      <c r="B196" s="145">
        <v>1010</v>
      </c>
      <c r="C196" s="4752" t="s">
        <v>1710</v>
      </c>
      <c r="D196" s="4658" t="s">
        <v>1661</v>
      </c>
      <c r="E196" s="146"/>
      <c r="F196" s="146"/>
      <c r="G196" s="146"/>
      <c r="H196" s="146"/>
      <c r="I196" s="146"/>
      <c r="J196" s="146">
        <v>52362</v>
      </c>
      <c r="K196" s="146">
        <f>BAZE_2024!G228-K197</f>
        <v>598572.06339290785</v>
      </c>
      <c r="L196" s="146">
        <f>E196+F196+G196+H196+I196+J196+K196</f>
        <v>650934.06339290785</v>
      </c>
    </row>
    <row r="197" spans="2:12" s="145" customFormat="1" ht="16.149999999999999" customHeight="1" outlineLevel="1">
      <c r="B197" s="145">
        <v>1010</v>
      </c>
      <c r="C197" s="1213" t="s">
        <v>1711</v>
      </c>
      <c r="D197" s="4658" t="s">
        <v>531</v>
      </c>
      <c r="E197" s="146"/>
      <c r="F197" s="146">
        <f>50000+60000</f>
        <v>110000</v>
      </c>
      <c r="G197" s="2796"/>
      <c r="H197" s="2796"/>
      <c r="I197" s="146"/>
      <c r="J197" s="146">
        <f>425660</f>
        <v>425660</v>
      </c>
      <c r="K197" s="146">
        <f>BAZE_2024!G231</f>
        <v>1063173</v>
      </c>
      <c r="L197" s="146">
        <f>E197+F197+G197+H197+I197+J197+K197</f>
        <v>1598833</v>
      </c>
    </row>
    <row r="198" spans="2:12" s="145" customFormat="1" ht="17.45" customHeight="1" outlineLevel="1">
      <c r="B198" s="145">
        <v>1010</v>
      </c>
      <c r="C198" s="1213" t="s">
        <v>1712</v>
      </c>
      <c r="D198" s="4686" t="s">
        <v>512</v>
      </c>
      <c r="E198" s="1266"/>
      <c r="F198" s="1266">
        <f>F60</f>
        <v>0</v>
      </c>
      <c r="G198" s="4647"/>
      <c r="H198" s="4647"/>
      <c r="I198" s="1266"/>
      <c r="J198" s="4647"/>
      <c r="K198" s="1266"/>
      <c r="L198" s="146">
        <f>E198+F198+G198+H198+I198+J198+K198</f>
        <v>0</v>
      </c>
    </row>
    <row r="199" spans="2:12" s="145" customFormat="1" outlineLevel="1">
      <c r="B199" s="145">
        <v>1012</v>
      </c>
      <c r="C199" s="1213" t="s">
        <v>1713</v>
      </c>
      <c r="D199" s="4658" t="s">
        <v>541</v>
      </c>
      <c r="E199" s="146"/>
      <c r="F199" s="146">
        <f>F59</f>
        <v>501000</v>
      </c>
      <c r="G199" s="146"/>
      <c r="H199" s="146"/>
      <c r="I199" s="146"/>
      <c r="J199" s="146"/>
      <c r="K199" s="146"/>
      <c r="L199" s="146">
        <f>E199+F199+G199+H199+I199+J199+K199</f>
        <v>501000</v>
      </c>
    </row>
    <row r="200" spans="2:12" s="145" customFormat="1" outlineLevel="1">
      <c r="B200" s="145">
        <v>1015</v>
      </c>
      <c r="C200" s="1213" t="s">
        <v>1714</v>
      </c>
      <c r="D200" s="4658" t="s">
        <v>1139</v>
      </c>
      <c r="E200" s="451"/>
      <c r="F200" s="451"/>
      <c r="G200" s="4646"/>
      <c r="H200" s="4646"/>
      <c r="I200" s="451"/>
      <c r="J200" s="4646"/>
      <c r="K200" s="451">
        <f>BAZE_2024!G249</f>
        <v>6220</v>
      </c>
      <c r="L200" s="451">
        <f>E200+F200+G200+H200+I200+J200+K200</f>
        <v>6220</v>
      </c>
    </row>
    <row r="201" spans="2:12" s="89" customFormat="1" ht="19.5" customHeight="1">
      <c r="C201" s="1210" t="s">
        <v>83</v>
      </c>
      <c r="D201" s="4659" t="s">
        <v>186</v>
      </c>
      <c r="E201" s="116">
        <f t="shared" ref="E201:L201" si="52">E202+E203</f>
        <v>12607</v>
      </c>
      <c r="F201" s="116">
        <f t="shared" si="52"/>
        <v>0</v>
      </c>
      <c r="G201" s="116">
        <f t="shared" si="52"/>
        <v>0</v>
      </c>
      <c r="H201" s="116">
        <f t="shared" si="52"/>
        <v>0</v>
      </c>
      <c r="I201" s="116">
        <f>I202+I203</f>
        <v>0</v>
      </c>
      <c r="J201" s="116">
        <f t="shared" si="52"/>
        <v>0</v>
      </c>
      <c r="K201" s="116">
        <f t="shared" si="52"/>
        <v>1407</v>
      </c>
      <c r="L201" s="116">
        <f t="shared" si="52"/>
        <v>14014</v>
      </c>
    </row>
    <row r="202" spans="2:12" s="145" customFormat="1" outlineLevel="1">
      <c r="B202" s="145">
        <v>1011</v>
      </c>
      <c r="C202" s="1213" t="s">
        <v>193</v>
      </c>
      <c r="D202" s="4658" t="s">
        <v>543</v>
      </c>
      <c r="E202" s="146"/>
      <c r="F202" s="146"/>
      <c r="G202" s="146"/>
      <c r="H202" s="146"/>
      <c r="I202" s="146"/>
      <c r="J202" s="146"/>
      <c r="K202" s="146">
        <f>BAZE_2024!G253</f>
        <v>1407</v>
      </c>
      <c r="L202" s="146">
        <f>E202+F202+G202+H202+I202+J202+K202</f>
        <v>1407</v>
      </c>
    </row>
    <row r="203" spans="2:12" s="145" customFormat="1" outlineLevel="1">
      <c r="B203" s="145">
        <v>1011</v>
      </c>
      <c r="C203" s="1213" t="s">
        <v>195</v>
      </c>
      <c r="D203" s="4658" t="s">
        <v>544</v>
      </c>
      <c r="E203" s="146">
        <f>E66</f>
        <v>12607</v>
      </c>
      <c r="F203" s="146">
        <f>F66</f>
        <v>0</v>
      </c>
      <c r="G203" s="146"/>
      <c r="H203" s="146"/>
      <c r="I203" s="146"/>
      <c r="J203" s="146"/>
      <c r="K203" s="146"/>
      <c r="L203" s="146">
        <f>E203+F203+G203+H203+I203+J203+K203</f>
        <v>12607</v>
      </c>
    </row>
    <row r="204" spans="2:12" s="89" customFormat="1" ht="18" customHeight="1">
      <c r="C204" s="1210" t="s">
        <v>84</v>
      </c>
      <c r="D204" s="4659" t="s">
        <v>735</v>
      </c>
      <c r="E204" s="404">
        <f t="shared" ref="E204:K204" si="53">SUM(E205:E207)</f>
        <v>209617</v>
      </c>
      <c r="F204" s="404">
        <f t="shared" si="53"/>
        <v>0</v>
      </c>
      <c r="G204" s="404">
        <f t="shared" si="53"/>
        <v>0</v>
      </c>
      <c r="H204" s="404">
        <f t="shared" si="53"/>
        <v>0</v>
      </c>
      <c r="I204" s="404">
        <f t="shared" si="53"/>
        <v>0</v>
      </c>
      <c r="J204" s="404">
        <f t="shared" si="53"/>
        <v>10250</v>
      </c>
      <c r="K204" s="404">
        <f t="shared" si="53"/>
        <v>402246.62317695009</v>
      </c>
      <c r="L204" s="404">
        <f>SUM(L205:L207)</f>
        <v>622113.62317695003</v>
      </c>
    </row>
    <row r="205" spans="2:12" s="89" customFormat="1" ht="15" customHeight="1">
      <c r="B205" s="87" t="s">
        <v>3072</v>
      </c>
      <c r="C205" s="1214" t="s">
        <v>198</v>
      </c>
      <c r="D205" s="4687" t="s">
        <v>3004</v>
      </c>
      <c r="E205" s="257"/>
      <c r="F205" s="257"/>
      <c r="G205" s="257"/>
      <c r="H205" s="257"/>
      <c r="I205" s="257"/>
      <c r="J205" s="257"/>
      <c r="K205" s="257">
        <f>BAZE_2024!G236</f>
        <v>402246.62317695009</v>
      </c>
      <c r="L205" s="257">
        <f t="shared" ref="L205:L212" si="54">E205+F205+G205+H205+I205+J205+K205</f>
        <v>402246.62317695009</v>
      </c>
    </row>
    <row r="206" spans="2:12" s="89" customFormat="1" ht="15.75" customHeight="1">
      <c r="B206" s="87" t="s">
        <v>3072</v>
      </c>
      <c r="C206" s="2056" t="s">
        <v>199</v>
      </c>
      <c r="D206" s="4687" t="s">
        <v>3007</v>
      </c>
      <c r="E206" s="257">
        <f>E80</f>
        <v>0</v>
      </c>
      <c r="F206" s="257"/>
      <c r="G206" s="257"/>
      <c r="H206" s="257"/>
      <c r="I206" s="257">
        <f>I80</f>
        <v>0</v>
      </c>
      <c r="J206" s="257">
        <f>10250-SUM(E206:I206)</f>
        <v>10250</v>
      </c>
      <c r="K206" s="257"/>
      <c r="L206" s="257">
        <f t="shared" si="54"/>
        <v>10250</v>
      </c>
    </row>
    <row r="207" spans="2:12" s="89" customFormat="1" ht="15.6" customHeight="1">
      <c r="B207" s="87" t="s">
        <v>1764</v>
      </c>
      <c r="C207" s="1214" t="s">
        <v>1715</v>
      </c>
      <c r="D207" s="4687" t="s">
        <v>3005</v>
      </c>
      <c r="E207" s="257">
        <f>E81</f>
        <v>209617</v>
      </c>
      <c r="F207" s="257"/>
      <c r="G207" s="257">
        <f>G81</f>
        <v>0</v>
      </c>
      <c r="H207" s="257"/>
      <c r="I207" s="257">
        <f>I81</f>
        <v>0</v>
      </c>
      <c r="J207" s="257"/>
      <c r="K207" s="257"/>
      <c r="L207" s="257">
        <f t="shared" si="54"/>
        <v>209617</v>
      </c>
    </row>
    <row r="208" spans="2:12" s="89" customFormat="1" ht="16.149999999999999" customHeight="1">
      <c r="C208" s="1210" t="s">
        <v>200</v>
      </c>
      <c r="D208" s="4659" t="s">
        <v>188</v>
      </c>
      <c r="E208" s="116"/>
      <c r="F208" s="116"/>
      <c r="G208" s="2568"/>
      <c r="H208" s="2568"/>
      <c r="I208" s="116"/>
      <c r="J208" s="2568"/>
      <c r="K208" s="116">
        <f>BAZE_2024!G256</f>
        <v>139599.07449700119</v>
      </c>
      <c r="L208" s="116">
        <f t="shared" si="54"/>
        <v>139599.07449700119</v>
      </c>
    </row>
    <row r="209" spans="2:12" s="89" customFormat="1" ht="18.75" customHeight="1">
      <c r="B209" s="87">
        <v>1016</v>
      </c>
      <c r="C209" s="2047" t="s">
        <v>204</v>
      </c>
      <c r="D209" s="4675" t="s">
        <v>2036</v>
      </c>
      <c r="E209" s="1276"/>
      <c r="F209" s="1276">
        <f>F64</f>
        <v>50000</v>
      </c>
      <c r="G209" s="1276"/>
      <c r="H209" s="1276"/>
      <c r="I209" s="1276"/>
      <c r="J209" s="1276"/>
      <c r="K209" s="116"/>
      <c r="L209" s="116">
        <f t="shared" si="54"/>
        <v>50000</v>
      </c>
    </row>
    <row r="210" spans="2:12" s="89" customFormat="1" ht="18.75" customHeight="1">
      <c r="B210" s="87">
        <v>1017</v>
      </c>
      <c r="C210" s="1210" t="s">
        <v>206</v>
      </c>
      <c r="D210" s="4676" t="s">
        <v>2968</v>
      </c>
      <c r="E210" s="1276">
        <f>E65</f>
        <v>0</v>
      </c>
      <c r="F210" s="1276">
        <f>F65</f>
        <v>200000</v>
      </c>
      <c r="G210" s="1276"/>
      <c r="H210" s="1276"/>
      <c r="I210" s="1276"/>
      <c r="J210" s="1276"/>
      <c r="K210" s="116"/>
      <c r="L210" s="116">
        <f t="shared" si="54"/>
        <v>200000</v>
      </c>
    </row>
    <row r="211" spans="2:12" ht="40.9" customHeight="1">
      <c r="B211" s="87" t="s">
        <v>1783</v>
      </c>
      <c r="C211" s="1210" t="s">
        <v>207</v>
      </c>
      <c r="D211" s="4676" t="s">
        <v>2910</v>
      </c>
      <c r="E211" s="1276">
        <v>10226</v>
      </c>
      <c r="F211" s="1276"/>
      <c r="G211" s="1276"/>
      <c r="H211" s="1276"/>
      <c r="I211" s="1276"/>
      <c r="J211" s="1276"/>
      <c r="K211" s="116"/>
      <c r="L211" s="1276">
        <f t="shared" si="54"/>
        <v>10226</v>
      </c>
    </row>
    <row r="212" spans="2:12" ht="44.45" customHeight="1">
      <c r="B212" s="87" t="s">
        <v>2911</v>
      </c>
      <c r="C212" s="1210" t="s">
        <v>209</v>
      </c>
      <c r="D212" s="4676" t="s">
        <v>2912</v>
      </c>
      <c r="E212" s="1276">
        <f>E78-E211</f>
        <v>4086</v>
      </c>
      <c r="F212" s="1276"/>
      <c r="G212" s="1276"/>
      <c r="H212" s="1276"/>
      <c r="I212" s="1276"/>
      <c r="J212" s="1276"/>
      <c r="K212" s="116"/>
      <c r="L212" s="1276">
        <f t="shared" si="54"/>
        <v>4086</v>
      </c>
    </row>
    <row r="213" spans="2:12">
      <c r="C213" s="1211" t="s">
        <v>85</v>
      </c>
      <c r="D213" s="4689" t="s">
        <v>189</v>
      </c>
      <c r="E213" s="106">
        <f>E214+E215+E218+E221+E225+E229+E233+E241+E242+E254+E257+E260+E261+E262+E263+E264+E265+E266</f>
        <v>165325</v>
      </c>
      <c r="F213" s="106">
        <f t="shared" ref="F213:L213" si="55">F214+F215+F218+F221+F225+F229+F233+F241+F242+F254+F257+F260+F261+F262+F263+F264+F265+F266</f>
        <v>7761345.3728</v>
      </c>
      <c r="G213" s="106">
        <f t="shared" si="55"/>
        <v>150645</v>
      </c>
      <c r="H213" s="106">
        <f t="shared" si="55"/>
        <v>1355724</v>
      </c>
      <c r="I213" s="106">
        <f t="shared" si="55"/>
        <v>582664</v>
      </c>
      <c r="J213" s="106">
        <f t="shared" si="55"/>
        <v>642304</v>
      </c>
      <c r="K213" s="106">
        <f t="shared" si="55"/>
        <v>13951687.577217994</v>
      </c>
      <c r="L213" s="106">
        <f t="shared" si="55"/>
        <v>24609694.950017992</v>
      </c>
    </row>
    <row r="214" spans="2:12" ht="27.6" customHeight="1">
      <c r="B214" s="134" t="s">
        <v>190</v>
      </c>
      <c r="C214" s="1210" t="s">
        <v>87</v>
      </c>
      <c r="D214" s="4701" t="s">
        <v>191</v>
      </c>
      <c r="E214" s="116"/>
      <c r="F214" s="116"/>
      <c r="G214" s="116"/>
      <c r="H214" s="116"/>
      <c r="I214" s="116"/>
      <c r="J214" s="116"/>
      <c r="K214" s="116">
        <f>BAZE_2024!G268</f>
        <v>750000</v>
      </c>
      <c r="L214" s="116">
        <f>E214+F214+G214+H214+I214+J214+K214</f>
        <v>750000</v>
      </c>
    </row>
    <row r="215" spans="2:12" ht="18" customHeight="1">
      <c r="C215" s="1210" t="s">
        <v>88</v>
      </c>
      <c r="D215" s="4701" t="s">
        <v>192</v>
      </c>
      <c r="E215" s="116">
        <f t="shared" ref="E215:L215" si="56">SUM(E216:E217)</f>
        <v>0</v>
      </c>
      <c r="F215" s="116">
        <f t="shared" si="56"/>
        <v>413462</v>
      </c>
      <c r="G215" s="116">
        <f t="shared" si="56"/>
        <v>0</v>
      </c>
      <c r="H215" s="116">
        <f t="shared" si="56"/>
        <v>0</v>
      </c>
      <c r="I215" s="116">
        <f t="shared" si="56"/>
        <v>0</v>
      </c>
      <c r="J215" s="116">
        <f t="shared" si="56"/>
        <v>103222</v>
      </c>
      <c r="K215" s="116">
        <f t="shared" si="56"/>
        <v>1804783.5649073652</v>
      </c>
      <c r="L215" s="116">
        <f t="shared" si="56"/>
        <v>2321467.5649073655</v>
      </c>
    </row>
    <row r="216" spans="2:12" ht="16.149999999999999" customHeight="1">
      <c r="B216" s="832" t="s">
        <v>992</v>
      </c>
      <c r="C216" s="1212" t="s">
        <v>1716</v>
      </c>
      <c r="D216" s="4654" t="s">
        <v>596</v>
      </c>
      <c r="E216" s="4655">
        <v>0</v>
      </c>
      <c r="F216" s="4655">
        <f>407268+6194</f>
        <v>413462</v>
      </c>
      <c r="G216" s="109"/>
      <c r="H216" s="109"/>
      <c r="I216" s="109"/>
      <c r="J216" s="109"/>
      <c r="K216" s="109"/>
      <c r="L216" s="109">
        <f>E216+F216+G216+H216+I216+J216+K216</f>
        <v>413462</v>
      </c>
    </row>
    <row r="217" spans="2:12" ht="15" customHeight="1">
      <c r="B217" s="832" t="s">
        <v>498</v>
      </c>
      <c r="C217" s="1212" t="s">
        <v>1717</v>
      </c>
      <c r="D217" s="4654" t="s">
        <v>196</v>
      </c>
      <c r="E217" s="109"/>
      <c r="F217" s="109"/>
      <c r="G217" s="109"/>
      <c r="H217" s="109"/>
      <c r="I217" s="109"/>
      <c r="J217" s="109">
        <v>103222</v>
      </c>
      <c r="K217" s="109">
        <f>BAZE_2024!G269</f>
        <v>1804783.5649073652</v>
      </c>
      <c r="L217" s="109">
        <f>E217+F217+G217+H217+I217+J217+K217</f>
        <v>1908005.5649073652</v>
      </c>
    </row>
    <row r="218" spans="2:12" ht="18" customHeight="1">
      <c r="C218" s="1210" t="s">
        <v>1718</v>
      </c>
      <c r="D218" s="4701" t="s">
        <v>197</v>
      </c>
      <c r="E218" s="116">
        <f t="shared" ref="E218:L218" si="57">E219+E220</f>
        <v>0</v>
      </c>
      <c r="F218" s="116">
        <f t="shared" si="57"/>
        <v>158733</v>
      </c>
      <c r="G218" s="116">
        <f t="shared" si="57"/>
        <v>0</v>
      </c>
      <c r="H218" s="116">
        <f t="shared" si="57"/>
        <v>0</v>
      </c>
      <c r="I218" s="116">
        <f>I219+I220</f>
        <v>0</v>
      </c>
      <c r="J218" s="116">
        <f t="shared" si="57"/>
        <v>0</v>
      </c>
      <c r="K218" s="116">
        <f t="shared" si="57"/>
        <v>1289102.9786112006</v>
      </c>
      <c r="L218" s="116">
        <f t="shared" si="57"/>
        <v>1447835.9786112006</v>
      </c>
    </row>
    <row r="219" spans="2:12" ht="16.5" customHeight="1">
      <c r="B219" s="832" t="s">
        <v>993</v>
      </c>
      <c r="C219" s="1212" t="s">
        <v>1719</v>
      </c>
      <c r="D219" s="4654" t="s">
        <v>596</v>
      </c>
      <c r="E219" s="4655">
        <v>0</v>
      </c>
      <c r="F219" s="4655">
        <f>158733</f>
        <v>158733</v>
      </c>
      <c r="G219" s="102"/>
      <c r="H219" s="102"/>
      <c r="I219" s="102"/>
      <c r="J219" s="102"/>
      <c r="K219" s="102"/>
      <c r="L219" s="102">
        <f>E219+F219+G219+H219+I219+J219+K219</f>
        <v>158733</v>
      </c>
    </row>
    <row r="220" spans="2:12" ht="13.15" customHeight="1">
      <c r="B220" s="832" t="s">
        <v>1857</v>
      </c>
      <c r="C220" s="1212" t="s">
        <v>1720</v>
      </c>
      <c r="D220" s="4654" t="s">
        <v>196</v>
      </c>
      <c r="E220" s="102"/>
      <c r="F220" s="102"/>
      <c r="G220" s="102"/>
      <c r="H220" s="102"/>
      <c r="I220" s="102"/>
      <c r="J220" s="102"/>
      <c r="K220" s="102">
        <f>BAZE_2024!G281</f>
        <v>1289102.9786112006</v>
      </c>
      <c r="L220" s="102">
        <f>E220+F220+G220+H220+I220+J220+K220</f>
        <v>1289102.9786112006</v>
      </c>
    </row>
    <row r="221" spans="2:12" ht="18" customHeight="1">
      <c r="C221" s="1215" t="s">
        <v>1721</v>
      </c>
      <c r="D221" s="4701" t="s">
        <v>1137</v>
      </c>
      <c r="E221" s="116">
        <f>E222+E223+E224</f>
        <v>0</v>
      </c>
      <c r="F221" s="116">
        <f t="shared" ref="F221:K221" si="58">F222+F223+F224</f>
        <v>238164</v>
      </c>
      <c r="G221" s="116">
        <f t="shared" si="58"/>
        <v>0</v>
      </c>
      <c r="H221" s="116">
        <f t="shared" si="58"/>
        <v>0</v>
      </c>
      <c r="I221" s="116">
        <f t="shared" si="58"/>
        <v>154032</v>
      </c>
      <c r="J221" s="116">
        <f t="shared" si="58"/>
        <v>10900</v>
      </c>
      <c r="K221" s="116">
        <f t="shared" si="58"/>
        <v>1191033.4529886562</v>
      </c>
      <c r="L221" s="116">
        <f>L222+L223+L224</f>
        <v>1594129.4529886562</v>
      </c>
    </row>
    <row r="222" spans="2:12" ht="13.5" customHeight="1">
      <c r="B222" s="87" t="s">
        <v>1262</v>
      </c>
      <c r="C222" s="1212" t="s">
        <v>1722</v>
      </c>
      <c r="D222" s="4654" t="s">
        <v>596</v>
      </c>
      <c r="E222" s="4655">
        <v>0</v>
      </c>
      <c r="F222" s="4655">
        <f>238164</f>
        <v>238164</v>
      </c>
      <c r="G222" s="102"/>
      <c r="H222" s="102"/>
      <c r="I222" s="102"/>
      <c r="J222" s="102"/>
      <c r="K222" s="102"/>
      <c r="L222" s="102">
        <f>E222+F222+G222+H222+I222+J222+K222</f>
        <v>238164</v>
      </c>
    </row>
    <row r="223" spans="2:12" ht="17.45" customHeight="1">
      <c r="B223" s="87" t="s">
        <v>1276</v>
      </c>
      <c r="C223" s="1212" t="s">
        <v>1723</v>
      </c>
      <c r="D223" s="4654" t="s">
        <v>196</v>
      </c>
      <c r="E223" s="102"/>
      <c r="F223" s="102"/>
      <c r="G223" s="102"/>
      <c r="H223" s="102"/>
      <c r="I223" s="102"/>
      <c r="J223" s="102">
        <v>10900</v>
      </c>
      <c r="K223" s="102">
        <f>BAZE_2024!G288-I224</f>
        <v>1191033.4529886562</v>
      </c>
      <c r="L223" s="102">
        <f>E223+F223+G223+H223+I223+J223+K223</f>
        <v>1201933.4529886562</v>
      </c>
    </row>
    <row r="224" spans="2:12" ht="17.45" customHeight="1">
      <c r="C224" s="1212" t="s">
        <v>3066</v>
      </c>
      <c r="D224" s="4654" t="s">
        <v>3067</v>
      </c>
      <c r="E224" s="1267"/>
      <c r="F224" s="1267"/>
      <c r="G224" s="1267"/>
      <c r="H224" s="1267"/>
      <c r="I224" s="4673">
        <f>BAZE_2024!G291</f>
        <v>154032</v>
      </c>
      <c r="J224" s="1267"/>
      <c r="K224" s="1267"/>
      <c r="L224" s="102">
        <f>E224+F224+G224+H224+I224+J224+K224</f>
        <v>154032</v>
      </c>
    </row>
    <row r="225" spans="2:12">
      <c r="B225" s="87" t="s">
        <v>1280</v>
      </c>
      <c r="C225" s="1215" t="s">
        <v>1724</v>
      </c>
      <c r="D225" s="4701" t="s">
        <v>1143</v>
      </c>
      <c r="E225" s="116">
        <f>SUM(E226:E228)</f>
        <v>0</v>
      </c>
      <c r="F225" s="116">
        <f t="shared" ref="F225:L225" si="59">SUM(F226:F228)</f>
        <v>152284</v>
      </c>
      <c r="G225" s="116">
        <f t="shared" si="59"/>
        <v>0</v>
      </c>
      <c r="H225" s="116">
        <f t="shared" si="59"/>
        <v>0</v>
      </c>
      <c r="I225" s="116">
        <f t="shared" si="59"/>
        <v>144835</v>
      </c>
      <c r="J225" s="116">
        <f t="shared" si="59"/>
        <v>0</v>
      </c>
      <c r="K225" s="116">
        <f t="shared" si="59"/>
        <v>1154321.1020564402</v>
      </c>
      <c r="L225" s="116">
        <f t="shared" si="59"/>
        <v>1451440.1020564402</v>
      </c>
    </row>
    <row r="226" spans="2:12" s="136" customFormat="1" ht="17.25" customHeight="1">
      <c r="B226" s="1015" t="s">
        <v>1281</v>
      </c>
      <c r="C226" s="1212" t="s">
        <v>1725</v>
      </c>
      <c r="D226" s="4654" t="s">
        <v>596</v>
      </c>
      <c r="E226" s="4655">
        <v>0</v>
      </c>
      <c r="F226" s="4655">
        <f>152284</f>
        <v>152284</v>
      </c>
      <c r="G226" s="109"/>
      <c r="H226" s="109"/>
      <c r="I226" s="109"/>
      <c r="J226" s="109"/>
      <c r="K226" s="109"/>
      <c r="L226" s="102">
        <f>E226+F226+G226+H226+I226+J226+K226</f>
        <v>152284</v>
      </c>
    </row>
    <row r="227" spans="2:12" s="136" customFormat="1" ht="15.6" customHeight="1">
      <c r="C227" s="1212" t="s">
        <v>1726</v>
      </c>
      <c r="D227" s="4654" t="s">
        <v>196</v>
      </c>
      <c r="E227" s="109"/>
      <c r="F227" s="109"/>
      <c r="G227" s="109"/>
      <c r="H227" s="109"/>
      <c r="I227" s="109"/>
      <c r="J227" s="109"/>
      <c r="K227" s="109">
        <f>BAZE_2024!G295-I228</f>
        <v>1154321.1020564402</v>
      </c>
      <c r="L227" s="102">
        <f>E227+F227+G227+H227+I227+J227+K227</f>
        <v>1154321.1020564402</v>
      </c>
    </row>
    <row r="228" spans="2:12" s="136" customFormat="1" ht="13.9" customHeight="1">
      <c r="C228" s="1212" t="s">
        <v>3068</v>
      </c>
      <c r="D228" s="4654" t="s">
        <v>3067</v>
      </c>
      <c r="E228" s="4681"/>
      <c r="F228" s="4681"/>
      <c r="G228" s="4681"/>
      <c r="H228" s="4681"/>
      <c r="I228" s="4673">
        <f>BAZE_2024!G298</f>
        <v>144835</v>
      </c>
      <c r="J228" s="4681"/>
      <c r="K228" s="4681"/>
      <c r="L228" s="102">
        <f>E228+F228+G228+H228+I228+J228+K228</f>
        <v>144835</v>
      </c>
    </row>
    <row r="229" spans="2:12">
      <c r="C229" s="1215" t="s">
        <v>1727</v>
      </c>
      <c r="D229" s="4701" t="s">
        <v>201</v>
      </c>
      <c r="E229" s="116">
        <f t="shared" ref="E229:J229" si="60">(E230+E231+E232)</f>
        <v>0</v>
      </c>
      <c r="F229" s="116">
        <f t="shared" si="60"/>
        <v>77879</v>
      </c>
      <c r="G229" s="116">
        <f t="shared" si="60"/>
        <v>0</v>
      </c>
      <c r="H229" s="116">
        <f t="shared" si="60"/>
        <v>0</v>
      </c>
      <c r="I229" s="116">
        <f>(I230+I231+I232)</f>
        <v>0</v>
      </c>
      <c r="J229" s="116">
        <f t="shared" si="60"/>
        <v>0</v>
      </c>
      <c r="K229" s="116">
        <f>(K230+K231+K232)</f>
        <v>2783810.5</v>
      </c>
      <c r="L229" s="116">
        <f>L230+L231+L232</f>
        <v>2861689.5</v>
      </c>
    </row>
    <row r="230" spans="2:12" s="136" customFormat="1">
      <c r="B230" s="1015" t="s">
        <v>503</v>
      </c>
      <c r="C230" s="1216" t="s">
        <v>1728</v>
      </c>
      <c r="D230" s="4773" t="s">
        <v>202</v>
      </c>
      <c r="E230" s="102"/>
      <c r="F230" s="109">
        <f>44403+33476</f>
        <v>77879</v>
      </c>
      <c r="G230" s="109"/>
      <c r="H230" s="109"/>
      <c r="I230" s="109"/>
      <c r="J230" s="109"/>
      <c r="K230" s="109">
        <f>BAZE_2024!G310</f>
        <v>755440.5</v>
      </c>
      <c r="L230" s="102">
        <f>E230+F230+G230+H230+I230+J230+K230</f>
        <v>833319.5</v>
      </c>
    </row>
    <row r="231" spans="2:12" s="136" customFormat="1" ht="16.149999999999999" customHeight="1">
      <c r="B231" s="1015" t="s">
        <v>499</v>
      </c>
      <c r="C231" s="1216" t="s">
        <v>1729</v>
      </c>
      <c r="D231" s="4773" t="s">
        <v>701</v>
      </c>
      <c r="E231" s="109"/>
      <c r="F231" s="109"/>
      <c r="G231" s="109"/>
      <c r="H231" s="109"/>
      <c r="I231" s="109"/>
      <c r="J231" s="109"/>
      <c r="K231" s="109">
        <f>BAZE_2024!G313</f>
        <v>1865620</v>
      </c>
      <c r="L231" s="102">
        <f>E231+F231+G231+H231+I231+J231+K231</f>
        <v>1865620</v>
      </c>
    </row>
    <row r="232" spans="2:12">
      <c r="B232" s="832" t="s">
        <v>499</v>
      </c>
      <c r="C232" s="1212" t="s">
        <v>1730</v>
      </c>
      <c r="D232" s="4654" t="s">
        <v>203</v>
      </c>
      <c r="E232" s="109"/>
      <c r="F232" s="109"/>
      <c r="G232" s="109"/>
      <c r="H232" s="109"/>
      <c r="I232" s="109"/>
      <c r="J232" s="109"/>
      <c r="K232" s="109">
        <f>BAZE_2024!G314</f>
        <v>162750</v>
      </c>
      <c r="L232" s="102">
        <f>E232+F232+G232+H232+I232+J232+K232</f>
        <v>162750</v>
      </c>
    </row>
    <row r="233" spans="2:12" s="89" customFormat="1" ht="15.75" customHeight="1">
      <c r="C233" s="1215" t="s">
        <v>1731</v>
      </c>
      <c r="D233" s="4701" t="s">
        <v>1138</v>
      </c>
      <c r="E233" s="131">
        <f>E234+E235+E236+E237+E238+E239+E240</f>
        <v>0</v>
      </c>
      <c r="F233" s="131">
        <f t="shared" ref="F233:L233" si="61">F234+F235+F236+F237+F238+F239+F240</f>
        <v>1180262</v>
      </c>
      <c r="G233" s="131">
        <f t="shared" si="61"/>
        <v>15469</v>
      </c>
      <c r="H233" s="131">
        <f t="shared" si="61"/>
        <v>0</v>
      </c>
      <c r="I233" s="131">
        <f t="shared" si="61"/>
        <v>283797</v>
      </c>
      <c r="J233" s="131">
        <f t="shared" si="61"/>
        <v>63010</v>
      </c>
      <c r="K233" s="131">
        <f t="shared" si="61"/>
        <v>596962.47414999991</v>
      </c>
      <c r="L233" s="131">
        <f t="shared" si="61"/>
        <v>2139500.4741500001</v>
      </c>
    </row>
    <row r="234" spans="2:12" s="99" customFormat="1" ht="17.25" customHeight="1">
      <c r="B234" s="834" t="s">
        <v>1283</v>
      </c>
      <c r="C234" s="1212" t="s">
        <v>1732</v>
      </c>
      <c r="D234" s="4654" t="s">
        <v>596</v>
      </c>
      <c r="E234" s="102">
        <v>0</v>
      </c>
      <c r="F234" s="102">
        <f>1070901+56200</f>
        <v>1127101</v>
      </c>
      <c r="G234" s="102"/>
      <c r="H234" s="102"/>
      <c r="I234" s="102"/>
      <c r="J234" s="102"/>
      <c r="K234" s="102"/>
      <c r="L234" s="102">
        <f t="shared" ref="L234:L240" si="62">E234+F234+G234+H234+I234+J234+K234</f>
        <v>1127101</v>
      </c>
    </row>
    <row r="235" spans="2:12" s="99" customFormat="1">
      <c r="B235" s="99" t="s">
        <v>1283</v>
      </c>
      <c r="C235" s="1212" t="s">
        <v>1733</v>
      </c>
      <c r="D235" s="4654" t="s">
        <v>989</v>
      </c>
      <c r="E235" s="102"/>
      <c r="F235" s="102">
        <v>49493</v>
      </c>
      <c r="G235" s="102"/>
      <c r="H235" s="102"/>
      <c r="I235" s="102"/>
      <c r="J235" s="102"/>
      <c r="K235" s="102"/>
      <c r="L235" s="102">
        <f t="shared" si="62"/>
        <v>49493</v>
      </c>
    </row>
    <row r="236" spans="2:12" s="99" customFormat="1" ht="17.25" customHeight="1">
      <c r="B236" s="834" t="s">
        <v>1285</v>
      </c>
      <c r="C236" s="1212" t="s">
        <v>1734</v>
      </c>
      <c r="D236" s="4654" t="s">
        <v>196</v>
      </c>
      <c r="E236" s="102"/>
      <c r="F236" s="102"/>
      <c r="G236" s="102"/>
      <c r="H236" s="102"/>
      <c r="I236" s="102"/>
      <c r="J236" s="102">
        <v>63010</v>
      </c>
      <c r="K236" s="102">
        <f>BAZE_2024!G322-I237</f>
        <v>596962.47414999991</v>
      </c>
      <c r="L236" s="102">
        <f t="shared" si="62"/>
        <v>659972.47414999991</v>
      </c>
    </row>
    <row r="237" spans="2:12" s="99" customFormat="1" ht="16.899999999999999" customHeight="1">
      <c r="B237" s="834"/>
      <c r="C237" s="2116" t="s">
        <v>1735</v>
      </c>
      <c r="D237" s="4654" t="s">
        <v>3067</v>
      </c>
      <c r="E237" s="1267"/>
      <c r="F237" s="1267"/>
      <c r="G237" s="1267"/>
      <c r="H237" s="1267"/>
      <c r="I237" s="4673">
        <f>BAZE_2024!G325</f>
        <v>283797</v>
      </c>
      <c r="J237" s="1267"/>
      <c r="K237" s="1267"/>
      <c r="L237" s="1267">
        <f t="shared" si="62"/>
        <v>283797</v>
      </c>
    </row>
    <row r="238" spans="2:12" s="99" customFormat="1" ht="16.899999999999999" customHeight="1">
      <c r="B238" s="834" t="s">
        <v>1284</v>
      </c>
      <c r="C238" s="1212" t="s">
        <v>1736</v>
      </c>
      <c r="D238" s="4654" t="s">
        <v>877</v>
      </c>
      <c r="E238" s="102">
        <f>E58</f>
        <v>0</v>
      </c>
      <c r="F238" s="102">
        <f>F58</f>
        <v>3668</v>
      </c>
      <c r="G238" s="102"/>
      <c r="H238" s="102"/>
      <c r="I238" s="102"/>
      <c r="J238" s="102"/>
      <c r="K238" s="102"/>
      <c r="L238" s="102">
        <f t="shared" si="62"/>
        <v>3668</v>
      </c>
    </row>
    <row r="239" spans="2:12" s="89" customFormat="1" ht="13.9" customHeight="1">
      <c r="B239" s="832" t="s">
        <v>1858</v>
      </c>
      <c r="C239" s="1212" t="s">
        <v>1737</v>
      </c>
      <c r="D239" s="4654" t="s">
        <v>6269</v>
      </c>
      <c r="E239" s="2058"/>
      <c r="F239" s="2058"/>
      <c r="G239" s="2058">
        <f>3165+12304</f>
        <v>15469</v>
      </c>
      <c r="H239" s="2058"/>
      <c r="I239" s="2058"/>
      <c r="J239" s="2058"/>
      <c r="K239" s="2058"/>
      <c r="L239" s="102">
        <f t="shared" si="62"/>
        <v>15469</v>
      </c>
    </row>
    <row r="240" spans="2:12" s="89" customFormat="1" ht="15" customHeight="1">
      <c r="B240" s="832" t="s">
        <v>1282</v>
      </c>
      <c r="C240" s="1212" t="s">
        <v>1965</v>
      </c>
      <c r="D240" s="4781" t="s">
        <v>1684</v>
      </c>
      <c r="E240" s="1267"/>
      <c r="F240" s="1267"/>
      <c r="G240" s="1267"/>
      <c r="H240" s="1267"/>
      <c r="I240" s="1267"/>
      <c r="J240" s="1267"/>
      <c r="K240" s="1267"/>
      <c r="L240" s="102">
        <f t="shared" si="62"/>
        <v>0</v>
      </c>
    </row>
    <row r="241" spans="2:12" s="99" customFormat="1" ht="15.6" customHeight="1">
      <c r="B241" s="832" t="s">
        <v>2022</v>
      </c>
      <c r="C241" s="1215" t="s">
        <v>3096</v>
      </c>
      <c r="D241" s="4701" t="s">
        <v>1966</v>
      </c>
      <c r="E241" s="131"/>
      <c r="F241" s="131"/>
      <c r="G241" s="131"/>
      <c r="H241" s="131"/>
      <c r="I241" s="131"/>
      <c r="J241" s="131">
        <f>0-SUM(E241:I241)</f>
        <v>0</v>
      </c>
      <c r="K241" s="131"/>
      <c r="L241" s="131">
        <f t="shared" ref="L241:L250" si="63">E241+F241+G241+H241+I241+J241+K241</f>
        <v>0</v>
      </c>
    </row>
    <row r="242" spans="2:12" s="99" customFormat="1" ht="15.75" customHeight="1">
      <c r="B242" s="834"/>
      <c r="C242" s="1215" t="s">
        <v>1738</v>
      </c>
      <c r="D242" s="4701" t="s">
        <v>205</v>
      </c>
      <c r="E242" s="131">
        <f>E243+E244+E245+E246+E247+E248+E249+E250+E251</f>
        <v>130917</v>
      </c>
      <c r="F242" s="131">
        <f t="shared" ref="F242:L242" si="64">F243+F244+F245+F246+F247+F248+F249+F250+F251</f>
        <v>4557199</v>
      </c>
      <c r="G242" s="131">
        <f t="shared" si="64"/>
        <v>135176</v>
      </c>
      <c r="H242" s="131">
        <f t="shared" si="64"/>
        <v>813982</v>
      </c>
      <c r="I242" s="131">
        <f t="shared" si="64"/>
        <v>0</v>
      </c>
      <c r="J242" s="131">
        <f t="shared" si="64"/>
        <v>226335</v>
      </c>
      <c r="K242" s="131">
        <f t="shared" si="64"/>
        <v>2667982.7446570531</v>
      </c>
      <c r="L242" s="131">
        <f t="shared" si="64"/>
        <v>8531591.7446570527</v>
      </c>
    </row>
    <row r="243" spans="2:12" s="99" customFormat="1" ht="17.25" customHeight="1">
      <c r="B243" s="834" t="s">
        <v>1218</v>
      </c>
      <c r="C243" s="1212" t="s">
        <v>1739</v>
      </c>
      <c r="D243" s="4654" t="s">
        <v>596</v>
      </c>
      <c r="E243" s="102">
        <v>0</v>
      </c>
      <c r="F243" s="102">
        <f>4021527+216761</f>
        <v>4238288</v>
      </c>
      <c r="G243" s="102"/>
      <c r="H243" s="102"/>
      <c r="I243" s="102"/>
      <c r="J243" s="102"/>
      <c r="K243" s="102"/>
      <c r="L243" s="102">
        <f t="shared" si="63"/>
        <v>4238288</v>
      </c>
    </row>
    <row r="244" spans="2:12" s="99" customFormat="1" ht="18" customHeight="1">
      <c r="B244" s="834" t="s">
        <v>500</v>
      </c>
      <c r="C244" s="1212" t="s">
        <v>1740</v>
      </c>
      <c r="D244" s="4654" t="s">
        <v>196</v>
      </c>
      <c r="E244" s="102"/>
      <c r="F244" s="102"/>
      <c r="G244" s="102"/>
      <c r="H244" s="102"/>
      <c r="I244" s="102"/>
      <c r="J244" s="102">
        <f>17820+118000</f>
        <v>135820</v>
      </c>
      <c r="K244" s="102">
        <f>BAZE_2024!G334</f>
        <v>1291398.8621271863</v>
      </c>
      <c r="L244" s="102">
        <f t="shared" si="63"/>
        <v>1427218.8621271863</v>
      </c>
    </row>
    <row r="245" spans="2:12" s="99" customFormat="1" ht="17.45" customHeight="1">
      <c r="B245" s="99" t="s">
        <v>1219</v>
      </c>
      <c r="C245" s="1212" t="s">
        <v>1741</v>
      </c>
      <c r="D245" s="4654" t="s">
        <v>595</v>
      </c>
      <c r="E245" s="102">
        <f>E84</f>
        <v>130917</v>
      </c>
      <c r="F245" s="102"/>
      <c r="G245" s="102">
        <f>G84-G239</f>
        <v>135176</v>
      </c>
      <c r="H245" s="102"/>
      <c r="I245" s="102"/>
      <c r="J245" s="102"/>
      <c r="K245" s="102"/>
      <c r="L245" s="102">
        <f t="shared" si="63"/>
        <v>266093</v>
      </c>
    </row>
    <row r="246" spans="2:12" s="99" customFormat="1" ht="16.149999999999999" customHeight="1">
      <c r="B246" s="834" t="s">
        <v>1018</v>
      </c>
      <c r="C246" s="1212" t="s">
        <v>1742</v>
      </c>
      <c r="D246" s="4654" t="s">
        <v>877</v>
      </c>
      <c r="E246" s="102">
        <f>E57</f>
        <v>0</v>
      </c>
      <c r="F246" s="102">
        <f>F57</f>
        <v>14485</v>
      </c>
      <c r="G246" s="102"/>
      <c r="H246" s="102"/>
      <c r="I246" s="102"/>
      <c r="J246" s="102"/>
      <c r="K246" s="102"/>
      <c r="L246" s="102">
        <f t="shared" si="63"/>
        <v>14485</v>
      </c>
    </row>
    <row r="247" spans="2:12" s="90" customFormat="1" ht="42.6" customHeight="1">
      <c r="B247" s="834" t="s">
        <v>500</v>
      </c>
      <c r="C247" s="1212" t="s">
        <v>1743</v>
      </c>
      <c r="D247" s="4654" t="s">
        <v>2920</v>
      </c>
      <c r="E247" s="102"/>
      <c r="F247" s="102"/>
      <c r="G247" s="102"/>
      <c r="H247" s="102">
        <f>H115</f>
        <v>30982</v>
      </c>
      <c r="I247" s="102"/>
      <c r="J247" s="102">
        <f>34497-SUM(E247:I247)</f>
        <v>3515</v>
      </c>
      <c r="K247" s="102"/>
      <c r="L247" s="102">
        <f t="shared" si="63"/>
        <v>34497</v>
      </c>
    </row>
    <row r="248" spans="2:12" s="90" customFormat="1" ht="56.45" customHeight="1">
      <c r="B248" s="834" t="s">
        <v>500</v>
      </c>
      <c r="C248" s="4713" t="s">
        <v>1744</v>
      </c>
      <c r="D248" s="4714" t="s">
        <v>5115</v>
      </c>
      <c r="E248" s="2299"/>
      <c r="F248" s="2299"/>
      <c r="G248" s="2299"/>
      <c r="H248" s="2299">
        <f>H116</f>
        <v>783000</v>
      </c>
      <c r="I248" s="2299"/>
      <c r="J248" s="102">
        <f>870000-SUM(E248:I248)</f>
        <v>87000</v>
      </c>
      <c r="K248" s="2299"/>
      <c r="L248" s="102">
        <f t="shared" si="63"/>
        <v>870000</v>
      </c>
    </row>
    <row r="249" spans="2:12" s="90" customFormat="1" ht="19.149999999999999" customHeight="1">
      <c r="B249" s="833" t="s">
        <v>673</v>
      </c>
      <c r="C249" s="1212" t="s">
        <v>1745</v>
      </c>
      <c r="D249" s="4654" t="s">
        <v>876</v>
      </c>
      <c r="E249" s="102"/>
      <c r="F249" s="102"/>
      <c r="G249" s="102"/>
      <c r="H249" s="102"/>
      <c r="I249" s="102"/>
      <c r="J249" s="102"/>
      <c r="K249" s="102">
        <f>BAZE_2024!G315</f>
        <v>1006133.6654766668</v>
      </c>
      <c r="L249" s="102">
        <f t="shared" si="63"/>
        <v>1006133.6654766668</v>
      </c>
    </row>
    <row r="250" spans="2:12" s="90" customFormat="1" ht="15" customHeight="1">
      <c r="B250" s="834" t="s">
        <v>1218</v>
      </c>
      <c r="C250" s="1212" t="s">
        <v>1746</v>
      </c>
      <c r="D250" s="4654" t="s">
        <v>990</v>
      </c>
      <c r="E250" s="102"/>
      <c r="F250" s="102">
        <v>166307</v>
      </c>
      <c r="G250" s="102"/>
      <c r="H250" s="102"/>
      <c r="I250" s="102"/>
      <c r="J250" s="102"/>
      <c r="K250" s="102"/>
      <c r="L250" s="102">
        <f t="shared" si="63"/>
        <v>166307</v>
      </c>
    </row>
    <row r="251" spans="2:12" s="1219" customFormat="1" ht="13.9" customHeight="1">
      <c r="B251" s="833"/>
      <c r="C251" s="1220" t="s">
        <v>6261</v>
      </c>
      <c r="D251" s="4779" t="s">
        <v>1092</v>
      </c>
      <c r="E251" s="2051">
        <f>E252+E253</f>
        <v>0</v>
      </c>
      <c r="F251" s="2051">
        <f t="shared" ref="F251:L251" si="65">F252+F253</f>
        <v>138119</v>
      </c>
      <c r="G251" s="2051">
        <f t="shared" si="65"/>
        <v>0</v>
      </c>
      <c r="H251" s="2051">
        <f t="shared" si="65"/>
        <v>0</v>
      </c>
      <c r="I251" s="2051">
        <f t="shared" si="65"/>
        <v>0</v>
      </c>
      <c r="J251" s="2051">
        <f t="shared" si="65"/>
        <v>0</v>
      </c>
      <c r="K251" s="2051">
        <f t="shared" si="65"/>
        <v>370450.2170532</v>
      </c>
      <c r="L251" s="2051">
        <f t="shared" si="65"/>
        <v>508569.2170532</v>
      </c>
    </row>
    <row r="252" spans="2:12" s="90" customFormat="1" ht="12" customHeight="1">
      <c r="B252" s="832" t="s">
        <v>1217</v>
      </c>
      <c r="C252" s="1217" t="s">
        <v>6262</v>
      </c>
      <c r="D252" s="4654" t="s">
        <v>1182</v>
      </c>
      <c r="E252" s="452"/>
      <c r="F252" s="4655">
        <f>138119</f>
        <v>138119</v>
      </c>
      <c r="G252" s="452"/>
      <c r="H252" s="452"/>
      <c r="I252" s="452"/>
      <c r="J252" s="452"/>
      <c r="K252" s="452"/>
      <c r="L252" s="102">
        <f>E252+F252+G252+H252+I252+J252+K252</f>
        <v>138119</v>
      </c>
    </row>
    <row r="253" spans="2:12" s="89" customFormat="1" ht="12.6" customHeight="1">
      <c r="B253" s="833" t="s">
        <v>1071</v>
      </c>
      <c r="C253" s="1217" t="s">
        <v>6263</v>
      </c>
      <c r="D253" s="4654" t="s">
        <v>1093</v>
      </c>
      <c r="E253" s="102"/>
      <c r="F253" s="102"/>
      <c r="G253" s="102"/>
      <c r="H253" s="102"/>
      <c r="I253" s="102"/>
      <c r="J253" s="102"/>
      <c r="K253" s="102">
        <f>BAZE_2024!G302</f>
        <v>370450.2170532</v>
      </c>
      <c r="L253" s="102">
        <f>E253+F253+G253+H253+I253+J253+K253</f>
        <v>370450.2170532</v>
      </c>
    </row>
    <row r="254" spans="2:12" ht="18" customHeight="1">
      <c r="C254" s="1215" t="s">
        <v>1747</v>
      </c>
      <c r="D254" s="4701" t="s">
        <v>3006</v>
      </c>
      <c r="E254" s="131">
        <f>E255+E256</f>
        <v>0</v>
      </c>
      <c r="F254" s="131">
        <f t="shared" ref="F254:L254" si="66">F255+F256</f>
        <v>651116.61239999998</v>
      </c>
      <c r="G254" s="131">
        <f t="shared" si="66"/>
        <v>0</v>
      </c>
      <c r="H254" s="131">
        <f t="shared" si="66"/>
        <v>0</v>
      </c>
      <c r="I254" s="131">
        <f t="shared" si="66"/>
        <v>0</v>
      </c>
      <c r="J254" s="131">
        <f t="shared" si="66"/>
        <v>9000</v>
      </c>
      <c r="K254" s="131">
        <f t="shared" si="66"/>
        <v>987089.57675100002</v>
      </c>
      <c r="L254" s="131">
        <f t="shared" si="66"/>
        <v>1647206.189151</v>
      </c>
    </row>
    <row r="255" spans="2:12" ht="13.5" customHeight="1">
      <c r="C255" s="1212" t="s">
        <v>1748</v>
      </c>
      <c r="D255" s="4654" t="s">
        <v>194</v>
      </c>
      <c r="E255" s="102">
        <f>E46</f>
        <v>0</v>
      </c>
      <c r="F255" s="4655">
        <f>F46</f>
        <v>651116.61239999998</v>
      </c>
      <c r="G255" s="102"/>
      <c r="H255" s="102"/>
      <c r="I255" s="102"/>
      <c r="J255" s="102"/>
      <c r="K255" s="102"/>
      <c r="L255" s="102">
        <f>E255+F255+G255+H255+I255+J255+K255</f>
        <v>651116.61239999998</v>
      </c>
    </row>
    <row r="256" spans="2:12" ht="28.9" customHeight="1">
      <c r="C256" s="1212" t="s">
        <v>1749</v>
      </c>
      <c r="D256" s="4654" t="s">
        <v>196</v>
      </c>
      <c r="E256" s="102"/>
      <c r="F256" s="102"/>
      <c r="G256" s="102"/>
      <c r="H256" s="102"/>
      <c r="I256" s="102"/>
      <c r="J256" s="102">
        <v>9000</v>
      </c>
      <c r="K256" s="102">
        <f>BAZE_2024!G344</f>
        <v>987089.57675100002</v>
      </c>
      <c r="L256" s="102">
        <f>E256+F256+G256+H256+I256+J256+K256</f>
        <v>996089.57675100002</v>
      </c>
    </row>
    <row r="257" spans="2:12" ht="16.149999999999999" customHeight="1">
      <c r="C257" s="1218" t="s">
        <v>1750</v>
      </c>
      <c r="D257" s="4701" t="s">
        <v>208</v>
      </c>
      <c r="E257" s="131">
        <f t="shared" ref="E257:L257" si="67">E258+E259</f>
        <v>0</v>
      </c>
      <c r="F257" s="131">
        <f t="shared" si="67"/>
        <v>314605.76040000003</v>
      </c>
      <c r="G257" s="131">
        <f t="shared" si="67"/>
        <v>0</v>
      </c>
      <c r="H257" s="131">
        <f t="shared" si="67"/>
        <v>0</v>
      </c>
      <c r="I257" s="131">
        <f>I258+I259</f>
        <v>0</v>
      </c>
      <c r="J257" s="131">
        <f t="shared" si="67"/>
        <v>0</v>
      </c>
      <c r="K257" s="131">
        <f t="shared" si="67"/>
        <v>391971.94149168005</v>
      </c>
      <c r="L257" s="131">
        <f t="shared" si="67"/>
        <v>706577.70189168002</v>
      </c>
    </row>
    <row r="258" spans="2:12" ht="16.5" customHeight="1">
      <c r="B258" s="832" t="s">
        <v>1856</v>
      </c>
      <c r="C258" s="1212" t="s">
        <v>1751</v>
      </c>
      <c r="D258" s="4654" t="s">
        <v>194</v>
      </c>
      <c r="E258" s="4655">
        <f>E47</f>
        <v>0</v>
      </c>
      <c r="F258" s="4655">
        <f>F47</f>
        <v>314605.76040000003</v>
      </c>
      <c r="G258" s="102"/>
      <c r="H258" s="102"/>
      <c r="I258" s="102"/>
      <c r="J258" s="102"/>
      <c r="K258" s="102"/>
      <c r="L258" s="102">
        <f t="shared" ref="L258:L264" si="68">E258+F258+G258+H258+I258+J258+K258</f>
        <v>314605.76040000003</v>
      </c>
    </row>
    <row r="259" spans="2:12" ht="16.5" customHeight="1">
      <c r="B259" s="832" t="s">
        <v>502</v>
      </c>
      <c r="C259" s="1212" t="s">
        <v>1752</v>
      </c>
      <c r="D259" s="4654" t="s">
        <v>517</v>
      </c>
      <c r="E259" s="102"/>
      <c r="F259" s="102"/>
      <c r="G259" s="102"/>
      <c r="H259" s="102"/>
      <c r="I259" s="102"/>
      <c r="J259" s="102"/>
      <c r="K259" s="102">
        <f>BAZE_2024!G352</f>
        <v>391971.94149168005</v>
      </c>
      <c r="L259" s="102">
        <f t="shared" si="68"/>
        <v>391971.94149168005</v>
      </c>
    </row>
    <row r="260" spans="2:12" ht="19.899999999999999" customHeight="1">
      <c r="B260" s="832" t="s">
        <v>562</v>
      </c>
      <c r="C260" s="1218" t="s">
        <v>1753</v>
      </c>
      <c r="D260" s="4701" t="s">
        <v>3267</v>
      </c>
      <c r="E260" s="404"/>
      <c r="F260" s="404">
        <v>17640</v>
      </c>
      <c r="G260" s="404"/>
      <c r="H260" s="404"/>
      <c r="I260" s="404"/>
      <c r="J260" s="404">
        <f>77021+65541+8200-SUM(E260:I260)-J261</f>
        <v>130122</v>
      </c>
      <c r="K260" s="116">
        <f>BAZE_2024!G358+BAZE_2024!G364</f>
        <v>334629.24160460004</v>
      </c>
      <c r="L260" s="116">
        <f t="shared" si="68"/>
        <v>482391.24160460004</v>
      </c>
    </row>
    <row r="261" spans="2:12" ht="18" customHeight="1">
      <c r="B261" s="832"/>
      <c r="C261" s="1218" t="s">
        <v>1754</v>
      </c>
      <c r="D261" s="4701" t="s">
        <v>3261</v>
      </c>
      <c r="E261" s="4682"/>
      <c r="F261" s="4682"/>
      <c r="G261" s="4682"/>
      <c r="H261" s="4682"/>
      <c r="I261" s="4682"/>
      <c r="J261" s="4682">
        <v>3000</v>
      </c>
      <c r="K261" s="1276"/>
      <c r="L261" s="116">
        <f t="shared" si="68"/>
        <v>3000</v>
      </c>
    </row>
    <row r="262" spans="2:12" ht="31.9" customHeight="1">
      <c r="B262" s="832" t="s">
        <v>1289</v>
      </c>
      <c r="C262" s="1218" t="s">
        <v>1755</v>
      </c>
      <c r="D262" s="4701" t="s">
        <v>6264</v>
      </c>
      <c r="E262" s="4683">
        <f>E82</f>
        <v>17962</v>
      </c>
      <c r="F262" s="4683"/>
      <c r="G262" s="4683"/>
      <c r="H262" s="4683"/>
      <c r="I262" s="4683"/>
      <c r="J262" s="4683"/>
      <c r="K262" s="4683"/>
      <c r="L262" s="116">
        <f t="shared" si="68"/>
        <v>17962</v>
      </c>
    </row>
    <row r="263" spans="2:12" ht="27" customHeight="1">
      <c r="B263" s="832" t="s">
        <v>1288</v>
      </c>
      <c r="C263" s="1218" t="s">
        <v>1756</v>
      </c>
      <c r="D263" s="4701" t="s">
        <v>1151</v>
      </c>
      <c r="E263" s="4683">
        <v>0</v>
      </c>
      <c r="F263" s="4683"/>
      <c r="G263" s="4683"/>
      <c r="H263" s="4683"/>
      <c r="I263" s="4683"/>
      <c r="J263" s="4683">
        <f>1049-SUM(E263:I263)</f>
        <v>1049</v>
      </c>
      <c r="K263" s="4683"/>
      <c r="L263" s="116">
        <f t="shared" si="68"/>
        <v>1049</v>
      </c>
    </row>
    <row r="264" spans="2:12" ht="57.6" customHeight="1">
      <c r="B264" s="832" t="s">
        <v>1846</v>
      </c>
      <c r="C264" s="1218" t="s">
        <v>1757</v>
      </c>
      <c r="D264" s="4717" t="s">
        <v>2979</v>
      </c>
      <c r="E264" s="4682">
        <f>E63</f>
        <v>700</v>
      </c>
      <c r="F264" s="4682"/>
      <c r="G264" s="4682"/>
      <c r="H264" s="4682"/>
      <c r="I264" s="4682"/>
      <c r="J264" s="4682">
        <f>765-SUM(E264:I264)</f>
        <v>65</v>
      </c>
      <c r="K264" s="4682"/>
      <c r="L264" s="116">
        <f t="shared" si="68"/>
        <v>765</v>
      </c>
    </row>
    <row r="265" spans="2:12" ht="30.6" customHeight="1">
      <c r="B265" s="832"/>
      <c r="C265" s="1215" t="s">
        <v>1758</v>
      </c>
      <c r="D265" s="4701" t="s">
        <v>6260</v>
      </c>
      <c r="E265" s="404"/>
      <c r="F265" s="404"/>
      <c r="G265" s="4648"/>
      <c r="H265" s="404">
        <f>H113</f>
        <v>541742</v>
      </c>
      <c r="I265" s="404">
        <f>I266+I267</f>
        <v>0</v>
      </c>
      <c r="J265" s="404">
        <f>637343-SUM(E265:I265)</f>
        <v>95601</v>
      </c>
      <c r="K265" s="404"/>
      <c r="L265" s="404">
        <f>E265+F265+G265+H265+I265+J265+K265</f>
        <v>637343</v>
      </c>
    </row>
    <row r="266" spans="2:12" ht="27" customHeight="1">
      <c r="C266" s="1215" t="s">
        <v>6257</v>
      </c>
      <c r="D266" s="4701" t="s">
        <v>697</v>
      </c>
      <c r="E266" s="404">
        <f>E267+E268</f>
        <v>15746</v>
      </c>
      <c r="F266" s="404">
        <f t="shared" ref="F266:L266" si="69">F267+F268</f>
        <v>0</v>
      </c>
      <c r="G266" s="404">
        <f t="shared" si="69"/>
        <v>0</v>
      </c>
      <c r="H266" s="404">
        <f t="shared" si="69"/>
        <v>0</v>
      </c>
      <c r="I266" s="404">
        <f>I267+I268</f>
        <v>0</v>
      </c>
      <c r="J266" s="404">
        <f t="shared" si="69"/>
        <v>0</v>
      </c>
      <c r="K266" s="404">
        <f t="shared" si="69"/>
        <v>0</v>
      </c>
      <c r="L266" s="404">
        <f t="shared" si="69"/>
        <v>15746</v>
      </c>
    </row>
    <row r="267" spans="2:12" ht="14.45" customHeight="1">
      <c r="B267" s="832" t="s">
        <v>768</v>
      </c>
      <c r="C267" s="132" t="s">
        <v>6258</v>
      </c>
      <c r="D267" s="122" t="s">
        <v>1173</v>
      </c>
      <c r="E267" s="452">
        <f>E79</f>
        <v>15746</v>
      </c>
      <c r="F267" s="452"/>
      <c r="G267" s="452"/>
      <c r="H267" s="452"/>
      <c r="I267" s="452"/>
      <c r="J267" s="452"/>
      <c r="K267" s="452"/>
      <c r="L267" s="452">
        <f>E267+F267+G267+H267+I267+J267+K267</f>
        <v>15746</v>
      </c>
    </row>
    <row r="268" spans="2:12" s="89" customFormat="1" ht="15" customHeight="1" thickBot="1">
      <c r="B268" s="832" t="s">
        <v>1244</v>
      </c>
      <c r="C268" s="132" t="s">
        <v>6259</v>
      </c>
      <c r="D268" s="122" t="s">
        <v>1140</v>
      </c>
      <c r="E268" s="452"/>
      <c r="F268" s="452"/>
      <c r="G268" s="452"/>
      <c r="H268" s="452"/>
      <c r="I268" s="452"/>
      <c r="J268" s="452"/>
      <c r="K268" s="452"/>
      <c r="L268" s="452">
        <f>E268+F268+G268+H268+I268+J268+K268</f>
        <v>0</v>
      </c>
    </row>
    <row r="269" spans="2:12" s="89" customFormat="1" ht="17.45" hidden="1" customHeight="1" outlineLevel="1" thickBot="1">
      <c r="C269" s="1211" t="s">
        <v>2970</v>
      </c>
      <c r="D269" s="4637" t="s">
        <v>210</v>
      </c>
      <c r="E269" s="106">
        <f t="shared" ref="E269:L269" si="70">SUM(E270:E271)</f>
        <v>0</v>
      </c>
      <c r="F269" s="106">
        <f t="shared" si="70"/>
        <v>0</v>
      </c>
      <c r="G269" s="2567">
        <f t="shared" si="70"/>
        <v>0</v>
      </c>
      <c r="H269" s="2567">
        <f t="shared" si="70"/>
        <v>0</v>
      </c>
      <c r="I269" s="106">
        <f>SUM(I270:I271)</f>
        <v>0</v>
      </c>
      <c r="J269" s="2567">
        <f t="shared" si="70"/>
        <v>0</v>
      </c>
      <c r="K269" s="106">
        <f t="shared" si="70"/>
        <v>0</v>
      </c>
      <c r="L269" s="2567">
        <f t="shared" si="70"/>
        <v>0</v>
      </c>
    </row>
    <row r="270" spans="2:12" ht="17.25" hidden="1" customHeight="1" outlineLevel="1" thickBot="1">
      <c r="C270" s="1210" t="s">
        <v>93</v>
      </c>
      <c r="D270" s="4636" t="s">
        <v>211</v>
      </c>
      <c r="E270" s="116"/>
      <c r="F270" s="116"/>
      <c r="G270" s="2568"/>
      <c r="H270" s="2568"/>
      <c r="I270" s="116"/>
      <c r="J270" s="4645"/>
      <c r="K270" s="116"/>
      <c r="L270" s="2568">
        <f>E270+F270+G270+H270+I270+J270+K270</f>
        <v>0</v>
      </c>
    </row>
    <row r="271" spans="2:12" ht="15.75" hidden="1" outlineLevel="1" thickBot="1">
      <c r="C271" s="1210" t="s">
        <v>96</v>
      </c>
      <c r="D271" s="4636" t="s">
        <v>212</v>
      </c>
      <c r="E271" s="116"/>
      <c r="F271" s="116"/>
      <c r="G271" s="2568"/>
      <c r="H271" s="2568"/>
      <c r="I271" s="116"/>
      <c r="J271" s="2568"/>
      <c r="K271" s="116"/>
      <c r="L271" s="2568">
        <f>E271+F271+G271+H271+I271+J271+K271</f>
        <v>0</v>
      </c>
    </row>
    <row r="272" spans="2:12" s="89" customFormat="1" ht="30" customHeight="1" collapsed="1" thickBot="1">
      <c r="C272" s="139"/>
      <c r="D272" s="4791" t="s">
        <v>213</v>
      </c>
      <c r="E272" s="140">
        <f t="shared" ref="E272:L272" si="71">E124+E134+E136+E137+E142+E144+E181+E194+E213+E269</f>
        <v>2707710.83</v>
      </c>
      <c r="F272" s="140">
        <f t="shared" si="71"/>
        <v>9063696.3728</v>
      </c>
      <c r="G272" s="140">
        <f t="shared" si="71"/>
        <v>1170437</v>
      </c>
      <c r="H272" s="140">
        <f t="shared" si="71"/>
        <v>1873161</v>
      </c>
      <c r="I272" s="140">
        <f t="shared" si="71"/>
        <v>6904503.2470302833</v>
      </c>
      <c r="J272" s="140">
        <f t="shared" si="71"/>
        <v>4364953</v>
      </c>
      <c r="K272" s="140">
        <f t="shared" si="71"/>
        <v>32233361.782384261</v>
      </c>
      <c r="L272" s="140">
        <f t="shared" si="71"/>
        <v>58317823.23221454</v>
      </c>
    </row>
    <row r="273" spans="3:12" s="99" customFormat="1" ht="15.75" customHeight="1" thickBot="1">
      <c r="C273" s="1211" t="s">
        <v>114</v>
      </c>
      <c r="D273" s="4689" t="s">
        <v>214</v>
      </c>
      <c r="E273" s="106"/>
      <c r="F273" s="106"/>
      <c r="G273" s="106"/>
      <c r="H273" s="106"/>
      <c r="I273" s="106"/>
      <c r="J273" s="106">
        <f>3486155-SUM(E273:I273)</f>
        <v>3486155</v>
      </c>
      <c r="K273" s="106"/>
      <c r="L273" s="106">
        <f>E273+F273+G273+H273+J273+K273</f>
        <v>3486155</v>
      </c>
    </row>
    <row r="274" spans="3:12" ht="15.75" thickBot="1">
      <c r="C274" s="139"/>
      <c r="D274" s="4791" t="s">
        <v>215</v>
      </c>
      <c r="E274" s="141">
        <f>E272+E273</f>
        <v>2707710.83</v>
      </c>
      <c r="F274" s="141">
        <f t="shared" ref="F274:L274" si="72">F272+F273</f>
        <v>9063696.3728</v>
      </c>
      <c r="G274" s="141">
        <f t="shared" si="72"/>
        <v>1170437</v>
      </c>
      <c r="H274" s="141">
        <f>H272+H273</f>
        <v>1873161</v>
      </c>
      <c r="I274" s="141">
        <f>I272+I273</f>
        <v>6904503.2470302833</v>
      </c>
      <c r="J274" s="141">
        <f t="shared" si="72"/>
        <v>7851108</v>
      </c>
      <c r="K274" s="141">
        <f t="shared" si="72"/>
        <v>32233361.782384261</v>
      </c>
      <c r="L274" s="141">
        <f t="shared" si="72"/>
        <v>61803978.23221454</v>
      </c>
    </row>
    <row r="275" spans="3:12" ht="16.5" thickTop="1" thickBot="1">
      <c r="C275" s="142" t="s">
        <v>216</v>
      </c>
      <c r="D275" s="4792" t="s">
        <v>217</v>
      </c>
      <c r="E275" s="143">
        <f t="shared" ref="E275:L275" si="73">E118-E274</f>
        <v>0</v>
      </c>
      <c r="F275" s="143">
        <f t="shared" si="73"/>
        <v>0</v>
      </c>
      <c r="G275" s="143">
        <f t="shared" si="73"/>
        <v>0</v>
      </c>
      <c r="H275" s="143">
        <f t="shared" si="73"/>
        <v>0</v>
      </c>
      <c r="I275" s="143">
        <f t="shared" si="73"/>
        <v>-5230466.2470302833</v>
      </c>
      <c r="J275" s="143">
        <f t="shared" si="73"/>
        <v>-7851108</v>
      </c>
      <c r="K275" s="143">
        <f t="shared" si="73"/>
        <v>6772670.8276157379</v>
      </c>
      <c r="L275" s="143">
        <f t="shared" si="73"/>
        <v>-0.41941454261541367</v>
      </c>
    </row>
  </sheetData>
  <mergeCells count="4">
    <mergeCell ref="C121:D121"/>
    <mergeCell ref="C122:D122"/>
    <mergeCell ref="C2:D2"/>
    <mergeCell ref="C3:D3"/>
  </mergeCells>
  <phoneticPr fontId="72" type="noConversion"/>
  <conditionalFormatting sqref="E275:L275">
    <cfRule type="cellIs" dxfId="0" priority="15" operator="lessThan">
      <formula>0</formula>
    </cfRule>
  </conditionalFormatting>
  <pageMargins left="0.47244094488188981" right="0.47244094488188981" top="0.47244094488188981" bottom="0.47244094488188981" header="0.27559055118110237" footer="0.27559055118110237"/>
  <pageSetup paperSize="9" scale="51"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42116-1284-4327-9197-CB300D0AC18A}">
  <sheetPr codeName="Sheet5">
    <tabColor rgb="FF0FA8C1"/>
  </sheetPr>
  <dimension ref="A4:H88"/>
  <sheetViews>
    <sheetView workbookViewId="0">
      <selection activeCell="D11" sqref="D11"/>
    </sheetView>
  </sheetViews>
  <sheetFormatPr defaultRowHeight="12"/>
  <cols>
    <col min="2" max="2" width="21" customWidth="1"/>
    <col min="3" max="4" width="14.42578125" customWidth="1"/>
    <col min="5" max="5" width="14.85546875" bestFit="1" customWidth="1"/>
    <col min="6" max="6" width="16.140625" customWidth="1"/>
    <col min="7" max="7" width="16.42578125" bestFit="1" customWidth="1"/>
    <col min="8" max="8" width="15.28515625" customWidth="1"/>
  </cols>
  <sheetData>
    <row r="4" spans="2:6">
      <c r="C4">
        <v>2023</v>
      </c>
      <c r="D4">
        <v>2024</v>
      </c>
      <c r="E4">
        <v>2023</v>
      </c>
      <c r="F4">
        <v>2024</v>
      </c>
    </row>
    <row r="5" spans="2:6">
      <c r="B5" t="s">
        <v>663</v>
      </c>
      <c r="C5" s="227">
        <f>BAZE_2024!F47</f>
        <v>14846493.156486504</v>
      </c>
      <c r="D5" s="227">
        <f>BAZE_2024!G47</f>
        <v>16952903.919833388</v>
      </c>
      <c r="E5" s="156">
        <f t="shared" ref="E5:E10" si="0">C5/$C$11</f>
        <v>0.39307006158156343</v>
      </c>
      <c r="F5" s="156">
        <f t="shared" ref="F5:F10" si="1">D5/$D$11</f>
        <v>0.39773123014052414</v>
      </c>
    </row>
    <row r="6" spans="2:6">
      <c r="B6" t="s">
        <v>1248</v>
      </c>
      <c r="C6" s="227">
        <f>SUM(BAZE_2024!F48,BAZE_2024!F49,BAZE_2024!F50)</f>
        <v>12774449.776825</v>
      </c>
      <c r="D6" s="227">
        <f>SUM(BAZE_2024!G48,BAZE_2024!G49,BAZE_2024!G50)</f>
        <v>12455882.109581159</v>
      </c>
      <c r="E6" s="156">
        <f t="shared" si="0"/>
        <v>0.33821143535524967</v>
      </c>
      <c r="F6" s="156">
        <f t="shared" si="1"/>
        <v>0.29222682658710836</v>
      </c>
    </row>
    <row r="7" spans="2:6">
      <c r="B7" t="s">
        <v>1647</v>
      </c>
      <c r="C7" s="227">
        <f>BAZE_2024!F51</f>
        <v>1224463.3380284801</v>
      </c>
      <c r="D7" s="227">
        <f>BAZE_2024!G51</f>
        <v>2229302</v>
      </c>
      <c r="E7" s="156">
        <f t="shared" si="0"/>
        <v>3.2418421953937265E-2</v>
      </c>
      <c r="F7" s="156">
        <f t="shared" si="1"/>
        <v>5.2301542615210243E-2</v>
      </c>
    </row>
    <row r="8" spans="2:6">
      <c r="B8" t="s">
        <v>164</v>
      </c>
      <c r="C8" s="227">
        <f>BAZE_2024!F52</f>
        <v>4428486</v>
      </c>
      <c r="D8" s="227">
        <f>BAZE_2024!G52</f>
        <v>6416104</v>
      </c>
      <c r="E8" s="156">
        <f t="shared" si="0"/>
        <v>0.11724689772766771</v>
      </c>
      <c r="F8" s="156">
        <f t="shared" si="1"/>
        <v>0.15052789473100589</v>
      </c>
    </row>
    <row r="9" spans="2:6">
      <c r="B9" t="s">
        <v>531</v>
      </c>
      <c r="C9" s="1980">
        <f>BAZE_2024!F53</f>
        <v>894820.36</v>
      </c>
      <c r="D9" s="1980">
        <f>BAZE_2024!G53</f>
        <v>1083673</v>
      </c>
      <c r="E9" s="2079">
        <f t="shared" si="0"/>
        <v>2.3690920832436818E-2</v>
      </c>
      <c r="F9" s="2079">
        <f t="shared" si="1"/>
        <v>2.5423998000474016E-2</v>
      </c>
    </row>
    <row r="10" spans="2:6">
      <c r="B10" t="s">
        <v>6061</v>
      </c>
      <c r="C10" s="4337">
        <f>BAZE_2024!F372</f>
        <v>3601890.1379218102</v>
      </c>
      <c r="D10" s="4337">
        <f>BAZE_2024!G372</f>
        <v>3486155</v>
      </c>
      <c r="E10" s="2079">
        <f t="shared" si="0"/>
        <v>9.5362262549145108E-2</v>
      </c>
      <c r="F10" s="2079">
        <f t="shared" si="1"/>
        <v>8.1788507925677309E-2</v>
      </c>
    </row>
    <row r="11" spans="2:6">
      <c r="B11" t="s">
        <v>219</v>
      </c>
      <c r="C11" s="227">
        <f>SUM(C5:C10)</f>
        <v>37770602.769261792</v>
      </c>
      <c r="D11" s="227">
        <f>SUM(D5:D10)</f>
        <v>42624020.029414549</v>
      </c>
      <c r="E11" s="2009">
        <f>SUM(E5:E10)</f>
        <v>1</v>
      </c>
      <c r="F11" s="2009">
        <f>SUM(F5:F10)</f>
        <v>0.99999999999999989</v>
      </c>
    </row>
    <row r="13" spans="2:6">
      <c r="B13" s="79"/>
      <c r="C13" s="227">
        <f>SUM(C5:C9)</f>
        <v>34168712.631339982</v>
      </c>
      <c r="D13" s="227">
        <f>SUM(D5:D9)</f>
        <v>39137865.029414549</v>
      </c>
    </row>
    <row r="15" spans="2:6">
      <c r="F15" s="4458"/>
    </row>
    <row r="24" spans="2:8">
      <c r="C24" t="s">
        <v>1248</v>
      </c>
      <c r="D24" t="s">
        <v>3034</v>
      </c>
      <c r="E24" t="s">
        <v>1434</v>
      </c>
      <c r="F24" t="s">
        <v>511</v>
      </c>
      <c r="G24" t="s">
        <v>3</v>
      </c>
      <c r="H24" t="s">
        <v>3041</v>
      </c>
    </row>
    <row r="25" spans="2:8">
      <c r="B25" t="s">
        <v>3040</v>
      </c>
      <c r="C25" s="2081"/>
      <c r="D25" s="2081">
        <f>IF(F25&lt;0,-F25,0)</f>
        <v>0</v>
      </c>
      <c r="E25" s="2081">
        <f t="shared" ref="E25:E30" si="2">IF(F25&gt;0,F25,0)</f>
        <v>34168712.631339982</v>
      </c>
      <c r="F25" s="2081">
        <f>C39</f>
        <v>34168712.631339982</v>
      </c>
      <c r="H25" t="str">
        <f>TEXT(F25,"# ###")</f>
        <v>34 168 713</v>
      </c>
    </row>
    <row r="26" spans="2:8">
      <c r="B26" t="s">
        <v>663</v>
      </c>
      <c r="C26" s="2081">
        <f t="shared" ref="C26:C31" si="3">C25+E25-D26</f>
        <v>34168712.631339982</v>
      </c>
      <c r="D26" s="2081">
        <f t="shared" ref="D26:D31" si="4">IF(F26&lt;0,-F26,0)</f>
        <v>0</v>
      </c>
      <c r="E26" s="2081">
        <f t="shared" si="2"/>
        <v>2106410.7633468844</v>
      </c>
      <c r="F26" s="2081">
        <f>E34</f>
        <v>2106410.7633468844</v>
      </c>
      <c r="G26" s="1761">
        <f>F34</f>
        <v>0.14187934761055576</v>
      </c>
      <c r="H26" t="str">
        <f>TEXT(F26,"# ###")&amp;"   "&amp;TEXT(G26,"(#%)")</f>
        <v>2 106 411   (14%)</v>
      </c>
    </row>
    <row r="27" spans="2:8">
      <c r="B27" t="s">
        <v>1248</v>
      </c>
      <c r="C27" s="2081">
        <f t="shared" si="3"/>
        <v>35956555.727443025</v>
      </c>
      <c r="D27" s="2081">
        <f t="shared" si="4"/>
        <v>318567.66724384017</v>
      </c>
      <c r="E27" s="2081">
        <f t="shared" si="2"/>
        <v>0</v>
      </c>
      <c r="F27" s="2081">
        <f t="shared" ref="F27:G30" si="5">E35</f>
        <v>-318567.66724384017</v>
      </c>
      <c r="G27" s="1761">
        <f t="shared" si="5"/>
        <v>-2.4937877780205842E-2</v>
      </c>
      <c r="H27" t="str">
        <f>TEXT(F27,"# ###")&amp;"   "&amp;TEXT(-G27,"(-#%)")</f>
        <v>-318 568   (-2%)</v>
      </c>
    </row>
    <row r="28" spans="2:8">
      <c r="B28" t="s">
        <v>1647</v>
      </c>
      <c r="C28" s="2081">
        <f t="shared" si="3"/>
        <v>35956555.727443025</v>
      </c>
      <c r="D28" s="2081">
        <f t="shared" si="4"/>
        <v>0</v>
      </c>
      <c r="E28" s="2081">
        <f t="shared" si="2"/>
        <v>1004838.6619715199</v>
      </c>
      <c r="F28" s="2081">
        <f t="shared" si="5"/>
        <v>1004838.6619715199</v>
      </c>
      <c r="G28" s="1761">
        <f t="shared" si="5"/>
        <v>0.82063597231863228</v>
      </c>
      <c r="H28" t="str">
        <f>TEXT(F28,"# ###")&amp;"   "&amp;TEXT(G28,"(#%)")</f>
        <v>1 004 839   (82%)</v>
      </c>
    </row>
    <row r="29" spans="2:8">
      <c r="B29" t="s">
        <v>164</v>
      </c>
      <c r="C29" s="2081">
        <f t="shared" si="3"/>
        <v>36961394.389414541</v>
      </c>
      <c r="D29" s="2081">
        <f t="shared" si="4"/>
        <v>0</v>
      </c>
      <c r="E29" s="2081">
        <f t="shared" si="2"/>
        <v>1987618</v>
      </c>
      <c r="F29" s="2081">
        <f t="shared" si="5"/>
        <v>1987618</v>
      </c>
      <c r="G29" s="1761">
        <f t="shared" si="5"/>
        <v>0.4488256257330383</v>
      </c>
      <c r="H29" t="str">
        <f>TEXT(F29,"# ###")&amp;"   "&amp;TEXT(G29,"(#%)")</f>
        <v>1 987 618   (45%)</v>
      </c>
    </row>
    <row r="30" spans="2:8">
      <c r="B30" t="s">
        <v>531</v>
      </c>
      <c r="C30" s="2081">
        <f t="shared" si="3"/>
        <v>38949012.389414541</v>
      </c>
      <c r="D30" s="2081">
        <f t="shared" si="4"/>
        <v>0</v>
      </c>
      <c r="E30" s="2081">
        <f t="shared" si="2"/>
        <v>188852.64</v>
      </c>
      <c r="F30" s="2081">
        <f t="shared" si="5"/>
        <v>188852.64</v>
      </c>
      <c r="G30" s="1761">
        <f t="shared" si="5"/>
        <v>0.21105089741140892</v>
      </c>
      <c r="H30" t="str">
        <f>TEXT(F30,"# ###")&amp;"   "&amp;TEXT(G30,"(#%)")</f>
        <v>188 853   (21%)</v>
      </c>
    </row>
    <row r="31" spans="2:8">
      <c r="B31" t="s">
        <v>6092</v>
      </c>
      <c r="C31" s="2081">
        <f t="shared" si="3"/>
        <v>39137865.029414542</v>
      </c>
      <c r="D31" s="2081">
        <f t="shared" si="4"/>
        <v>0</v>
      </c>
      <c r="E31" s="2081"/>
      <c r="F31" s="2081">
        <f>SUM(F25:F30)</f>
        <v>39137865.029414542</v>
      </c>
      <c r="G31" s="2082"/>
      <c r="H31" t="str">
        <f>TEXT(F31,"# ###")</f>
        <v>39 137 865</v>
      </c>
    </row>
    <row r="33" spans="2:6">
      <c r="C33">
        <v>2023</v>
      </c>
      <c r="D33">
        <v>2024</v>
      </c>
      <c r="E33">
        <v>2023</v>
      </c>
      <c r="F33">
        <v>2024</v>
      </c>
    </row>
    <row r="34" spans="2:6">
      <c r="B34" t="s">
        <v>663</v>
      </c>
      <c r="C34" s="227">
        <f t="shared" ref="C34:D38" si="6">C5</f>
        <v>14846493.156486504</v>
      </c>
      <c r="D34" s="227">
        <f t="shared" si="6"/>
        <v>16952903.919833388</v>
      </c>
      <c r="E34" s="78">
        <f>D34-C34</f>
        <v>2106410.7633468844</v>
      </c>
      <c r="F34" s="156">
        <f>D34/C34-1</f>
        <v>0.14187934761055576</v>
      </c>
    </row>
    <row r="35" spans="2:6">
      <c r="B35" t="s">
        <v>1248</v>
      </c>
      <c r="C35" s="227">
        <f t="shared" si="6"/>
        <v>12774449.776825</v>
      </c>
      <c r="D35" s="227">
        <f t="shared" si="6"/>
        <v>12455882.109581159</v>
      </c>
      <c r="E35" s="78">
        <f>D35-C35</f>
        <v>-318567.66724384017</v>
      </c>
      <c r="F35" s="156">
        <f>D35/C35-1</f>
        <v>-2.4937877780205842E-2</v>
      </c>
    </row>
    <row r="36" spans="2:6">
      <c r="B36" t="s">
        <v>1647</v>
      </c>
      <c r="C36" s="227">
        <f t="shared" si="6"/>
        <v>1224463.3380284801</v>
      </c>
      <c r="D36" s="227">
        <f t="shared" si="6"/>
        <v>2229302</v>
      </c>
      <c r="E36" s="78">
        <f>D36-C36</f>
        <v>1004838.6619715199</v>
      </c>
      <c r="F36" s="156">
        <f>D36/C36-1</f>
        <v>0.82063597231863228</v>
      </c>
    </row>
    <row r="37" spans="2:6">
      <c r="B37" t="s">
        <v>164</v>
      </c>
      <c r="C37" s="227">
        <f t="shared" si="6"/>
        <v>4428486</v>
      </c>
      <c r="D37" s="227">
        <f t="shared" si="6"/>
        <v>6416104</v>
      </c>
      <c r="E37" s="78">
        <f>D37-C37</f>
        <v>1987618</v>
      </c>
      <c r="F37" s="156">
        <f>D37/C37-1</f>
        <v>0.4488256257330383</v>
      </c>
    </row>
    <row r="38" spans="2:6">
      <c r="B38" t="s">
        <v>531</v>
      </c>
      <c r="C38" s="227">
        <f t="shared" si="6"/>
        <v>894820.36</v>
      </c>
      <c r="D38" s="227">
        <f t="shared" si="6"/>
        <v>1083673</v>
      </c>
      <c r="E38" s="78">
        <f>D38-C38</f>
        <v>188852.64</v>
      </c>
      <c r="F38" s="156">
        <f>D38/C38-1</f>
        <v>0.21105089741140892</v>
      </c>
    </row>
    <row r="39" spans="2:6">
      <c r="B39" t="s">
        <v>219</v>
      </c>
      <c r="C39" s="227">
        <f>SUM(C34:C38)</f>
        <v>34168712.631339982</v>
      </c>
      <c r="D39" s="227">
        <f>SUM(D34:D38)</f>
        <v>39137865.029414549</v>
      </c>
      <c r="E39" s="78">
        <f>SUM(E34:E38)</f>
        <v>4969152.3980745636</v>
      </c>
      <c r="F39" s="2009">
        <f>SUM(F34:F38)</f>
        <v>1.5974539652934294</v>
      </c>
    </row>
    <row r="40" spans="2:6">
      <c r="C40" s="227"/>
      <c r="D40" s="227"/>
      <c r="E40" s="1991"/>
      <c r="F40" s="4457"/>
    </row>
    <row r="42" spans="2:6">
      <c r="B42" s="79"/>
      <c r="C42" s="227"/>
      <c r="D42" s="227"/>
    </row>
    <row r="52" spans="1:7">
      <c r="B52" t="s">
        <v>3031</v>
      </c>
    </row>
    <row r="54" spans="1:7">
      <c r="B54" t="s">
        <v>6154</v>
      </c>
      <c r="C54">
        <v>2023</v>
      </c>
      <c r="D54">
        <v>2024</v>
      </c>
      <c r="E54" t="s">
        <v>3032</v>
      </c>
      <c r="F54" t="s">
        <v>3033</v>
      </c>
    </row>
    <row r="55" spans="1:7">
      <c r="A55">
        <v>1</v>
      </c>
      <c r="B55" t="s">
        <v>3257</v>
      </c>
      <c r="C55" s="227">
        <f>BAZE_2024!F58</f>
        <v>8433604.0545738488</v>
      </c>
      <c r="D55" s="227">
        <f>BAZE_2024!G58</f>
        <v>11584925.99087845</v>
      </c>
      <c r="E55" s="78">
        <f>D55-C55</f>
        <v>3151321.9363046009</v>
      </c>
      <c r="F55" s="156">
        <f>E55/C55</f>
        <v>0.37366254283606365</v>
      </c>
      <c r="G55" s="1761"/>
    </row>
    <row r="56" spans="1:7">
      <c r="A56">
        <v>2</v>
      </c>
      <c r="B56" t="s">
        <v>3258</v>
      </c>
      <c r="C56" s="227">
        <f>BAZE_2024!F88</f>
        <v>935951.53292284999</v>
      </c>
      <c r="D56" s="227">
        <f>BAZE_2024!G88</f>
        <v>1025367.7769225</v>
      </c>
      <c r="E56" s="78">
        <f t="shared" ref="E56:E62" si="7">D56-C56</f>
        <v>89416.243999650003</v>
      </c>
      <c r="F56" s="156">
        <f t="shared" ref="F56:F62" si="8">E56/C56</f>
        <v>9.5535122123701396E-2</v>
      </c>
      <c r="G56" s="1761"/>
    </row>
    <row r="57" spans="1:7">
      <c r="A57">
        <v>3</v>
      </c>
      <c r="B57" t="s">
        <v>3259</v>
      </c>
      <c r="C57" s="227">
        <f>BAZE_2024!F94</f>
        <v>206416.28000000003</v>
      </c>
      <c r="D57" s="227">
        <f>BAZE_2024!G94</f>
        <v>177686.07229136</v>
      </c>
      <c r="E57" s="78">
        <f t="shared" si="7"/>
        <v>-28730.207708640024</v>
      </c>
      <c r="F57" s="156">
        <f t="shared" si="8"/>
        <v>-0.1391857643623847</v>
      </c>
      <c r="G57" s="1761"/>
    </row>
    <row r="58" spans="1:7">
      <c r="A58">
        <v>4</v>
      </c>
      <c r="B58" t="s">
        <v>6146</v>
      </c>
      <c r="C58" s="227">
        <f>BAZE_2024!F100</f>
        <v>8009063.8801219994</v>
      </c>
      <c r="D58" s="227">
        <f>BAZE_2024!G100</f>
        <v>7852829.0056644836</v>
      </c>
      <c r="E58" s="78">
        <f t="shared" si="7"/>
        <v>-156234.87445751578</v>
      </c>
      <c r="F58" s="156">
        <f t="shared" si="8"/>
        <v>-1.9507257876326976E-2</v>
      </c>
      <c r="G58" s="1761"/>
    </row>
    <row r="59" spans="1:7">
      <c r="A59">
        <v>5</v>
      </c>
      <c r="B59" t="s">
        <v>6147</v>
      </c>
      <c r="C59" s="227">
        <f>BAZE_2024!F164</f>
        <v>1649161.7610971783</v>
      </c>
      <c r="D59" s="227">
        <f>BAZE_2024!G164</f>
        <v>1732258.6714729001</v>
      </c>
      <c r="E59" s="78">
        <f t="shared" si="7"/>
        <v>83096.910375721753</v>
      </c>
      <c r="F59" s="156">
        <f t="shared" si="8"/>
        <v>5.0387361831890784E-2</v>
      </c>
      <c r="G59" s="1761"/>
    </row>
    <row r="60" spans="1:7">
      <c r="A60">
        <v>6</v>
      </c>
      <c r="B60" t="s">
        <v>6148</v>
      </c>
      <c r="C60" s="227">
        <f>BAZE_2024!F220</f>
        <v>1899677.0900724998</v>
      </c>
      <c r="D60" s="227">
        <f>BAZE_2024!G220</f>
        <v>2211217.7610668591</v>
      </c>
      <c r="E60" s="78">
        <f t="shared" si="7"/>
        <v>311540.6709943593</v>
      </c>
      <c r="F60" s="156">
        <f t="shared" si="8"/>
        <v>0.16399664586283427</v>
      </c>
      <c r="G60" s="1761"/>
    </row>
    <row r="61" spans="1:7">
      <c r="A61">
        <v>7</v>
      </c>
      <c r="B61" t="s">
        <v>6149</v>
      </c>
      <c r="C61" s="1980">
        <f>BAZE_2024!F261</f>
        <v>13034838.032551607</v>
      </c>
      <c r="D61" s="1980">
        <f>BAZE_2024!G261</f>
        <v>14553579.751117995</v>
      </c>
      <c r="E61" s="2080">
        <f t="shared" si="7"/>
        <v>1518741.7185663879</v>
      </c>
      <c r="F61" s="2079">
        <f t="shared" si="8"/>
        <v>0.11651404603368821</v>
      </c>
      <c r="G61" s="1761"/>
    </row>
    <row r="62" spans="1:7">
      <c r="C62" s="227">
        <f>SUM(C55:C61)</f>
        <v>34168712.631339982</v>
      </c>
      <c r="D62" s="227">
        <f>SUM(D55:D61)</f>
        <v>39137865.029414542</v>
      </c>
      <c r="E62" s="78">
        <f t="shared" si="7"/>
        <v>4969152.3980745599</v>
      </c>
      <c r="F62" s="156">
        <f t="shared" si="8"/>
        <v>0.14542989815533142</v>
      </c>
      <c r="G62" s="1761"/>
    </row>
    <row r="64" spans="1:7">
      <c r="C64" s="227">
        <f>C11-C62</f>
        <v>3601890.1379218102</v>
      </c>
      <c r="D64" s="227">
        <f>D11-D62</f>
        <v>3486155.0000000075</v>
      </c>
    </row>
    <row r="65" spans="2:8">
      <c r="C65" s="227">
        <f>C64-C10</f>
        <v>0</v>
      </c>
      <c r="D65" s="227">
        <f>D64-D10</f>
        <v>7.4505805969238281E-9</v>
      </c>
    </row>
    <row r="78" spans="2:8">
      <c r="B78" t="s">
        <v>6154</v>
      </c>
    </row>
    <row r="79" spans="2:8">
      <c r="C79" t="s">
        <v>1248</v>
      </c>
      <c r="D79" t="s">
        <v>3034</v>
      </c>
      <c r="E79" t="s">
        <v>1434</v>
      </c>
      <c r="F79" t="s">
        <v>511</v>
      </c>
      <c r="G79" t="s">
        <v>3</v>
      </c>
      <c r="H79" t="s">
        <v>3041</v>
      </c>
    </row>
    <row r="80" spans="2:8">
      <c r="B80" t="s">
        <v>3040</v>
      </c>
      <c r="C80" s="2081"/>
      <c r="D80" s="2081">
        <f>IF(F80&lt;0,-F80,0)</f>
        <v>0</v>
      </c>
      <c r="E80" s="2081">
        <f>IF(F80&gt;0,F80,0)</f>
        <v>34168712.631339982</v>
      </c>
      <c r="F80" s="2081">
        <f>C62</f>
        <v>34168712.631339982</v>
      </c>
      <c r="H80" t="str">
        <f>TEXT(F80,"# ###")</f>
        <v>34 168 713</v>
      </c>
    </row>
    <row r="81" spans="2:8">
      <c r="B81" t="s">
        <v>3035</v>
      </c>
      <c r="C81" s="2081">
        <f t="shared" ref="C81:C88" si="9">C80+E80-D81</f>
        <v>34168712.631339982</v>
      </c>
      <c r="D81" s="2081">
        <f t="shared" ref="D81:D88" si="10">IF(F81&lt;0,-F81,0)</f>
        <v>0</v>
      </c>
      <c r="E81" s="2081">
        <f t="shared" ref="E81:E87" si="11">IF(F81&gt;0,F81,0)</f>
        <v>3151321.9363046009</v>
      </c>
      <c r="F81" s="2081">
        <f t="shared" ref="F81:G87" si="12">E55</f>
        <v>3151321.9363046009</v>
      </c>
      <c r="G81" s="1761">
        <f t="shared" si="12"/>
        <v>0.37366254283606365</v>
      </c>
      <c r="H81" t="str">
        <f>TEXT(F81,"# ###")&amp;"   "&amp;TEXT(G81,"(#%)")</f>
        <v>3 151 322   (37%)</v>
      </c>
    </row>
    <row r="82" spans="2:8">
      <c r="B82" t="s">
        <v>3036</v>
      </c>
      <c r="C82" s="2081">
        <f t="shared" si="9"/>
        <v>37320034.567644581</v>
      </c>
      <c r="D82" s="2081">
        <f t="shared" si="10"/>
        <v>0</v>
      </c>
      <c r="E82" s="2081">
        <f t="shared" si="11"/>
        <v>89416.243999650003</v>
      </c>
      <c r="F82" s="2081">
        <f t="shared" si="12"/>
        <v>89416.243999650003</v>
      </c>
      <c r="G82" s="1761">
        <f t="shared" si="12"/>
        <v>9.5535122123701396E-2</v>
      </c>
      <c r="H82" t="str">
        <f t="shared" ref="H82:H87" si="13">TEXT(F82,"# ###")&amp;"   "&amp;TEXT(G82,"(#%)")</f>
        <v>89 416   (10%)</v>
      </c>
    </row>
    <row r="83" spans="2:8">
      <c r="B83" t="s">
        <v>3037</v>
      </c>
      <c r="C83" s="2081">
        <f t="shared" si="9"/>
        <v>37380720.603935592</v>
      </c>
      <c r="D83" s="2081">
        <f t="shared" si="10"/>
        <v>28730.207708640024</v>
      </c>
      <c r="E83" s="2081">
        <f t="shared" si="11"/>
        <v>0</v>
      </c>
      <c r="F83" s="2081">
        <f t="shared" si="12"/>
        <v>-28730.207708640024</v>
      </c>
      <c r="G83" s="1761">
        <f t="shared" si="12"/>
        <v>-0.1391857643623847</v>
      </c>
      <c r="H83" t="str">
        <f>TEXT(F83,"# ###")&amp;"   "&amp;TEXT(-G83,"(-#%)")</f>
        <v>-28 730   (-14%)</v>
      </c>
    </row>
    <row r="84" spans="2:8">
      <c r="B84" t="s">
        <v>3038</v>
      </c>
      <c r="C84" s="2081">
        <f t="shared" si="9"/>
        <v>37224485.729478076</v>
      </c>
      <c r="D84" s="2081">
        <f t="shared" si="10"/>
        <v>156234.87445751578</v>
      </c>
      <c r="E84" s="2081">
        <f t="shared" si="11"/>
        <v>0</v>
      </c>
      <c r="F84" s="2081">
        <f t="shared" si="12"/>
        <v>-156234.87445751578</v>
      </c>
      <c r="G84" s="1761">
        <f t="shared" si="12"/>
        <v>-1.9507257876326976E-2</v>
      </c>
      <c r="H84" t="str">
        <f>TEXT(F84,"# ###")&amp;"   "&amp;TEXT(-G84,"(-#%)")</f>
        <v>-156 235   (-2%)</v>
      </c>
    </row>
    <row r="85" spans="2:8">
      <c r="B85" t="s">
        <v>177</v>
      </c>
      <c r="C85" s="2081">
        <f t="shared" si="9"/>
        <v>37224485.729478076</v>
      </c>
      <c r="D85" s="2081">
        <f t="shared" si="10"/>
        <v>0</v>
      </c>
      <c r="E85" s="2081">
        <f t="shared" si="11"/>
        <v>83096.910375721753</v>
      </c>
      <c r="F85" s="2081">
        <f t="shared" si="12"/>
        <v>83096.910375721753</v>
      </c>
      <c r="G85" s="1761">
        <f t="shared" si="12"/>
        <v>5.0387361831890784E-2</v>
      </c>
      <c r="H85" t="str">
        <f t="shared" si="13"/>
        <v>83 097   (5%)</v>
      </c>
    </row>
    <row r="86" spans="2:8">
      <c r="B86" t="s">
        <v>3039</v>
      </c>
      <c r="C86" s="2081">
        <f t="shared" si="9"/>
        <v>37307582.639853798</v>
      </c>
      <c r="D86" s="2081">
        <f t="shared" si="10"/>
        <v>0</v>
      </c>
      <c r="E86" s="2081">
        <f t="shared" si="11"/>
        <v>311540.6709943593</v>
      </c>
      <c r="F86" s="2081">
        <f t="shared" si="12"/>
        <v>311540.6709943593</v>
      </c>
      <c r="G86" s="1761">
        <f t="shared" si="12"/>
        <v>0.16399664586283427</v>
      </c>
      <c r="H86" t="str">
        <f t="shared" si="13"/>
        <v>311 541   (16%)</v>
      </c>
    </row>
    <row r="87" spans="2:8">
      <c r="B87" t="s">
        <v>189</v>
      </c>
      <c r="C87" s="2081">
        <f t="shared" si="9"/>
        <v>37619123.310848154</v>
      </c>
      <c r="D87" s="2081">
        <f t="shared" si="10"/>
        <v>0</v>
      </c>
      <c r="E87" s="2081">
        <f t="shared" si="11"/>
        <v>1518741.7185663879</v>
      </c>
      <c r="F87" s="2081">
        <f t="shared" si="12"/>
        <v>1518741.7185663879</v>
      </c>
      <c r="G87" s="1761">
        <f t="shared" si="12"/>
        <v>0.11651404603368821</v>
      </c>
      <c r="H87" t="str">
        <f t="shared" si="13"/>
        <v>1 518 742   (12%)</v>
      </c>
    </row>
    <row r="88" spans="2:8">
      <c r="B88" t="s">
        <v>6092</v>
      </c>
      <c r="C88" s="2081">
        <f t="shared" si="9"/>
        <v>39137865.029414542</v>
      </c>
      <c r="D88" s="2081">
        <f t="shared" si="10"/>
        <v>0</v>
      </c>
      <c r="E88" s="2081"/>
      <c r="F88" s="2081">
        <f>SUM(F80:F87)</f>
        <v>39137865.029414542</v>
      </c>
      <c r="G88" s="2082"/>
      <c r="H88" t="str">
        <f>TEXT(F88,"# ###")</f>
        <v>39 137 865</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CAB1C-1D1D-418E-B77C-44A4D381A3F1}">
  <sheetPr codeName="Lapa12"/>
  <dimension ref="A1:F14"/>
  <sheetViews>
    <sheetView zoomScaleNormal="100" workbookViewId="0">
      <selection activeCell="I22" sqref="I22"/>
    </sheetView>
  </sheetViews>
  <sheetFormatPr defaultColWidth="9" defaultRowHeight="15"/>
  <cols>
    <col min="1" max="1" width="27.28515625" style="4341" customWidth="1"/>
    <col min="2" max="2" width="14" style="4341" customWidth="1"/>
    <col min="3" max="3" width="29.42578125" style="4341" customWidth="1"/>
    <col min="4" max="6" width="13.42578125" style="4341" customWidth="1"/>
    <col min="7" max="16384" width="9" style="4341"/>
  </cols>
  <sheetData>
    <row r="1" spans="1:6" ht="15.75" thickBot="1">
      <c r="A1" s="4339" t="s">
        <v>4184</v>
      </c>
      <c r="B1" s="4340" t="s">
        <v>4189</v>
      </c>
      <c r="C1" s="4340" t="s">
        <v>4191</v>
      </c>
      <c r="D1" s="4340" t="s">
        <v>4190</v>
      </c>
      <c r="E1" s="4340" t="s">
        <v>4188</v>
      </c>
      <c r="F1" s="4340" t="s">
        <v>6065</v>
      </c>
    </row>
    <row r="2" spans="1:6" ht="15.75" thickBot="1">
      <c r="A2" s="4342" t="s">
        <v>6066</v>
      </c>
      <c r="B2" s="4343">
        <v>210</v>
      </c>
      <c r="C2" s="4343">
        <v>192</v>
      </c>
      <c r="D2" s="4343">
        <v>260</v>
      </c>
      <c r="E2" s="4343">
        <v>370</v>
      </c>
      <c r="F2" s="4343">
        <v>100</v>
      </c>
    </row>
    <row r="3" spans="1:6" ht="30.75" thickBot="1">
      <c r="A3" s="4344" t="s">
        <v>6067</v>
      </c>
      <c r="B3" s="4343">
        <v>15952</v>
      </c>
      <c r="C3" s="4345">
        <v>14920</v>
      </c>
      <c r="D3" s="4343">
        <v>16154</v>
      </c>
      <c r="E3" s="4343">
        <v>22673</v>
      </c>
      <c r="F3" s="4343">
        <v>7540</v>
      </c>
    </row>
    <row r="4" spans="1:6">
      <c r="A4" s="4836" t="s">
        <v>6068</v>
      </c>
      <c r="B4" s="4839">
        <v>14085</v>
      </c>
      <c r="C4" s="4346" t="s">
        <v>6069</v>
      </c>
      <c r="D4" s="4839">
        <v>13500</v>
      </c>
      <c r="E4" s="4839">
        <v>18180</v>
      </c>
      <c r="F4" s="4839">
        <v>6300</v>
      </c>
    </row>
    <row r="5" spans="1:6">
      <c r="A5" s="4837"/>
      <c r="B5" s="4840"/>
      <c r="C5" s="4346" t="s">
        <v>6070</v>
      </c>
      <c r="D5" s="4840"/>
      <c r="E5" s="4840"/>
      <c r="F5" s="4840"/>
    </row>
    <row r="6" spans="1:6">
      <c r="A6" s="4837"/>
      <c r="B6" s="4840"/>
      <c r="C6" s="4346" t="s">
        <v>6071</v>
      </c>
      <c r="D6" s="4840"/>
      <c r="E6" s="4840"/>
      <c r="F6" s="4840"/>
    </row>
    <row r="7" spans="1:6">
      <c r="A7" s="4837"/>
      <c r="B7" s="4840"/>
      <c r="C7" s="4346" t="s">
        <v>6072</v>
      </c>
      <c r="D7" s="4840"/>
      <c r="E7" s="4840"/>
      <c r="F7" s="4840"/>
    </row>
    <row r="8" spans="1:6">
      <c r="A8" s="4837"/>
      <c r="B8" s="4840"/>
      <c r="C8" s="4346" t="s">
        <v>6073</v>
      </c>
      <c r="D8" s="4840"/>
      <c r="E8" s="4840"/>
      <c r="F8" s="4840"/>
    </row>
    <row r="9" spans="1:6">
      <c r="A9" s="4837"/>
      <c r="B9" s="4840"/>
      <c r="C9" s="4346" t="s">
        <v>6074</v>
      </c>
      <c r="D9" s="4840"/>
      <c r="E9" s="4840"/>
      <c r="F9" s="4840"/>
    </row>
    <row r="10" spans="1:6">
      <c r="A10" s="4837"/>
      <c r="B10" s="4840"/>
      <c r="C10" s="4346" t="s">
        <v>6075</v>
      </c>
      <c r="D10" s="4840"/>
      <c r="E10" s="4840"/>
      <c r="F10" s="4840"/>
    </row>
    <row r="11" spans="1:6">
      <c r="A11" s="4837"/>
      <c r="B11" s="4840"/>
      <c r="C11" s="4346"/>
      <c r="D11" s="4840"/>
      <c r="E11" s="4840"/>
      <c r="F11" s="4840"/>
    </row>
    <row r="12" spans="1:6" ht="15.75" thickBot="1">
      <c r="A12" s="4838"/>
      <c r="B12" s="4841"/>
      <c r="C12" s="4343">
        <v>13050</v>
      </c>
      <c r="D12" s="4841"/>
      <c r="E12" s="4841"/>
      <c r="F12" s="4841"/>
    </row>
    <row r="13" spans="1:6" ht="30.75" thickBot="1">
      <c r="A13" s="4344" t="s">
        <v>6076</v>
      </c>
      <c r="B13" s="4343">
        <v>1867</v>
      </c>
      <c r="C13" s="4343">
        <v>1870</v>
      </c>
      <c r="D13" s="4343">
        <v>2654</v>
      </c>
      <c r="E13" s="4343">
        <v>4493</v>
      </c>
      <c r="F13" s="4343">
        <v>1240</v>
      </c>
    </row>
    <row r="14" spans="1:6" ht="30.75" thickBot="1">
      <c r="A14" s="4344" t="s">
        <v>6077</v>
      </c>
      <c r="B14" s="4343">
        <v>6.33</v>
      </c>
      <c r="C14" s="4343">
        <v>6.47</v>
      </c>
      <c r="D14" s="4343">
        <v>5.18</v>
      </c>
      <c r="E14" s="4343">
        <v>5.1100000000000003</v>
      </c>
      <c r="F14" s="4343">
        <v>6.28</v>
      </c>
    </row>
  </sheetData>
  <mergeCells count="5">
    <mergeCell ref="A4:A12"/>
    <mergeCell ref="B4:B12"/>
    <mergeCell ref="D4:D12"/>
    <mergeCell ref="E4:E12"/>
    <mergeCell ref="F4:F12"/>
  </mergeCells>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3ADA5-EAA5-4CDE-AD75-D399047F0299}">
  <sheetPr codeName="Lapa14">
    <tabColor theme="7" tint="0.59999389629810485"/>
    <pageSetUpPr fitToPage="1"/>
  </sheetPr>
  <dimension ref="A1:Q64"/>
  <sheetViews>
    <sheetView topLeftCell="A16" workbookViewId="0">
      <selection activeCell="F13" sqref="F13"/>
    </sheetView>
  </sheetViews>
  <sheetFormatPr defaultColWidth="9" defaultRowHeight="15"/>
  <cols>
    <col min="1" max="1" width="9" style="3416"/>
    <col min="2" max="2" width="42.140625" style="3416" customWidth="1"/>
    <col min="3" max="3" width="15" style="3429" customWidth="1"/>
    <col min="4" max="4" width="46.42578125" style="3416" customWidth="1"/>
    <col min="5" max="5" width="10.140625" style="3457" bestFit="1" customWidth="1"/>
    <col min="6" max="6" width="10" style="3458" bestFit="1" customWidth="1"/>
    <col min="7" max="7" width="13.42578125" style="3416" customWidth="1"/>
    <col min="8" max="8" width="43.140625" style="3416" customWidth="1"/>
    <col min="9" max="9" width="9" style="3416"/>
    <col min="10" max="10" width="88.140625" style="3416" customWidth="1"/>
    <col min="11" max="12" width="9" style="3416"/>
    <col min="13" max="13" width="27.140625" style="3416" bestFit="1" customWidth="1"/>
    <col min="14" max="16384" width="9" style="3416"/>
  </cols>
  <sheetData>
    <row r="1" spans="1:17" ht="25.5">
      <c r="A1" s="3411" t="s">
        <v>2298</v>
      </c>
      <c r="B1" s="3412"/>
      <c r="C1" s="3413" t="s">
        <v>626</v>
      </c>
      <c r="D1" s="3412"/>
      <c r="E1" s="3414"/>
      <c r="F1" s="3415" t="s">
        <v>4768</v>
      </c>
      <c r="H1" s="3417"/>
      <c r="L1" s="3418"/>
      <c r="M1" s="3418"/>
      <c r="N1" s="3418"/>
      <c r="O1" s="3418"/>
      <c r="P1" s="3418"/>
    </row>
    <row r="2" spans="1:17">
      <c r="A2" s="3419"/>
      <c r="B2" s="3419"/>
      <c r="C2" s="3420" t="s">
        <v>2152</v>
      </c>
      <c r="D2" s="3421" t="s">
        <v>2299</v>
      </c>
      <c r="E2" s="3422" t="s">
        <v>1367</v>
      </c>
      <c r="F2" s="3423"/>
      <c r="H2" s="3417"/>
    </row>
    <row r="3" spans="1:17" ht="30">
      <c r="A3" s="3419">
        <v>1</v>
      </c>
      <c r="B3" s="3419" t="s">
        <v>2300</v>
      </c>
      <c r="C3" s="3424">
        <v>2312</v>
      </c>
      <c r="D3" s="3425" t="s">
        <v>4769</v>
      </c>
      <c r="E3" s="3426">
        <v>3000</v>
      </c>
      <c r="F3" s="3427">
        <f>E3</f>
        <v>3000</v>
      </c>
      <c r="G3" s="4849">
        <f>SUM(F3:F13)</f>
        <v>28700</v>
      </c>
      <c r="H3" s="3428"/>
      <c r="I3" s="3429"/>
      <c r="M3" s="3430" t="s">
        <v>4770</v>
      </c>
      <c r="N3" s="3430" t="s">
        <v>4771</v>
      </c>
      <c r="O3" s="3419" t="s">
        <v>4772</v>
      </c>
      <c r="P3" s="3430" t="s">
        <v>4773</v>
      </c>
      <c r="Q3" s="3430"/>
    </row>
    <row r="4" spans="1:17" ht="30">
      <c r="A4" s="3419"/>
      <c r="B4" s="3419"/>
      <c r="C4" s="3431">
        <v>2239</v>
      </c>
      <c r="D4" s="3425" t="s">
        <v>4774</v>
      </c>
      <c r="E4" s="3426">
        <v>6000</v>
      </c>
      <c r="F4" s="3427">
        <f>E4</f>
        <v>6000</v>
      </c>
      <c r="G4" s="4849"/>
      <c r="H4" s="3428"/>
      <c r="I4" s="3429"/>
      <c r="M4" s="3430" t="s">
        <v>4775</v>
      </c>
      <c r="N4" s="3430">
        <v>7</v>
      </c>
      <c r="O4" s="3430">
        <v>120</v>
      </c>
      <c r="P4" s="3430">
        <v>150</v>
      </c>
      <c r="Q4" s="3430">
        <f t="shared" ref="Q4:Q9" si="0">(N4*O4)+(N4*P4)</f>
        <v>1890</v>
      </c>
    </row>
    <row r="5" spans="1:17">
      <c r="A5" s="3419">
        <v>2</v>
      </c>
      <c r="B5" s="3419" t="s">
        <v>2301</v>
      </c>
      <c r="C5" s="3420"/>
      <c r="D5" s="3421"/>
      <c r="E5" s="3426"/>
      <c r="F5" s="3423">
        <f>E5</f>
        <v>0</v>
      </c>
      <c r="G5" s="4849"/>
      <c r="H5" s="3417"/>
      <c r="M5" s="3430" t="s">
        <v>4776</v>
      </c>
      <c r="N5" s="3430">
        <v>6</v>
      </c>
      <c r="O5" s="3430">
        <v>90</v>
      </c>
      <c r="P5" s="3430">
        <v>120</v>
      </c>
      <c r="Q5" s="3430">
        <f t="shared" si="0"/>
        <v>1260</v>
      </c>
    </row>
    <row r="6" spans="1:17" ht="30">
      <c r="A6" s="3419">
        <v>3</v>
      </c>
      <c r="B6" s="3432" t="s">
        <v>2302</v>
      </c>
      <c r="C6" s="3431">
        <v>2239</v>
      </c>
      <c r="D6" s="3421" t="s">
        <v>2303</v>
      </c>
      <c r="E6" s="3426"/>
      <c r="F6" s="4850">
        <f>E6+E7</f>
        <v>4600</v>
      </c>
      <c r="G6" s="4849"/>
      <c r="H6" s="3428"/>
      <c r="I6" s="3433"/>
      <c r="J6" s="3434"/>
      <c r="M6" s="3430" t="s">
        <v>4777</v>
      </c>
      <c r="N6" s="3430">
        <v>2</v>
      </c>
      <c r="O6" s="3430">
        <v>90</v>
      </c>
      <c r="P6" s="3430">
        <v>120</v>
      </c>
      <c r="Q6" s="3430">
        <f t="shared" si="0"/>
        <v>420</v>
      </c>
    </row>
    <row r="7" spans="1:17">
      <c r="A7" s="3419"/>
      <c r="B7" s="3435"/>
      <c r="C7" s="3431">
        <v>2239</v>
      </c>
      <c r="D7" s="3436" t="s">
        <v>2304</v>
      </c>
      <c r="E7" s="3437">
        <v>4600</v>
      </c>
      <c r="F7" s="4851"/>
      <c r="G7" s="4849"/>
      <c r="H7" s="3417"/>
      <c r="M7" s="3430" t="s">
        <v>4778</v>
      </c>
      <c r="N7" s="3430">
        <v>4</v>
      </c>
      <c r="O7" s="3430">
        <v>90</v>
      </c>
      <c r="P7" s="3430">
        <v>120</v>
      </c>
      <c r="Q7" s="3430">
        <f t="shared" si="0"/>
        <v>840</v>
      </c>
    </row>
    <row r="8" spans="1:17">
      <c r="A8" s="3419">
        <v>4</v>
      </c>
      <c r="B8" s="3419" t="s">
        <v>2305</v>
      </c>
      <c r="C8" s="3424">
        <v>2312</v>
      </c>
      <c r="D8" s="3436" t="s">
        <v>2306</v>
      </c>
      <c r="E8" s="3426">
        <v>3000</v>
      </c>
      <c r="F8" s="3423">
        <f>E8</f>
        <v>3000</v>
      </c>
      <c r="G8" s="4849"/>
      <c r="H8" s="3417"/>
      <c r="M8" s="3430" t="s">
        <v>4779</v>
      </c>
      <c r="N8" s="3430">
        <v>4</v>
      </c>
      <c r="O8" s="3430">
        <v>50</v>
      </c>
      <c r="P8" s="3430">
        <v>80</v>
      </c>
      <c r="Q8" s="3430">
        <f t="shared" si="0"/>
        <v>520</v>
      </c>
    </row>
    <row r="9" spans="1:17">
      <c r="A9" s="3419">
        <v>5</v>
      </c>
      <c r="B9" s="3419" t="s">
        <v>2307</v>
      </c>
      <c r="C9" s="3431">
        <v>2239</v>
      </c>
      <c r="D9" s="3438" t="s">
        <v>2308</v>
      </c>
      <c r="E9" s="3426">
        <v>3000</v>
      </c>
      <c r="F9" s="3423">
        <f>E9</f>
        <v>3000</v>
      </c>
      <c r="G9" s="4849"/>
      <c r="H9" s="3417"/>
      <c r="M9" s="3430" t="s">
        <v>4780</v>
      </c>
      <c r="N9" s="3430">
        <v>3</v>
      </c>
      <c r="O9" s="3430">
        <v>40</v>
      </c>
      <c r="P9" s="3430">
        <v>60</v>
      </c>
      <c r="Q9" s="3430">
        <f t="shared" si="0"/>
        <v>300</v>
      </c>
    </row>
    <row r="10" spans="1:17" ht="45">
      <c r="A10" s="3419">
        <v>6</v>
      </c>
      <c r="B10" s="3432" t="s">
        <v>2309</v>
      </c>
      <c r="C10" s="3431">
        <v>2239</v>
      </c>
      <c r="D10" s="3438" t="s">
        <v>2310</v>
      </c>
      <c r="E10" s="3437">
        <v>2500</v>
      </c>
      <c r="F10" s="4852">
        <f>E10+E11+E12</f>
        <v>7100</v>
      </c>
      <c r="G10" s="4849"/>
      <c r="H10" s="3439"/>
      <c r="P10" s="3416" t="s">
        <v>220</v>
      </c>
      <c r="Q10" s="3440">
        <f>SUM(Q4:Q9)</f>
        <v>5230</v>
      </c>
    </row>
    <row r="11" spans="1:17" ht="30">
      <c r="A11" s="3419"/>
      <c r="B11" s="3419"/>
      <c r="C11" s="3431">
        <v>2239</v>
      </c>
      <c r="D11" s="3438" t="s">
        <v>2311</v>
      </c>
      <c r="E11" s="3437"/>
      <c r="F11" s="4850"/>
      <c r="G11" s="4849"/>
      <c r="H11" s="3441"/>
    </row>
    <row r="12" spans="1:17">
      <c r="A12" s="3419"/>
      <c r="B12" s="3435" t="s">
        <v>2312</v>
      </c>
      <c r="C12" s="3431">
        <v>2239</v>
      </c>
      <c r="D12" s="3436" t="s">
        <v>2313</v>
      </c>
      <c r="E12" s="3437">
        <v>4600</v>
      </c>
      <c r="F12" s="4851"/>
      <c r="G12" s="4849"/>
      <c r="H12" s="3417"/>
    </row>
    <row r="13" spans="1:17" ht="30">
      <c r="A13" s="3419"/>
      <c r="B13" s="3421" t="s">
        <v>2314</v>
      </c>
      <c r="C13" s="3424">
        <v>2312</v>
      </c>
      <c r="D13" s="3438" t="s">
        <v>2315</v>
      </c>
      <c r="E13" s="3426">
        <v>2000</v>
      </c>
      <c r="F13" s="3427">
        <f>E13</f>
        <v>2000</v>
      </c>
      <c r="G13" s="4849"/>
      <c r="H13" s="3417"/>
    </row>
    <row r="14" spans="1:17">
      <c r="A14" s="3419">
        <v>7</v>
      </c>
      <c r="B14" s="3432" t="s">
        <v>2316</v>
      </c>
      <c r="C14" s="3420"/>
      <c r="D14" s="3419"/>
      <c r="E14" s="3422"/>
      <c r="F14" s="3423"/>
      <c r="H14" s="3417"/>
      <c r="I14" s="3440"/>
    </row>
    <row r="15" spans="1:17" ht="30">
      <c r="A15" s="3419"/>
      <c r="B15" s="3435" t="s">
        <v>2317</v>
      </c>
      <c r="C15" s="3431">
        <v>2239</v>
      </c>
      <c r="D15" s="3419" t="s">
        <v>2318</v>
      </c>
      <c r="E15" s="3442">
        <v>300</v>
      </c>
      <c r="F15" s="4853">
        <f>E15+E16+E17+E18+E19+E21+E22</f>
        <v>34800</v>
      </c>
      <c r="G15" s="4856">
        <f>E16+E17+E18+E19+E15</f>
        <v>30800</v>
      </c>
      <c r="H15" s="3417"/>
    </row>
    <row r="16" spans="1:17" ht="30">
      <c r="A16" s="3419"/>
      <c r="B16" s="3435" t="s">
        <v>2319</v>
      </c>
      <c r="C16" s="3431">
        <v>2239</v>
      </c>
      <c r="D16" s="3419" t="s">
        <v>2320</v>
      </c>
      <c r="E16" s="3442">
        <v>3500</v>
      </c>
      <c r="F16" s="4854"/>
      <c r="G16" s="4856"/>
      <c r="H16" s="3417"/>
    </row>
    <row r="17" spans="1:10" ht="30">
      <c r="A17" s="3419"/>
      <c r="B17" s="3435" t="s">
        <v>2319</v>
      </c>
      <c r="C17" s="3431">
        <v>2239</v>
      </c>
      <c r="D17" s="3419" t="s">
        <v>2321</v>
      </c>
      <c r="E17" s="3442">
        <v>5000</v>
      </c>
      <c r="F17" s="4854"/>
      <c r="G17" s="4856"/>
      <c r="H17" s="3417"/>
    </row>
    <row r="18" spans="1:10" ht="30">
      <c r="A18" s="3419"/>
      <c r="B18" s="3435"/>
      <c r="C18" s="3431">
        <v>2239</v>
      </c>
      <c r="D18" s="3425" t="s">
        <v>4781</v>
      </c>
      <c r="E18" s="3442">
        <v>7000</v>
      </c>
      <c r="F18" s="4854"/>
      <c r="G18" s="4856"/>
      <c r="H18" s="3417"/>
    </row>
    <row r="19" spans="1:10" ht="45">
      <c r="A19" s="3419"/>
      <c r="B19" s="3435" t="s">
        <v>2322</v>
      </c>
      <c r="C19" s="3431">
        <v>2239</v>
      </c>
      <c r="D19" s="3419" t="s">
        <v>2323</v>
      </c>
      <c r="E19" s="3443">
        <v>15000</v>
      </c>
      <c r="F19" s="4854"/>
      <c r="G19" s="4856"/>
      <c r="H19" s="3417"/>
    </row>
    <row r="20" spans="1:10">
      <c r="A20" s="3419"/>
      <c r="B20" s="3435"/>
      <c r="C20" s="3431">
        <v>2239</v>
      </c>
      <c r="D20" s="3425" t="s">
        <v>2324</v>
      </c>
      <c r="E20" s="3444"/>
      <c r="F20" s="4854"/>
      <c r="G20" s="4856"/>
      <c r="H20" s="3417"/>
    </row>
    <row r="21" spans="1:10">
      <c r="A21" s="3419"/>
      <c r="B21" s="3435" t="s">
        <v>2325</v>
      </c>
      <c r="C21" s="3431">
        <v>2239</v>
      </c>
      <c r="D21" s="3419" t="s">
        <v>2326</v>
      </c>
      <c r="E21" s="3442">
        <v>2000</v>
      </c>
      <c r="F21" s="4854"/>
      <c r="G21" s="3445"/>
      <c r="H21" s="3417"/>
    </row>
    <row r="22" spans="1:10">
      <c r="A22" s="3419"/>
      <c r="B22" s="3435" t="s">
        <v>2327</v>
      </c>
      <c r="C22" s="3431">
        <v>2239</v>
      </c>
      <c r="D22" s="3419"/>
      <c r="E22" s="3442">
        <v>2000</v>
      </c>
      <c r="F22" s="4855"/>
      <c r="G22" s="3445"/>
      <c r="H22" s="3417"/>
    </row>
    <row r="23" spans="1:10" ht="15.75" thickBot="1">
      <c r="A23" s="3419"/>
      <c r="B23" s="3435"/>
      <c r="C23" s="3420"/>
      <c r="D23" s="3446"/>
      <c r="E23" s="3426"/>
      <c r="F23" s="3447"/>
      <c r="H23" s="3448"/>
    </row>
    <row r="24" spans="1:10" ht="15.75" thickBot="1">
      <c r="A24" s="3449"/>
      <c r="B24" s="3450"/>
      <c r="C24" s="3451"/>
      <c r="D24" s="3452"/>
      <c r="E24" s="3453" t="s">
        <v>220</v>
      </c>
      <c r="F24" s="3454">
        <f>SUM(F3:F23)</f>
        <v>63500</v>
      </c>
      <c r="I24" s="3455"/>
    </row>
    <row r="25" spans="1:10">
      <c r="A25" s="3449"/>
      <c r="B25" s="3452"/>
      <c r="C25" s="3424">
        <v>2312</v>
      </c>
      <c r="D25" s="3452"/>
      <c r="E25" s="3453"/>
      <c r="F25" s="3456">
        <f>F3+F8+F13</f>
        <v>8000</v>
      </c>
      <c r="I25" s="3455"/>
    </row>
    <row r="26" spans="1:10">
      <c r="A26" s="3449"/>
      <c r="B26" s="3452"/>
      <c r="C26" s="3431">
        <v>2239</v>
      </c>
      <c r="D26" s="3452"/>
      <c r="E26" s="3453"/>
      <c r="F26" s="3456">
        <f>F4+F6+F9+F10+F15</f>
        <v>55500</v>
      </c>
    </row>
    <row r="27" spans="1:10">
      <c r="A27" s="3452"/>
    </row>
    <row r="28" spans="1:10">
      <c r="A28" s="3459"/>
      <c r="B28" s="3459"/>
      <c r="C28" s="3460"/>
      <c r="D28" s="3459"/>
      <c r="E28" s="3461"/>
      <c r="F28" s="3462"/>
      <c r="G28" s="3463"/>
      <c r="H28" s="3464">
        <f>F24</f>
        <v>63500</v>
      </c>
    </row>
    <row r="29" spans="1:10">
      <c r="A29" s="3452"/>
      <c r="B29" s="3452"/>
      <c r="C29" s="3451"/>
      <c r="D29" s="3452"/>
      <c r="E29" s="3453"/>
      <c r="F29" s="3455"/>
    </row>
    <row r="30" spans="1:10">
      <c r="A30" s="4842" t="s">
        <v>2527</v>
      </c>
      <c r="B30" s="4842"/>
      <c r="C30" s="4842"/>
      <c r="D30" s="3412" t="s">
        <v>2528</v>
      </c>
      <c r="E30" s="3453"/>
      <c r="F30" s="3455"/>
    </row>
    <row r="31" spans="1:10" ht="60">
      <c r="A31" s="3465">
        <v>1</v>
      </c>
      <c r="B31" s="3421" t="s">
        <v>2529</v>
      </c>
      <c r="C31" s="3420" t="s">
        <v>2530</v>
      </c>
      <c r="D31" s="3466" t="s">
        <v>2531</v>
      </c>
      <c r="E31" s="3467">
        <v>30000</v>
      </c>
      <c r="F31" s="3468">
        <f>E31</f>
        <v>30000</v>
      </c>
      <c r="H31" s="3469" t="s">
        <v>2532</v>
      </c>
      <c r="J31" s="3416" t="s">
        <v>2533</v>
      </c>
    </row>
    <row r="32" spans="1:10" ht="75">
      <c r="A32" s="3470"/>
      <c r="B32" s="3421"/>
      <c r="C32" s="3470"/>
      <c r="D32" s="3471" t="s">
        <v>2534</v>
      </c>
      <c r="E32" s="3472" t="s">
        <v>2535</v>
      </c>
      <c r="F32" s="3473">
        <v>11000</v>
      </c>
      <c r="H32" s="3469" t="s">
        <v>2536</v>
      </c>
      <c r="J32" s="3449" t="s">
        <v>2537</v>
      </c>
    </row>
    <row r="33" spans="1:10" ht="105">
      <c r="A33" s="3470"/>
      <c r="B33" s="3421"/>
      <c r="C33" s="3470"/>
      <c r="D33" s="3466" t="s">
        <v>2538</v>
      </c>
      <c r="E33" s="3467" t="s">
        <v>2539</v>
      </c>
      <c r="F33" s="3474" t="s">
        <v>2540</v>
      </c>
      <c r="H33" s="3469" t="s">
        <v>2541</v>
      </c>
      <c r="J33" s="3449" t="s">
        <v>2542</v>
      </c>
    </row>
    <row r="34" spans="1:10" ht="15" customHeight="1">
      <c r="A34" s="3463"/>
      <c r="B34" s="3463"/>
      <c r="C34" s="3475"/>
      <c r="D34" s="3463"/>
      <c r="E34" s="3476"/>
      <c r="F34" s="3477"/>
      <c r="G34" s="3463"/>
      <c r="H34" s="3478">
        <f>F32</f>
        <v>11000</v>
      </c>
      <c r="J34" s="3416" t="s">
        <v>4782</v>
      </c>
    </row>
    <row r="35" spans="1:10">
      <c r="A35" s="3470"/>
      <c r="B35" s="3420"/>
      <c r="C35" s="3470"/>
      <c r="D35" s="3479"/>
      <c r="E35" s="3480"/>
      <c r="F35" s="3468"/>
    </row>
    <row r="36" spans="1:10">
      <c r="A36" s="4842" t="s">
        <v>2543</v>
      </c>
      <c r="B36" s="4842"/>
      <c r="C36" s="4842"/>
      <c r="D36" s="3412" t="s">
        <v>2544</v>
      </c>
      <c r="E36" s="3480"/>
      <c r="F36" s="3481"/>
    </row>
    <row r="37" spans="1:10" ht="60">
      <c r="A37" s="4843">
        <v>1</v>
      </c>
      <c r="B37" s="4845" t="s">
        <v>2545</v>
      </c>
      <c r="C37" s="3470"/>
      <c r="D37" s="3419" t="s">
        <v>2546</v>
      </c>
      <c r="E37" s="3422">
        <v>18000</v>
      </c>
      <c r="F37" s="3482">
        <f>E37</f>
        <v>18000</v>
      </c>
      <c r="H37" s="3449" t="s">
        <v>2547</v>
      </c>
      <c r="J37" s="3440"/>
    </row>
    <row r="38" spans="1:10" ht="30">
      <c r="A38" s="4844"/>
      <c r="B38" s="4846"/>
      <c r="C38" s="3470"/>
      <c r="D38" s="3419" t="s">
        <v>2548</v>
      </c>
      <c r="E38" s="3422">
        <v>20000</v>
      </c>
      <c r="F38" s="3482">
        <f>E38</f>
        <v>20000</v>
      </c>
      <c r="H38" s="3449"/>
      <c r="J38" s="3440"/>
    </row>
    <row r="39" spans="1:10" ht="45">
      <c r="A39" s="3423">
        <v>2</v>
      </c>
      <c r="B39" s="3483" t="s">
        <v>2549</v>
      </c>
      <c r="C39" s="3423"/>
      <c r="D39" s="3419" t="s">
        <v>4783</v>
      </c>
      <c r="E39" s="3422">
        <v>30000</v>
      </c>
      <c r="F39" s="3484">
        <f>E39</f>
        <v>30000</v>
      </c>
      <c r="H39" s="3449" t="s">
        <v>4784</v>
      </c>
      <c r="J39" s="3440"/>
    </row>
    <row r="40" spans="1:10">
      <c r="A40" s="3463"/>
      <c r="B40" s="3463"/>
      <c r="C40" s="3475"/>
      <c r="D40" s="3463"/>
      <c r="E40" s="3476"/>
      <c r="F40" s="3477"/>
      <c r="G40" s="3463"/>
      <c r="H40" s="3464">
        <f>F37+F38+F39</f>
        <v>68000</v>
      </c>
    </row>
    <row r="41" spans="1:10" ht="15" customHeight="1">
      <c r="B41" s="3485" t="s">
        <v>2520</v>
      </c>
      <c r="C41" s="3485"/>
      <c r="D41" s="3485"/>
      <c r="H41" s="3417"/>
    </row>
    <row r="42" spans="1:10" ht="45">
      <c r="A42" s="3465">
        <v>1</v>
      </c>
      <c r="B42" s="3421" t="s">
        <v>2521</v>
      </c>
      <c r="C42" s="3470"/>
      <c r="D42" s="3430" t="s">
        <v>2522</v>
      </c>
      <c r="E42" s="3486">
        <v>45000</v>
      </c>
      <c r="F42" s="3482"/>
      <c r="H42" s="3417"/>
    </row>
    <row r="43" spans="1:10">
      <c r="A43" s="3465">
        <v>2</v>
      </c>
      <c r="B43" s="3430" t="s">
        <v>2523</v>
      </c>
      <c r="C43" s="3470"/>
      <c r="D43" s="3430" t="s">
        <v>2524</v>
      </c>
      <c r="E43" s="3486">
        <v>4600</v>
      </c>
      <c r="F43" s="3482"/>
      <c r="H43" s="3417"/>
    </row>
    <row r="44" spans="1:10" ht="30">
      <c r="A44" s="3465">
        <v>3</v>
      </c>
      <c r="B44" s="3430" t="s">
        <v>2525</v>
      </c>
      <c r="C44" s="3470"/>
      <c r="D44" s="3419" t="s">
        <v>2526</v>
      </c>
      <c r="E44" s="3486">
        <v>0</v>
      </c>
      <c r="F44" s="3482">
        <f>E44</f>
        <v>0</v>
      </c>
      <c r="H44" s="3417"/>
    </row>
    <row r="45" spans="1:10">
      <c r="A45" s="3477"/>
      <c r="B45" s="3463"/>
      <c r="C45" s="3475"/>
      <c r="D45" s="3463"/>
      <c r="E45" s="3476"/>
      <c r="F45" s="3477"/>
      <c r="G45" s="3463"/>
      <c r="H45" s="3464">
        <f>F42+F43+F44</f>
        <v>0</v>
      </c>
    </row>
    <row r="46" spans="1:10">
      <c r="A46" s="3429"/>
    </row>
    <row r="47" spans="1:10">
      <c r="A47" s="4847" t="s">
        <v>2550</v>
      </c>
      <c r="B47" s="4848"/>
      <c r="C47" s="4848"/>
      <c r="D47" s="3487" t="s">
        <v>2544</v>
      </c>
      <c r="E47" s="3486"/>
      <c r="F47" s="3465"/>
    </row>
    <row r="48" spans="1:10" ht="30">
      <c r="A48" s="3488">
        <v>1</v>
      </c>
      <c r="B48" s="3489" t="s">
        <v>4785</v>
      </c>
      <c r="C48" s="3488"/>
      <c r="D48" s="3490" t="s">
        <v>4786</v>
      </c>
      <c r="E48" s="3491">
        <v>5600</v>
      </c>
      <c r="F48" s="3492">
        <f>E48</f>
        <v>5600</v>
      </c>
      <c r="H48" s="3449"/>
    </row>
    <row r="49" spans="1:8" ht="45">
      <c r="A49" s="3492">
        <v>2</v>
      </c>
      <c r="B49" s="3493" t="s">
        <v>2551</v>
      </c>
      <c r="C49" s="3488"/>
      <c r="D49" s="3438" t="s">
        <v>2552</v>
      </c>
      <c r="E49" s="3494">
        <v>30000</v>
      </c>
      <c r="F49" s="3495">
        <f>E49</f>
        <v>30000</v>
      </c>
      <c r="H49" s="3449" t="s">
        <v>2553</v>
      </c>
    </row>
    <row r="50" spans="1:8">
      <c r="A50" s="3492">
        <v>3</v>
      </c>
      <c r="B50" s="3493" t="s">
        <v>2554</v>
      </c>
      <c r="C50" s="3496"/>
      <c r="D50" s="3497" t="s">
        <v>2555</v>
      </c>
      <c r="E50" s="3491">
        <v>1000</v>
      </c>
      <c r="F50" s="3495">
        <f>E50</f>
        <v>1000</v>
      </c>
      <c r="H50" s="3449" t="s">
        <v>2556</v>
      </c>
    </row>
    <row r="51" spans="1:8" ht="135">
      <c r="A51" s="3492">
        <v>4</v>
      </c>
      <c r="B51" s="3498" t="s">
        <v>2557</v>
      </c>
      <c r="C51" s="3496"/>
      <c r="D51" s="3497" t="s">
        <v>4787</v>
      </c>
      <c r="E51" s="3491">
        <v>5000</v>
      </c>
      <c r="F51" s="3495">
        <f>E51</f>
        <v>5000</v>
      </c>
      <c r="H51" s="3449" t="s">
        <v>2558</v>
      </c>
    </row>
    <row r="52" spans="1:8" s="3500" customFormat="1" ht="60">
      <c r="A52" s="3492">
        <v>5</v>
      </c>
      <c r="B52" s="3497" t="s">
        <v>2559</v>
      </c>
      <c r="C52" s="3499" t="s">
        <v>2560</v>
      </c>
      <c r="D52" s="3497" t="s">
        <v>2561</v>
      </c>
      <c r="E52" s="3491">
        <v>20000</v>
      </c>
      <c r="F52" s="3495">
        <f>E52</f>
        <v>20000</v>
      </c>
    </row>
    <row r="53" spans="1:8" s="3500" customFormat="1" ht="30">
      <c r="A53" s="3492"/>
      <c r="B53" s="3497" t="s">
        <v>4788</v>
      </c>
      <c r="C53" s="3499"/>
      <c r="D53" s="3497" t="s">
        <v>4789</v>
      </c>
      <c r="E53" s="3491"/>
      <c r="F53" s="3495">
        <v>3000</v>
      </c>
    </row>
    <row r="54" spans="1:8">
      <c r="A54" s="3465"/>
      <c r="B54" s="3419" t="s">
        <v>2562</v>
      </c>
      <c r="C54" s="3470"/>
      <c r="D54" s="3430" t="s">
        <v>2563</v>
      </c>
      <c r="E54" s="3486">
        <v>25000</v>
      </c>
      <c r="F54" s="3492"/>
      <c r="H54" s="3449"/>
    </row>
    <row r="55" spans="1:8" ht="30">
      <c r="A55" s="3465"/>
      <c r="B55" s="3419" t="s">
        <v>2564</v>
      </c>
      <c r="C55" s="3470"/>
      <c r="D55" s="3419" t="s">
        <v>2565</v>
      </c>
      <c r="E55" s="3486"/>
      <c r="F55" s="3465"/>
    </row>
    <row r="56" spans="1:8" ht="30">
      <c r="A56" s="3465"/>
      <c r="B56" s="3501" t="s">
        <v>2566</v>
      </c>
      <c r="C56" s="3470"/>
      <c r="D56" s="3430" t="s">
        <v>2567</v>
      </c>
      <c r="E56" s="3486">
        <v>4660</v>
      </c>
      <c r="F56" s="3482"/>
      <c r="H56" s="3416" t="s">
        <v>2568</v>
      </c>
    </row>
    <row r="57" spans="1:8">
      <c r="A57" s="3465"/>
      <c r="B57" s="3419" t="s">
        <v>2569</v>
      </c>
      <c r="C57" s="3470"/>
      <c r="D57" s="3430" t="s">
        <v>2570</v>
      </c>
      <c r="E57" s="3486">
        <v>50000</v>
      </c>
      <c r="F57" s="3465"/>
    </row>
    <row r="58" spans="1:8" ht="45">
      <c r="A58" s="3465"/>
      <c r="B58" s="3501" t="s">
        <v>2571</v>
      </c>
      <c r="C58" s="3502"/>
      <c r="D58" s="3501" t="s">
        <v>2572</v>
      </c>
      <c r="E58" s="3486"/>
      <c r="F58" s="3465"/>
    </row>
    <row r="59" spans="1:8">
      <c r="A59" s="3477"/>
      <c r="B59" s="3503"/>
      <c r="C59" s="3475"/>
      <c r="D59" s="3463"/>
      <c r="E59" s="3476"/>
      <c r="F59" s="3477"/>
      <c r="G59" s="3463"/>
      <c r="H59" s="3464">
        <f>SUM(F49:F58)</f>
        <v>59000</v>
      </c>
    </row>
    <row r="60" spans="1:8">
      <c r="A60" s="3429"/>
      <c r="B60" s="3449"/>
    </row>
    <row r="61" spans="1:8">
      <c r="A61" s="3470"/>
      <c r="B61" s="3504" t="s">
        <v>4790</v>
      </c>
      <c r="C61" s="3470"/>
      <c r="D61" s="3430"/>
      <c r="E61" s="3486"/>
      <c r="F61" s="3465"/>
    </row>
    <row r="62" spans="1:8" ht="75">
      <c r="A62" s="3470">
        <v>1</v>
      </c>
      <c r="B62" s="3430" t="s">
        <v>4791</v>
      </c>
      <c r="C62" s="3470"/>
      <c r="D62" s="3419" t="s">
        <v>4792</v>
      </c>
      <c r="E62" s="3486"/>
      <c r="F62" s="3492">
        <v>900</v>
      </c>
    </row>
    <row r="63" spans="1:8">
      <c r="A63" s="3470">
        <v>2</v>
      </c>
      <c r="B63" s="3430" t="s">
        <v>4793</v>
      </c>
      <c r="C63" s="3470"/>
      <c r="D63" s="3430" t="s">
        <v>4794</v>
      </c>
      <c r="E63" s="3486"/>
      <c r="F63" s="3492">
        <v>900</v>
      </c>
    </row>
    <row r="64" spans="1:8">
      <c r="A64" s="3463"/>
      <c r="B64" s="3463"/>
      <c r="C64" s="3475"/>
      <c r="D64" s="3463"/>
      <c r="E64" s="3476"/>
      <c r="F64" s="3477"/>
      <c r="G64" s="3463"/>
      <c r="H64" s="3464">
        <f>F62+F63+G69</f>
        <v>1800</v>
      </c>
    </row>
  </sheetData>
  <mergeCells count="10">
    <mergeCell ref="A36:C36"/>
    <mergeCell ref="A37:A38"/>
    <mergeCell ref="B37:B38"/>
    <mergeCell ref="A47:C47"/>
    <mergeCell ref="G3:G13"/>
    <mergeCell ref="F6:F7"/>
    <mergeCell ref="F10:F12"/>
    <mergeCell ref="F15:F22"/>
    <mergeCell ref="G15:G20"/>
    <mergeCell ref="A30:C30"/>
  </mergeCells>
  <conditionalFormatting sqref="B28:B29 B24:B26">
    <cfRule type="colorScale" priority="1">
      <colorScale>
        <cfvo type="min"/>
        <cfvo type="percentile" val="50"/>
        <cfvo type="max"/>
        <color rgb="FFF8696B"/>
        <color rgb="FFFFEB84"/>
        <color rgb="FF63BE7B"/>
      </colorScale>
    </cfRule>
  </conditionalFormatting>
  <pageMargins left="0.7" right="0.7" top="0.75" bottom="0.75" header="0.3" footer="0.3"/>
  <pageSetup paperSize="9" scale="3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5336C-482D-4D59-BD84-D1B131A1B242}">
  <sheetPr codeName="Lapa15">
    <tabColor theme="7" tint="0.59999389629810485"/>
  </sheetPr>
  <dimension ref="A3:N622"/>
  <sheetViews>
    <sheetView topLeftCell="A294" zoomScale="98" zoomScaleNormal="98" workbookViewId="0">
      <selection activeCell="I305" sqref="I305"/>
    </sheetView>
  </sheetViews>
  <sheetFormatPr defaultRowHeight="12"/>
  <cols>
    <col min="2" max="2" width="27.7109375" customWidth="1"/>
    <col min="3" max="3" width="41.85546875" customWidth="1"/>
    <col min="4" max="4" width="21.85546875" customWidth="1"/>
    <col min="5" max="5" width="26.42578125" customWidth="1"/>
    <col min="6" max="6" width="14.7109375" customWidth="1"/>
    <col min="7" max="7" width="19.140625" customWidth="1"/>
  </cols>
  <sheetData>
    <row r="3" spans="2:8" ht="15">
      <c r="B3" s="3129" t="s">
        <v>4133</v>
      </c>
      <c r="C3" s="3130"/>
      <c r="D3" s="3130"/>
      <c r="E3" s="3130"/>
    </row>
    <row r="4" spans="2:8" ht="15">
      <c r="B4" s="3131" t="s">
        <v>4134</v>
      </c>
      <c r="C4" s="3132" t="s">
        <v>4135</v>
      </c>
      <c r="D4" s="3132" t="s">
        <v>4136</v>
      </c>
      <c r="E4" s="3133" t="s">
        <v>4137</v>
      </c>
    </row>
    <row r="5" spans="2:8" ht="30.6" customHeight="1">
      <c r="B5" s="3134" t="s">
        <v>4138</v>
      </c>
      <c r="C5" s="3135">
        <v>1</v>
      </c>
      <c r="D5" s="3136">
        <v>150</v>
      </c>
      <c r="E5" s="3136">
        <f>C5*D5*10*1.2359</f>
        <v>1853.85</v>
      </c>
    </row>
    <row r="6" spans="2:8" ht="45" customHeight="1">
      <c r="B6" s="3137" t="s">
        <v>4139</v>
      </c>
      <c r="C6" s="3135">
        <v>2</v>
      </c>
      <c r="D6" s="3136">
        <v>150</v>
      </c>
      <c r="E6" s="3136">
        <f>C6*D6*10*1.2359</f>
        <v>3707.7</v>
      </c>
    </row>
    <row r="7" spans="2:8" ht="15">
      <c r="B7" s="3138"/>
      <c r="C7" s="3138"/>
      <c r="D7" s="3139" t="s">
        <v>4140</v>
      </c>
      <c r="E7" s="3140">
        <f>E5+E6</f>
        <v>5561.5499999999993</v>
      </c>
    </row>
    <row r="8" spans="2:8">
      <c r="H8" s="1242"/>
    </row>
    <row r="9" spans="2:8" ht="15">
      <c r="B9" s="3141" t="s">
        <v>4141</v>
      </c>
      <c r="C9" s="3130"/>
      <c r="D9" s="3130"/>
      <c r="E9" s="3130"/>
    </row>
    <row r="10" spans="2:8" ht="30">
      <c r="B10" s="3142" t="s">
        <v>221</v>
      </c>
      <c r="C10" s="3143" t="s">
        <v>4142</v>
      </c>
      <c r="D10" s="3144" t="s">
        <v>4136</v>
      </c>
      <c r="E10" s="3133" t="s">
        <v>4137</v>
      </c>
    </row>
    <row r="11" spans="2:8" ht="15">
      <c r="B11" s="3145" t="s">
        <v>4143</v>
      </c>
      <c r="C11" s="3143">
        <v>20</v>
      </c>
      <c r="D11" s="3146">
        <f>D12*2</f>
        <v>46.964199999999998</v>
      </c>
      <c r="E11" s="3146">
        <f>C11*D11</f>
        <v>939.28399999999999</v>
      </c>
    </row>
    <row r="12" spans="2:8" ht="75">
      <c r="B12" s="3147" t="s">
        <v>4144</v>
      </c>
      <c r="C12" s="3148">
        <v>20</v>
      </c>
      <c r="D12" s="3149">
        <v>23.482099999999999</v>
      </c>
      <c r="E12" s="3149">
        <v>469.642</v>
      </c>
    </row>
    <row r="13" spans="2:8" ht="15">
      <c r="B13" s="3138"/>
      <c r="C13" s="3138"/>
      <c r="D13" s="3139" t="s">
        <v>4140</v>
      </c>
      <c r="E13" s="3150">
        <f>E11+E12</f>
        <v>1408.9259999999999</v>
      </c>
    </row>
    <row r="16" spans="2:8" ht="15">
      <c r="B16" s="3141" t="s">
        <v>4145</v>
      </c>
      <c r="C16" s="3130"/>
      <c r="D16" s="3130"/>
      <c r="E16" s="3130"/>
    </row>
    <row r="17" spans="2:7" ht="30">
      <c r="B17" s="3142" t="s">
        <v>221</v>
      </c>
      <c r="C17" s="3143" t="s">
        <v>4142</v>
      </c>
      <c r="D17" s="3144" t="s">
        <v>4136</v>
      </c>
      <c r="E17" s="3133" t="s">
        <v>4137</v>
      </c>
    </row>
    <row r="18" spans="2:7" ht="45">
      <c r="B18" s="3151" t="s">
        <v>4146</v>
      </c>
      <c r="C18" s="3143">
        <v>4</v>
      </c>
      <c r="D18" s="3146">
        <f>23.481*4</f>
        <v>93.924000000000007</v>
      </c>
      <c r="E18" s="3146">
        <f>D18*4</f>
        <v>375.69600000000003</v>
      </c>
    </row>
    <row r="19" spans="2:7" ht="15">
      <c r="B19" s="3147"/>
      <c r="C19" s="3148"/>
      <c r="D19" s="3149"/>
      <c r="E19" s="3149"/>
    </row>
    <row r="20" spans="2:7" ht="15">
      <c r="B20" s="3138"/>
      <c r="C20" s="3138"/>
      <c r="D20" s="3139" t="s">
        <v>4140</v>
      </c>
      <c r="E20" s="3150">
        <f>E18+E19</f>
        <v>375.69600000000003</v>
      </c>
    </row>
    <row r="21" spans="2:7">
      <c r="G21" s="1242"/>
    </row>
    <row r="23" spans="2:7" ht="15">
      <c r="B23" s="3141" t="s">
        <v>4147</v>
      </c>
      <c r="C23" s="3130"/>
      <c r="D23" s="3130"/>
      <c r="E23" s="3130"/>
      <c r="F23" s="1981"/>
    </row>
    <row r="24" spans="2:7" ht="30">
      <c r="B24" s="3142" t="s">
        <v>221</v>
      </c>
      <c r="C24" s="3142" t="s">
        <v>4148</v>
      </c>
      <c r="D24" s="3143" t="s">
        <v>4142</v>
      </c>
      <c r="E24" s="3144" t="s">
        <v>4136</v>
      </c>
      <c r="F24" s="3133" t="s">
        <v>4137</v>
      </c>
    </row>
    <row r="25" spans="2:7" ht="45">
      <c r="B25" s="3134" t="s">
        <v>4149</v>
      </c>
      <c r="C25" s="3152">
        <v>4</v>
      </c>
      <c r="D25" s="3143">
        <v>15</v>
      </c>
      <c r="E25" s="3146">
        <f>C25*7*23.48</f>
        <v>657.44</v>
      </c>
      <c r="F25" s="3146">
        <f>E25*D25</f>
        <v>9861.6</v>
      </c>
    </row>
    <row r="26" spans="2:7" ht="75">
      <c r="B26" s="3134" t="s">
        <v>4150</v>
      </c>
      <c r="C26" s="3152">
        <v>1</v>
      </c>
      <c r="D26" s="3143">
        <v>15</v>
      </c>
      <c r="E26" s="3146">
        <f>C26*10*23.48</f>
        <v>234.8</v>
      </c>
      <c r="F26" s="3146">
        <f>E26*D26</f>
        <v>3522</v>
      </c>
    </row>
    <row r="27" spans="2:7" ht="75">
      <c r="B27" s="3137" t="s">
        <v>4151</v>
      </c>
      <c r="C27" s="3137">
        <v>1</v>
      </c>
      <c r="D27" s="3148">
        <v>15</v>
      </c>
      <c r="E27" s="3146">
        <f>1*7*23.48</f>
        <v>164.36</v>
      </c>
      <c r="F27" s="3149">
        <f>E27*D27</f>
        <v>2465.4</v>
      </c>
    </row>
    <row r="28" spans="2:7" ht="15">
      <c r="B28" s="3138"/>
      <c r="C28" s="3138"/>
      <c r="D28" s="3139" t="s">
        <v>4140</v>
      </c>
      <c r="E28" s="1242">
        <f>SUM(E25:E27)</f>
        <v>1056.5999999999999</v>
      </c>
      <c r="F28" s="3150">
        <f>F25+F27+F26</f>
        <v>15849</v>
      </c>
    </row>
    <row r="30" spans="2:7" ht="15">
      <c r="B30" s="3129" t="s">
        <v>4152</v>
      </c>
      <c r="C30" s="3153"/>
      <c r="D30" s="3130"/>
      <c r="E30" s="3130"/>
      <c r="F30" s="1981"/>
    </row>
    <row r="31" spans="2:7" ht="15">
      <c r="B31" s="3131" t="s">
        <v>4134</v>
      </c>
      <c r="C31" s="3132" t="s">
        <v>4135</v>
      </c>
      <c r="D31" t="s">
        <v>4153</v>
      </c>
      <c r="E31" s="3132" t="s">
        <v>4136</v>
      </c>
      <c r="F31" s="3133" t="s">
        <v>4137</v>
      </c>
    </row>
    <row r="32" spans="2:7" ht="15">
      <c r="B32" s="3154" t="s">
        <v>1614</v>
      </c>
      <c r="C32" s="3135">
        <v>3</v>
      </c>
      <c r="D32" s="3155">
        <v>2376.52</v>
      </c>
      <c r="E32" s="3136">
        <f>D32*0.15*1.2359</f>
        <v>440.57116020000001</v>
      </c>
      <c r="F32" s="3136">
        <f>E32*C32</f>
        <v>1321.7134805999999</v>
      </c>
    </row>
    <row r="33" spans="2:6" ht="22.5">
      <c r="B33" s="3154" t="s">
        <v>1501</v>
      </c>
      <c r="C33" s="3135">
        <v>3</v>
      </c>
      <c r="D33" s="3155">
        <v>1920.72</v>
      </c>
      <c r="E33" s="3136">
        <f>D33*0.15*1.2359</f>
        <v>356.07267719999999</v>
      </c>
      <c r="F33" s="3136">
        <f t="shared" ref="F33:F41" si="0">E33*C33</f>
        <v>1068.2180315999999</v>
      </c>
    </row>
    <row r="34" spans="2:6" ht="15">
      <c r="B34" s="3154" t="s">
        <v>1499</v>
      </c>
      <c r="C34" s="3135">
        <v>3</v>
      </c>
      <c r="D34" s="3155">
        <v>1530.64</v>
      </c>
      <c r="E34" s="3136">
        <f t="shared" ref="E34:E41" si="1">D34*0.15*1.2359</f>
        <v>283.75769639999999</v>
      </c>
      <c r="F34" s="3136">
        <f t="shared" si="0"/>
        <v>851.27308919999996</v>
      </c>
    </row>
    <row r="35" spans="2:6" ht="15">
      <c r="B35" s="3154" t="s">
        <v>1502</v>
      </c>
      <c r="C35" s="3135">
        <v>3</v>
      </c>
      <c r="D35" s="3155">
        <v>1530.64</v>
      </c>
      <c r="E35" s="3136">
        <f t="shared" si="1"/>
        <v>283.75769639999999</v>
      </c>
      <c r="F35" s="3136">
        <f t="shared" si="0"/>
        <v>851.27308919999996</v>
      </c>
    </row>
    <row r="36" spans="2:6" ht="15">
      <c r="B36" s="3154" t="s">
        <v>1500</v>
      </c>
      <c r="C36" s="3135">
        <v>3</v>
      </c>
      <c r="D36" s="3155">
        <v>1530.64</v>
      </c>
      <c r="E36" s="3136">
        <f t="shared" si="1"/>
        <v>283.75769639999999</v>
      </c>
      <c r="F36" s="3136">
        <f t="shared" si="0"/>
        <v>851.27308919999996</v>
      </c>
    </row>
    <row r="37" spans="2:6" ht="15">
      <c r="B37" s="3156" t="s">
        <v>3263</v>
      </c>
      <c r="C37" s="3135">
        <v>3</v>
      </c>
      <c r="D37" s="3155">
        <v>1530.64</v>
      </c>
      <c r="E37" s="3136">
        <f t="shared" si="1"/>
        <v>283.75769639999999</v>
      </c>
      <c r="F37" s="3136">
        <f t="shared" si="0"/>
        <v>851.27308919999996</v>
      </c>
    </row>
    <row r="38" spans="2:6" ht="15">
      <c r="B38" s="3156" t="s">
        <v>3264</v>
      </c>
      <c r="C38" s="3135">
        <v>3</v>
      </c>
      <c r="D38" s="3155">
        <v>1530.64</v>
      </c>
      <c r="E38" s="3136">
        <f t="shared" si="1"/>
        <v>283.75769639999999</v>
      </c>
      <c r="F38" s="3136">
        <f t="shared" si="0"/>
        <v>851.27308919999996</v>
      </c>
    </row>
    <row r="39" spans="2:6" ht="15">
      <c r="B39" s="3156" t="s">
        <v>3265</v>
      </c>
      <c r="C39" s="3135">
        <v>3</v>
      </c>
      <c r="D39" s="3155">
        <v>1471.28</v>
      </c>
      <c r="E39" s="3136">
        <f t="shared" si="1"/>
        <v>272.75324279999995</v>
      </c>
      <c r="F39" s="3136">
        <f t="shared" si="0"/>
        <v>818.25972839999986</v>
      </c>
    </row>
    <row r="40" spans="2:6" ht="15">
      <c r="B40" s="3157" t="s">
        <v>4154</v>
      </c>
      <c r="C40" s="3135">
        <v>3</v>
      </c>
      <c r="D40" s="3155">
        <v>735.64</v>
      </c>
      <c r="E40" s="3136">
        <f t="shared" si="1"/>
        <v>136.37662139999998</v>
      </c>
      <c r="F40" s="3136">
        <f t="shared" si="0"/>
        <v>409.12986419999993</v>
      </c>
    </row>
    <row r="41" spans="2:6" ht="15">
      <c r="B41" s="3157" t="s">
        <v>4155</v>
      </c>
      <c r="C41" s="3135">
        <v>3</v>
      </c>
      <c r="D41" s="3155">
        <v>735.64</v>
      </c>
      <c r="E41" s="3136">
        <f t="shared" si="1"/>
        <v>136.37662139999998</v>
      </c>
      <c r="F41" s="3136">
        <f t="shared" si="0"/>
        <v>409.12986419999993</v>
      </c>
    </row>
    <row r="42" spans="2:6" ht="15">
      <c r="E42" s="3139" t="s">
        <v>4140</v>
      </c>
      <c r="F42" s="3140">
        <f>SUM(F32:F41)</f>
        <v>8282.8164149999993</v>
      </c>
    </row>
    <row r="46" spans="2:6" ht="15">
      <c r="B46" s="3129" t="s">
        <v>4156</v>
      </c>
      <c r="C46" s="3153"/>
      <c r="D46" s="3130"/>
      <c r="E46" s="3130"/>
      <c r="F46" s="1981"/>
    </row>
    <row r="47" spans="2:6">
      <c r="B47" s="3158" t="s">
        <v>1141</v>
      </c>
      <c r="C47" s="3158" t="s">
        <v>4157</v>
      </c>
      <c r="D47" s="3158" t="s">
        <v>4158</v>
      </c>
      <c r="E47" s="3158" t="s">
        <v>4159</v>
      </c>
      <c r="F47" s="3158" t="s">
        <v>4160</v>
      </c>
    </row>
    <row r="48" spans="2:6" ht="12.75">
      <c r="B48" s="3159">
        <v>1</v>
      </c>
      <c r="C48" s="3159" t="s">
        <v>4161</v>
      </c>
      <c r="D48" s="3159">
        <v>45</v>
      </c>
      <c r="E48" s="3160">
        <f>D48*11</f>
        <v>495</v>
      </c>
      <c r="F48" s="3026">
        <f>E48*1.7</f>
        <v>841.5</v>
      </c>
    </row>
    <row r="49" spans="2:6" ht="12.75">
      <c r="B49" s="3159">
        <v>2</v>
      </c>
      <c r="C49" s="3159" t="s">
        <v>4162</v>
      </c>
      <c r="D49" s="3159">
        <v>80</v>
      </c>
      <c r="E49" s="3160">
        <f>D49*3</f>
        <v>240</v>
      </c>
      <c r="F49" s="3026">
        <f t="shared" ref="F49:F55" si="2">E49*1.7</f>
        <v>408</v>
      </c>
    </row>
    <row r="50" spans="2:6" ht="12.75">
      <c r="B50" s="3159">
        <v>3</v>
      </c>
      <c r="C50" s="3159" t="s">
        <v>4163</v>
      </c>
      <c r="D50" s="3159">
        <v>15</v>
      </c>
      <c r="E50" s="3160">
        <f t="shared" ref="E50:E55" si="3">D50*11</f>
        <v>165</v>
      </c>
      <c r="F50" s="3026">
        <f t="shared" si="2"/>
        <v>280.5</v>
      </c>
    </row>
    <row r="51" spans="2:6" ht="12.75">
      <c r="B51" s="3159">
        <v>4</v>
      </c>
      <c r="C51" s="3159" t="s">
        <v>4164</v>
      </c>
      <c r="D51" s="3159">
        <v>15</v>
      </c>
      <c r="E51" s="3160">
        <f t="shared" si="3"/>
        <v>165</v>
      </c>
      <c r="F51" s="3026">
        <f t="shared" si="2"/>
        <v>280.5</v>
      </c>
    </row>
    <row r="52" spans="2:6" ht="12.75">
      <c r="B52" s="3159">
        <v>5</v>
      </c>
      <c r="C52" s="3159" t="s">
        <v>4164</v>
      </c>
      <c r="D52" s="3159">
        <v>30</v>
      </c>
      <c r="E52" s="3160">
        <f t="shared" si="3"/>
        <v>330</v>
      </c>
      <c r="F52" s="3026">
        <f t="shared" si="2"/>
        <v>561</v>
      </c>
    </row>
    <row r="53" spans="2:6" ht="33" customHeight="1">
      <c r="B53" s="3159">
        <v>6</v>
      </c>
      <c r="C53" s="3159" t="s">
        <v>4165</v>
      </c>
      <c r="D53" s="3159">
        <v>30</v>
      </c>
      <c r="E53" s="3160">
        <f t="shared" si="3"/>
        <v>330</v>
      </c>
      <c r="F53" s="3026">
        <f t="shared" si="2"/>
        <v>561</v>
      </c>
    </row>
    <row r="54" spans="2:6" ht="12.75">
      <c r="B54" s="3159">
        <v>7</v>
      </c>
      <c r="C54" s="3159" t="s">
        <v>4166</v>
      </c>
      <c r="D54" s="3159">
        <v>30</v>
      </c>
      <c r="E54" s="3160">
        <f t="shared" si="3"/>
        <v>330</v>
      </c>
      <c r="F54" s="3026">
        <f t="shared" si="2"/>
        <v>561</v>
      </c>
    </row>
    <row r="55" spans="2:6" ht="12.75">
      <c r="B55" s="3159">
        <v>8</v>
      </c>
      <c r="C55" s="3159" t="s">
        <v>4167</v>
      </c>
      <c r="D55" s="3159">
        <v>30</v>
      </c>
      <c r="E55" s="3160">
        <f t="shared" si="3"/>
        <v>330</v>
      </c>
      <c r="F55" s="3026">
        <f t="shared" si="2"/>
        <v>561</v>
      </c>
    </row>
    <row r="56" spans="2:6" ht="12.75">
      <c r="B56" s="3159">
        <v>9</v>
      </c>
      <c r="C56" s="3159" t="s">
        <v>4168</v>
      </c>
      <c r="D56" s="3159"/>
      <c r="E56" s="3160">
        <v>100</v>
      </c>
      <c r="F56" s="3026">
        <f>E56*1.95</f>
        <v>195</v>
      </c>
    </row>
    <row r="57" spans="2:6" ht="12.75">
      <c r="B57" s="3159">
        <v>10</v>
      </c>
      <c r="C57" s="3159" t="s">
        <v>4169</v>
      </c>
      <c r="D57" s="3159"/>
      <c r="E57" s="3160">
        <v>72</v>
      </c>
      <c r="F57" s="3026">
        <f>E57*1.95</f>
        <v>140.4</v>
      </c>
    </row>
    <row r="58" spans="2:6" ht="12.75">
      <c r="B58" s="3159">
        <v>11</v>
      </c>
      <c r="C58" s="3159" t="s">
        <v>4170</v>
      </c>
      <c r="D58" s="3159"/>
      <c r="E58" s="3160">
        <v>72</v>
      </c>
      <c r="F58" s="3026">
        <f>E58*1.95</f>
        <v>140.4</v>
      </c>
    </row>
    <row r="59" spans="2:6" ht="12.75">
      <c r="B59" s="3161"/>
      <c r="C59" s="3026"/>
      <c r="D59" s="3026" t="s">
        <v>219</v>
      </c>
      <c r="E59" s="3026">
        <f>SUM(E48:E58)</f>
        <v>2629</v>
      </c>
      <c r="F59" s="3026">
        <f>SUM(F48:F58)</f>
        <v>4530.2999999999993</v>
      </c>
    </row>
    <row r="60" spans="2:6" ht="12.75">
      <c r="B60" s="3162"/>
    </row>
    <row r="63" spans="2:6" ht="15">
      <c r="B63" s="3129" t="s">
        <v>4171</v>
      </c>
      <c r="C63" s="1981"/>
      <c r="D63" s="1981"/>
    </row>
    <row r="65" spans="1:5">
      <c r="A65" s="1981">
        <v>2239</v>
      </c>
      <c r="B65" s="1981" t="s">
        <v>4172</v>
      </c>
      <c r="C65" s="1981" t="s">
        <v>4136</v>
      </c>
    </row>
    <row r="66" spans="1:5" ht="15">
      <c r="B66" s="3163" t="s">
        <v>4173</v>
      </c>
      <c r="C66" s="3163">
        <v>120</v>
      </c>
    </row>
    <row r="67" spans="1:5" ht="15">
      <c r="B67" s="3163" t="s">
        <v>4174</v>
      </c>
      <c r="C67" s="3163">
        <v>150</v>
      </c>
    </row>
    <row r="68" spans="1:5" ht="15">
      <c r="B68" s="3163" t="s">
        <v>4175</v>
      </c>
      <c r="C68" s="3163">
        <v>500</v>
      </c>
    </row>
    <row r="69" spans="1:5" ht="15">
      <c r="B69" s="3163" t="s">
        <v>4176</v>
      </c>
      <c r="C69" s="3163">
        <v>800</v>
      </c>
    </row>
    <row r="70" spans="1:5" ht="15">
      <c r="B70" s="3164" t="s">
        <v>219</v>
      </c>
      <c r="C70" s="3164">
        <f>SUM(C66:C69)</f>
        <v>1570</v>
      </c>
    </row>
    <row r="71" spans="1:5">
      <c r="A71" s="1981">
        <v>2390</v>
      </c>
      <c r="B71" s="1981" t="s">
        <v>4177</v>
      </c>
      <c r="C71" s="1981" t="s">
        <v>4136</v>
      </c>
    </row>
    <row r="72" spans="1:5" ht="15">
      <c r="B72" s="3163" t="s">
        <v>4178</v>
      </c>
      <c r="C72" s="3163">
        <v>350</v>
      </c>
    </row>
    <row r="73" spans="1:5" ht="15">
      <c r="B73" s="3163" t="s">
        <v>326</v>
      </c>
      <c r="C73" s="3163">
        <v>350</v>
      </c>
    </row>
    <row r="74" spans="1:5" ht="15">
      <c r="B74" s="3163" t="s">
        <v>4179</v>
      </c>
      <c r="C74" s="3163">
        <v>50</v>
      </c>
    </row>
    <row r="75" spans="1:5" ht="15">
      <c r="B75" s="3164" t="s">
        <v>219</v>
      </c>
      <c r="C75">
        <f>SUM(C72:C74)</f>
        <v>750</v>
      </c>
    </row>
    <row r="76" spans="1:5">
      <c r="A76" s="4882" t="s">
        <v>219</v>
      </c>
      <c r="B76" s="4882"/>
      <c r="C76" s="72">
        <f>C70+C75</f>
        <v>2320</v>
      </c>
    </row>
    <row r="79" spans="1:5" ht="15">
      <c r="B79" s="3129" t="s">
        <v>4180</v>
      </c>
      <c r="C79" s="1981"/>
      <c r="D79" s="1981"/>
      <c r="E79" s="1981"/>
    </row>
    <row r="80" spans="1:5" ht="15">
      <c r="B80" s="3165" t="s">
        <v>4181</v>
      </c>
      <c r="C80" s="3133" t="s">
        <v>4135</v>
      </c>
      <c r="D80" s="3133" t="s">
        <v>4136</v>
      </c>
      <c r="E80" s="3133" t="s">
        <v>4137</v>
      </c>
    </row>
    <row r="81" spans="1:7">
      <c r="B81" s="3028">
        <v>1</v>
      </c>
      <c r="C81" s="3028">
        <v>2</v>
      </c>
      <c r="D81" s="3028">
        <v>400</v>
      </c>
      <c r="E81" s="3028">
        <f>B81*C81*D81</f>
        <v>800</v>
      </c>
    </row>
    <row r="82" spans="1:7">
      <c r="B82" s="3028">
        <v>3</v>
      </c>
      <c r="C82" s="3028">
        <v>3</v>
      </c>
      <c r="D82" s="3028">
        <v>20</v>
      </c>
      <c r="E82" s="3028">
        <f>B82*C82*D82</f>
        <v>180</v>
      </c>
    </row>
    <row r="83" spans="1:7">
      <c r="D83" t="s">
        <v>219</v>
      </c>
      <c r="E83">
        <f>SUM(E81:E82)</f>
        <v>980</v>
      </c>
    </row>
    <row r="85" spans="1:7" ht="15">
      <c r="B85" s="3129" t="s">
        <v>4182</v>
      </c>
      <c r="C85" s="1981"/>
      <c r="D85" s="1981"/>
    </row>
    <row r="86" spans="1:7" ht="15">
      <c r="B86" s="3133" t="s">
        <v>4135</v>
      </c>
      <c r="C86" s="3133" t="s">
        <v>4136</v>
      </c>
      <c r="D86" s="3133" t="s">
        <v>4137</v>
      </c>
    </row>
    <row r="87" spans="1:7">
      <c r="B87" s="3028">
        <v>513</v>
      </c>
      <c r="C87" s="3028">
        <v>12.5</v>
      </c>
      <c r="D87" s="3028">
        <f>B87*C87</f>
        <v>6412.5</v>
      </c>
    </row>
    <row r="90" spans="1:7" ht="15">
      <c r="B90" s="3129" t="s">
        <v>4183</v>
      </c>
      <c r="C90" s="1981"/>
      <c r="D90" s="1981"/>
      <c r="E90" s="1981"/>
      <c r="F90" s="1981"/>
      <c r="G90" s="1981"/>
    </row>
    <row r="91" spans="1:7" ht="15">
      <c r="A91" s="3028"/>
      <c r="B91" s="3028" t="s">
        <v>4184</v>
      </c>
      <c r="C91" s="4883" t="s">
        <v>1337</v>
      </c>
      <c r="D91" s="4883"/>
      <c r="E91" s="3133" t="s">
        <v>4185</v>
      </c>
      <c r="F91" s="3133" t="s">
        <v>4136</v>
      </c>
      <c r="G91" s="3133" t="s">
        <v>4137</v>
      </c>
    </row>
    <row r="92" spans="1:7">
      <c r="A92" s="3028"/>
      <c r="B92" s="3028"/>
      <c r="C92" s="3028" t="s">
        <v>4186</v>
      </c>
      <c r="D92" s="3028" t="s">
        <v>4187</v>
      </c>
      <c r="E92" s="4876">
        <f>SUM(C93:D100)</f>
        <v>16</v>
      </c>
      <c r="F92" s="4876">
        <v>30</v>
      </c>
      <c r="G92" s="4876">
        <f>E92*F92</f>
        <v>480</v>
      </c>
    </row>
    <row r="93" spans="1:7">
      <c r="A93" s="3028">
        <v>1</v>
      </c>
      <c r="B93" s="3028" t="s">
        <v>4188</v>
      </c>
      <c r="C93" s="3028">
        <v>1</v>
      </c>
      <c r="D93" s="3028">
        <v>1</v>
      </c>
      <c r="E93" s="4876"/>
      <c r="F93" s="4876"/>
      <c r="G93" s="4876"/>
    </row>
    <row r="94" spans="1:7">
      <c r="A94" s="3028">
        <v>2</v>
      </c>
      <c r="B94" s="3028" t="s">
        <v>4189</v>
      </c>
      <c r="C94" s="3028">
        <v>1</v>
      </c>
      <c r="D94" s="3028">
        <v>1</v>
      </c>
      <c r="E94" s="4876"/>
      <c r="F94" s="4876"/>
      <c r="G94" s="4876"/>
    </row>
    <row r="95" spans="1:7">
      <c r="A95" s="3028">
        <v>3</v>
      </c>
      <c r="B95" s="3028" t="s">
        <v>4190</v>
      </c>
      <c r="C95" s="3028">
        <v>1</v>
      </c>
      <c r="D95" s="3028">
        <v>1</v>
      </c>
      <c r="E95" s="4876"/>
      <c r="F95" s="4876"/>
      <c r="G95" s="4876"/>
    </row>
    <row r="96" spans="1:7">
      <c r="A96" s="3028">
        <v>4</v>
      </c>
      <c r="B96" s="3028" t="s">
        <v>4191</v>
      </c>
      <c r="C96" s="3028">
        <v>1</v>
      </c>
      <c r="D96" s="3028">
        <v>1</v>
      </c>
      <c r="E96" s="4876"/>
      <c r="F96" s="4876"/>
      <c r="G96" s="4876"/>
    </row>
    <row r="97" spans="1:7">
      <c r="A97" s="3028">
        <v>5</v>
      </c>
      <c r="B97" s="3028" t="s">
        <v>3197</v>
      </c>
      <c r="C97" s="3028">
        <v>1</v>
      </c>
      <c r="D97" s="3028">
        <v>1</v>
      </c>
      <c r="E97" s="4876"/>
      <c r="F97" s="4876"/>
      <c r="G97" s="4876"/>
    </row>
    <row r="98" spans="1:7">
      <c r="A98" s="3028">
        <v>6</v>
      </c>
      <c r="B98" s="3028" t="s">
        <v>4192</v>
      </c>
      <c r="C98" s="3028">
        <v>1</v>
      </c>
      <c r="D98" s="3028">
        <v>1</v>
      </c>
      <c r="E98" s="4876"/>
      <c r="F98" s="4876"/>
      <c r="G98" s="4876"/>
    </row>
    <row r="99" spans="1:7">
      <c r="A99" s="3028">
        <v>7</v>
      </c>
      <c r="B99" s="3028" t="s">
        <v>208</v>
      </c>
      <c r="C99" s="3028">
        <v>1</v>
      </c>
      <c r="D99" s="3028">
        <v>1</v>
      </c>
      <c r="E99" s="4876"/>
      <c r="F99" s="4876"/>
      <c r="G99" s="4876"/>
    </row>
    <row r="100" spans="1:7">
      <c r="A100" s="3028">
        <v>8</v>
      </c>
      <c r="B100" s="3028" t="s">
        <v>4193</v>
      </c>
      <c r="C100" s="3028">
        <v>1</v>
      </c>
      <c r="D100" s="3028">
        <v>1</v>
      </c>
      <c r="E100" s="4876"/>
      <c r="F100" s="4876"/>
      <c r="G100" s="4876"/>
    </row>
    <row r="103" spans="1:7" ht="15">
      <c r="B103" s="3129" t="s">
        <v>4194</v>
      </c>
      <c r="C103" s="1981"/>
      <c r="D103" s="1981"/>
      <c r="E103" s="1981"/>
      <c r="F103" s="1981"/>
      <c r="G103" s="1981"/>
    </row>
    <row r="104" spans="1:7" ht="15">
      <c r="B104" t="s">
        <v>4184</v>
      </c>
      <c r="C104" s="4877" t="s">
        <v>1337</v>
      </c>
      <c r="D104" s="4878"/>
      <c r="E104" s="3133" t="s">
        <v>4185</v>
      </c>
      <c r="F104" s="3133" t="s">
        <v>4136</v>
      </c>
      <c r="G104" s="3133" t="s">
        <v>4137</v>
      </c>
    </row>
    <row r="105" spans="1:7">
      <c r="C105" t="s">
        <v>4186</v>
      </c>
      <c r="D105" t="s">
        <v>4187</v>
      </c>
      <c r="E105" s="4884">
        <f>SUM(C106:D113)</f>
        <v>16</v>
      </c>
      <c r="F105" s="4884">
        <v>30</v>
      </c>
      <c r="G105" s="4884">
        <f>E105*F105</f>
        <v>480</v>
      </c>
    </row>
    <row r="106" spans="1:7">
      <c r="A106">
        <v>1</v>
      </c>
      <c r="B106" t="s">
        <v>4188</v>
      </c>
      <c r="C106">
        <v>1</v>
      </c>
      <c r="D106">
        <v>1</v>
      </c>
      <c r="E106" s="4877"/>
      <c r="F106" s="4877"/>
      <c r="G106" s="4877"/>
    </row>
    <row r="107" spans="1:7">
      <c r="A107">
        <v>2</v>
      </c>
      <c r="B107" t="s">
        <v>4189</v>
      </c>
      <c r="C107">
        <v>1</v>
      </c>
      <c r="D107">
        <v>1</v>
      </c>
      <c r="E107" s="4877"/>
      <c r="F107" s="4877"/>
      <c r="G107" s="4877"/>
    </row>
    <row r="108" spans="1:7">
      <c r="A108">
        <v>3</v>
      </c>
      <c r="B108" t="s">
        <v>4190</v>
      </c>
      <c r="C108">
        <v>1</v>
      </c>
      <c r="D108">
        <v>1</v>
      </c>
      <c r="E108" s="4877"/>
      <c r="F108" s="4877"/>
      <c r="G108" s="4877"/>
    </row>
    <row r="109" spans="1:7">
      <c r="A109">
        <v>4</v>
      </c>
      <c r="B109" t="s">
        <v>4191</v>
      </c>
      <c r="C109">
        <v>1</v>
      </c>
      <c r="D109">
        <v>1</v>
      </c>
      <c r="E109" s="4877"/>
      <c r="F109" s="4877"/>
      <c r="G109" s="4877"/>
    </row>
    <row r="110" spans="1:7">
      <c r="A110">
        <v>5</v>
      </c>
      <c r="B110" t="s">
        <v>3197</v>
      </c>
      <c r="C110">
        <v>1</v>
      </c>
      <c r="D110">
        <v>1</v>
      </c>
      <c r="E110" s="4877"/>
      <c r="F110" s="4877"/>
      <c r="G110" s="4877"/>
    </row>
    <row r="111" spans="1:7">
      <c r="A111">
        <v>6</v>
      </c>
      <c r="B111" t="s">
        <v>4192</v>
      </c>
      <c r="C111">
        <v>1</v>
      </c>
      <c r="D111">
        <v>1</v>
      </c>
      <c r="E111" s="4877"/>
      <c r="F111" s="4877"/>
      <c r="G111" s="4877"/>
    </row>
    <row r="112" spans="1:7">
      <c r="A112">
        <v>7</v>
      </c>
      <c r="B112" t="s">
        <v>208</v>
      </c>
      <c r="C112">
        <v>1</v>
      </c>
      <c r="D112">
        <v>1</v>
      </c>
      <c r="E112" s="4877"/>
      <c r="F112" s="4877"/>
      <c r="G112" s="4877"/>
    </row>
    <row r="113" spans="1:7">
      <c r="A113">
        <v>8</v>
      </c>
      <c r="B113" t="s">
        <v>4193</v>
      </c>
      <c r="C113">
        <v>1</v>
      </c>
      <c r="D113">
        <v>1</v>
      </c>
      <c r="E113" s="4877"/>
      <c r="F113" s="4877"/>
      <c r="G113" s="4877"/>
    </row>
    <row r="117" spans="1:7" ht="15">
      <c r="B117" s="3129" t="s">
        <v>4195</v>
      </c>
      <c r="C117" s="1981"/>
      <c r="D117" s="1981"/>
    </row>
    <row r="118" spans="1:7">
      <c r="B118" t="s">
        <v>4196</v>
      </c>
    </row>
    <row r="119" spans="1:7" ht="15">
      <c r="B119" s="3133" t="s">
        <v>4135</v>
      </c>
      <c r="C119" s="3133" t="s">
        <v>4136</v>
      </c>
      <c r="D119" s="3133" t="s">
        <v>4137</v>
      </c>
    </row>
    <row r="120" spans="1:7">
      <c r="B120" s="3028">
        <v>3</v>
      </c>
      <c r="C120" s="3028">
        <v>1000</v>
      </c>
      <c r="D120" s="3028">
        <f>B120*C120</f>
        <v>3000</v>
      </c>
    </row>
    <row r="123" spans="1:7" ht="15">
      <c r="B123" s="3129" t="s">
        <v>4197</v>
      </c>
      <c r="C123" s="1981"/>
    </row>
    <row r="124" spans="1:7" ht="15">
      <c r="B124" s="3163" t="s">
        <v>4198</v>
      </c>
      <c r="C124" s="3163">
        <v>850</v>
      </c>
    </row>
    <row r="125" spans="1:7" ht="15">
      <c r="B125" s="3163" t="s">
        <v>4199</v>
      </c>
      <c r="C125" s="3163">
        <v>75</v>
      </c>
    </row>
    <row r="126" spans="1:7" ht="15">
      <c r="B126" s="3163" t="s">
        <v>4200</v>
      </c>
      <c r="C126" s="3163">
        <v>120</v>
      </c>
    </row>
    <row r="127" spans="1:7" ht="30">
      <c r="B127" s="3166" t="s">
        <v>4201</v>
      </c>
      <c r="C127" s="3163">
        <v>600</v>
      </c>
    </row>
    <row r="128" spans="1:7" ht="15">
      <c r="B128" s="3163" t="s">
        <v>4202</v>
      </c>
      <c r="C128" s="3163">
        <v>55</v>
      </c>
    </row>
    <row r="129" spans="2:6" ht="15">
      <c r="B129" s="3163" t="s">
        <v>1367</v>
      </c>
      <c r="C129" s="3163">
        <f>SUM(C124:C128)</f>
        <v>1700</v>
      </c>
    </row>
    <row r="130" spans="2:6" ht="15">
      <c r="B130" s="3163"/>
      <c r="C130" s="3163"/>
    </row>
    <row r="133" spans="2:6" ht="12.75" thickBot="1">
      <c r="B133" s="1981" t="s">
        <v>4203</v>
      </c>
      <c r="C133" s="1981"/>
      <c r="D133" s="1981"/>
      <c r="E133" s="1981"/>
      <c r="F133" s="1981"/>
    </row>
    <row r="134" spans="2:6" ht="45.75" thickBot="1">
      <c r="B134" s="3167"/>
      <c r="C134" s="3168" t="s">
        <v>4204</v>
      </c>
      <c r="D134" s="3168" t="s">
        <v>4205</v>
      </c>
      <c r="E134" s="3168" t="s">
        <v>4206</v>
      </c>
      <c r="F134" s="3168" t="s">
        <v>4207</v>
      </c>
    </row>
    <row r="135" spans="2:6" ht="15.75" thickBot="1">
      <c r="B135" s="3169" t="s">
        <v>4208</v>
      </c>
      <c r="C135" s="3170">
        <v>160</v>
      </c>
      <c r="D135" s="3170" t="s">
        <v>4209</v>
      </c>
      <c r="E135" s="3170">
        <v>1650</v>
      </c>
      <c r="F135" s="3170">
        <v>0</v>
      </c>
    </row>
    <row r="136" spans="2:6" ht="60.75" thickBot="1">
      <c r="B136" s="3169" t="s">
        <v>4210</v>
      </c>
      <c r="C136" s="3170" t="s">
        <v>4211</v>
      </c>
      <c r="D136" s="3170" t="s">
        <v>4212</v>
      </c>
      <c r="E136" s="3170">
        <v>1671</v>
      </c>
      <c r="F136" s="3170" t="s">
        <v>4213</v>
      </c>
    </row>
    <row r="137" spans="2:6" ht="14.45" customHeight="1">
      <c r="B137" s="4885" t="s">
        <v>4214</v>
      </c>
      <c r="C137" s="4886"/>
      <c r="D137" s="4886"/>
      <c r="E137" s="4886"/>
      <c r="F137" s="4887"/>
    </row>
    <row r="138" spans="2:6" ht="14.45" customHeight="1">
      <c r="B138" s="4879" t="s">
        <v>4215</v>
      </c>
      <c r="C138" s="4880"/>
      <c r="D138" s="4880"/>
      <c r="E138" s="4880"/>
      <c r="F138" s="4881"/>
    </row>
    <row r="139" spans="2:6" ht="28.9" customHeight="1">
      <c r="B139" s="4879" t="s">
        <v>4216</v>
      </c>
      <c r="C139" s="4880"/>
      <c r="D139" s="4880"/>
      <c r="E139" s="4880"/>
      <c r="F139" s="4881"/>
    </row>
    <row r="140" spans="2:6" ht="28.9" customHeight="1" thickBot="1">
      <c r="B140" s="4870" t="s">
        <v>4217</v>
      </c>
      <c r="C140" s="4871"/>
      <c r="D140" s="4871"/>
      <c r="E140" s="4871"/>
      <c r="F140" s="4872"/>
    </row>
    <row r="143" spans="2:6" ht="14.45" customHeight="1"/>
    <row r="146" spans="2:4" ht="15" customHeight="1">
      <c r="B146" s="1981" t="s">
        <v>4218</v>
      </c>
      <c r="C146" s="1981"/>
      <c r="D146" s="1981"/>
    </row>
    <row r="147" spans="2:4">
      <c r="B147" s="72" t="s">
        <v>4219</v>
      </c>
      <c r="C147" s="72" t="s">
        <v>4160</v>
      </c>
    </row>
    <row r="148" spans="2:4" ht="15">
      <c r="B148" s="3171" t="s">
        <v>1327</v>
      </c>
      <c r="C148" s="3171">
        <v>450</v>
      </c>
    </row>
    <row r="149" spans="2:4" ht="15">
      <c r="B149" s="3171" t="s">
        <v>4220</v>
      </c>
      <c r="C149" s="3171">
        <v>150</v>
      </c>
    </row>
    <row r="150" spans="2:4" ht="15">
      <c r="B150" s="3171" t="s">
        <v>4173</v>
      </c>
      <c r="C150" s="3171">
        <v>120</v>
      </c>
    </row>
    <row r="151" spans="2:4" ht="15">
      <c r="B151" s="3171" t="s">
        <v>4221</v>
      </c>
      <c r="C151" s="3171">
        <v>145</v>
      </c>
    </row>
    <row r="152" spans="2:4" ht="15">
      <c r="B152" s="3172" t="s">
        <v>4222</v>
      </c>
      <c r="C152" s="3173">
        <f>C148+C149+C150+C151</f>
        <v>865</v>
      </c>
    </row>
    <row r="157" spans="2:4">
      <c r="B157" s="1981" t="s">
        <v>4223</v>
      </c>
      <c r="C157" s="1981"/>
    </row>
    <row r="158" spans="2:4">
      <c r="B158" t="s">
        <v>4196</v>
      </c>
    </row>
    <row r="159" spans="2:4" ht="15">
      <c r="B159" s="3133" t="s">
        <v>4135</v>
      </c>
      <c r="C159" s="3133" t="s">
        <v>4136</v>
      </c>
      <c r="D159" s="3133" t="s">
        <v>4137</v>
      </c>
    </row>
    <row r="160" spans="2:4">
      <c r="B160" s="3028">
        <v>2</v>
      </c>
      <c r="C160" s="3028">
        <v>500</v>
      </c>
      <c r="D160" s="3028">
        <f>B160*C160</f>
        <v>1000</v>
      </c>
    </row>
    <row r="162" spans="2:7">
      <c r="B162" s="1981" t="s">
        <v>4224</v>
      </c>
      <c r="C162" s="1981"/>
    </row>
    <row r="163" spans="2:7" ht="63.75">
      <c r="B163" s="3174" t="s">
        <v>4225</v>
      </c>
      <c r="C163" s="3175" t="s">
        <v>2104</v>
      </c>
      <c r="D163" s="3175" t="s">
        <v>2106</v>
      </c>
    </row>
    <row r="164" spans="2:7" ht="12.75">
      <c r="B164" s="3175" t="s">
        <v>4226</v>
      </c>
      <c r="C164" s="3175"/>
      <c r="D164" s="3175">
        <v>200</v>
      </c>
    </row>
    <row r="165" spans="2:7" ht="12.75">
      <c r="B165" s="3175" t="s">
        <v>4227</v>
      </c>
      <c r="C165" s="3175">
        <v>300</v>
      </c>
      <c r="D165" s="3175"/>
    </row>
    <row r="166" spans="2:7" ht="12.75">
      <c r="B166" s="3175" t="s">
        <v>4228</v>
      </c>
      <c r="C166" s="3176">
        <v>3150</v>
      </c>
      <c r="D166" s="3175"/>
      <c r="E166" t="s">
        <v>4229</v>
      </c>
    </row>
    <row r="167" spans="2:7" ht="12.75">
      <c r="B167" s="3175" t="s">
        <v>219</v>
      </c>
      <c r="C167" s="3175">
        <f>C166+C165+D164</f>
        <v>3650</v>
      </c>
      <c r="D167" s="3175"/>
    </row>
    <row r="169" spans="2:7">
      <c r="B169" s="1981" t="s">
        <v>4230</v>
      </c>
      <c r="C169" s="1981"/>
      <c r="D169" s="1981"/>
      <c r="E169" s="1981"/>
    </row>
    <row r="170" spans="2:7" ht="15">
      <c r="B170" s="3165" t="s">
        <v>218</v>
      </c>
      <c r="C170" s="1873" t="s">
        <v>4135</v>
      </c>
      <c r="D170" s="3133" t="s">
        <v>4136</v>
      </c>
      <c r="E170" s="3133" t="s">
        <v>4137</v>
      </c>
    </row>
    <row r="171" spans="2:7">
      <c r="B171" s="3028" t="s">
        <v>4231</v>
      </c>
      <c r="C171" s="3177">
        <v>16</v>
      </c>
      <c r="D171" s="3028">
        <v>150</v>
      </c>
      <c r="E171" s="3028">
        <f>C171*D171</f>
        <v>2400</v>
      </c>
    </row>
    <row r="172" spans="2:7">
      <c r="B172" s="3028" t="s">
        <v>4232</v>
      </c>
      <c r="C172" s="3177">
        <v>16</v>
      </c>
      <c r="D172" s="3028">
        <v>37.5</v>
      </c>
      <c r="E172" s="3028">
        <f>C172*D172</f>
        <v>600</v>
      </c>
    </row>
    <row r="173" spans="2:7">
      <c r="D173" s="72" t="s">
        <v>219</v>
      </c>
      <c r="E173" s="72">
        <f>E171+E172</f>
        <v>3000</v>
      </c>
    </row>
    <row r="175" spans="2:7">
      <c r="B175" s="1981" t="s">
        <v>4233</v>
      </c>
      <c r="C175" s="1981"/>
      <c r="D175" s="1981"/>
      <c r="E175" s="1981"/>
      <c r="F175" s="1981"/>
      <c r="G175" s="1981"/>
    </row>
    <row r="176" spans="2:7" ht="25.5">
      <c r="B176" s="3178" t="s">
        <v>1141</v>
      </c>
      <c r="C176" s="3179" t="s">
        <v>4234</v>
      </c>
      <c r="D176" s="3179" t="s">
        <v>4235</v>
      </c>
      <c r="E176" s="3180" t="s">
        <v>3971</v>
      </c>
      <c r="F176" s="3180" t="s">
        <v>4236</v>
      </c>
      <c r="G176" s="3178" t="s">
        <v>4237</v>
      </c>
    </row>
    <row r="177" spans="2:7" ht="15">
      <c r="D177" s="3181"/>
    </row>
    <row r="178" spans="2:7" ht="15">
      <c r="B178" s="3182">
        <v>1</v>
      </c>
      <c r="C178" s="3183" t="s">
        <v>4238</v>
      </c>
      <c r="D178" s="3184">
        <v>76</v>
      </c>
      <c r="E178" s="3185">
        <v>1</v>
      </c>
      <c r="F178" s="3184">
        <f t="shared" ref="F178:F211" si="4">D178*E178</f>
        <v>76</v>
      </c>
      <c r="G178" s="3186" t="s">
        <v>4239</v>
      </c>
    </row>
    <row r="179" spans="2:7" ht="15">
      <c r="B179" s="3182">
        <v>2</v>
      </c>
      <c r="C179" s="3183" t="s">
        <v>4240</v>
      </c>
      <c r="D179" s="3187">
        <v>27</v>
      </c>
      <c r="E179" s="3185">
        <v>1</v>
      </c>
      <c r="F179" s="3184">
        <f t="shared" si="4"/>
        <v>27</v>
      </c>
      <c r="G179" s="3188" t="s">
        <v>4241</v>
      </c>
    </row>
    <row r="180" spans="2:7" ht="15">
      <c r="B180" s="3182">
        <v>3</v>
      </c>
      <c r="C180" s="3183" t="s">
        <v>4242</v>
      </c>
      <c r="D180" s="3187">
        <v>12.9</v>
      </c>
      <c r="E180" s="3185">
        <v>1</v>
      </c>
      <c r="F180" s="3184">
        <f t="shared" si="4"/>
        <v>12.9</v>
      </c>
      <c r="G180" s="3188" t="s">
        <v>4243</v>
      </c>
    </row>
    <row r="181" spans="2:7" ht="15">
      <c r="B181" s="3182">
        <v>4</v>
      </c>
      <c r="C181" s="3189" t="s">
        <v>4244</v>
      </c>
      <c r="D181" s="3187">
        <v>14.6</v>
      </c>
      <c r="E181" s="3185">
        <v>1</v>
      </c>
      <c r="F181" s="3184">
        <f t="shared" si="4"/>
        <v>14.6</v>
      </c>
      <c r="G181" s="3188" t="s">
        <v>4245</v>
      </c>
    </row>
    <row r="182" spans="2:7" ht="15">
      <c r="B182" s="3182">
        <v>5</v>
      </c>
      <c r="C182" s="3183" t="s">
        <v>4246</v>
      </c>
      <c r="D182" s="3187">
        <v>18.8</v>
      </c>
      <c r="E182" s="3185">
        <v>1</v>
      </c>
      <c r="F182" s="3184">
        <f t="shared" si="4"/>
        <v>18.8</v>
      </c>
      <c r="G182" s="3183" t="s">
        <v>4247</v>
      </c>
    </row>
    <row r="183" spans="2:7" ht="15">
      <c r="B183" s="3190">
        <v>6</v>
      </c>
      <c r="C183" s="3183" t="s">
        <v>4248</v>
      </c>
      <c r="D183" s="3187">
        <v>26.9</v>
      </c>
      <c r="E183" s="3185">
        <v>1</v>
      </c>
      <c r="F183" s="3184">
        <f t="shared" si="4"/>
        <v>26.9</v>
      </c>
      <c r="G183" s="3191" t="s">
        <v>4249</v>
      </c>
    </row>
    <row r="184" spans="2:7" ht="15">
      <c r="B184" s="3190">
        <v>7</v>
      </c>
      <c r="C184" s="3183" t="s">
        <v>4250</v>
      </c>
      <c r="D184" s="3184">
        <v>12.71</v>
      </c>
      <c r="E184" s="3192">
        <v>1</v>
      </c>
      <c r="F184" s="3184">
        <f t="shared" si="4"/>
        <v>12.71</v>
      </c>
      <c r="G184" s="3191" t="s">
        <v>4251</v>
      </c>
    </row>
    <row r="185" spans="2:7" ht="15">
      <c r="B185" s="3190">
        <v>8</v>
      </c>
      <c r="C185" s="3183" t="s">
        <v>4252</v>
      </c>
      <c r="D185" s="3184">
        <v>2.2000000000000002</v>
      </c>
      <c r="E185" s="3192">
        <v>3</v>
      </c>
      <c r="F185" s="3184">
        <f t="shared" si="4"/>
        <v>6.6000000000000005</v>
      </c>
      <c r="G185" s="3193" t="s">
        <v>4253</v>
      </c>
    </row>
    <row r="186" spans="2:7" ht="15">
      <c r="B186" s="3190">
        <v>9</v>
      </c>
      <c r="C186" s="3183" t="s">
        <v>4254</v>
      </c>
      <c r="D186" s="3184">
        <v>1.67</v>
      </c>
      <c r="E186" s="3192">
        <v>3</v>
      </c>
      <c r="F186" s="3184">
        <f t="shared" si="4"/>
        <v>5.01</v>
      </c>
      <c r="G186" s="3191" t="s">
        <v>4255</v>
      </c>
    </row>
    <row r="187" spans="2:7" ht="15">
      <c r="B187" s="3190">
        <v>10</v>
      </c>
      <c r="C187" s="3183" t="s">
        <v>4256</v>
      </c>
      <c r="D187" s="3184">
        <v>13.5</v>
      </c>
      <c r="E187" s="3192">
        <v>1</v>
      </c>
      <c r="F187" s="3184">
        <f t="shared" si="4"/>
        <v>13.5</v>
      </c>
      <c r="G187" s="3191" t="s">
        <v>4257</v>
      </c>
    </row>
    <row r="188" spans="2:7" ht="15">
      <c r="B188" s="3190">
        <v>11</v>
      </c>
      <c r="C188" s="3183" t="s">
        <v>4258</v>
      </c>
      <c r="D188" s="3184">
        <v>61.41</v>
      </c>
      <c r="E188" s="3192">
        <v>1</v>
      </c>
      <c r="F188" s="3184">
        <f t="shared" si="4"/>
        <v>61.41</v>
      </c>
      <c r="G188" s="3191" t="s">
        <v>4259</v>
      </c>
    </row>
    <row r="189" spans="2:7" ht="15">
      <c r="B189" s="3190">
        <v>12</v>
      </c>
      <c r="C189" s="3183" t="s">
        <v>4260</v>
      </c>
      <c r="D189" s="3184">
        <v>24</v>
      </c>
      <c r="E189" s="3192">
        <v>1</v>
      </c>
      <c r="F189" s="3184">
        <f t="shared" si="4"/>
        <v>24</v>
      </c>
      <c r="G189" s="3191" t="s">
        <v>4261</v>
      </c>
    </row>
    <row r="190" spans="2:7" ht="15">
      <c r="B190" s="3190">
        <v>13</v>
      </c>
      <c r="C190" s="3183" t="s">
        <v>4262</v>
      </c>
      <c r="D190" s="3184">
        <v>42</v>
      </c>
      <c r="E190" s="3192">
        <v>1</v>
      </c>
      <c r="F190" s="3184">
        <f t="shared" si="4"/>
        <v>42</v>
      </c>
      <c r="G190" s="3191" t="s">
        <v>4263</v>
      </c>
    </row>
    <row r="191" spans="2:7" ht="15">
      <c r="B191" s="3190">
        <v>14</v>
      </c>
      <c r="C191" s="3183" t="s">
        <v>4264</v>
      </c>
      <c r="D191" s="3184">
        <v>15</v>
      </c>
      <c r="E191" s="3192">
        <v>1</v>
      </c>
      <c r="F191" s="3184">
        <f t="shared" si="4"/>
        <v>15</v>
      </c>
      <c r="G191" s="3191" t="s">
        <v>4265</v>
      </c>
    </row>
    <row r="192" spans="2:7" ht="15">
      <c r="B192" s="3190"/>
      <c r="C192" s="3194" t="s">
        <v>4266</v>
      </c>
      <c r="D192" s="3184">
        <v>15</v>
      </c>
      <c r="E192" s="3192">
        <v>1</v>
      </c>
      <c r="F192" s="3184">
        <f t="shared" si="4"/>
        <v>15</v>
      </c>
      <c r="G192" s="3191" t="s">
        <v>4267</v>
      </c>
    </row>
    <row r="193" spans="2:7" ht="15">
      <c r="B193" s="3190">
        <v>15</v>
      </c>
      <c r="C193" s="3186" t="s">
        <v>4268</v>
      </c>
      <c r="D193" s="3184">
        <v>5.22</v>
      </c>
      <c r="E193" s="3192">
        <v>1</v>
      </c>
      <c r="F193" s="3184">
        <f t="shared" si="4"/>
        <v>5.22</v>
      </c>
      <c r="G193" s="3195" t="s">
        <v>4269</v>
      </c>
    </row>
    <row r="194" spans="2:7" ht="15">
      <c r="B194" s="3190">
        <v>16</v>
      </c>
      <c r="C194" s="3196" t="s">
        <v>4270</v>
      </c>
      <c r="D194" s="3184">
        <v>9.91</v>
      </c>
      <c r="E194" s="3192">
        <v>1</v>
      </c>
      <c r="F194" s="3184">
        <f t="shared" si="4"/>
        <v>9.91</v>
      </c>
      <c r="G194" s="3197" t="s">
        <v>4271</v>
      </c>
    </row>
    <row r="195" spans="2:7" ht="15">
      <c r="B195" s="3190">
        <v>17</v>
      </c>
      <c r="C195" s="3186" t="s">
        <v>4272</v>
      </c>
      <c r="D195" s="3184">
        <v>1.6</v>
      </c>
      <c r="E195" s="3192">
        <v>5</v>
      </c>
      <c r="F195" s="3184">
        <f t="shared" si="4"/>
        <v>8</v>
      </c>
      <c r="G195" s="3197" t="s">
        <v>4273</v>
      </c>
    </row>
    <row r="196" spans="2:7" ht="15">
      <c r="B196" s="3190">
        <v>18</v>
      </c>
      <c r="C196" s="3198" t="s">
        <v>4274</v>
      </c>
      <c r="D196" s="3184">
        <v>9.08</v>
      </c>
      <c r="E196" s="3192">
        <v>2</v>
      </c>
      <c r="F196" s="3184">
        <f t="shared" si="4"/>
        <v>18.16</v>
      </c>
      <c r="G196" s="3186" t="s">
        <v>4275</v>
      </c>
    </row>
    <row r="197" spans="2:7" ht="15">
      <c r="B197" s="3199">
        <v>19</v>
      </c>
      <c r="C197" s="3200" t="s">
        <v>4276</v>
      </c>
      <c r="D197" s="3201">
        <v>8.41</v>
      </c>
      <c r="E197" s="3202">
        <v>2</v>
      </c>
      <c r="F197" s="3201">
        <f t="shared" si="4"/>
        <v>16.82</v>
      </c>
      <c r="G197" s="3203" t="s">
        <v>4277</v>
      </c>
    </row>
    <row r="198" spans="2:7" ht="15">
      <c r="B198" s="3190">
        <v>20</v>
      </c>
      <c r="C198" s="3186" t="s">
        <v>4278</v>
      </c>
      <c r="D198" s="3184">
        <v>4.84</v>
      </c>
      <c r="E198" s="3192">
        <v>2</v>
      </c>
      <c r="F198" s="3184">
        <f t="shared" si="4"/>
        <v>9.68</v>
      </c>
      <c r="G198" s="3186" t="s">
        <v>4279</v>
      </c>
    </row>
    <row r="199" spans="2:7" ht="15">
      <c r="B199" s="3190">
        <v>21</v>
      </c>
      <c r="C199" s="3186" t="s">
        <v>4280</v>
      </c>
      <c r="D199" s="3184">
        <v>69.95</v>
      </c>
      <c r="E199" s="3192">
        <v>1</v>
      </c>
      <c r="F199" s="3184">
        <f t="shared" si="4"/>
        <v>69.95</v>
      </c>
      <c r="G199" s="3186" t="s">
        <v>4281</v>
      </c>
    </row>
    <row r="200" spans="2:7" ht="30">
      <c r="B200" s="3204">
        <v>22</v>
      </c>
      <c r="C200" s="3205" t="s">
        <v>4282</v>
      </c>
      <c r="D200" s="3206">
        <v>17.989999999999998</v>
      </c>
      <c r="E200" s="3207">
        <v>2</v>
      </c>
      <c r="F200" s="3206">
        <f t="shared" si="4"/>
        <v>35.979999999999997</v>
      </c>
      <c r="G200" s="3208" t="s">
        <v>4283</v>
      </c>
    </row>
    <row r="201" spans="2:7" ht="15">
      <c r="B201" s="3209">
        <v>23</v>
      </c>
      <c r="C201" s="3210" t="s">
        <v>4284</v>
      </c>
      <c r="D201" s="3211">
        <v>96.34</v>
      </c>
      <c r="E201" s="3212">
        <v>1</v>
      </c>
      <c r="F201" s="3211">
        <f t="shared" si="4"/>
        <v>96.34</v>
      </c>
      <c r="G201" s="3210" t="s">
        <v>4285</v>
      </c>
    </row>
    <row r="202" spans="2:7" ht="30">
      <c r="B202" s="3204">
        <v>24</v>
      </c>
      <c r="C202" s="3205" t="s">
        <v>4286</v>
      </c>
      <c r="D202" s="3206">
        <v>214</v>
      </c>
      <c r="E202" s="3207">
        <v>1</v>
      </c>
      <c r="F202" s="3206">
        <f t="shared" si="4"/>
        <v>214</v>
      </c>
      <c r="G202" s="3208" t="s">
        <v>4287</v>
      </c>
    </row>
    <row r="203" spans="2:7" ht="30">
      <c r="B203" s="3209">
        <v>25</v>
      </c>
      <c r="C203" s="3213" t="s">
        <v>4288</v>
      </c>
      <c r="D203" s="3211">
        <v>932.44</v>
      </c>
      <c r="E203" s="3212">
        <v>1</v>
      </c>
      <c r="F203" s="3211">
        <f t="shared" si="4"/>
        <v>932.44</v>
      </c>
      <c r="G203" s="3214" t="s">
        <v>4289</v>
      </c>
    </row>
    <row r="204" spans="2:7" ht="15">
      <c r="B204" s="3209">
        <v>26</v>
      </c>
      <c r="C204" s="3213" t="s">
        <v>4290</v>
      </c>
      <c r="D204" s="3211">
        <v>72.36</v>
      </c>
      <c r="E204" s="3212">
        <v>1</v>
      </c>
      <c r="F204" s="3211">
        <f t="shared" si="4"/>
        <v>72.36</v>
      </c>
      <c r="G204" s="3210" t="s">
        <v>4291</v>
      </c>
    </row>
    <row r="205" spans="2:7" ht="30">
      <c r="B205" s="3204">
        <v>27</v>
      </c>
      <c r="C205" s="3215" t="s">
        <v>4292</v>
      </c>
      <c r="D205" s="3206">
        <v>9.99</v>
      </c>
      <c r="E205" s="3207">
        <v>2</v>
      </c>
      <c r="F205" s="3206">
        <f t="shared" si="4"/>
        <v>19.98</v>
      </c>
      <c r="G205" s="3208" t="s">
        <v>4293</v>
      </c>
    </row>
    <row r="206" spans="2:7" ht="15">
      <c r="B206" s="3209">
        <v>28</v>
      </c>
      <c r="C206" s="3216" t="s">
        <v>4294</v>
      </c>
      <c r="D206" s="3211">
        <v>37.99</v>
      </c>
      <c r="E206" s="3212">
        <v>1</v>
      </c>
      <c r="F206" s="3211">
        <f t="shared" si="4"/>
        <v>37.99</v>
      </c>
      <c r="G206" s="3210" t="s">
        <v>4295</v>
      </c>
    </row>
    <row r="207" spans="2:7" ht="15">
      <c r="B207" s="3204">
        <v>29</v>
      </c>
      <c r="C207" s="3208" t="s">
        <v>4296</v>
      </c>
      <c r="D207" s="3206">
        <v>20</v>
      </c>
      <c r="E207" s="3207">
        <v>1</v>
      </c>
      <c r="F207" s="3206">
        <f t="shared" si="4"/>
        <v>20</v>
      </c>
      <c r="G207" s="3208" t="s">
        <v>4297</v>
      </c>
    </row>
    <row r="208" spans="2:7" ht="15">
      <c r="B208" s="3209">
        <v>30</v>
      </c>
      <c r="C208" s="3217" t="s">
        <v>4298</v>
      </c>
      <c r="D208" s="3211">
        <v>184.86</v>
      </c>
      <c r="E208" s="3212">
        <v>1</v>
      </c>
      <c r="F208" s="3211">
        <f t="shared" si="4"/>
        <v>184.86</v>
      </c>
      <c r="G208" s="3210" t="s">
        <v>4299</v>
      </c>
    </row>
    <row r="209" spans="2:7" ht="15">
      <c r="B209" s="3204">
        <v>31</v>
      </c>
      <c r="C209" s="3208" t="s">
        <v>4300</v>
      </c>
      <c r="D209" s="3206">
        <v>69.989999999999995</v>
      </c>
      <c r="E209" s="3207">
        <v>1</v>
      </c>
      <c r="F209" s="3206">
        <f t="shared" si="4"/>
        <v>69.989999999999995</v>
      </c>
      <c r="G209" s="3208" t="s">
        <v>4301</v>
      </c>
    </row>
    <row r="210" spans="2:7" ht="30">
      <c r="B210" s="3204">
        <v>32</v>
      </c>
      <c r="C210" s="3218" t="s">
        <v>4302</v>
      </c>
      <c r="D210" s="3206">
        <v>24.99</v>
      </c>
      <c r="E210" s="3207">
        <v>1</v>
      </c>
      <c r="F210" s="3206">
        <f t="shared" si="4"/>
        <v>24.99</v>
      </c>
      <c r="G210" s="3208" t="s">
        <v>4303</v>
      </c>
    </row>
    <row r="211" spans="2:7" ht="15">
      <c r="B211" s="3204">
        <v>33</v>
      </c>
      <c r="C211" s="3208" t="s">
        <v>4304</v>
      </c>
      <c r="D211" s="3206">
        <v>13.99</v>
      </c>
      <c r="E211" s="3207">
        <v>1</v>
      </c>
      <c r="F211" s="3206">
        <f t="shared" si="4"/>
        <v>13.99</v>
      </c>
      <c r="G211" s="3208" t="s">
        <v>4303</v>
      </c>
    </row>
    <row r="212" spans="2:7" ht="15">
      <c r="B212" s="3190"/>
      <c r="C212" s="3183"/>
      <c r="D212" s="3184"/>
      <c r="E212" s="3192"/>
      <c r="F212" s="3184"/>
      <c r="G212" s="3183"/>
    </row>
    <row r="213" spans="2:7" ht="15">
      <c r="B213" s="3219"/>
      <c r="C213" s="3220"/>
      <c r="D213" s="3184"/>
      <c r="E213" s="3185"/>
      <c r="F213" s="3184"/>
      <c r="G213" s="3183"/>
    </row>
    <row r="214" spans="2:7" ht="15">
      <c r="B214" s="4873" t="s">
        <v>4305</v>
      </c>
      <c r="C214" s="4874"/>
      <c r="D214" s="4874"/>
      <c r="E214" s="4875"/>
      <c r="F214" s="3221">
        <f>SUM(F177:F213)</f>
        <v>2232.0899999999997</v>
      </c>
      <c r="G214" s="3183"/>
    </row>
    <row r="220" spans="2:7" ht="15">
      <c r="B220" s="3222" t="s">
        <v>4306</v>
      </c>
      <c r="C220" s="1981"/>
      <c r="D220" s="1981"/>
      <c r="E220" s="1981"/>
    </row>
    <row r="221" spans="2:7" ht="15">
      <c r="B221" s="3133" t="s">
        <v>221</v>
      </c>
      <c r="C221" s="3133" t="s">
        <v>4148</v>
      </c>
      <c r="D221" s="3133" t="s">
        <v>4307</v>
      </c>
      <c r="E221" s="3133" t="s">
        <v>4308</v>
      </c>
      <c r="F221" s="3133" t="s">
        <v>219</v>
      </c>
    </row>
    <row r="222" spans="2:7" ht="15">
      <c r="B222" s="3223" t="s">
        <v>4309</v>
      </c>
      <c r="C222" s="3133">
        <v>5</v>
      </c>
      <c r="D222" s="3133">
        <v>1</v>
      </c>
      <c r="E222" s="3133">
        <v>100</v>
      </c>
      <c r="F222" s="3133">
        <v>500</v>
      </c>
    </row>
    <row r="223" spans="2:7" ht="36">
      <c r="B223" s="3224" t="s">
        <v>4310</v>
      </c>
      <c r="C223" s="3028">
        <v>3</v>
      </c>
      <c r="D223" s="3028">
        <v>1</v>
      </c>
      <c r="E223" s="3028">
        <v>65</v>
      </c>
      <c r="F223" s="3028">
        <f>E223*D223*C223</f>
        <v>195</v>
      </c>
      <c r="G223" s="3054" t="s">
        <v>4311</v>
      </c>
    </row>
    <row r="224" spans="2:7" ht="36">
      <c r="B224" s="3225" t="s">
        <v>4312</v>
      </c>
      <c r="C224" s="3028">
        <v>3</v>
      </c>
      <c r="D224" s="3028">
        <v>1</v>
      </c>
      <c r="E224" s="3028">
        <v>300</v>
      </c>
      <c r="F224" s="3028">
        <f>E224*D224*C224</f>
        <v>900</v>
      </c>
      <c r="G224" s="3054"/>
    </row>
    <row r="225" spans="2:6" ht="15">
      <c r="B225" s="3028"/>
      <c r="C225" s="3028"/>
      <c r="D225" s="3028"/>
      <c r="E225" s="3133" t="s">
        <v>4140</v>
      </c>
      <c r="F225" s="3133">
        <f>SUM(F222:F224)</f>
        <v>1595</v>
      </c>
    </row>
    <row r="230" spans="2:6" ht="15">
      <c r="B230" s="3222" t="s">
        <v>4313</v>
      </c>
      <c r="C230" s="1981"/>
      <c r="D230" s="1981"/>
      <c r="E230" s="1981"/>
    </row>
    <row r="231" spans="2:6" ht="15">
      <c r="B231" s="3133" t="s">
        <v>221</v>
      </c>
      <c r="C231" s="3226" t="s">
        <v>4148</v>
      </c>
      <c r="D231" s="3226" t="s">
        <v>4314</v>
      </c>
      <c r="E231" s="3226" t="s">
        <v>4315</v>
      </c>
      <c r="F231" s="3133" t="s">
        <v>4316</v>
      </c>
    </row>
    <row r="232" spans="2:6" ht="15">
      <c r="B232" s="3223" t="s">
        <v>4309</v>
      </c>
      <c r="C232" s="3227">
        <v>7</v>
      </c>
      <c r="D232" s="3227">
        <v>1</v>
      </c>
      <c r="E232" s="3227">
        <v>100</v>
      </c>
      <c r="F232" s="3028">
        <f>E232*D232*C232</f>
        <v>700</v>
      </c>
    </row>
    <row r="233" spans="2:6" ht="36">
      <c r="B233" s="3225" t="s">
        <v>4317</v>
      </c>
      <c r="C233" s="3028">
        <v>4</v>
      </c>
      <c r="D233" s="3028">
        <v>2</v>
      </c>
      <c r="E233" s="3028">
        <v>8</v>
      </c>
      <c r="F233" s="3028">
        <f>E233*D233*C233</f>
        <v>64</v>
      </c>
    </row>
    <row r="234" spans="2:6" ht="24">
      <c r="B234" s="3225" t="s">
        <v>4318</v>
      </c>
      <c r="C234" s="3028">
        <v>4</v>
      </c>
      <c r="D234" s="3028">
        <v>1</v>
      </c>
      <c r="E234" s="3028">
        <v>25</v>
      </c>
      <c r="F234" s="3028">
        <f>E234*D234*C234</f>
        <v>100</v>
      </c>
    </row>
    <row r="235" spans="2:6" ht="24">
      <c r="B235" s="3225" t="s">
        <v>4319</v>
      </c>
      <c r="C235" s="3028">
        <v>4</v>
      </c>
      <c r="D235" s="3028">
        <v>4</v>
      </c>
      <c r="E235" s="3028">
        <v>8</v>
      </c>
      <c r="F235" s="3028">
        <f>E235*D235*C235</f>
        <v>128</v>
      </c>
    </row>
    <row r="236" spans="2:6" ht="15">
      <c r="B236" s="3028"/>
      <c r="C236" s="3028"/>
      <c r="D236" s="3028"/>
      <c r="E236" s="3226" t="s">
        <v>4140</v>
      </c>
      <c r="F236" s="3133">
        <f>SUM(F232:F235)</f>
        <v>992</v>
      </c>
    </row>
    <row r="240" spans="2:6" ht="15">
      <c r="B240" s="3222" t="s">
        <v>4320</v>
      </c>
      <c r="C240" s="1981"/>
      <c r="D240" s="1981"/>
      <c r="E240" s="1981"/>
    </row>
    <row r="241" spans="2:7" ht="11.45" customHeight="1">
      <c r="B241" s="4863" t="s">
        <v>4321</v>
      </c>
      <c r="C241" s="4863" t="s">
        <v>4322</v>
      </c>
      <c r="D241" s="4863" t="s">
        <v>4323</v>
      </c>
      <c r="E241" s="4863" t="s">
        <v>3971</v>
      </c>
      <c r="F241" s="4863" t="s">
        <v>4324</v>
      </c>
      <c r="G241" s="4863" t="s">
        <v>4325</v>
      </c>
    </row>
    <row r="242" spans="2:7" ht="11.45" customHeight="1">
      <c r="B242" s="4864"/>
      <c r="C242" s="4864"/>
      <c r="D242" s="4864"/>
      <c r="E242" s="4864"/>
      <c r="F242" s="4864"/>
      <c r="G242" s="4864"/>
    </row>
    <row r="243" spans="2:7" ht="13.5">
      <c r="B243" s="3228">
        <v>1</v>
      </c>
      <c r="C243" s="3229" t="s">
        <v>4326</v>
      </c>
      <c r="D243" s="3228" t="s">
        <v>4327</v>
      </c>
      <c r="E243" s="3228">
        <v>6</v>
      </c>
      <c r="F243" s="3230">
        <v>2.2999999999999998</v>
      </c>
      <c r="G243" s="3231">
        <f t="shared" ref="G243:G274" si="5">SUM(E243*F243)</f>
        <v>13.799999999999999</v>
      </c>
    </row>
    <row r="244" spans="2:7" ht="27">
      <c r="B244" s="3228">
        <v>2</v>
      </c>
      <c r="C244" s="3229" t="s">
        <v>4328</v>
      </c>
      <c r="D244" s="3228" t="s">
        <v>4329</v>
      </c>
      <c r="E244" s="3228">
        <v>2</v>
      </c>
      <c r="F244" s="3230">
        <v>4</v>
      </c>
      <c r="G244" s="3231">
        <f t="shared" si="5"/>
        <v>8</v>
      </c>
    </row>
    <row r="245" spans="2:7" ht="27">
      <c r="B245" s="3228">
        <v>3</v>
      </c>
      <c r="C245" s="3229" t="s">
        <v>4330</v>
      </c>
      <c r="D245" s="3228" t="s">
        <v>4331</v>
      </c>
      <c r="E245" s="3228">
        <v>5</v>
      </c>
      <c r="F245" s="3230">
        <v>5</v>
      </c>
      <c r="G245" s="3231">
        <f t="shared" si="5"/>
        <v>25</v>
      </c>
    </row>
    <row r="246" spans="2:7" ht="13.5">
      <c r="B246" s="3228">
        <v>4</v>
      </c>
      <c r="C246" s="3229" t="s">
        <v>4332</v>
      </c>
      <c r="D246" s="3228" t="s">
        <v>4333</v>
      </c>
      <c r="E246" s="3228">
        <v>1</v>
      </c>
      <c r="F246" s="3230">
        <v>18.2</v>
      </c>
      <c r="G246" s="3231">
        <f t="shared" si="5"/>
        <v>18.2</v>
      </c>
    </row>
    <row r="247" spans="2:7" ht="27">
      <c r="B247" s="3228">
        <v>5</v>
      </c>
      <c r="C247" s="3229" t="s">
        <v>4334</v>
      </c>
      <c r="D247" s="3228" t="s">
        <v>4335</v>
      </c>
      <c r="E247" s="3228">
        <v>10</v>
      </c>
      <c r="F247" s="3230">
        <v>5</v>
      </c>
      <c r="G247" s="3231">
        <f t="shared" si="5"/>
        <v>50</v>
      </c>
    </row>
    <row r="248" spans="2:7" ht="13.5">
      <c r="B248" s="3228">
        <v>6</v>
      </c>
      <c r="C248" s="3229" t="s">
        <v>4336</v>
      </c>
      <c r="D248" s="3228" t="s">
        <v>4337</v>
      </c>
      <c r="E248" s="3228">
        <v>50</v>
      </c>
      <c r="F248" s="3230">
        <v>1</v>
      </c>
      <c r="G248" s="3231">
        <f t="shared" si="5"/>
        <v>50</v>
      </c>
    </row>
    <row r="249" spans="2:7" ht="13.5">
      <c r="B249" s="3228">
        <v>7</v>
      </c>
      <c r="C249" s="3229" t="s">
        <v>4338</v>
      </c>
      <c r="D249" s="3228" t="s">
        <v>4339</v>
      </c>
      <c r="E249" s="3228">
        <v>10</v>
      </c>
      <c r="F249" s="3230">
        <v>2</v>
      </c>
      <c r="G249" s="3231">
        <f t="shared" si="5"/>
        <v>20</v>
      </c>
    </row>
    <row r="250" spans="2:7" ht="13.5">
      <c r="B250" s="3228">
        <v>8</v>
      </c>
      <c r="C250" s="3229" t="s">
        <v>4340</v>
      </c>
      <c r="D250" s="3228" t="s">
        <v>4341</v>
      </c>
      <c r="E250" s="3228">
        <v>5</v>
      </c>
      <c r="F250" s="3230">
        <v>4</v>
      </c>
      <c r="G250" s="3231">
        <f t="shared" si="5"/>
        <v>20</v>
      </c>
    </row>
    <row r="251" spans="2:7" ht="27">
      <c r="B251" s="3228">
        <v>9</v>
      </c>
      <c r="C251" s="3229" t="s">
        <v>4342</v>
      </c>
      <c r="D251" s="3228" t="s">
        <v>4343</v>
      </c>
      <c r="E251" s="3228">
        <v>5</v>
      </c>
      <c r="F251" s="3230">
        <v>0.91</v>
      </c>
      <c r="G251" s="3231">
        <f t="shared" si="5"/>
        <v>4.55</v>
      </c>
    </row>
    <row r="252" spans="2:7" ht="13.5">
      <c r="B252" s="3228">
        <v>10</v>
      </c>
      <c r="C252" s="3229" t="s">
        <v>4344</v>
      </c>
      <c r="D252" s="3228" t="s">
        <v>4345</v>
      </c>
      <c r="E252" s="3228">
        <v>10</v>
      </c>
      <c r="F252" s="3230">
        <v>3</v>
      </c>
      <c r="G252" s="3231">
        <f t="shared" si="5"/>
        <v>30</v>
      </c>
    </row>
    <row r="253" spans="2:7" ht="13.5">
      <c r="B253" s="3228">
        <v>11</v>
      </c>
      <c r="C253" s="3229" t="s">
        <v>4346</v>
      </c>
      <c r="D253" s="3228" t="s">
        <v>4347</v>
      </c>
      <c r="E253" s="3228">
        <v>4</v>
      </c>
      <c r="F253" s="3230">
        <v>2</v>
      </c>
      <c r="G253" s="3231">
        <f t="shared" si="5"/>
        <v>8</v>
      </c>
    </row>
    <row r="254" spans="2:7" ht="27">
      <c r="B254" s="3228">
        <v>12</v>
      </c>
      <c r="C254" s="3229" t="s">
        <v>4348</v>
      </c>
      <c r="D254" s="3228" t="s">
        <v>4349</v>
      </c>
      <c r="E254" s="3228">
        <v>45</v>
      </c>
      <c r="F254" s="3230">
        <v>6</v>
      </c>
      <c r="G254" s="3231">
        <f t="shared" si="5"/>
        <v>270</v>
      </c>
    </row>
    <row r="255" spans="2:7" ht="13.5">
      <c r="B255" s="3228">
        <v>13</v>
      </c>
      <c r="C255" s="3229" t="s">
        <v>4350</v>
      </c>
      <c r="D255" s="3228" t="s">
        <v>4351</v>
      </c>
      <c r="E255" s="3228">
        <v>10</v>
      </c>
      <c r="F255" s="3230">
        <v>2.1</v>
      </c>
      <c r="G255" s="3231">
        <f t="shared" si="5"/>
        <v>21</v>
      </c>
    </row>
    <row r="256" spans="2:7" ht="13.5">
      <c r="B256" s="3228">
        <v>14</v>
      </c>
      <c r="C256" s="3229" t="s">
        <v>4352</v>
      </c>
      <c r="D256" s="3228" t="s">
        <v>4353</v>
      </c>
      <c r="E256" s="3228">
        <v>5</v>
      </c>
      <c r="F256" s="3230">
        <v>1</v>
      </c>
      <c r="G256" s="3231">
        <f t="shared" si="5"/>
        <v>5</v>
      </c>
    </row>
    <row r="257" spans="2:7" ht="13.5">
      <c r="B257" s="3228">
        <v>15</v>
      </c>
      <c r="C257" s="3229" t="s">
        <v>4354</v>
      </c>
      <c r="D257" s="3228" t="s">
        <v>4355</v>
      </c>
      <c r="E257" s="3228">
        <v>10</v>
      </c>
      <c r="F257" s="3230">
        <v>0.9</v>
      </c>
      <c r="G257" s="3231">
        <f t="shared" si="5"/>
        <v>9</v>
      </c>
    </row>
    <row r="258" spans="2:7" ht="13.5">
      <c r="B258" s="3228">
        <v>16</v>
      </c>
      <c r="C258" s="3229" t="s">
        <v>4356</v>
      </c>
      <c r="D258" s="3228" t="s">
        <v>4355</v>
      </c>
      <c r="E258" s="3228">
        <v>2</v>
      </c>
      <c r="F258" s="3230">
        <v>6</v>
      </c>
      <c r="G258" s="3231">
        <f t="shared" si="5"/>
        <v>12</v>
      </c>
    </row>
    <row r="259" spans="2:7" ht="13.5">
      <c r="B259" s="3228">
        <v>17</v>
      </c>
      <c r="C259" s="3229" t="s">
        <v>4357</v>
      </c>
      <c r="D259" s="3228" t="s">
        <v>4355</v>
      </c>
      <c r="E259" s="3228">
        <v>1</v>
      </c>
      <c r="F259" s="3230">
        <v>15</v>
      </c>
      <c r="G259" s="3231">
        <f t="shared" si="5"/>
        <v>15</v>
      </c>
    </row>
    <row r="260" spans="2:7" ht="27">
      <c r="B260" s="3228">
        <v>18</v>
      </c>
      <c r="C260" s="3229" t="s">
        <v>4358</v>
      </c>
      <c r="D260" s="3228" t="s">
        <v>4359</v>
      </c>
      <c r="E260" s="3228">
        <v>3</v>
      </c>
      <c r="F260" s="3230">
        <v>5</v>
      </c>
      <c r="G260" s="3231">
        <f t="shared" si="5"/>
        <v>15</v>
      </c>
    </row>
    <row r="261" spans="2:7" ht="27">
      <c r="B261" s="3228">
        <v>19</v>
      </c>
      <c r="C261" s="3229" t="s">
        <v>4360</v>
      </c>
      <c r="D261" s="3228" t="s">
        <v>4359</v>
      </c>
      <c r="E261" s="3228">
        <v>1</v>
      </c>
      <c r="F261" s="3230">
        <v>10</v>
      </c>
      <c r="G261" s="3231">
        <f t="shared" si="5"/>
        <v>10</v>
      </c>
    </row>
    <row r="262" spans="2:7" ht="13.5">
      <c r="B262" s="3228">
        <v>20</v>
      </c>
      <c r="C262" s="3229" t="s">
        <v>4361</v>
      </c>
      <c r="D262" s="3228">
        <f>$C$12</f>
        <v>20</v>
      </c>
      <c r="E262" s="3228">
        <v>3</v>
      </c>
      <c r="F262" s="3230">
        <v>3</v>
      </c>
      <c r="G262" s="3231">
        <f t="shared" si="5"/>
        <v>9</v>
      </c>
    </row>
    <row r="263" spans="2:7" ht="27">
      <c r="B263" s="3228">
        <v>21</v>
      </c>
      <c r="C263" s="3229" t="s">
        <v>4362</v>
      </c>
      <c r="D263" s="3228" t="s">
        <v>4363</v>
      </c>
      <c r="E263" s="3228">
        <v>6</v>
      </c>
      <c r="F263" s="3230">
        <v>3</v>
      </c>
      <c r="G263" s="3231">
        <f t="shared" si="5"/>
        <v>18</v>
      </c>
    </row>
    <row r="264" spans="2:7" ht="13.5">
      <c r="B264" s="3228">
        <v>22</v>
      </c>
      <c r="C264" s="3229" t="s">
        <v>4364</v>
      </c>
      <c r="D264" s="3228" t="s">
        <v>4365</v>
      </c>
      <c r="E264" s="3228">
        <v>2</v>
      </c>
      <c r="F264" s="3230">
        <v>5.5</v>
      </c>
      <c r="G264" s="3231">
        <f t="shared" si="5"/>
        <v>11</v>
      </c>
    </row>
    <row r="265" spans="2:7" ht="13.5">
      <c r="B265" s="3228">
        <v>23</v>
      </c>
      <c r="C265" s="3229" t="s">
        <v>4366</v>
      </c>
      <c r="D265" s="3228" t="s">
        <v>4367</v>
      </c>
      <c r="E265" s="3228">
        <v>10</v>
      </c>
      <c r="F265" s="3230">
        <v>1</v>
      </c>
      <c r="G265" s="3231">
        <f t="shared" si="5"/>
        <v>10</v>
      </c>
    </row>
    <row r="266" spans="2:7" ht="27">
      <c r="B266" s="3228">
        <v>24</v>
      </c>
      <c r="C266" s="3229" t="s">
        <v>4368</v>
      </c>
      <c r="D266" s="3228" t="s">
        <v>4369</v>
      </c>
      <c r="E266" s="3228">
        <v>1</v>
      </c>
      <c r="F266" s="3230">
        <v>10</v>
      </c>
      <c r="G266" s="3231">
        <f t="shared" si="5"/>
        <v>10</v>
      </c>
    </row>
    <row r="267" spans="2:7" ht="13.5">
      <c r="B267" s="3228">
        <v>25</v>
      </c>
      <c r="C267" s="3229" t="s">
        <v>4370</v>
      </c>
      <c r="D267" s="3228" t="s">
        <v>4371</v>
      </c>
      <c r="E267" s="3228">
        <v>7</v>
      </c>
      <c r="F267" s="3230">
        <v>3</v>
      </c>
      <c r="G267" s="3231">
        <f t="shared" si="5"/>
        <v>21</v>
      </c>
    </row>
    <row r="268" spans="2:7" ht="13.5">
      <c r="B268" s="3228">
        <v>26</v>
      </c>
      <c r="C268" s="3229" t="s">
        <v>4372</v>
      </c>
      <c r="D268" s="3228" t="s">
        <v>4373</v>
      </c>
      <c r="E268" s="3228">
        <v>3</v>
      </c>
      <c r="F268" s="3230">
        <v>7</v>
      </c>
      <c r="G268" s="3231">
        <f t="shared" si="5"/>
        <v>21</v>
      </c>
    </row>
    <row r="269" spans="2:7" ht="27">
      <c r="B269" s="3228">
        <v>27</v>
      </c>
      <c r="C269" s="3229" t="s">
        <v>4374</v>
      </c>
      <c r="D269" s="3228" t="s">
        <v>4375</v>
      </c>
      <c r="E269" s="3228">
        <v>84</v>
      </c>
      <c r="F269" s="3230">
        <v>1</v>
      </c>
      <c r="G269" s="3231">
        <f t="shared" si="5"/>
        <v>84</v>
      </c>
    </row>
    <row r="270" spans="2:7" ht="13.5">
      <c r="B270" s="3228">
        <v>28</v>
      </c>
      <c r="C270" s="3229" t="s">
        <v>4376</v>
      </c>
      <c r="D270" s="3228" t="s">
        <v>4377</v>
      </c>
      <c r="E270" s="3228">
        <v>15</v>
      </c>
      <c r="F270" s="3230">
        <v>0.6</v>
      </c>
      <c r="G270" s="3231">
        <f t="shared" si="5"/>
        <v>9</v>
      </c>
    </row>
    <row r="271" spans="2:7" ht="27">
      <c r="B271" s="3228">
        <v>29</v>
      </c>
      <c r="C271" s="3229" t="s">
        <v>4378</v>
      </c>
      <c r="D271" s="3228" t="s">
        <v>4349</v>
      </c>
      <c r="E271" s="3228">
        <v>20</v>
      </c>
      <c r="F271" s="3230">
        <v>1.1000000000000001</v>
      </c>
      <c r="G271" s="3231">
        <f t="shared" si="5"/>
        <v>22</v>
      </c>
    </row>
    <row r="272" spans="2:7" ht="27">
      <c r="B272" s="3228">
        <v>30</v>
      </c>
      <c r="C272" s="3229" t="s">
        <v>4379</v>
      </c>
      <c r="D272" s="3228" t="s">
        <v>4349</v>
      </c>
      <c r="E272" s="3228">
        <v>20</v>
      </c>
      <c r="F272" s="3230">
        <v>0.8</v>
      </c>
      <c r="G272" s="3231">
        <f t="shared" si="5"/>
        <v>16</v>
      </c>
    </row>
    <row r="273" spans="2:11" ht="27">
      <c r="B273" s="3228">
        <v>31</v>
      </c>
      <c r="C273" s="3229" t="s">
        <v>4380</v>
      </c>
      <c r="D273" s="3228" t="s">
        <v>4349</v>
      </c>
      <c r="E273" s="3228">
        <v>5</v>
      </c>
      <c r="F273" s="3230">
        <v>1.2</v>
      </c>
      <c r="G273" s="3231">
        <f t="shared" si="5"/>
        <v>6</v>
      </c>
    </row>
    <row r="274" spans="2:11" ht="13.5">
      <c r="B274" s="3228">
        <v>32</v>
      </c>
      <c r="C274" s="3232" t="s">
        <v>4381</v>
      </c>
      <c r="D274" s="3228"/>
      <c r="E274" s="3228">
        <v>5</v>
      </c>
      <c r="F274" s="3230">
        <v>5</v>
      </c>
      <c r="G274" s="3231">
        <f t="shared" si="5"/>
        <v>25</v>
      </c>
    </row>
    <row r="275" spans="2:11" ht="13.5">
      <c r="B275" s="3233"/>
      <c r="C275" s="3234"/>
      <c r="D275" s="3235"/>
      <c r="E275" s="3236"/>
      <c r="F275" s="3237" t="s">
        <v>4382</v>
      </c>
      <c r="G275" s="3231">
        <f>SUM(G243:G274)</f>
        <v>866.55</v>
      </c>
    </row>
    <row r="276" spans="2:11" ht="13.5">
      <c r="B276" s="3238"/>
      <c r="C276" s="3239"/>
      <c r="D276" s="3240"/>
      <c r="E276" s="3241"/>
      <c r="F276" s="3242" t="s">
        <v>4383</v>
      </c>
      <c r="G276" s="3231">
        <f>G275*0.21</f>
        <v>181.97549999999998</v>
      </c>
    </row>
    <row r="277" spans="2:11" ht="13.5">
      <c r="B277" s="3243"/>
      <c r="C277" s="3239"/>
      <c r="D277" s="3240"/>
      <c r="E277" s="3241"/>
      <c r="F277" s="3244" t="s">
        <v>4384</v>
      </c>
      <c r="G277" s="3231">
        <f>G275*1.21</f>
        <v>1048.5255</v>
      </c>
    </row>
    <row r="278" spans="2:11" ht="13.5">
      <c r="B278" s="3245"/>
      <c r="C278" s="3246"/>
      <c r="D278" s="3233"/>
      <c r="E278" s="3233"/>
      <c r="F278" s="3247"/>
      <c r="G278" s="3248"/>
    </row>
    <row r="279" spans="2:11" ht="13.5">
      <c r="B279" s="3245"/>
      <c r="C279" s="3246"/>
      <c r="D279" s="3233"/>
      <c r="E279" s="3233"/>
      <c r="F279" s="3247"/>
      <c r="G279" s="3248"/>
    </row>
    <row r="285" spans="2:11" ht="15">
      <c r="B285" s="3222" t="s">
        <v>4385</v>
      </c>
      <c r="C285" s="1981"/>
      <c r="D285" s="1981"/>
      <c r="E285" s="1981"/>
    </row>
    <row r="286" spans="2:11" ht="15">
      <c r="B286" s="3249" t="s">
        <v>4386</v>
      </c>
      <c r="C286" s="3133" t="s">
        <v>4308</v>
      </c>
    </row>
    <row r="287" spans="2:11">
      <c r="B287" s="3250" t="s">
        <v>4387</v>
      </c>
      <c r="C287" s="3251">
        <v>14247.62</v>
      </c>
      <c r="K287" t="s">
        <v>947</v>
      </c>
    </row>
    <row r="288" spans="2:11">
      <c r="B288" s="3250" t="s">
        <v>4388</v>
      </c>
      <c r="C288" s="3251">
        <v>19591.52</v>
      </c>
    </row>
    <row r="289" spans="1:12">
      <c r="B289" s="3250" t="s">
        <v>4389</v>
      </c>
      <c r="C289" s="3251">
        <v>17655.849999999999</v>
      </c>
    </row>
    <row r="290" spans="1:12">
      <c r="B290" s="3250" t="s">
        <v>4390</v>
      </c>
      <c r="C290" s="3251">
        <v>9113.44</v>
      </c>
    </row>
    <row r="291" spans="1:12">
      <c r="B291" s="3250" t="s">
        <v>3565</v>
      </c>
      <c r="C291" s="3251">
        <v>9765.15</v>
      </c>
    </row>
    <row r="292" spans="1:12">
      <c r="B292" s="3250" t="s">
        <v>4391</v>
      </c>
      <c r="C292" s="3251">
        <v>16616.650000000001</v>
      </c>
    </row>
    <row r="293" spans="1:12">
      <c r="B293" s="3250"/>
      <c r="C293" s="3251"/>
    </row>
    <row r="294" spans="1:12">
      <c r="B294" s="3250" t="s">
        <v>4392</v>
      </c>
      <c r="C294" s="3251">
        <v>20000</v>
      </c>
    </row>
    <row r="295" spans="1:12">
      <c r="B295" s="3250" t="s">
        <v>4393</v>
      </c>
      <c r="C295" s="3251">
        <f>C294*10+(C294/2)*2</f>
        <v>220000</v>
      </c>
    </row>
    <row r="297" spans="1:12" ht="9" customHeight="1">
      <c r="B297" s="3252"/>
    </row>
    <row r="298" spans="1:12" ht="9.6" customHeight="1">
      <c r="B298" s="3252"/>
    </row>
    <row r="299" spans="1:12" ht="15">
      <c r="B299" s="3253" t="s">
        <v>4394</v>
      </c>
    </row>
    <row r="300" spans="1:12" ht="15">
      <c r="A300">
        <v>1</v>
      </c>
      <c r="B300" s="3222" t="s">
        <v>4395</v>
      </c>
      <c r="C300" s="1981"/>
      <c r="D300" s="1981"/>
      <c r="E300" s="1981"/>
    </row>
    <row r="301" spans="1:12">
      <c r="B301" s="4865" t="s">
        <v>4396</v>
      </c>
      <c r="C301" s="77"/>
      <c r="D301" s="77"/>
      <c r="E301" s="77"/>
      <c r="F301" s="77"/>
      <c r="G301" s="77"/>
      <c r="H301" s="77"/>
      <c r="I301" s="77"/>
      <c r="J301" s="77"/>
      <c r="K301" s="77"/>
      <c r="L301" s="77"/>
    </row>
    <row r="302" spans="1:12">
      <c r="B302" s="4865"/>
      <c r="C302" s="77"/>
      <c r="D302" s="77"/>
      <c r="E302" s="77"/>
      <c r="F302" s="77"/>
      <c r="G302" s="77"/>
      <c r="H302" s="77"/>
      <c r="I302" s="77"/>
      <c r="J302" s="77"/>
      <c r="K302" s="77"/>
      <c r="L302" s="77"/>
    </row>
    <row r="303" spans="1:12" ht="60">
      <c r="B303" s="3225"/>
      <c r="C303" s="3226" t="s">
        <v>4397</v>
      </c>
      <c r="D303" s="3226" t="s">
        <v>4398</v>
      </c>
      <c r="E303" s="3226" t="s">
        <v>4399</v>
      </c>
      <c r="F303" s="3226" t="s">
        <v>4400</v>
      </c>
      <c r="G303" s="3226" t="s">
        <v>4401</v>
      </c>
      <c r="H303" s="3226" t="s">
        <v>4402</v>
      </c>
      <c r="I303" s="3226" t="s">
        <v>4403</v>
      </c>
      <c r="J303" s="3226" t="s">
        <v>4404</v>
      </c>
      <c r="K303" s="77"/>
      <c r="L303" s="77"/>
    </row>
    <row r="304" spans="1:12" ht="15">
      <c r="B304" s="3226" t="s">
        <v>4405</v>
      </c>
      <c r="C304" s="3225">
        <v>700</v>
      </c>
      <c r="D304" s="3225">
        <v>165.13</v>
      </c>
      <c r="E304" s="3225">
        <v>60</v>
      </c>
      <c r="F304" s="3225">
        <v>70</v>
      </c>
      <c r="G304" s="3225">
        <v>16.510000000000002</v>
      </c>
      <c r="H304" s="3225">
        <f>SUM(C304:G304)</f>
        <v>1011.64</v>
      </c>
      <c r="I304" s="3225">
        <f>C304/2+F304</f>
        <v>420</v>
      </c>
      <c r="J304" s="3226">
        <f>H304-I304</f>
        <v>591.64</v>
      </c>
      <c r="K304" s="77"/>
      <c r="L304" s="77"/>
    </row>
    <row r="305" spans="2:12" ht="15">
      <c r="B305" s="3226" t="s">
        <v>4406</v>
      </c>
      <c r="C305" s="3225">
        <f>C304*42</f>
        <v>29400</v>
      </c>
      <c r="D305" s="3225">
        <f>D304*42</f>
        <v>6935.46</v>
      </c>
      <c r="E305" s="3225">
        <f>E304*42</f>
        <v>2520</v>
      </c>
      <c r="F305" s="3225">
        <f>F304*42</f>
        <v>2940</v>
      </c>
      <c r="G305" s="3225">
        <f>G304*42</f>
        <v>693.42000000000007</v>
      </c>
      <c r="H305" s="3225">
        <f>SUM(C305:G305)</f>
        <v>42488.88</v>
      </c>
      <c r="I305" s="3225">
        <f>I304*42</f>
        <v>17640</v>
      </c>
      <c r="J305" s="3226">
        <f>H305-I305</f>
        <v>24848.879999999997</v>
      </c>
      <c r="K305" s="77"/>
      <c r="L305" s="77"/>
    </row>
    <row r="306" spans="2:12">
      <c r="B306" s="77"/>
      <c r="C306" s="77"/>
      <c r="D306" s="77"/>
      <c r="E306" s="77"/>
      <c r="F306" s="77"/>
      <c r="G306" s="77"/>
      <c r="H306" s="77"/>
      <c r="I306" s="77"/>
      <c r="J306" s="77"/>
      <c r="K306" s="77"/>
      <c r="L306" s="77"/>
    </row>
    <row r="307" spans="2:12">
      <c r="B307" s="4866" t="s">
        <v>4407</v>
      </c>
      <c r="C307" s="4866"/>
      <c r="D307" s="4866"/>
      <c r="E307" s="4866"/>
      <c r="F307" s="4866"/>
      <c r="G307" s="4866"/>
      <c r="H307" s="77"/>
      <c r="I307" s="77"/>
      <c r="J307" s="77"/>
      <c r="K307" s="77"/>
      <c r="L307" s="77"/>
    </row>
    <row r="308" spans="2:12" ht="21">
      <c r="C308" s="3254"/>
      <c r="D308" s="77"/>
      <c r="E308" s="77"/>
      <c r="G308" s="77"/>
      <c r="H308" s="77"/>
      <c r="I308" s="77"/>
      <c r="J308" s="77"/>
      <c r="K308" s="77"/>
      <c r="L308" s="77"/>
    </row>
    <row r="309" spans="2:12" ht="21">
      <c r="B309" s="3254" t="s">
        <v>4408</v>
      </c>
      <c r="C309" s="3254"/>
      <c r="D309" s="77"/>
      <c r="E309" s="77"/>
      <c r="F309" s="3255"/>
      <c r="G309" s="77"/>
      <c r="H309" s="77"/>
      <c r="I309" s="77"/>
      <c r="J309" s="77"/>
      <c r="K309" s="77"/>
      <c r="L309" s="77"/>
    </row>
    <row r="310" spans="2:12" ht="45">
      <c r="B310" s="3028"/>
      <c r="C310" s="3226" t="s">
        <v>4397</v>
      </c>
      <c r="D310" s="3226" t="s">
        <v>4398</v>
      </c>
      <c r="E310" s="3226" t="s">
        <v>4399</v>
      </c>
      <c r="F310" s="3226" t="s">
        <v>4409</v>
      </c>
      <c r="G310" s="77"/>
      <c r="H310" s="77"/>
      <c r="I310" s="77"/>
      <c r="J310" s="77"/>
      <c r="K310" s="77"/>
      <c r="L310" s="77"/>
    </row>
    <row r="311" spans="2:12" ht="15">
      <c r="B311" s="3226" t="s">
        <v>4405</v>
      </c>
      <c r="C311" s="3225">
        <v>200</v>
      </c>
      <c r="D311" s="3225">
        <f>C311*0.2359</f>
        <v>47.18</v>
      </c>
      <c r="E311" s="3225">
        <v>25</v>
      </c>
      <c r="F311" s="3226">
        <f>SUM(C311:E311)</f>
        <v>272.18</v>
      </c>
      <c r="G311" s="77"/>
      <c r="H311" s="77"/>
      <c r="I311" s="77"/>
      <c r="J311" s="77"/>
      <c r="K311" s="77"/>
      <c r="L311" s="77"/>
    </row>
    <row r="312" spans="2:12" ht="15">
      <c r="B312" s="3226" t="s">
        <v>4410</v>
      </c>
      <c r="C312" s="3225">
        <f>C311*70</f>
        <v>14000</v>
      </c>
      <c r="D312" s="3225">
        <f>D311*70</f>
        <v>3302.6</v>
      </c>
      <c r="E312" s="3225">
        <f>E311*70</f>
        <v>1750</v>
      </c>
      <c r="F312" s="3226">
        <f>SUM(C312:E312)</f>
        <v>19052.599999999999</v>
      </c>
      <c r="G312" s="77"/>
      <c r="H312" s="77"/>
      <c r="I312" s="77"/>
      <c r="J312" s="77"/>
      <c r="K312" s="77"/>
      <c r="L312" s="77"/>
    </row>
    <row r="313" spans="2:12">
      <c r="B313" s="77"/>
      <c r="C313" s="77"/>
      <c r="D313" s="77"/>
      <c r="E313" s="77"/>
      <c r="F313" s="77"/>
      <c r="G313" s="77"/>
      <c r="H313" s="77"/>
      <c r="I313" s="77"/>
      <c r="J313" s="77"/>
      <c r="K313" s="77"/>
      <c r="L313" s="77"/>
    </row>
    <row r="314" spans="2:12" ht="18">
      <c r="B314" s="3256" t="s">
        <v>4409</v>
      </c>
      <c r="C314" s="3257"/>
      <c r="D314" s="3258">
        <f>J305+F312</f>
        <v>43901.479999999996</v>
      </c>
      <c r="E314" s="3257"/>
    </row>
    <row r="317" spans="2:12" ht="15.75">
      <c r="B317" s="3256" t="s">
        <v>4411</v>
      </c>
      <c r="C317" s="3256">
        <f>SUM(C305+E305+F305+C312+E312)-I305</f>
        <v>32970</v>
      </c>
      <c r="D317" s="447" t="s">
        <v>4412</v>
      </c>
    </row>
    <row r="318" spans="2:12" ht="15.75">
      <c r="B318" s="3256" t="s">
        <v>4413</v>
      </c>
      <c r="C318" s="3259">
        <f>SUM(D305+G305+D312)</f>
        <v>10931.48</v>
      </c>
      <c r="D318" t="s">
        <v>4414</v>
      </c>
    </row>
    <row r="322" spans="1:14" ht="15">
      <c r="B322" s="2048" t="s">
        <v>4415</v>
      </c>
      <c r="D322" t="s">
        <v>4416</v>
      </c>
    </row>
    <row r="323" spans="1:14">
      <c r="B323" s="3028"/>
      <c r="C323" s="3028" t="s">
        <v>1263</v>
      </c>
    </row>
    <row r="324" spans="1:14">
      <c r="B324" s="3028" t="s">
        <v>4417</v>
      </c>
      <c r="C324" s="3028">
        <f>C305</f>
        <v>29400</v>
      </c>
    </row>
    <row r="325" spans="1:14">
      <c r="B325" s="3028" t="s">
        <v>4418</v>
      </c>
      <c r="C325" s="3028">
        <f>C312</f>
        <v>14000</v>
      </c>
    </row>
    <row r="326" spans="1:14">
      <c r="B326" s="3028" t="s">
        <v>4419</v>
      </c>
      <c r="C326" s="3028">
        <f>F305</f>
        <v>2940</v>
      </c>
    </row>
    <row r="327" spans="1:14">
      <c r="B327" s="3165" t="s">
        <v>220</v>
      </c>
      <c r="C327" s="3165">
        <f>SUM(C324:C326)</f>
        <v>46340</v>
      </c>
    </row>
    <row r="328" spans="1:14" ht="12.75">
      <c r="B328" s="3260" t="s">
        <v>4420</v>
      </c>
      <c r="C328" s="3261">
        <f>C327*0.2359</f>
        <v>10931.606</v>
      </c>
    </row>
    <row r="334" spans="1:14" ht="12.6" customHeight="1">
      <c r="A334">
        <v>3</v>
      </c>
      <c r="B334" s="4867" t="s">
        <v>4421</v>
      </c>
      <c r="C334" s="4867"/>
      <c r="D334" s="4867"/>
      <c r="E334" s="4867"/>
      <c r="F334" s="4867"/>
      <c r="G334" s="4867"/>
      <c r="H334" s="4867"/>
      <c r="I334" s="4867"/>
      <c r="J334" s="4867"/>
      <c r="K334" s="4867"/>
      <c r="L334" s="4867"/>
      <c r="M334" s="4867"/>
      <c r="N334" s="4867"/>
    </row>
    <row r="335" spans="1:14" ht="15">
      <c r="B335" s="3133" t="s">
        <v>221</v>
      </c>
      <c r="C335" s="3133" t="s">
        <v>4135</v>
      </c>
      <c r="D335" s="3226" t="s">
        <v>4136</v>
      </c>
      <c r="E335" s="3133" t="s">
        <v>219</v>
      </c>
      <c r="G335" s="1872" t="s">
        <v>4422</v>
      </c>
    </row>
    <row r="336" spans="1:14" ht="24">
      <c r="B336" s="3225" t="s">
        <v>4423</v>
      </c>
      <c r="C336" s="3028">
        <v>350</v>
      </c>
      <c r="D336" s="3262">
        <v>2.2000000000000002</v>
      </c>
      <c r="E336" s="3262">
        <f>C336*D336</f>
        <v>770.00000000000011</v>
      </c>
      <c r="G336">
        <v>2233</v>
      </c>
      <c r="H336" s="1242">
        <f>SUM(E336:E337)</f>
        <v>847.00000000000011</v>
      </c>
    </row>
    <row r="337" spans="1:10">
      <c r="B337" s="3028" t="s">
        <v>4424</v>
      </c>
      <c r="C337" s="3028">
        <v>1</v>
      </c>
      <c r="D337" s="3263">
        <v>0.1</v>
      </c>
      <c r="E337" s="3262">
        <f>SUM(E336:E336)*0.1</f>
        <v>77.000000000000014</v>
      </c>
      <c r="G337">
        <v>2233</v>
      </c>
    </row>
    <row r="338" spans="1:10">
      <c r="B338" s="3028" t="s">
        <v>4425</v>
      </c>
      <c r="C338" s="3028">
        <v>20</v>
      </c>
      <c r="D338" s="3262">
        <v>5</v>
      </c>
      <c r="E338" s="3262">
        <f>C338*D338</f>
        <v>100</v>
      </c>
      <c r="G338">
        <v>2239</v>
      </c>
      <c r="H338" s="1242">
        <f>E338</f>
        <v>100</v>
      </c>
    </row>
    <row r="339" spans="1:10" ht="15">
      <c r="D339" s="3264" t="s">
        <v>4140</v>
      </c>
      <c r="E339" s="3265">
        <f>SUM(E336:E338)</f>
        <v>947.00000000000011</v>
      </c>
    </row>
    <row r="343" spans="1:10">
      <c r="B343" s="79" t="s">
        <v>4426</v>
      </c>
    </row>
    <row r="346" spans="1:10" ht="15.75">
      <c r="A346">
        <v>5</v>
      </c>
      <c r="B346" s="3266" t="s">
        <v>4427</v>
      </c>
      <c r="C346" s="1981"/>
      <c r="J346" s="1872"/>
    </row>
    <row r="347" spans="1:10" ht="15" customHeight="1">
      <c r="B347" s="3267"/>
      <c r="J347" s="1872"/>
    </row>
    <row r="348" spans="1:10" ht="15">
      <c r="B348" s="4868" t="s">
        <v>4428</v>
      </c>
      <c r="C348" s="4868"/>
      <c r="D348" s="4868"/>
      <c r="E348" s="4868"/>
      <c r="J348" s="1872"/>
    </row>
    <row r="349" spans="1:10" ht="15">
      <c r="B349" s="4869"/>
      <c r="C349" s="4869"/>
      <c r="D349" s="4869"/>
      <c r="E349" s="4869"/>
      <c r="J349" s="1872"/>
    </row>
    <row r="350" spans="1:10" ht="15">
      <c r="B350" s="3133" t="s">
        <v>4134</v>
      </c>
      <c r="C350" s="3133" t="s">
        <v>4135</v>
      </c>
      <c r="D350" s="3133" t="s">
        <v>4136</v>
      </c>
      <c r="E350" s="3133" t="s">
        <v>219</v>
      </c>
      <c r="H350" s="1872" t="s">
        <v>4422</v>
      </c>
    </row>
    <row r="351" spans="1:10" ht="36">
      <c r="B351" s="3225" t="s">
        <v>4429</v>
      </c>
      <c r="C351" s="3028">
        <v>1</v>
      </c>
      <c r="D351" s="3028">
        <v>1000</v>
      </c>
      <c r="E351" s="3028">
        <f>C351*D351</f>
        <v>1000</v>
      </c>
      <c r="H351">
        <v>2239</v>
      </c>
      <c r="I351" s="1242">
        <f>E351+E352+E353</f>
        <v>3328.25</v>
      </c>
    </row>
    <row r="352" spans="1:10" ht="48">
      <c r="B352" s="3225" t="s">
        <v>4430</v>
      </c>
      <c r="C352" s="3028">
        <v>6</v>
      </c>
      <c r="D352" s="3028">
        <v>300</v>
      </c>
      <c r="E352" s="3028">
        <f>C352*D352</f>
        <v>1800</v>
      </c>
      <c r="H352">
        <v>2239</v>
      </c>
    </row>
    <row r="353" spans="2:10" ht="60.75">
      <c r="B353" s="3225" t="s">
        <v>4431</v>
      </c>
      <c r="C353" s="3028"/>
      <c r="D353" s="3028"/>
      <c r="E353" s="3262">
        <f>F369</f>
        <v>528.25</v>
      </c>
      <c r="H353">
        <v>2239</v>
      </c>
    </row>
    <row r="354" spans="2:10" ht="62.25">
      <c r="B354" s="3225" t="s">
        <v>4432</v>
      </c>
      <c r="C354" s="3028"/>
      <c r="D354" s="3028"/>
      <c r="E354" s="3262">
        <f>F431</f>
        <v>1137.7199999999998</v>
      </c>
      <c r="G354" s="1242">
        <f>F369</f>
        <v>528.25</v>
      </c>
      <c r="H354">
        <v>2311</v>
      </c>
      <c r="I354" s="1242">
        <f>E354</f>
        <v>1137.7199999999998</v>
      </c>
      <c r="J354" s="3268"/>
    </row>
    <row r="355" spans="2:10" ht="15">
      <c r="D355" s="3264" t="s">
        <v>4140</v>
      </c>
      <c r="E355" s="1872">
        <f>SUM(E351:E354)</f>
        <v>4465.9699999999993</v>
      </c>
      <c r="G355" s="1242">
        <f>E354-G354</f>
        <v>609.4699999999998</v>
      </c>
      <c r="H355">
        <v>2314</v>
      </c>
    </row>
    <row r="358" spans="2:10" ht="18.75">
      <c r="B358" s="4859" t="s">
        <v>4433</v>
      </c>
      <c r="C358" s="4859"/>
      <c r="D358" s="4859"/>
      <c r="E358" s="4859"/>
      <c r="F358" s="4859"/>
      <c r="J358" s="1872"/>
    </row>
    <row r="359" spans="2:10" ht="15">
      <c r="B359" s="3133" t="s">
        <v>4134</v>
      </c>
      <c r="C359" s="3226" t="s">
        <v>4434</v>
      </c>
      <c r="D359" s="3133" t="s">
        <v>4135</v>
      </c>
      <c r="E359" s="3133" t="s">
        <v>4136</v>
      </c>
      <c r="F359" s="3133" t="s">
        <v>219</v>
      </c>
      <c r="J359" s="157"/>
    </row>
    <row r="360" spans="2:10">
      <c r="B360" s="4857" t="s">
        <v>4435</v>
      </c>
      <c r="C360" s="3028" t="s">
        <v>4436</v>
      </c>
      <c r="D360" s="3028">
        <v>4</v>
      </c>
      <c r="E360" s="3262">
        <v>5</v>
      </c>
      <c r="F360" s="3262">
        <f t="shared" ref="F360:F368" si="6">D360*E360</f>
        <v>20</v>
      </c>
      <c r="J360" s="157"/>
    </row>
    <row r="361" spans="2:10">
      <c r="B361" s="4858"/>
      <c r="C361" s="3028" t="s">
        <v>4437</v>
      </c>
      <c r="D361" s="3028">
        <v>3</v>
      </c>
      <c r="E361" s="3262">
        <v>23</v>
      </c>
      <c r="F361" s="3262">
        <f t="shared" si="6"/>
        <v>69</v>
      </c>
      <c r="J361" s="157"/>
    </row>
    <row r="362" spans="2:10">
      <c r="B362" s="4858"/>
      <c r="C362" s="3028" t="s">
        <v>4438</v>
      </c>
      <c r="D362" s="3028">
        <v>15</v>
      </c>
      <c r="E362" s="3028">
        <v>1.45</v>
      </c>
      <c r="F362" s="3262">
        <f t="shared" si="6"/>
        <v>21.75</v>
      </c>
      <c r="J362" s="157"/>
    </row>
    <row r="363" spans="2:10">
      <c r="B363" s="4858"/>
      <c r="C363" s="3028" t="s">
        <v>4439</v>
      </c>
      <c r="D363" s="3028">
        <v>5</v>
      </c>
      <c r="E363" s="3262">
        <v>1.2</v>
      </c>
      <c r="F363" s="3262">
        <f t="shared" si="6"/>
        <v>6</v>
      </c>
      <c r="J363" s="157"/>
    </row>
    <row r="364" spans="2:10">
      <c r="B364" s="4858"/>
      <c r="C364" s="3225" t="s">
        <v>4440</v>
      </c>
      <c r="D364" s="3028">
        <v>10</v>
      </c>
      <c r="E364" s="3262">
        <v>1</v>
      </c>
      <c r="F364" s="3262">
        <f t="shared" si="6"/>
        <v>10</v>
      </c>
      <c r="J364" s="3269"/>
    </row>
    <row r="365" spans="2:10">
      <c r="B365" s="4858"/>
      <c r="C365" s="3028" t="s">
        <v>4441</v>
      </c>
      <c r="D365" s="3028">
        <v>1</v>
      </c>
      <c r="E365" s="3262">
        <v>9</v>
      </c>
      <c r="F365" s="3262">
        <f t="shared" si="6"/>
        <v>9</v>
      </c>
      <c r="J365" s="157"/>
    </row>
    <row r="366" spans="2:10">
      <c r="B366" s="4858"/>
      <c r="C366" s="3028" t="s">
        <v>4442</v>
      </c>
      <c r="D366" s="3028">
        <v>20</v>
      </c>
      <c r="E366" s="3262">
        <v>15</v>
      </c>
      <c r="F366" s="3262">
        <f t="shared" si="6"/>
        <v>300</v>
      </c>
      <c r="J366" s="157"/>
    </row>
    <row r="367" spans="2:10">
      <c r="B367" s="4858"/>
      <c r="C367" s="3028" t="s">
        <v>4443</v>
      </c>
      <c r="D367" s="3028">
        <v>50</v>
      </c>
      <c r="E367" s="3262">
        <v>1.45</v>
      </c>
      <c r="F367" s="3262">
        <f t="shared" si="6"/>
        <v>72.5</v>
      </c>
      <c r="J367" s="157"/>
    </row>
    <row r="368" spans="2:10">
      <c r="B368" s="4858"/>
      <c r="C368" s="3028" t="s">
        <v>4444</v>
      </c>
      <c r="D368" s="3028">
        <v>4</v>
      </c>
      <c r="E368" s="3262">
        <v>5</v>
      </c>
      <c r="F368" s="3262">
        <f t="shared" si="6"/>
        <v>20</v>
      </c>
      <c r="J368" s="157"/>
    </row>
    <row r="369" spans="2:10" ht="15.75">
      <c r="B369" s="3270"/>
      <c r="E369" s="3271" t="s">
        <v>220</v>
      </c>
      <c r="F369" s="3272">
        <f>SUM(F360:F368)</f>
        <v>528.25</v>
      </c>
      <c r="J369" s="1872"/>
    </row>
    <row r="370" spans="2:10" ht="15">
      <c r="J370" s="1872"/>
    </row>
    <row r="372" spans="2:10" ht="18.75">
      <c r="B372" s="4859" t="s">
        <v>4445</v>
      </c>
      <c r="C372" s="4859"/>
      <c r="D372" s="4859"/>
      <c r="E372" s="4859"/>
      <c r="F372" s="4859"/>
    </row>
    <row r="373" spans="2:10" ht="15">
      <c r="B373" s="3133" t="s">
        <v>4134</v>
      </c>
      <c r="C373" s="3226" t="s">
        <v>4434</v>
      </c>
      <c r="D373" s="3133" t="s">
        <v>4135</v>
      </c>
      <c r="E373" s="3133" t="s">
        <v>4136</v>
      </c>
      <c r="F373" s="3133" t="s">
        <v>219</v>
      </c>
      <c r="I373" s="3273"/>
    </row>
    <row r="374" spans="2:10" ht="60">
      <c r="B374" s="3274" t="s">
        <v>4446</v>
      </c>
      <c r="C374" s="3028"/>
      <c r="D374" s="3028"/>
      <c r="E374" s="3028"/>
      <c r="F374" s="3028"/>
    </row>
    <row r="375" spans="2:10">
      <c r="B375" s="3275"/>
      <c r="C375" s="3225" t="s">
        <v>4447</v>
      </c>
      <c r="D375" s="3028">
        <v>5</v>
      </c>
      <c r="E375" s="3262">
        <v>13</v>
      </c>
      <c r="F375" s="3262">
        <f t="shared" ref="F375:F381" si="7">D375*E375</f>
        <v>65</v>
      </c>
    </row>
    <row r="376" spans="2:10">
      <c r="B376" s="3276" t="s">
        <v>4448</v>
      </c>
      <c r="C376" s="3028" t="s">
        <v>4449</v>
      </c>
      <c r="D376" s="3028">
        <v>5</v>
      </c>
      <c r="E376" s="3262">
        <v>6</v>
      </c>
      <c r="F376" s="3262">
        <f t="shared" si="7"/>
        <v>30</v>
      </c>
    </row>
    <row r="377" spans="2:10">
      <c r="B377" s="3277"/>
      <c r="C377" s="3028" t="s">
        <v>4450</v>
      </c>
      <c r="D377" s="3028">
        <v>100</v>
      </c>
      <c r="E377" s="3028">
        <v>1</v>
      </c>
      <c r="F377" s="3262">
        <f t="shared" si="7"/>
        <v>100</v>
      </c>
    </row>
    <row r="378" spans="2:10">
      <c r="B378" s="3277"/>
      <c r="C378" s="3028" t="s">
        <v>4451</v>
      </c>
      <c r="D378" s="3028">
        <v>50</v>
      </c>
      <c r="E378" s="3262">
        <v>0.25</v>
      </c>
      <c r="F378" s="3262">
        <f t="shared" si="7"/>
        <v>12.5</v>
      </c>
    </row>
    <row r="379" spans="2:10">
      <c r="B379" s="3277"/>
      <c r="C379" s="3028" t="s">
        <v>4452</v>
      </c>
      <c r="D379" s="3028">
        <v>30</v>
      </c>
      <c r="E379" s="3262">
        <v>1.42</v>
      </c>
      <c r="F379" s="3262">
        <f t="shared" si="7"/>
        <v>42.599999999999994</v>
      </c>
    </row>
    <row r="380" spans="2:10">
      <c r="B380" s="3277"/>
      <c r="C380" s="3225" t="s">
        <v>4453</v>
      </c>
      <c r="D380" s="3028">
        <v>10</v>
      </c>
      <c r="E380" s="3262">
        <v>0.7</v>
      </c>
      <c r="F380" s="3262">
        <f t="shared" si="7"/>
        <v>7</v>
      </c>
    </row>
    <row r="381" spans="2:10">
      <c r="B381" s="3278"/>
      <c r="C381" s="3028" t="s">
        <v>4454</v>
      </c>
      <c r="D381" s="3028">
        <v>10</v>
      </c>
      <c r="E381" s="3262">
        <v>1</v>
      </c>
      <c r="F381" s="3262">
        <f t="shared" si="7"/>
        <v>10</v>
      </c>
    </row>
    <row r="382" spans="2:10" ht="15.75">
      <c r="E382" s="3271" t="s">
        <v>220</v>
      </c>
      <c r="F382" s="3272">
        <f>SUM(F375:F381)</f>
        <v>267.10000000000002</v>
      </c>
    </row>
    <row r="383" spans="2:10" ht="24">
      <c r="B383" s="3274" t="s">
        <v>4455</v>
      </c>
      <c r="C383" s="3028"/>
      <c r="D383" s="3028"/>
      <c r="E383" s="3028"/>
      <c r="F383" s="3028"/>
    </row>
    <row r="384" spans="2:10">
      <c r="B384" s="3277"/>
      <c r="C384" s="3225" t="s">
        <v>4456</v>
      </c>
      <c r="D384" s="3028">
        <v>10</v>
      </c>
      <c r="E384" s="3262">
        <v>2.29</v>
      </c>
      <c r="F384" s="3262">
        <f t="shared" ref="F384:F391" si="8">D384*E384</f>
        <v>22.9</v>
      </c>
    </row>
    <row r="385" spans="2:6">
      <c r="B385" s="3279" t="s">
        <v>4457</v>
      </c>
      <c r="C385" s="3028" t="s">
        <v>4458</v>
      </c>
      <c r="D385" s="3028">
        <v>10</v>
      </c>
      <c r="E385" s="3262">
        <v>2.6</v>
      </c>
      <c r="F385" s="3262">
        <f t="shared" si="8"/>
        <v>26</v>
      </c>
    </row>
    <row r="386" spans="2:6">
      <c r="B386" s="3277"/>
      <c r="C386" s="3028" t="s">
        <v>4459</v>
      </c>
      <c r="D386" s="3028">
        <v>2</v>
      </c>
      <c r="E386" s="3028">
        <v>1.99</v>
      </c>
      <c r="F386" s="3262">
        <f t="shared" si="8"/>
        <v>3.98</v>
      </c>
    </row>
    <row r="387" spans="2:6">
      <c r="B387" s="3277"/>
      <c r="C387" s="3028" t="s">
        <v>4460</v>
      </c>
      <c r="D387" s="3028">
        <v>4</v>
      </c>
      <c r="E387" s="3262">
        <v>1.59</v>
      </c>
      <c r="F387" s="3262">
        <f t="shared" si="8"/>
        <v>6.36</v>
      </c>
    </row>
    <row r="388" spans="2:6">
      <c r="B388" s="3277"/>
      <c r="C388" s="3028" t="s">
        <v>4461</v>
      </c>
      <c r="D388" s="3028">
        <v>3</v>
      </c>
      <c r="E388" s="3262">
        <v>1.29</v>
      </c>
      <c r="F388" s="3262">
        <f t="shared" si="8"/>
        <v>3.87</v>
      </c>
    </row>
    <row r="389" spans="2:6">
      <c r="B389" s="3277"/>
      <c r="C389" s="3028" t="s">
        <v>4462</v>
      </c>
      <c r="D389" s="3028">
        <v>3</v>
      </c>
      <c r="E389" s="3262">
        <v>2.85</v>
      </c>
      <c r="F389" s="3262">
        <f t="shared" si="8"/>
        <v>8.5500000000000007</v>
      </c>
    </row>
    <row r="390" spans="2:6">
      <c r="B390" s="3277"/>
      <c r="C390" s="3225" t="s">
        <v>4463</v>
      </c>
      <c r="D390" s="3028">
        <v>2</v>
      </c>
      <c r="E390" s="3262">
        <v>1.99</v>
      </c>
      <c r="F390" s="3262">
        <f t="shared" si="8"/>
        <v>3.98</v>
      </c>
    </row>
    <row r="391" spans="2:6">
      <c r="B391" s="3278"/>
      <c r="C391" s="3028" t="s">
        <v>4464</v>
      </c>
      <c r="D391" s="3028">
        <v>1</v>
      </c>
      <c r="E391" s="3262">
        <v>0.89</v>
      </c>
      <c r="F391" s="3262">
        <f t="shared" si="8"/>
        <v>0.89</v>
      </c>
    </row>
    <row r="392" spans="2:6" ht="15.75">
      <c r="E392" s="3271" t="s">
        <v>220</v>
      </c>
      <c r="F392" s="3272">
        <f>SUM(F384:F391)</f>
        <v>76.53</v>
      </c>
    </row>
    <row r="393" spans="2:6">
      <c r="B393" s="3274" t="s">
        <v>4465</v>
      </c>
      <c r="C393" s="3028"/>
      <c r="D393" s="3028"/>
      <c r="E393" s="3028"/>
      <c r="F393" s="3028"/>
    </row>
    <row r="394" spans="2:6">
      <c r="B394" s="279"/>
      <c r="C394" s="3225" t="s">
        <v>4466</v>
      </c>
      <c r="D394" s="3028">
        <v>10</v>
      </c>
      <c r="E394" s="3262">
        <v>1.89</v>
      </c>
      <c r="F394" s="3262">
        <f>D394*E394</f>
        <v>18.899999999999999</v>
      </c>
    </row>
    <row r="395" spans="2:6">
      <c r="B395" s="3279" t="s">
        <v>4457</v>
      </c>
      <c r="C395" s="3028" t="s">
        <v>4467</v>
      </c>
      <c r="D395" s="3028">
        <v>1</v>
      </c>
      <c r="E395" s="3262">
        <v>0.89</v>
      </c>
      <c r="F395" s="3262">
        <f>D395*E395</f>
        <v>0.89</v>
      </c>
    </row>
    <row r="396" spans="2:6">
      <c r="B396" s="3278"/>
      <c r="C396" s="3028" t="s">
        <v>4468</v>
      </c>
      <c r="D396" s="3028">
        <v>2</v>
      </c>
      <c r="E396" s="3262">
        <v>1.29</v>
      </c>
      <c r="F396" s="3262">
        <f>D396*E396</f>
        <v>2.58</v>
      </c>
    </row>
    <row r="397" spans="2:6" ht="15.75">
      <c r="E397" s="3271" t="s">
        <v>220</v>
      </c>
      <c r="F397" s="3272">
        <f>SUM(F394:F396)</f>
        <v>22.369999999999997</v>
      </c>
    </row>
    <row r="398" spans="2:6" ht="24">
      <c r="B398" s="3274" t="s">
        <v>4469</v>
      </c>
      <c r="C398" s="3028"/>
      <c r="D398" s="3028"/>
      <c r="E398" s="3028"/>
      <c r="F398" s="3028"/>
    </row>
    <row r="399" spans="2:6">
      <c r="B399" s="279"/>
      <c r="C399" s="3225" t="s">
        <v>4470</v>
      </c>
      <c r="D399" s="3028">
        <v>8</v>
      </c>
      <c r="E399" s="3262">
        <v>2.87</v>
      </c>
      <c r="F399" s="3262">
        <f>D399*E399</f>
        <v>22.96</v>
      </c>
    </row>
    <row r="400" spans="2:6">
      <c r="B400" s="3279" t="s">
        <v>4457</v>
      </c>
      <c r="C400" s="3028" t="s">
        <v>4471</v>
      </c>
      <c r="D400" s="3028">
        <v>20</v>
      </c>
      <c r="E400" s="3262">
        <v>0.39</v>
      </c>
      <c r="F400" s="3262">
        <f>D400*E400</f>
        <v>7.8000000000000007</v>
      </c>
    </row>
    <row r="401" spans="2:6">
      <c r="B401" s="3278"/>
      <c r="C401" s="3225" t="s">
        <v>4472</v>
      </c>
      <c r="D401" s="3028">
        <v>20</v>
      </c>
      <c r="E401" s="3262">
        <v>3.2</v>
      </c>
      <c r="F401" s="3262">
        <f>D401*E401</f>
        <v>64</v>
      </c>
    </row>
    <row r="402" spans="2:6" ht="15.75">
      <c r="E402" s="3271" t="s">
        <v>220</v>
      </c>
      <c r="F402" s="3272">
        <f>SUM(F399:F401)</f>
        <v>94.76</v>
      </c>
    </row>
    <row r="403" spans="2:6" ht="15.75">
      <c r="E403" s="3271"/>
      <c r="F403" s="3272"/>
    </row>
    <row r="404" spans="2:6">
      <c r="B404" s="3274" t="s">
        <v>4473</v>
      </c>
      <c r="C404" s="3028"/>
      <c r="D404" s="3028"/>
      <c r="E404" s="3028"/>
      <c r="F404" s="3028"/>
    </row>
    <row r="405" spans="2:6">
      <c r="B405" s="3277"/>
      <c r="C405" s="3225" t="s">
        <v>4474</v>
      </c>
      <c r="D405" s="3028">
        <v>5</v>
      </c>
      <c r="E405" s="3262">
        <v>5.39</v>
      </c>
      <c r="F405" s="3262">
        <f>D405*E405</f>
        <v>26.95</v>
      </c>
    </row>
    <row r="406" spans="2:6">
      <c r="B406" s="3278"/>
      <c r="C406" s="3028" t="s">
        <v>4475</v>
      </c>
      <c r="D406" s="3028">
        <v>3</v>
      </c>
      <c r="E406" s="3262">
        <v>7.69</v>
      </c>
      <c r="F406" s="3262">
        <f>D406*E406</f>
        <v>23.07</v>
      </c>
    </row>
    <row r="407" spans="2:6" ht="15.75">
      <c r="E407" s="3271" t="s">
        <v>220</v>
      </c>
      <c r="F407" s="3272">
        <f>SUM(F405:F406)</f>
        <v>50.019999999999996</v>
      </c>
    </row>
    <row r="408" spans="2:6" ht="15.75">
      <c r="E408" s="3271"/>
      <c r="F408" s="3272"/>
    </row>
    <row r="409" spans="2:6" ht="24">
      <c r="B409" s="3274" t="s">
        <v>4469</v>
      </c>
      <c r="C409" s="3225" t="s">
        <v>4470</v>
      </c>
      <c r="D409" s="3028">
        <v>8</v>
      </c>
      <c r="E409" s="3262">
        <v>2.87</v>
      </c>
      <c r="F409" s="3262">
        <f>D409*E409</f>
        <v>22.96</v>
      </c>
    </row>
    <row r="410" spans="2:6">
      <c r="B410" s="279"/>
      <c r="C410" s="3028" t="s">
        <v>4471</v>
      </c>
      <c r="D410" s="3028">
        <v>20</v>
      </c>
      <c r="E410" s="3262">
        <v>0.39</v>
      </c>
      <c r="F410" s="3262">
        <f>D410*E410</f>
        <v>7.8000000000000007</v>
      </c>
    </row>
    <row r="411" spans="2:6">
      <c r="B411" s="3279" t="s">
        <v>4457</v>
      </c>
      <c r="C411" s="3028" t="s">
        <v>4476</v>
      </c>
      <c r="D411" s="3028">
        <v>4</v>
      </c>
      <c r="E411" s="3262">
        <v>3.99</v>
      </c>
      <c r="F411" s="3262">
        <f>D411*E411</f>
        <v>15.96</v>
      </c>
    </row>
    <row r="412" spans="2:6">
      <c r="B412" s="3277"/>
      <c r="C412" s="3028" t="s">
        <v>4462</v>
      </c>
      <c r="D412" s="3028">
        <v>1</v>
      </c>
      <c r="E412" s="3262">
        <v>2.85</v>
      </c>
      <c r="F412" s="3262">
        <f>D412*E412</f>
        <v>2.85</v>
      </c>
    </row>
    <row r="413" spans="2:6">
      <c r="B413" s="3278"/>
      <c r="C413" s="3225" t="s">
        <v>4477</v>
      </c>
      <c r="D413" s="3028">
        <v>15</v>
      </c>
      <c r="E413" s="3028">
        <v>1.29</v>
      </c>
      <c r="F413" s="3262">
        <f>D413*E413</f>
        <v>19.350000000000001</v>
      </c>
    </row>
    <row r="414" spans="2:6" ht="15.75">
      <c r="E414" s="3271" t="s">
        <v>220</v>
      </c>
      <c r="F414" s="3272">
        <f>SUM(F409:F413)</f>
        <v>68.92</v>
      </c>
    </row>
    <row r="416" spans="2:6">
      <c r="B416" s="3274" t="s">
        <v>4478</v>
      </c>
      <c r="C416" s="3028"/>
      <c r="D416" s="3028"/>
      <c r="E416" s="3028"/>
      <c r="F416" s="3028"/>
    </row>
    <row r="417" spans="2:6">
      <c r="B417" s="3280"/>
      <c r="C417" s="3225" t="s">
        <v>4479</v>
      </c>
      <c r="D417" s="3028">
        <v>40</v>
      </c>
      <c r="E417" s="3262">
        <v>0.85</v>
      </c>
      <c r="F417" s="3262">
        <f>D417*E417</f>
        <v>34</v>
      </c>
    </row>
    <row r="418" spans="2:6">
      <c r="B418" s="3281" t="s">
        <v>4457</v>
      </c>
      <c r="C418" s="3225" t="s">
        <v>4480</v>
      </c>
      <c r="D418" s="3028">
        <v>40</v>
      </c>
      <c r="E418" s="3262">
        <v>0.85</v>
      </c>
      <c r="F418" s="3262">
        <f>D418*E418</f>
        <v>34</v>
      </c>
    </row>
    <row r="419" spans="2:6" ht="15.75">
      <c r="E419" s="3271" t="s">
        <v>220</v>
      </c>
      <c r="F419" s="3272">
        <f>SUM(F417:F418)</f>
        <v>68</v>
      </c>
    </row>
    <row r="420" spans="2:6" ht="15.75">
      <c r="E420" s="3271"/>
      <c r="F420" s="3272"/>
    </row>
    <row r="421" spans="2:6">
      <c r="B421" s="3274" t="s">
        <v>4481</v>
      </c>
      <c r="C421" s="3028"/>
      <c r="D421" s="3028"/>
      <c r="E421" s="3028"/>
      <c r="F421" s="3028"/>
    </row>
    <row r="422" spans="2:6">
      <c r="B422" s="3281" t="s">
        <v>4457</v>
      </c>
      <c r="C422" s="3225" t="s">
        <v>4482</v>
      </c>
      <c r="D422" s="3028">
        <v>25</v>
      </c>
      <c r="E422" s="3262">
        <v>5</v>
      </c>
      <c r="F422" s="3262">
        <f>D422*E422</f>
        <v>125</v>
      </c>
    </row>
    <row r="423" spans="2:6" ht="15.75">
      <c r="E423" s="3271" t="s">
        <v>220</v>
      </c>
      <c r="F423" s="3272">
        <f>SUM(F422:F422)</f>
        <v>125</v>
      </c>
    </row>
    <row r="424" spans="2:6" ht="24">
      <c r="B424" s="3274" t="s">
        <v>4483</v>
      </c>
      <c r="C424" s="3028"/>
      <c r="D424" s="3028"/>
      <c r="E424" s="3028"/>
      <c r="F424" s="3028"/>
    </row>
    <row r="425" spans="2:6">
      <c r="B425" s="3280"/>
      <c r="C425" s="3225" t="s">
        <v>4484</v>
      </c>
      <c r="D425" s="3028">
        <v>25</v>
      </c>
      <c r="E425" s="3262">
        <v>6.2</v>
      </c>
      <c r="F425" s="3262">
        <f>D425*E425</f>
        <v>155</v>
      </c>
    </row>
    <row r="426" spans="2:6">
      <c r="B426" s="3281" t="s">
        <v>4457</v>
      </c>
      <c r="C426" s="3225" t="s">
        <v>4485</v>
      </c>
      <c r="D426" s="3028">
        <v>100</v>
      </c>
      <c r="E426" s="3262">
        <v>1.6</v>
      </c>
      <c r="F426" s="3262">
        <f>D426*E426</f>
        <v>160</v>
      </c>
    </row>
    <row r="427" spans="2:6" ht="15.75">
      <c r="E427" s="3271" t="s">
        <v>220</v>
      </c>
      <c r="F427" s="3272">
        <f>SUM(F425:F426)</f>
        <v>315</v>
      </c>
    </row>
    <row r="431" spans="2:6" ht="15.75">
      <c r="D431" s="3282"/>
      <c r="E431" s="3271" t="s">
        <v>4486</v>
      </c>
      <c r="F431" s="3283">
        <f>SUM(F382+F392+F397+F402+F407+F407+F414+F419+F423+F427)</f>
        <v>1137.7199999999998</v>
      </c>
    </row>
    <row r="432" spans="2:6" ht="15.75">
      <c r="C432" s="3282"/>
    </row>
    <row r="433" spans="1:10" ht="15.75">
      <c r="A433">
        <v>6</v>
      </c>
      <c r="B433" s="3284" t="s">
        <v>4487</v>
      </c>
      <c r="C433" s="1981"/>
      <c r="D433" s="1981"/>
      <c r="E433" s="1981"/>
    </row>
    <row r="434" spans="1:10" ht="15">
      <c r="B434" s="3133" t="s">
        <v>4134</v>
      </c>
      <c r="C434" s="3133" t="s">
        <v>4135</v>
      </c>
      <c r="D434" s="3133" t="s">
        <v>4136</v>
      </c>
      <c r="E434" s="3133" t="s">
        <v>219</v>
      </c>
      <c r="G434" s="3285" t="s">
        <v>626</v>
      </c>
      <c r="I434" s="72" t="s">
        <v>4422</v>
      </c>
    </row>
    <row r="435" spans="1:10" ht="24">
      <c r="B435" s="3225" t="s">
        <v>4488</v>
      </c>
      <c r="C435" s="3028">
        <v>21</v>
      </c>
      <c r="D435" s="3286">
        <v>15</v>
      </c>
      <c r="E435" s="3028">
        <f>C435*D435</f>
        <v>315</v>
      </c>
      <c r="G435" t="s">
        <v>4489</v>
      </c>
      <c r="I435">
        <v>2314</v>
      </c>
      <c r="J435">
        <f>SUM(E435:E436)</f>
        <v>435</v>
      </c>
    </row>
    <row r="436" spans="1:10" ht="24">
      <c r="B436" s="3287" t="s">
        <v>4490</v>
      </c>
      <c r="C436" s="3288">
        <v>10</v>
      </c>
      <c r="D436" s="3288">
        <v>12</v>
      </c>
      <c r="E436" s="3288">
        <f>C436*D436</f>
        <v>120</v>
      </c>
      <c r="G436" t="s">
        <v>4489</v>
      </c>
      <c r="I436">
        <v>2314</v>
      </c>
    </row>
    <row r="437" spans="1:10">
      <c r="B437" s="3225" t="s">
        <v>4491</v>
      </c>
      <c r="C437" s="3028">
        <v>30</v>
      </c>
      <c r="D437" s="3262">
        <v>1.3</v>
      </c>
      <c r="E437" s="3262">
        <f>C437*D437</f>
        <v>39</v>
      </c>
      <c r="G437">
        <v>2239</v>
      </c>
      <c r="H437" s="1242">
        <f>E437</f>
        <v>39</v>
      </c>
      <c r="I437">
        <v>2239</v>
      </c>
      <c r="J437" s="3155">
        <f>E437</f>
        <v>39</v>
      </c>
    </row>
    <row r="438" spans="1:10" ht="15">
      <c r="D438" s="3264" t="s">
        <v>4140</v>
      </c>
      <c r="E438" s="3265">
        <f>SUM(E435:E437)</f>
        <v>474</v>
      </c>
    </row>
    <row r="442" spans="1:10" ht="14.45" customHeight="1">
      <c r="A442">
        <v>4</v>
      </c>
      <c r="B442" s="3289" t="s">
        <v>4492</v>
      </c>
      <c r="C442" s="3290"/>
      <c r="D442" s="3290"/>
      <c r="E442" s="3290"/>
      <c r="F442" s="1981"/>
      <c r="I442" s="72">
        <v>2024</v>
      </c>
    </row>
    <row r="443" spans="1:10" ht="15">
      <c r="B443" s="3133" t="s">
        <v>4134</v>
      </c>
      <c r="C443" s="3133" t="s">
        <v>4135</v>
      </c>
      <c r="D443" s="3133" t="s">
        <v>4136</v>
      </c>
      <c r="E443" s="3133" t="s">
        <v>219</v>
      </c>
      <c r="G443" s="1872" t="s">
        <v>626</v>
      </c>
      <c r="I443" s="1872" t="s">
        <v>626</v>
      </c>
    </row>
    <row r="444" spans="1:10" ht="24">
      <c r="B444" s="3225" t="s">
        <v>4493</v>
      </c>
      <c r="C444" s="3028">
        <v>1</v>
      </c>
      <c r="D444" s="3028">
        <v>200</v>
      </c>
      <c r="E444" s="3028">
        <v>200</v>
      </c>
      <c r="G444">
        <v>2239</v>
      </c>
      <c r="H444" s="1242"/>
      <c r="I444">
        <v>2314</v>
      </c>
    </row>
    <row r="445" spans="1:10" ht="24">
      <c r="B445" s="3225" t="s">
        <v>4494</v>
      </c>
      <c r="C445" s="3028">
        <v>4</v>
      </c>
      <c r="D445" s="3028">
        <v>23.2</v>
      </c>
      <c r="E445" s="3028">
        <f>C445*D445</f>
        <v>92.8</v>
      </c>
      <c r="G445">
        <v>2239</v>
      </c>
      <c r="H445" s="1242"/>
      <c r="I445">
        <v>2239</v>
      </c>
    </row>
    <row r="446" spans="1:10" ht="24">
      <c r="B446" s="3225" t="s">
        <v>4495</v>
      </c>
      <c r="C446" s="3028">
        <v>20</v>
      </c>
      <c r="D446" s="3028">
        <v>15</v>
      </c>
      <c r="E446" s="3028">
        <f>C446*D446</f>
        <v>300</v>
      </c>
      <c r="G446" t="s">
        <v>4489</v>
      </c>
      <c r="H446">
        <f>E446</f>
        <v>300</v>
      </c>
      <c r="I446">
        <v>2314</v>
      </c>
    </row>
    <row r="447" spans="1:10" ht="15.75">
      <c r="D447" s="3264" t="s">
        <v>4140</v>
      </c>
      <c r="E447" s="3272">
        <f>SUM(E444:E446)</f>
        <v>592.79999999999995</v>
      </c>
    </row>
    <row r="450" spans="1:10" ht="16.899999999999999" customHeight="1">
      <c r="A450">
        <v>10</v>
      </c>
      <c r="B450" s="3291" t="s">
        <v>4496</v>
      </c>
      <c r="C450" s="3292"/>
      <c r="D450" s="3292"/>
      <c r="E450" s="3292"/>
      <c r="F450" s="1981"/>
      <c r="G450" s="1981"/>
      <c r="H450" s="1981"/>
      <c r="I450" s="1981"/>
      <c r="J450" s="1981"/>
    </row>
    <row r="451" spans="1:10" ht="15">
      <c r="B451" s="3133" t="s">
        <v>221</v>
      </c>
      <c r="C451" s="3133" t="s">
        <v>4135</v>
      </c>
      <c r="D451" s="3133" t="s">
        <v>4136</v>
      </c>
      <c r="E451" s="3133" t="s">
        <v>219</v>
      </c>
      <c r="G451" s="3285" t="s">
        <v>626</v>
      </c>
      <c r="I451" s="72" t="s">
        <v>4422</v>
      </c>
    </row>
    <row r="452" spans="1:10" ht="24">
      <c r="B452" s="3225" t="s">
        <v>4497</v>
      </c>
      <c r="C452" s="3028">
        <v>1</v>
      </c>
      <c r="D452" s="3028">
        <v>60</v>
      </c>
      <c r="E452" s="3262">
        <f t="shared" ref="E452:E462" si="9">C452*D452</f>
        <v>60</v>
      </c>
      <c r="G452">
        <v>2239</v>
      </c>
      <c r="H452" s="1242">
        <f>SUM(E452,E462)</f>
        <v>360</v>
      </c>
      <c r="I452">
        <v>2239</v>
      </c>
    </row>
    <row r="453" spans="1:10">
      <c r="B453" s="3225" t="s">
        <v>4498</v>
      </c>
      <c r="C453" s="3028">
        <v>1</v>
      </c>
      <c r="D453" s="3262">
        <v>75</v>
      </c>
      <c r="E453" s="3262">
        <f t="shared" si="9"/>
        <v>75</v>
      </c>
      <c r="G453" s="157" t="s">
        <v>4489</v>
      </c>
      <c r="H453" s="1242">
        <f>SUM(E453:E461)</f>
        <v>316.64999999999998</v>
      </c>
      <c r="I453">
        <v>2314</v>
      </c>
    </row>
    <row r="454" spans="1:10">
      <c r="B454" s="3028" t="s">
        <v>4499</v>
      </c>
      <c r="C454" s="3028">
        <v>1</v>
      </c>
      <c r="D454" s="3028">
        <v>75</v>
      </c>
      <c r="E454" s="3262">
        <f t="shared" si="9"/>
        <v>75</v>
      </c>
      <c r="G454" s="157" t="s">
        <v>4489</v>
      </c>
      <c r="I454">
        <v>2314</v>
      </c>
    </row>
    <row r="455" spans="1:10">
      <c r="B455" s="3028" t="s">
        <v>4500</v>
      </c>
      <c r="C455" s="3028">
        <v>50</v>
      </c>
      <c r="D455" s="3262">
        <v>2.2999999999999998</v>
      </c>
      <c r="E455" s="3262">
        <f t="shared" si="9"/>
        <v>114.99999999999999</v>
      </c>
      <c r="G455" s="157" t="s">
        <v>4489</v>
      </c>
      <c r="I455">
        <v>2314</v>
      </c>
    </row>
    <row r="456" spans="1:10">
      <c r="B456" s="3028" t="s">
        <v>4436</v>
      </c>
      <c r="C456" s="3028">
        <v>1</v>
      </c>
      <c r="D456" s="3262">
        <v>5</v>
      </c>
      <c r="E456" s="3262">
        <f t="shared" si="9"/>
        <v>5</v>
      </c>
      <c r="G456" s="157" t="s">
        <v>4489</v>
      </c>
      <c r="I456">
        <v>2314</v>
      </c>
    </row>
    <row r="457" spans="1:10">
      <c r="B457" s="3028" t="s">
        <v>4437</v>
      </c>
      <c r="C457" s="3028">
        <v>1</v>
      </c>
      <c r="D457" s="3262">
        <v>23</v>
      </c>
      <c r="E457" s="3262">
        <f t="shared" si="9"/>
        <v>23</v>
      </c>
      <c r="G457" s="157" t="s">
        <v>4489</v>
      </c>
      <c r="I457">
        <v>2314</v>
      </c>
    </row>
    <row r="458" spans="1:10">
      <c r="B458" s="3028" t="s">
        <v>4438</v>
      </c>
      <c r="C458" s="3028">
        <v>1</v>
      </c>
      <c r="D458" s="3028">
        <v>1.45</v>
      </c>
      <c r="E458" s="3262">
        <f t="shared" si="9"/>
        <v>1.45</v>
      </c>
      <c r="G458" s="157" t="s">
        <v>4489</v>
      </c>
      <c r="I458">
        <v>2314</v>
      </c>
    </row>
    <row r="459" spans="1:10">
      <c r="B459" s="3028" t="s">
        <v>4439</v>
      </c>
      <c r="C459" s="3028">
        <v>1</v>
      </c>
      <c r="D459" s="3262">
        <v>1.2</v>
      </c>
      <c r="E459" s="3262">
        <f t="shared" si="9"/>
        <v>1.2</v>
      </c>
      <c r="G459" s="157" t="s">
        <v>4489</v>
      </c>
      <c r="I459">
        <v>2314</v>
      </c>
    </row>
    <row r="460" spans="1:10">
      <c r="B460" s="3225" t="s">
        <v>4440</v>
      </c>
      <c r="C460" s="3028">
        <v>1</v>
      </c>
      <c r="D460" s="3262">
        <v>1</v>
      </c>
      <c r="E460" s="3262">
        <f t="shared" si="9"/>
        <v>1</v>
      </c>
      <c r="G460" s="157" t="s">
        <v>4489</v>
      </c>
      <c r="I460">
        <v>2314</v>
      </c>
    </row>
    <row r="461" spans="1:10">
      <c r="B461" s="3028" t="s">
        <v>4501</v>
      </c>
      <c r="C461" s="3028">
        <v>1</v>
      </c>
      <c r="D461" s="3262">
        <v>20</v>
      </c>
      <c r="E461" s="3262">
        <f t="shared" si="9"/>
        <v>20</v>
      </c>
      <c r="G461" s="157" t="s">
        <v>4489</v>
      </c>
      <c r="I461">
        <v>2314</v>
      </c>
    </row>
    <row r="462" spans="1:10">
      <c r="B462" s="3028" t="s">
        <v>4502</v>
      </c>
      <c r="C462" s="3028">
        <v>1</v>
      </c>
      <c r="D462" s="3262">
        <v>300</v>
      </c>
      <c r="E462" s="3262">
        <f t="shared" si="9"/>
        <v>300</v>
      </c>
      <c r="G462">
        <v>2239</v>
      </c>
      <c r="I462">
        <v>2239</v>
      </c>
    </row>
    <row r="463" spans="1:10" ht="15">
      <c r="D463" s="3264" t="s">
        <v>4140</v>
      </c>
      <c r="E463" s="3265">
        <f>SUM(E452:E462)</f>
        <v>676.65</v>
      </c>
    </row>
    <row r="466" spans="1:9">
      <c r="B466" s="79" t="s">
        <v>4503</v>
      </c>
    </row>
    <row r="468" spans="1:9" ht="16.149999999999999" customHeight="1">
      <c r="A468">
        <v>8</v>
      </c>
      <c r="B468" s="3266" t="s">
        <v>4504</v>
      </c>
      <c r="C468" s="3293"/>
      <c r="D468" s="3294"/>
    </row>
    <row r="469" spans="1:9" ht="15">
      <c r="B469" s="3133" t="s">
        <v>4134</v>
      </c>
      <c r="C469" s="3133" t="s">
        <v>4135</v>
      </c>
      <c r="D469" s="3133" t="s">
        <v>4136</v>
      </c>
      <c r="E469" s="3133" t="s">
        <v>219</v>
      </c>
      <c r="G469" s="3285" t="s">
        <v>4422</v>
      </c>
    </row>
    <row r="470" spans="1:9">
      <c r="B470" s="3225" t="s">
        <v>4505</v>
      </c>
      <c r="C470" s="3028">
        <v>8</v>
      </c>
      <c r="D470" s="3262">
        <v>500</v>
      </c>
      <c r="E470" s="3262">
        <f>C470*D470</f>
        <v>4000</v>
      </c>
      <c r="G470">
        <v>2239</v>
      </c>
    </row>
    <row r="471" spans="1:9" ht="15">
      <c r="D471" s="3264" t="s">
        <v>4140</v>
      </c>
      <c r="E471" s="3265">
        <f>SUM(E470:E470)</f>
        <v>4000</v>
      </c>
    </row>
    <row r="473" spans="1:9" ht="15" customHeight="1">
      <c r="A473">
        <v>2</v>
      </c>
      <c r="B473" s="3291" t="s">
        <v>4506</v>
      </c>
      <c r="C473" s="3295"/>
      <c r="D473" s="3295"/>
      <c r="E473" s="3296"/>
      <c r="I473" s="72">
        <v>2024</v>
      </c>
    </row>
    <row r="474" spans="1:9" ht="15">
      <c r="B474" s="3133" t="s">
        <v>221</v>
      </c>
      <c r="C474" s="3133" t="s">
        <v>4135</v>
      </c>
      <c r="D474" s="3133" t="s">
        <v>4136</v>
      </c>
      <c r="E474" s="3133" t="s">
        <v>219</v>
      </c>
      <c r="G474" s="1872" t="s">
        <v>626</v>
      </c>
      <c r="I474" s="1872" t="s">
        <v>626</v>
      </c>
    </row>
    <row r="475" spans="1:9">
      <c r="B475" s="3297" t="s">
        <v>4507</v>
      </c>
      <c r="C475" s="3298">
        <v>20</v>
      </c>
      <c r="D475" s="3298">
        <v>15</v>
      </c>
      <c r="E475" s="3298">
        <f t="shared" ref="E475:E484" si="10">C475*D475</f>
        <v>300</v>
      </c>
      <c r="G475">
        <v>2312</v>
      </c>
      <c r="H475">
        <f>SUM(E475:E479)</f>
        <v>1420</v>
      </c>
      <c r="I475">
        <v>2312</v>
      </c>
    </row>
    <row r="476" spans="1:9">
      <c r="B476" s="3028" t="s">
        <v>4508</v>
      </c>
      <c r="C476" s="3028">
        <v>2</v>
      </c>
      <c r="D476" s="3028">
        <v>200</v>
      </c>
      <c r="E476" s="3028">
        <f t="shared" si="10"/>
        <v>400</v>
      </c>
      <c r="G476">
        <v>2312</v>
      </c>
      <c r="I476">
        <v>2312</v>
      </c>
    </row>
    <row r="477" spans="1:9">
      <c r="B477" s="3225" t="s">
        <v>4509</v>
      </c>
      <c r="C477" s="3028">
        <v>2</v>
      </c>
      <c r="D477" s="3028">
        <v>80</v>
      </c>
      <c r="E477" s="3028">
        <f t="shared" si="10"/>
        <v>160</v>
      </c>
      <c r="G477">
        <v>2312</v>
      </c>
      <c r="I477">
        <v>2312</v>
      </c>
    </row>
    <row r="478" spans="1:9">
      <c r="B478" s="3225" t="s">
        <v>4510</v>
      </c>
      <c r="C478" s="3028">
        <v>4</v>
      </c>
      <c r="D478" s="3028">
        <v>100</v>
      </c>
      <c r="E478" s="3028">
        <f t="shared" si="10"/>
        <v>400</v>
      </c>
      <c r="G478">
        <v>2312</v>
      </c>
      <c r="I478">
        <v>2312</v>
      </c>
    </row>
    <row r="479" spans="1:9">
      <c r="B479" s="3028" t="s">
        <v>4511</v>
      </c>
      <c r="C479" s="3028">
        <v>4</v>
      </c>
      <c r="D479" s="3028">
        <v>40</v>
      </c>
      <c r="E479" s="3028">
        <f t="shared" si="10"/>
        <v>160</v>
      </c>
      <c r="G479">
        <v>2312</v>
      </c>
      <c r="I479">
        <v>2312</v>
      </c>
    </row>
    <row r="480" spans="1:9">
      <c r="B480" s="3225" t="s">
        <v>4512</v>
      </c>
      <c r="C480" s="3028">
        <v>2</v>
      </c>
      <c r="D480" s="3028">
        <v>40</v>
      </c>
      <c r="E480" s="3028">
        <f t="shared" si="10"/>
        <v>80</v>
      </c>
      <c r="G480" s="81" t="s">
        <v>4489</v>
      </c>
      <c r="H480">
        <f>SUM(E480:E482)</f>
        <v>374</v>
      </c>
      <c r="I480">
        <v>2314</v>
      </c>
    </row>
    <row r="481" spans="2:9">
      <c r="B481" s="3028" t="s">
        <v>4513</v>
      </c>
      <c r="C481" s="3028">
        <v>2</v>
      </c>
      <c r="D481" s="3028">
        <v>45</v>
      </c>
      <c r="E481" s="3028">
        <f t="shared" si="10"/>
        <v>90</v>
      </c>
      <c r="G481" s="81" t="s">
        <v>4489</v>
      </c>
      <c r="I481">
        <v>2314</v>
      </c>
    </row>
    <row r="482" spans="2:9">
      <c r="B482" s="3028" t="s">
        <v>4514</v>
      </c>
      <c r="C482" s="3028">
        <v>2</v>
      </c>
      <c r="D482" s="3028">
        <v>102</v>
      </c>
      <c r="E482" s="3028">
        <f t="shared" si="10"/>
        <v>204</v>
      </c>
      <c r="G482" s="81" t="s">
        <v>4515</v>
      </c>
      <c r="I482">
        <v>2314</v>
      </c>
    </row>
    <row r="483" spans="2:9">
      <c r="B483" s="3028" t="s">
        <v>4516</v>
      </c>
      <c r="C483" s="3028">
        <v>1</v>
      </c>
      <c r="D483" s="3028">
        <v>600</v>
      </c>
      <c r="E483" s="3028">
        <f t="shared" si="10"/>
        <v>600</v>
      </c>
      <c r="G483" s="81">
        <v>5238</v>
      </c>
      <c r="H483">
        <f>E483+E484</f>
        <v>2100</v>
      </c>
      <c r="I483">
        <v>5238</v>
      </c>
    </row>
    <row r="484" spans="2:9">
      <c r="B484" s="3028" t="s">
        <v>4517</v>
      </c>
      <c r="C484" s="3028">
        <v>1</v>
      </c>
      <c r="D484" s="3028">
        <v>1500</v>
      </c>
      <c r="E484" s="3028">
        <f t="shared" si="10"/>
        <v>1500</v>
      </c>
      <c r="G484">
        <v>5238</v>
      </c>
      <c r="I484">
        <v>5238</v>
      </c>
    </row>
    <row r="485" spans="2:9" ht="15">
      <c r="D485" s="3264" t="s">
        <v>4140</v>
      </c>
      <c r="E485" s="3133">
        <f>SUM(E475:E484)</f>
        <v>3894</v>
      </c>
    </row>
    <row r="489" spans="2:9" ht="15.75">
      <c r="B489" s="3291" t="s">
        <v>4518</v>
      </c>
      <c r="C489" s="3299"/>
      <c r="D489" s="3299"/>
      <c r="E489" s="1240"/>
    </row>
    <row r="490" spans="2:9" ht="15.75">
      <c r="B490" s="3300" t="s">
        <v>626</v>
      </c>
      <c r="C490" s="3300" t="s">
        <v>221</v>
      </c>
      <c r="D490" s="3300" t="s">
        <v>4519</v>
      </c>
      <c r="E490" s="3300" t="s">
        <v>4520</v>
      </c>
    </row>
    <row r="491" spans="2:9" ht="51.75">
      <c r="B491" s="3300">
        <v>2239</v>
      </c>
      <c r="C491" s="3301" t="s">
        <v>4521</v>
      </c>
      <c r="D491" s="3302">
        <f>SUM(D493:D494)</f>
        <v>39360</v>
      </c>
      <c r="E491" s="3303" t="s">
        <v>4522</v>
      </c>
    </row>
    <row r="492" spans="2:9" ht="15.75">
      <c r="B492" s="3300"/>
      <c r="C492" s="3300"/>
      <c r="D492" s="3304"/>
      <c r="E492" s="3300"/>
    </row>
    <row r="493" spans="2:9" ht="26.25">
      <c r="B493" s="3305">
        <v>1</v>
      </c>
      <c r="C493" s="3306" t="s">
        <v>4523</v>
      </c>
      <c r="D493" s="3307">
        <v>18000</v>
      </c>
      <c r="E493" s="3308" t="s">
        <v>4524</v>
      </c>
    </row>
    <row r="494" spans="2:9" ht="26.25">
      <c r="B494" s="3305">
        <v>2</v>
      </c>
      <c r="C494" s="3306" t="s">
        <v>4525</v>
      </c>
      <c r="D494" s="3309">
        <v>21360</v>
      </c>
      <c r="E494" s="3308" t="s">
        <v>4526</v>
      </c>
    </row>
    <row r="499" spans="2:5" ht="15.75">
      <c r="B499" s="3291" t="s">
        <v>4527</v>
      </c>
      <c r="C499" s="3299"/>
      <c r="D499" s="3299"/>
      <c r="E499" s="3310" t="s">
        <v>4528</v>
      </c>
    </row>
    <row r="500" spans="2:5" ht="15.75">
      <c r="B500" s="3300" t="s">
        <v>626</v>
      </c>
      <c r="C500" s="3300" t="s">
        <v>221</v>
      </c>
      <c r="D500" s="3300" t="s">
        <v>4519</v>
      </c>
      <c r="E500" s="3300" t="s">
        <v>4520</v>
      </c>
    </row>
    <row r="501" spans="2:5" ht="77.25">
      <c r="B501" s="3300">
        <v>2239</v>
      </c>
      <c r="C501" s="3311" t="s">
        <v>4529</v>
      </c>
      <c r="D501" s="3312">
        <f>SUM(D502:D511)</f>
        <v>890.4</v>
      </c>
      <c r="E501" s="3313" t="s">
        <v>4530</v>
      </c>
    </row>
    <row r="502" spans="2:5" ht="39">
      <c r="B502" s="3314"/>
      <c r="C502" s="3315" t="s">
        <v>4531</v>
      </c>
      <c r="D502" s="3316"/>
      <c r="E502" s="3317" t="s">
        <v>4532</v>
      </c>
    </row>
    <row r="503" spans="2:5" ht="15.75">
      <c r="B503" s="3305">
        <v>1</v>
      </c>
      <c r="C503" s="3306" t="s">
        <v>4533</v>
      </c>
      <c r="D503" s="3307"/>
      <c r="E503" s="3176"/>
    </row>
    <row r="504" spans="2:5" ht="128.25">
      <c r="B504" s="3305">
        <v>2</v>
      </c>
      <c r="C504" s="3306" t="s">
        <v>4534</v>
      </c>
      <c r="D504" s="3307"/>
      <c r="E504" s="3308" t="s">
        <v>4535</v>
      </c>
    </row>
    <row r="505" spans="2:5" ht="51.75">
      <c r="B505" s="3305">
        <v>3</v>
      </c>
      <c r="C505" s="3306" t="s">
        <v>4536</v>
      </c>
      <c r="D505" s="3309">
        <v>290.39999999999998</v>
      </c>
      <c r="E505" s="3308" t="s">
        <v>4537</v>
      </c>
    </row>
    <row r="506" spans="2:5" ht="26.25">
      <c r="B506" s="3305">
        <v>4</v>
      </c>
      <c r="C506" s="3306" t="s">
        <v>4538</v>
      </c>
      <c r="D506" s="3309">
        <v>200</v>
      </c>
      <c r="E506" s="3308" t="s">
        <v>4539</v>
      </c>
    </row>
    <row r="507" spans="2:5" ht="39">
      <c r="B507" s="3318"/>
      <c r="C507" s="3319" t="s">
        <v>4540</v>
      </c>
      <c r="D507" s="3320"/>
      <c r="E507" s="3317" t="s">
        <v>4541</v>
      </c>
    </row>
    <row r="508" spans="2:5" ht="15.75">
      <c r="B508" s="3305">
        <v>5</v>
      </c>
      <c r="C508" s="3306" t="s">
        <v>4533</v>
      </c>
      <c r="D508" s="3307"/>
      <c r="E508" s="3176"/>
    </row>
    <row r="509" spans="2:5" ht="128.25">
      <c r="B509" s="3305">
        <v>6</v>
      </c>
      <c r="C509" s="3306" t="s">
        <v>4534</v>
      </c>
      <c r="D509" s="3307"/>
      <c r="E509" s="3308" t="s">
        <v>4535</v>
      </c>
    </row>
    <row r="510" spans="2:5" ht="102.75">
      <c r="B510" s="3321"/>
      <c r="C510" s="3322" t="s">
        <v>4542</v>
      </c>
      <c r="D510" s="3316"/>
      <c r="E510" s="3323" t="s">
        <v>4543</v>
      </c>
    </row>
    <row r="511" spans="2:5" ht="15.75">
      <c r="B511" s="3305">
        <v>7</v>
      </c>
      <c r="C511" s="3300" t="s">
        <v>4544</v>
      </c>
      <c r="D511" s="3309">
        <v>400</v>
      </c>
      <c r="E511" s="3176"/>
    </row>
    <row r="515" spans="2:6" ht="15.75">
      <c r="B515" s="3291" t="s">
        <v>4545</v>
      </c>
      <c r="C515" s="1981"/>
      <c r="D515" s="1981"/>
      <c r="E515" s="1981"/>
      <c r="F515" s="1981"/>
    </row>
    <row r="516" spans="2:6" ht="15.75">
      <c r="B516" s="3300" t="s">
        <v>626</v>
      </c>
      <c r="C516" s="3300" t="s">
        <v>221</v>
      </c>
      <c r="D516" s="3300" t="s">
        <v>4519</v>
      </c>
      <c r="E516" s="3300" t="s">
        <v>4520</v>
      </c>
    </row>
    <row r="517" spans="2:6" ht="51.75">
      <c r="B517" s="3324"/>
      <c r="C517" s="3325" t="s">
        <v>4546</v>
      </c>
      <c r="D517" s="3326"/>
      <c r="E517" s="3313" t="s">
        <v>4522</v>
      </c>
    </row>
    <row r="518" spans="2:6" ht="120.75">
      <c r="B518" s="3304">
        <v>1</v>
      </c>
      <c r="C518" s="3306" t="s">
        <v>4547</v>
      </c>
      <c r="D518" s="3030">
        <v>500</v>
      </c>
      <c r="E518" s="3225" t="s">
        <v>4548</v>
      </c>
    </row>
    <row r="522" spans="2:6">
      <c r="B522" s="3327" t="s">
        <v>4549</v>
      </c>
      <c r="C522" s="1981"/>
    </row>
    <row r="523" spans="2:6" ht="15">
      <c r="B523" s="3328" t="s">
        <v>221</v>
      </c>
      <c r="C523" s="3329" t="s">
        <v>4135</v>
      </c>
      <c r="D523" s="3133" t="s">
        <v>4136</v>
      </c>
      <c r="E523" s="3133" t="s">
        <v>219</v>
      </c>
    </row>
    <row r="524" spans="2:6">
      <c r="B524" s="3028" t="s">
        <v>4550</v>
      </c>
      <c r="C524" s="3028">
        <v>5</v>
      </c>
      <c r="D524" s="3028">
        <v>70</v>
      </c>
      <c r="E524" s="3028">
        <f>C524*D524</f>
        <v>350</v>
      </c>
    </row>
    <row r="525" spans="2:6">
      <c r="B525" s="3028" t="s">
        <v>4551</v>
      </c>
      <c r="C525" s="3028">
        <v>1</v>
      </c>
      <c r="D525" s="3028">
        <v>450</v>
      </c>
      <c r="E525" s="3028">
        <f>C525*D525</f>
        <v>450</v>
      </c>
    </row>
    <row r="526" spans="2:6">
      <c r="B526" s="3028"/>
      <c r="C526" s="3028"/>
      <c r="D526" s="3165" t="s">
        <v>219</v>
      </c>
      <c r="E526" s="3028">
        <f>E524+E525</f>
        <v>800</v>
      </c>
    </row>
    <row r="529" spans="2:8">
      <c r="B529" s="1981" t="s">
        <v>4552</v>
      </c>
      <c r="C529" s="1981"/>
    </row>
    <row r="530" spans="2:8" ht="15">
      <c r="B530" s="3165" t="s">
        <v>221</v>
      </c>
      <c r="C530" s="3133" t="s">
        <v>4135</v>
      </c>
      <c r="D530" s="3133" t="s">
        <v>4136</v>
      </c>
      <c r="E530" s="3133" t="s">
        <v>219</v>
      </c>
    </row>
    <row r="531" spans="2:8">
      <c r="B531" s="3028" t="s">
        <v>4553</v>
      </c>
      <c r="C531" s="3028">
        <v>1</v>
      </c>
      <c r="D531" s="3028">
        <v>50</v>
      </c>
      <c r="E531" s="3028">
        <f>C531*D531</f>
        <v>50</v>
      </c>
    </row>
    <row r="532" spans="2:8">
      <c r="B532" s="3028" t="s">
        <v>4554</v>
      </c>
      <c r="C532" s="3028">
        <v>1</v>
      </c>
      <c r="D532" s="3330">
        <v>100</v>
      </c>
      <c r="E532" s="3028">
        <f>C532*D532</f>
        <v>100</v>
      </c>
      <c r="F532" t="s">
        <v>4555</v>
      </c>
      <c r="H532" t="s">
        <v>4556</v>
      </c>
    </row>
    <row r="533" spans="2:8">
      <c r="B533" s="3028" t="s">
        <v>4557</v>
      </c>
      <c r="C533" s="3028">
        <v>1</v>
      </c>
      <c r="D533" s="3028">
        <v>150</v>
      </c>
      <c r="E533" s="3028">
        <f>C533*D533</f>
        <v>150</v>
      </c>
      <c r="F533" t="s">
        <v>4558</v>
      </c>
    </row>
    <row r="534" spans="2:8">
      <c r="B534" s="3028" t="s">
        <v>4559</v>
      </c>
      <c r="C534" s="3028">
        <v>1</v>
      </c>
      <c r="D534" s="3028">
        <v>300</v>
      </c>
      <c r="E534" s="3028">
        <f>C534*D534</f>
        <v>300</v>
      </c>
    </row>
    <row r="535" spans="2:8">
      <c r="B535" s="3028" t="s">
        <v>4560</v>
      </c>
      <c r="C535" s="3028">
        <v>1</v>
      </c>
      <c r="D535" s="3028">
        <v>100</v>
      </c>
      <c r="E535" s="3028">
        <f>C535*D535</f>
        <v>100</v>
      </c>
    </row>
    <row r="536" spans="2:8">
      <c r="B536" s="3028"/>
      <c r="C536" s="3028"/>
      <c r="D536" s="3165" t="s">
        <v>219</v>
      </c>
      <c r="E536" s="3028">
        <f>SUM(E531:E535)</f>
        <v>700</v>
      </c>
    </row>
    <row r="540" spans="2:8" ht="15">
      <c r="B540" s="3129" t="s">
        <v>4561</v>
      </c>
      <c r="C540" s="1981"/>
      <c r="D540" s="1981"/>
      <c r="E540" s="1981"/>
    </row>
    <row r="541" spans="2:8">
      <c r="B541" s="3028" t="s">
        <v>4562</v>
      </c>
      <c r="C541" s="3028"/>
      <c r="D541" s="3028"/>
    </row>
    <row r="542" spans="2:8">
      <c r="B542" s="3028" t="s">
        <v>4563</v>
      </c>
      <c r="C542" s="3028" t="s">
        <v>4564</v>
      </c>
      <c r="D542" s="3028" t="s">
        <v>4565</v>
      </c>
    </row>
    <row r="543" spans="2:8">
      <c r="B543" s="3028">
        <v>1</v>
      </c>
      <c r="C543" s="3028">
        <v>1100</v>
      </c>
      <c r="D543" s="3028"/>
    </row>
    <row r="544" spans="2:8">
      <c r="B544" s="3028">
        <v>2</v>
      </c>
      <c r="C544" s="3028">
        <v>1525</v>
      </c>
      <c r="D544" s="3028"/>
    </row>
    <row r="545" spans="2:5">
      <c r="B545" s="3028">
        <v>3</v>
      </c>
      <c r="C545" s="3028">
        <v>1676</v>
      </c>
      <c r="D545" s="3028"/>
    </row>
    <row r="546" spans="2:5">
      <c r="B546" s="3028">
        <v>4</v>
      </c>
      <c r="C546" s="3028">
        <v>1629</v>
      </c>
      <c r="D546" s="3028"/>
    </row>
    <row r="547" spans="2:5">
      <c r="B547" s="3028">
        <v>5</v>
      </c>
      <c r="C547" s="3028">
        <v>1280</v>
      </c>
      <c r="D547" s="3028"/>
    </row>
    <row r="548" spans="2:5">
      <c r="B548" s="3028">
        <v>6</v>
      </c>
      <c r="C548" s="3028">
        <v>419</v>
      </c>
      <c r="D548" s="3028"/>
    </row>
    <row r="549" spans="2:5">
      <c r="B549" s="3028">
        <v>7</v>
      </c>
      <c r="C549" s="3028">
        <v>793</v>
      </c>
      <c r="D549" s="3028"/>
    </row>
    <row r="550" spans="2:5">
      <c r="B550" s="3028">
        <v>8</v>
      </c>
      <c r="C550" s="3028"/>
      <c r="D550" s="3028"/>
    </row>
    <row r="551" spans="2:5">
      <c r="B551" s="3028">
        <v>9</v>
      </c>
      <c r="C551" s="3028">
        <v>420</v>
      </c>
      <c r="D551" s="3028"/>
    </row>
    <row r="552" spans="2:5">
      <c r="B552" s="3028">
        <v>10</v>
      </c>
      <c r="C552" s="3331">
        <v>1700</v>
      </c>
      <c r="D552" s="3028" t="s">
        <v>4566</v>
      </c>
    </row>
    <row r="553" spans="2:5">
      <c r="B553" s="3028">
        <v>11</v>
      </c>
      <c r="C553" s="3331">
        <v>1700</v>
      </c>
      <c r="D553" s="3028" t="s">
        <v>4566</v>
      </c>
    </row>
    <row r="554" spans="2:5">
      <c r="B554" s="3028">
        <v>12</v>
      </c>
      <c r="C554" s="3331">
        <v>1700</v>
      </c>
      <c r="D554" s="3028" t="s">
        <v>4566</v>
      </c>
    </row>
    <row r="555" spans="2:5">
      <c r="B555" s="3028" t="s">
        <v>219</v>
      </c>
      <c r="C555" s="3028">
        <f>SUM(C543:C554)</f>
        <v>13942</v>
      </c>
      <c r="D555" s="3028">
        <f>C555+C555*0.1</f>
        <v>15336.2</v>
      </c>
    </row>
    <row r="558" spans="2:5" ht="15">
      <c r="B558" s="1981" t="s">
        <v>4567</v>
      </c>
      <c r="C558" s="3130"/>
      <c r="D558" s="3130"/>
      <c r="E558" s="3332"/>
    </row>
    <row r="559" spans="2:5" ht="15">
      <c r="B559" s="3131" t="s">
        <v>4568</v>
      </c>
      <c r="C559" s="3132" t="s">
        <v>4135</v>
      </c>
      <c r="D559" s="3133" t="s">
        <v>4137</v>
      </c>
    </row>
    <row r="560" spans="2:5" ht="15">
      <c r="B560" s="3134">
        <v>1700</v>
      </c>
      <c r="C560" s="3135">
        <v>9.5</v>
      </c>
      <c r="D560" s="3333">
        <f>B560*C560</f>
        <v>16150</v>
      </c>
      <c r="E560" s="3334"/>
    </row>
    <row r="561" spans="2:6" ht="15">
      <c r="B561" s="3137"/>
      <c r="C561" s="3135"/>
      <c r="D561" s="3333"/>
      <c r="E561" s="3334"/>
    </row>
    <row r="562" spans="2:6" ht="15">
      <c r="B562" s="3138"/>
      <c r="C562" s="3139" t="s">
        <v>4140</v>
      </c>
      <c r="D562" s="3335">
        <f>D560+E561</f>
        <v>16150</v>
      </c>
    </row>
    <row r="565" spans="2:6" ht="15">
      <c r="B565" s="3129" t="s">
        <v>4569</v>
      </c>
      <c r="C565" s="1981"/>
    </row>
    <row r="567" spans="2:6" ht="27">
      <c r="B567" s="3336" t="s">
        <v>4570</v>
      </c>
      <c r="C567" s="3336" t="s">
        <v>4571</v>
      </c>
      <c r="D567" s="3336" t="s">
        <v>4572</v>
      </c>
      <c r="E567" s="3337" t="s">
        <v>4573</v>
      </c>
      <c r="F567" s="3337" t="s">
        <v>4574</v>
      </c>
    </row>
    <row r="568" spans="2:6" ht="12.75">
      <c r="B568" s="3338">
        <v>1</v>
      </c>
      <c r="C568" s="3338"/>
      <c r="D568" s="3339" t="s">
        <v>4575</v>
      </c>
      <c r="E568" s="3338"/>
      <c r="F568" s="3338">
        <f>F569</f>
        <v>500</v>
      </c>
    </row>
    <row r="569" spans="2:6" ht="63.75">
      <c r="B569" s="3340" t="s">
        <v>4576</v>
      </c>
      <c r="C569" s="3341" t="s">
        <v>4577</v>
      </c>
      <c r="D569" s="3342" t="s">
        <v>4578</v>
      </c>
      <c r="E569" s="3343" t="s">
        <v>4579</v>
      </c>
      <c r="F569" s="3343">
        <v>500</v>
      </c>
    </row>
    <row r="570" spans="2:6" ht="12.75">
      <c r="B570" s="3338">
        <v>2</v>
      </c>
      <c r="C570" s="3338"/>
      <c r="D570" s="3344" t="s">
        <v>4580</v>
      </c>
      <c r="E570" s="3345"/>
      <c r="F570" s="3346">
        <f>F571+F572+F573</f>
        <v>500</v>
      </c>
    </row>
    <row r="571" spans="2:6" ht="63.75">
      <c r="B571" s="3340" t="s">
        <v>21</v>
      </c>
      <c r="C571" s="3341" t="s">
        <v>4577</v>
      </c>
      <c r="D571" s="3342" t="s">
        <v>4578</v>
      </c>
      <c r="E571" s="3343" t="s">
        <v>4581</v>
      </c>
      <c r="F571" s="3343">
        <v>250</v>
      </c>
    </row>
    <row r="572" spans="2:6" ht="38.25">
      <c r="B572" s="3340" t="s">
        <v>23</v>
      </c>
      <c r="C572" s="3341" t="s">
        <v>4582</v>
      </c>
      <c r="D572" s="3342" t="s">
        <v>397</v>
      </c>
      <c r="E572" s="3343" t="s">
        <v>4583</v>
      </c>
      <c r="F572" s="3343">
        <v>250</v>
      </c>
    </row>
    <row r="573" spans="2:6" ht="25.5">
      <c r="B573" s="3340" t="s">
        <v>4584</v>
      </c>
      <c r="C573" s="3340"/>
      <c r="D573" s="3342" t="s">
        <v>4585</v>
      </c>
      <c r="E573" s="3343" t="s">
        <v>4586</v>
      </c>
      <c r="F573" s="3343">
        <v>0</v>
      </c>
    </row>
    <row r="574" spans="2:6" ht="25.5">
      <c r="B574" s="3338">
        <v>3</v>
      </c>
      <c r="C574" s="3338"/>
      <c r="D574" s="3344" t="s">
        <v>4587</v>
      </c>
      <c r="E574" s="3345"/>
      <c r="F574" s="3346">
        <f>F575+F576</f>
        <v>500</v>
      </c>
    </row>
    <row r="575" spans="2:6" ht="38.25">
      <c r="B575" s="3340" t="s">
        <v>29</v>
      </c>
      <c r="C575" s="3341" t="s">
        <v>4582</v>
      </c>
      <c r="D575" s="3342" t="s">
        <v>397</v>
      </c>
      <c r="E575" s="3343" t="s">
        <v>4588</v>
      </c>
      <c r="F575" s="3343">
        <v>300</v>
      </c>
    </row>
    <row r="576" spans="2:6" ht="63.75">
      <c r="B576" s="3347" t="s">
        <v>32</v>
      </c>
      <c r="C576" s="3341" t="s">
        <v>4577</v>
      </c>
      <c r="D576" s="3348" t="s">
        <v>4578</v>
      </c>
      <c r="E576" s="3349" t="s">
        <v>4589</v>
      </c>
      <c r="F576" s="3349">
        <v>200</v>
      </c>
    </row>
    <row r="577" spans="2:6" ht="25.5">
      <c r="B577" s="3338">
        <v>4</v>
      </c>
      <c r="C577" s="3338"/>
      <c r="D577" s="3344" t="s">
        <v>4590</v>
      </c>
      <c r="E577" s="3345"/>
      <c r="F577" s="3346">
        <f>F578+F579+F580</f>
        <v>500</v>
      </c>
    </row>
    <row r="578" spans="2:6" ht="38.25">
      <c r="B578" s="3340" t="s">
        <v>37</v>
      </c>
      <c r="C578" s="3341" t="s">
        <v>4582</v>
      </c>
      <c r="D578" s="3340" t="s">
        <v>4591</v>
      </c>
      <c r="E578" s="3350" t="s">
        <v>4592</v>
      </c>
      <c r="F578" s="3351">
        <v>50</v>
      </c>
    </row>
    <row r="579" spans="2:6" ht="63.75">
      <c r="B579" s="3340" t="s">
        <v>39</v>
      </c>
      <c r="C579" s="3341" t="s">
        <v>4577</v>
      </c>
      <c r="D579" s="3340" t="s">
        <v>4578</v>
      </c>
      <c r="E579" s="3350" t="s">
        <v>4593</v>
      </c>
      <c r="F579" s="3351">
        <v>200</v>
      </c>
    </row>
    <row r="580" spans="2:6" ht="38.25">
      <c r="B580" s="3352" t="s">
        <v>2494</v>
      </c>
      <c r="C580" s="3341" t="s">
        <v>4594</v>
      </c>
      <c r="D580" s="3352" t="s">
        <v>397</v>
      </c>
      <c r="E580" s="3353" t="s">
        <v>4595</v>
      </c>
      <c r="F580" s="3353">
        <v>250</v>
      </c>
    </row>
    <row r="581" spans="2:6" ht="25.5">
      <c r="B581" s="3338">
        <v>5</v>
      </c>
      <c r="C581" s="3338"/>
      <c r="D581" s="3344" t="s">
        <v>4596</v>
      </c>
      <c r="E581" s="3344"/>
      <c r="F581" s="3338">
        <f>F582+F583+F584</f>
        <v>500</v>
      </c>
    </row>
    <row r="582" spans="2:6" ht="51">
      <c r="B582" s="3340" t="s">
        <v>170</v>
      </c>
      <c r="C582" s="3341" t="s">
        <v>4594</v>
      </c>
      <c r="D582" s="3352" t="s">
        <v>397</v>
      </c>
      <c r="E582" s="3353" t="s">
        <v>4597</v>
      </c>
      <c r="F582" s="3351">
        <v>180</v>
      </c>
    </row>
    <row r="583" spans="2:6" ht="63.75">
      <c r="B583" s="3340" t="s">
        <v>172</v>
      </c>
      <c r="C583" s="3341" t="s">
        <v>4577</v>
      </c>
      <c r="D583" s="3352" t="s">
        <v>4578</v>
      </c>
      <c r="E583" s="3353" t="s">
        <v>4598</v>
      </c>
      <c r="F583" s="3351">
        <v>200</v>
      </c>
    </row>
    <row r="584" spans="2:6" ht="38.25">
      <c r="B584" s="3347" t="s">
        <v>174</v>
      </c>
      <c r="C584" s="3341" t="s">
        <v>4594</v>
      </c>
      <c r="D584" s="3354" t="s">
        <v>4599</v>
      </c>
      <c r="E584" s="3355" t="s">
        <v>4600</v>
      </c>
      <c r="F584" s="3356">
        <v>120</v>
      </c>
    </row>
    <row r="585" spans="2:6" ht="12.75">
      <c r="B585" s="3357">
        <v>6</v>
      </c>
      <c r="C585" s="3357"/>
      <c r="D585" s="3344" t="s">
        <v>4601</v>
      </c>
      <c r="E585" s="3344"/>
      <c r="F585" s="3338">
        <f>F586+F587</f>
        <v>500</v>
      </c>
    </row>
    <row r="586" spans="2:6" ht="38.25">
      <c r="B586" s="3340" t="s">
        <v>46</v>
      </c>
      <c r="C586" s="3341" t="s">
        <v>4582</v>
      </c>
      <c r="D586" s="3352" t="s">
        <v>4585</v>
      </c>
      <c r="E586" s="3353" t="s">
        <v>4602</v>
      </c>
      <c r="F586" s="3351">
        <v>100</v>
      </c>
    </row>
    <row r="587" spans="2:6" ht="51">
      <c r="B587" s="3340" t="s">
        <v>56</v>
      </c>
      <c r="C587" s="3341" t="s">
        <v>4582</v>
      </c>
      <c r="D587" s="3352" t="s">
        <v>397</v>
      </c>
      <c r="E587" s="3353" t="s">
        <v>4603</v>
      </c>
      <c r="F587" s="3351">
        <v>400</v>
      </c>
    </row>
    <row r="588" spans="2:6" ht="12.75">
      <c r="B588" s="3338">
        <v>7</v>
      </c>
      <c r="C588" s="3338"/>
      <c r="D588" s="3358" t="s">
        <v>4604</v>
      </c>
      <c r="E588" s="3344"/>
      <c r="F588" s="3338">
        <f>F593+F592+F591+F590+F589</f>
        <v>500</v>
      </c>
    </row>
    <row r="589" spans="2:6" ht="38.25">
      <c r="B589" s="3340" t="s">
        <v>74</v>
      </c>
      <c r="C589" s="3341" t="s">
        <v>4582</v>
      </c>
      <c r="D589" s="3352" t="s">
        <v>4605</v>
      </c>
      <c r="E589" s="3353" t="s">
        <v>4606</v>
      </c>
      <c r="F589" s="3351">
        <v>100</v>
      </c>
    </row>
    <row r="590" spans="2:6" ht="25.5">
      <c r="B590" s="3340" t="s">
        <v>76</v>
      </c>
      <c r="C590" s="3340"/>
      <c r="D590" s="3352" t="s">
        <v>4607</v>
      </c>
      <c r="E590" s="3353" t="s">
        <v>4608</v>
      </c>
      <c r="F590" s="3353">
        <v>0</v>
      </c>
    </row>
    <row r="591" spans="2:6" ht="25.5">
      <c r="B591" s="3340" t="s">
        <v>187</v>
      </c>
      <c r="C591" s="3340"/>
      <c r="D591" s="3352" t="s">
        <v>4609</v>
      </c>
      <c r="E591" s="3353" t="s">
        <v>4610</v>
      </c>
      <c r="F591" s="3351">
        <v>0</v>
      </c>
    </row>
    <row r="592" spans="2:6" ht="25.5">
      <c r="B592" s="3340" t="s">
        <v>769</v>
      </c>
      <c r="C592" s="3341" t="s">
        <v>4611</v>
      </c>
      <c r="D592" s="3359" t="s">
        <v>4578</v>
      </c>
      <c r="E592" s="3353" t="s">
        <v>4612</v>
      </c>
      <c r="F592" s="3351">
        <v>200</v>
      </c>
    </row>
    <row r="593" spans="2:6" ht="38.25">
      <c r="B593" s="3347" t="s">
        <v>1590</v>
      </c>
      <c r="C593" s="3347"/>
      <c r="D593" s="3360" t="s">
        <v>397</v>
      </c>
      <c r="E593" s="3355" t="s">
        <v>4613</v>
      </c>
      <c r="F593" s="3356">
        <v>200</v>
      </c>
    </row>
    <row r="594" spans="2:6" ht="12.75">
      <c r="B594" s="3338">
        <v>8</v>
      </c>
      <c r="C594" s="3338"/>
      <c r="D594" s="3339" t="s">
        <v>4614</v>
      </c>
      <c r="E594" s="3338"/>
      <c r="F594" s="3338">
        <f>F595+F596</f>
        <v>500</v>
      </c>
    </row>
    <row r="595" spans="2:6" ht="38.25">
      <c r="B595" s="3347" t="s">
        <v>81</v>
      </c>
      <c r="C595" s="3341" t="s">
        <v>4594</v>
      </c>
      <c r="D595" s="3361" t="s">
        <v>397</v>
      </c>
      <c r="E595" s="3355" t="s">
        <v>4613</v>
      </c>
      <c r="F595" s="3356">
        <v>200</v>
      </c>
    </row>
    <row r="596" spans="2:6" ht="25.5">
      <c r="B596" s="3347" t="s">
        <v>83</v>
      </c>
      <c r="C596" s="3341" t="s">
        <v>4611</v>
      </c>
      <c r="D596" s="3360" t="s">
        <v>4578</v>
      </c>
      <c r="E596" s="3362" t="s">
        <v>4615</v>
      </c>
      <c r="F596" s="3356">
        <v>300</v>
      </c>
    </row>
    <row r="597" spans="2:6" ht="12.75">
      <c r="B597" s="3338">
        <v>9</v>
      </c>
      <c r="C597" s="3338"/>
      <c r="D597" s="3358" t="s">
        <v>4616</v>
      </c>
      <c r="E597" s="3344"/>
      <c r="F597" s="3338">
        <f>F598+F599+F600+F601</f>
        <v>500</v>
      </c>
    </row>
    <row r="598" spans="2:6" ht="38.25">
      <c r="B598" s="3363" t="s">
        <v>87</v>
      </c>
      <c r="C598" s="3341" t="s">
        <v>4611</v>
      </c>
      <c r="D598" s="3341" t="s">
        <v>4578</v>
      </c>
      <c r="E598" s="3353" t="s">
        <v>4617</v>
      </c>
      <c r="F598" s="3351">
        <v>150</v>
      </c>
    </row>
    <row r="599" spans="2:6" ht="63.75">
      <c r="B599" s="3363" t="s">
        <v>88</v>
      </c>
      <c r="C599" s="3341" t="s">
        <v>4594</v>
      </c>
      <c r="D599" s="3341" t="s">
        <v>4618</v>
      </c>
      <c r="E599" s="3364" t="s">
        <v>4619</v>
      </c>
      <c r="F599" s="3351">
        <v>50</v>
      </c>
    </row>
    <row r="600" spans="2:6" ht="38.25">
      <c r="B600" s="3363" t="s">
        <v>1718</v>
      </c>
      <c r="C600" s="3341" t="s">
        <v>4594</v>
      </c>
      <c r="D600" s="3341" t="s">
        <v>397</v>
      </c>
      <c r="E600" s="3365" t="s">
        <v>4620</v>
      </c>
      <c r="F600" s="3351">
        <v>270</v>
      </c>
    </row>
    <row r="601" spans="2:6" ht="38.25">
      <c r="B601" s="3363" t="s">
        <v>1721</v>
      </c>
      <c r="C601" s="3341" t="s">
        <v>4594</v>
      </c>
      <c r="D601" s="3341" t="s">
        <v>4621</v>
      </c>
      <c r="E601" s="3353" t="s">
        <v>4622</v>
      </c>
      <c r="F601" s="3351">
        <v>30</v>
      </c>
    </row>
    <row r="602" spans="2:6" ht="12.75">
      <c r="B602" s="3338">
        <v>10</v>
      </c>
      <c r="C602" s="3338"/>
      <c r="D602" s="3358" t="s">
        <v>4623</v>
      </c>
      <c r="E602" s="3344"/>
      <c r="F602" s="3338">
        <f>F603+F604+F605+F606</f>
        <v>500</v>
      </c>
    </row>
    <row r="603" spans="2:6" ht="25.5">
      <c r="B603" s="3363" t="s">
        <v>93</v>
      </c>
      <c r="C603" s="4860" t="s">
        <v>4594</v>
      </c>
      <c r="D603" s="3341" t="s">
        <v>4585</v>
      </c>
      <c r="E603" s="3353" t="s">
        <v>4624</v>
      </c>
      <c r="F603" s="3351">
        <v>100</v>
      </c>
    </row>
    <row r="604" spans="2:6" ht="38.25">
      <c r="B604" s="3363" t="s">
        <v>96</v>
      </c>
      <c r="C604" s="4861"/>
      <c r="D604" s="3341" t="s">
        <v>4625</v>
      </c>
      <c r="E604" s="3353" t="s">
        <v>4626</v>
      </c>
      <c r="F604" s="3351">
        <v>200</v>
      </c>
    </row>
    <row r="605" spans="2:6" ht="25.5">
      <c r="B605" s="3363" t="s">
        <v>1834</v>
      </c>
      <c r="C605" s="4861"/>
      <c r="D605" s="3341" t="s">
        <v>4627</v>
      </c>
      <c r="E605" s="3353" t="s">
        <v>4628</v>
      </c>
      <c r="F605" s="3351">
        <v>100</v>
      </c>
    </row>
    <row r="606" spans="2:6" ht="38.25">
      <c r="B606" s="3363" t="s">
        <v>4629</v>
      </c>
      <c r="C606" s="4862"/>
      <c r="D606" s="3341" t="s">
        <v>4625</v>
      </c>
      <c r="E606" s="3353" t="s">
        <v>4630</v>
      </c>
      <c r="F606" s="3351">
        <v>100</v>
      </c>
    </row>
    <row r="607" spans="2:6" ht="12.75">
      <c r="B607" s="3338">
        <v>11</v>
      </c>
      <c r="C607" s="3338"/>
      <c r="D607" s="3339" t="s">
        <v>4631</v>
      </c>
      <c r="E607" s="3344"/>
      <c r="F607" s="3338">
        <f>F608+F609+F610+F611</f>
        <v>500</v>
      </c>
    </row>
    <row r="608" spans="2:6" ht="25.5">
      <c r="B608" s="3340" t="s">
        <v>117</v>
      </c>
      <c r="C608" s="3340"/>
      <c r="D608" s="3341" t="s">
        <v>397</v>
      </c>
      <c r="E608" s="3353" t="s">
        <v>4632</v>
      </c>
      <c r="F608" s="3351">
        <v>0</v>
      </c>
    </row>
    <row r="609" spans="2:6" ht="38.25">
      <c r="B609" s="3363" t="s">
        <v>119</v>
      </c>
      <c r="C609" s="3366" t="s">
        <v>4594</v>
      </c>
      <c r="D609" s="3341" t="s">
        <v>4605</v>
      </c>
      <c r="E609" s="3353" t="s">
        <v>4633</v>
      </c>
      <c r="F609" s="3351">
        <v>250</v>
      </c>
    </row>
    <row r="610" spans="2:6" ht="25.5">
      <c r="B610" s="3363" t="s">
        <v>4634</v>
      </c>
      <c r="C610" s="3366" t="s">
        <v>4611</v>
      </c>
      <c r="D610" s="3341" t="s">
        <v>4578</v>
      </c>
      <c r="E610" s="3353" t="s">
        <v>4635</v>
      </c>
      <c r="F610" s="3351">
        <v>250</v>
      </c>
    </row>
    <row r="611" spans="2:6" ht="38.25">
      <c r="B611" s="3340" t="s">
        <v>4636</v>
      </c>
      <c r="C611" s="3340"/>
      <c r="D611" s="3341" t="s">
        <v>4637</v>
      </c>
      <c r="E611" s="3353" t="s">
        <v>4638</v>
      </c>
      <c r="F611" s="3351">
        <v>0</v>
      </c>
    </row>
    <row r="612" spans="2:6" ht="12.75">
      <c r="B612" s="3338">
        <v>12</v>
      </c>
      <c r="C612" s="3338"/>
      <c r="D612" s="3358" t="s">
        <v>4639</v>
      </c>
      <c r="E612" s="3344"/>
      <c r="F612" s="3338">
        <f>F615+F614+F613</f>
        <v>500</v>
      </c>
    </row>
    <row r="613" spans="2:6" ht="38.25">
      <c r="B613" s="3340" t="s">
        <v>123</v>
      </c>
      <c r="C613" s="3366" t="s">
        <v>4611</v>
      </c>
      <c r="D613" s="3359" t="s">
        <v>4640</v>
      </c>
      <c r="E613" s="3353" t="s">
        <v>4641</v>
      </c>
      <c r="F613" s="3351">
        <v>180</v>
      </c>
    </row>
    <row r="614" spans="2:6" ht="38.25">
      <c r="B614" s="3340" t="s">
        <v>129</v>
      </c>
      <c r="C614" s="3341" t="s">
        <v>4594</v>
      </c>
      <c r="D614" s="3359" t="s">
        <v>4642</v>
      </c>
      <c r="E614" s="3353" t="s">
        <v>4643</v>
      </c>
      <c r="F614" s="3351">
        <v>170</v>
      </c>
    </row>
    <row r="615" spans="2:6" ht="38.25">
      <c r="B615" s="3340" t="s">
        <v>136</v>
      </c>
      <c r="C615" s="3341" t="s">
        <v>4594</v>
      </c>
      <c r="D615" s="3359" t="s">
        <v>4644</v>
      </c>
      <c r="E615" s="3353" t="s">
        <v>4645</v>
      </c>
      <c r="F615" s="3351">
        <v>150</v>
      </c>
    </row>
    <row r="616" spans="2:6" ht="12.75">
      <c r="B616" s="3338">
        <v>13</v>
      </c>
      <c r="C616" s="3338"/>
      <c r="D616" s="3358" t="s">
        <v>4646</v>
      </c>
      <c r="E616" s="3338"/>
      <c r="F616" s="3338">
        <f>F621+F620+F619+F618+F617</f>
        <v>500</v>
      </c>
    </row>
    <row r="617" spans="2:6" ht="38.25">
      <c r="B617" s="3340" t="s">
        <v>142</v>
      </c>
      <c r="C617" s="3341" t="s">
        <v>4594</v>
      </c>
      <c r="D617" s="3340" t="s">
        <v>397</v>
      </c>
      <c r="E617" s="3351" t="s">
        <v>4647</v>
      </c>
      <c r="F617" s="3351">
        <v>250</v>
      </c>
    </row>
    <row r="618" spans="2:6" ht="12.75">
      <c r="B618" s="3367" t="s">
        <v>144</v>
      </c>
      <c r="C618" s="3367"/>
      <c r="D618" s="3367" t="s">
        <v>4648</v>
      </c>
      <c r="E618" s="3365" t="s">
        <v>4649</v>
      </c>
      <c r="F618" s="3365">
        <v>0</v>
      </c>
    </row>
    <row r="619" spans="2:6" ht="12.75">
      <c r="B619" s="3367" t="s">
        <v>4650</v>
      </c>
      <c r="C619" s="3367"/>
      <c r="D619" s="3367" t="s">
        <v>4651</v>
      </c>
      <c r="E619" s="3365" t="s">
        <v>4652</v>
      </c>
      <c r="F619" s="3365">
        <v>0</v>
      </c>
    </row>
    <row r="620" spans="2:6" ht="25.5">
      <c r="B620" s="3368" t="s">
        <v>4653</v>
      </c>
      <c r="C620" s="3366" t="s">
        <v>4611</v>
      </c>
      <c r="D620" s="3368" t="s">
        <v>4640</v>
      </c>
      <c r="E620" s="3369" t="s">
        <v>4654</v>
      </c>
      <c r="F620" s="3369">
        <v>150</v>
      </c>
    </row>
    <row r="621" spans="2:6" ht="38.25">
      <c r="B621" s="3367" t="s">
        <v>4655</v>
      </c>
      <c r="C621" s="3370" t="s">
        <v>4594</v>
      </c>
      <c r="D621" s="3367" t="s">
        <v>4605</v>
      </c>
      <c r="E621" s="3365" t="s">
        <v>4656</v>
      </c>
      <c r="F621" s="3367">
        <v>100</v>
      </c>
    </row>
    <row r="622" spans="2:6" ht="12.75">
      <c r="B622" s="3367"/>
      <c r="C622" s="3367"/>
      <c r="D622" s="3367"/>
      <c r="E622" s="3371" t="s">
        <v>1119</v>
      </c>
      <c r="F622" s="3372">
        <f>F568+F570+F574+F577+F581+F585+F588+F594+F597+F602+F607+F612+F616</f>
        <v>6500</v>
      </c>
    </row>
  </sheetData>
  <mergeCells count="28">
    <mergeCell ref="G92:G100"/>
    <mergeCell ref="C104:D104"/>
    <mergeCell ref="B139:F139"/>
    <mergeCell ref="A76:B76"/>
    <mergeCell ref="C91:D91"/>
    <mergeCell ref="E92:E100"/>
    <mergeCell ref="F92:F100"/>
    <mergeCell ref="E105:E113"/>
    <mergeCell ref="F105:F113"/>
    <mergeCell ref="G105:G113"/>
    <mergeCell ref="B137:F137"/>
    <mergeCell ref="B138:F138"/>
    <mergeCell ref="B140:F140"/>
    <mergeCell ref="B214:E214"/>
    <mergeCell ref="B241:B242"/>
    <mergeCell ref="C241:C242"/>
    <mergeCell ref="D241:D242"/>
    <mergeCell ref="E241:E242"/>
    <mergeCell ref="F241:F242"/>
    <mergeCell ref="B360:B368"/>
    <mergeCell ref="B372:F372"/>
    <mergeCell ref="C603:C606"/>
    <mergeCell ref="G241:G242"/>
    <mergeCell ref="B301:B302"/>
    <mergeCell ref="B307:G307"/>
    <mergeCell ref="B334:N334"/>
    <mergeCell ref="B348:E349"/>
    <mergeCell ref="B358:F358"/>
  </mergeCells>
  <hyperlinks>
    <hyperlink ref="G179" r:id="rId1" xr:uid="{A3EC02A7-BE7A-4D9E-B9C4-CE5C9006C434}"/>
    <hyperlink ref="G180" r:id="rId2" xr:uid="{96FED886-092C-4925-9E1C-DC478ED91D5D}"/>
    <hyperlink ref="G181" r:id="rId3" xr:uid="{8CEB76BF-5493-413D-8DB6-9754B5C5C5A7}"/>
    <hyperlink ref="G183" r:id="rId4" xr:uid="{D1390B90-4E4C-4BB2-BB94-2D7224999E6B}"/>
    <hyperlink ref="G184" r:id="rId5" xr:uid="{46A6D063-86F1-4A6D-99C1-47531EBBF087}"/>
    <hyperlink ref="G185" r:id="rId6" xr:uid="{999E71B6-22DB-44BF-8DDE-523F3FC18534}"/>
    <hyperlink ref="G186" r:id="rId7" xr:uid="{54227027-48E4-4A26-85A4-93BE112A93D8}"/>
    <hyperlink ref="G187" r:id="rId8" xr:uid="{4A23ACCB-FC7F-4E74-A697-2CC3A9910B11}"/>
    <hyperlink ref="G188" r:id="rId9" xr:uid="{2D736172-76E5-40B5-8E57-7DC86A65D720}"/>
    <hyperlink ref="G189" r:id="rId10" xr:uid="{AF888612-FCD7-40DA-8FB0-A9B9351A39B4}"/>
    <hyperlink ref="G190" r:id="rId11" xr:uid="{A0A92EEA-351E-4A19-AFDD-B92388FE22D5}"/>
    <hyperlink ref="G191" r:id="rId12" xr:uid="{EE58B309-A335-4A42-9147-681BCC881A00}"/>
    <hyperlink ref="G192" r:id="rId13" xr:uid="{12613C96-38C5-4C4F-A7C8-CCC3D19DC8AE}"/>
    <hyperlink ref="G193" r:id="rId14" xr:uid="{34B7A438-C229-44AC-968D-AE348AB04C31}"/>
    <hyperlink ref="G194" r:id="rId15" xr:uid="{E0461739-E1AF-424F-8EF2-611E6AC9F45A}"/>
    <hyperlink ref="G195" r:id="rId16" xr:uid="{FBA9083D-D416-4E46-A0CE-1443EDC3FBC3}"/>
    <hyperlink ref="G197" r:id="rId17" xr:uid="{CB8A45C7-F6A3-4A6B-887B-6AFADE5344D1}"/>
    <hyperlink ref="G200" r:id="rId18" xr:uid="{323F22A2-9520-4A72-9FBE-277D913F1578}"/>
    <hyperlink ref="G204" r:id="rId19" xr:uid="{8A44247F-A409-4B6E-93C4-7C7FA1FBFB85}"/>
    <hyperlink ref="G208" r:id="rId20" xr:uid="{9381ABD8-6EC3-498B-BF69-8954FAE422D7}"/>
    <hyperlink ref="G210" r:id="rId21" xr:uid="{3899588F-4EF2-47CB-91BF-6390C6072DDD}"/>
    <hyperlink ref="G203" r:id="rId22" xr:uid="{E144F03F-9EE1-49CE-BE42-9B43E33694B6}"/>
  </hyperlinks>
  <pageMargins left="0.7" right="0.7" top="0.75" bottom="0.75" header="0.3" footer="0.3"/>
  <pageSetup paperSize="9" orientation="portrait" r:id="rId2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Faila apraksts</vt:lpstr>
      <vt:lpstr>INPUT</vt:lpstr>
      <vt:lpstr>BAZE_2024</vt:lpstr>
      <vt:lpstr>Investīcijas_2024</vt:lpstr>
      <vt:lpstr>2024.gada budzeta plans_apvieno</vt:lpstr>
      <vt:lpstr>Grafiki_2024</vt:lpstr>
      <vt:lpstr>PII_mac_lidz</vt:lpstr>
      <vt:lpstr>0630_Tāmes</vt:lpstr>
      <vt:lpstr>0930_Tāmes</vt:lpstr>
      <vt:lpstr>0812_Sporta pasākumi_komandas</vt:lpstr>
      <vt:lpstr>0812_Subsīdijas sportam</vt:lpstr>
      <vt:lpstr>0841.1_Svētku tāmes paraugs</vt:lpstr>
      <vt:lpstr>0841ĀKC Skatuves gaismu sistēma</vt:lpstr>
      <vt:lpstr>'0930_Tāmes'!_Hlk80260561</vt:lpstr>
      <vt:lpstr>'2024.gada budzeta plans_apvieno'!Print_Area</vt:lpstr>
      <vt:lpstr>'2024.gada budzeta plans_apvieno'!Print_Titles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Linda Pavlovska</cp:lastModifiedBy>
  <cp:lastPrinted>2023-12-27T07:30:50Z</cp:lastPrinted>
  <dcterms:created xsi:type="dcterms:W3CDTF">2015-07-17T07:55:13Z</dcterms:created>
  <dcterms:modified xsi:type="dcterms:W3CDTF">2024-01-09T12:44:37Z</dcterms:modified>
</cp:coreProperties>
</file>